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Veda\Veda_models\E4SMA-User2\OMNIA\"/>
    </mc:Choice>
  </mc:AlternateContent>
  <xr:revisionPtr revIDLastSave="0" documentId="13_ncr:1_{6A33E104-5A00-450D-A047-E5E1F6F3D977}" xr6:coauthVersionLast="47" xr6:coauthVersionMax="47" xr10:uidLastSave="{00000000-0000-0000-0000-000000000000}"/>
  <bookViews>
    <workbookView xWindow="-120" yWindow="-120" windowWidth="29040" windowHeight="15840" firstSheet="3" activeTab="9" xr2:uid="{C7ED20F5-A369-4C40-A77C-9F2953B5774D}"/>
  </bookViews>
  <sheets>
    <sheet name="Legend" sheetId="47" r:id="rId1"/>
    <sheet name="LOG" sheetId="62" r:id="rId2"/>
    <sheet name="Key inputs_EB" sheetId="42" r:id="rId3"/>
    <sheet name="Key Inputs_BY Techs" sheetId="48" r:id="rId4"/>
    <sheet name="Key Inputs_New Techs" sheetId="55" r:id="rId5"/>
    <sheet name="Commodities &amp; Processes" sheetId="10" r:id="rId6"/>
    <sheet name="Fuel Techs" sheetId="17" r:id="rId7"/>
    <sheet name="SRV_BY Techs" sheetId="49" r:id="rId8"/>
    <sheet name="SRV_New Techs" sheetId="56" r:id="rId9"/>
    <sheet name="Demands" sheetId="50" r:id="rId10"/>
    <sheet name="S1" sheetId="4" r:id="rId11"/>
    <sheet name="S2" sheetId="52" r:id="rId12"/>
    <sheet name="S3" sheetId="53" r:id="rId13"/>
    <sheet name="S4" sheetId="54" r:id="rId14"/>
    <sheet name="S5" sheetId="58" r:id="rId15"/>
    <sheet name="S6" sheetId="59" r:id="rId16"/>
    <sheet name="S7" sheetId="60" r:id="rId17"/>
    <sheet name="S8" sheetId="61" r:id="rId18"/>
  </sheets>
  <definedNames>
    <definedName name="__123Graph_A" localSheetId="1" hidden="1">#REF!</definedName>
    <definedName name="__123Graph_A" hidden="1">#REF!</definedName>
    <definedName name="__123Graph_B" localSheetId="1" hidden="1">#REF!</definedName>
    <definedName name="__123Graph_B" hidden="1">#REF!</definedName>
    <definedName name="__123Graph_C" localSheetId="1" hidden="1">#REF!</definedName>
    <definedName name="__123Graph_C" hidden="1">#REF!</definedName>
    <definedName name="__123Graph_D" localSheetId="1" hidden="1">#REF!</definedName>
    <definedName name="__123Graph_D" hidden="1">#REF!</definedName>
    <definedName name="__123Graph_E" localSheetId="1" hidden="1">#REF!</definedName>
    <definedName name="__123Graph_E" hidden="1">#REF!</definedName>
    <definedName name="__123Graph_X" localSheetId="1" hidden="1">#REF!</definedName>
    <definedName name="__123Graph_X" hidden="1">#REF!</definedName>
    <definedName name="_1__123Graph_ACHART_4" hidden="1">#REF!</definedName>
    <definedName name="_118__123Graph_CCHART_2" localSheetId="1" hidden="1">#REF!</definedName>
    <definedName name="_118__123Graph_CCHART_2" hidden="1">#REF!</definedName>
    <definedName name="_134__123Graph_XCHART_1" localSheetId="1" hidden="1">#REF!</definedName>
    <definedName name="_134__123Graph_XCHART_1" hidden="1">#REF!</definedName>
    <definedName name="_150__123Graph_XCHART_3" localSheetId="1" hidden="1">#REF!</definedName>
    <definedName name="_150__123Graph_XCHART_3" hidden="1">#REF!</definedName>
    <definedName name="_16__123Graph_ACHART_1" localSheetId="1" hidden="1">#REF!</definedName>
    <definedName name="_16__123Graph_ACHART_1" hidden="1">#REF!</definedName>
    <definedName name="_2__123Graph_XCHART_3" hidden="1">#REF!</definedName>
    <definedName name="_3__123Graph_XCHART_4" hidden="1">#REF!</definedName>
    <definedName name="_32__123Graph_ACHART_3" localSheetId="1" hidden="1">#REF!</definedName>
    <definedName name="_32__123Graph_ACHART_3" hidden="1">#REF!</definedName>
    <definedName name="_48__123Graph_BCHART_1" localSheetId="1" hidden="1">#REF!</definedName>
    <definedName name="_48__123Graph_BCHART_1" hidden="1">#REF!</definedName>
    <definedName name="_77__123Graph_BCHART_2" localSheetId="1" hidden="1">#REF!</definedName>
    <definedName name="_77__123Graph_BCHART_2" hidden="1">#REF!</definedName>
    <definedName name="_78__123Graph_BCHART_4" localSheetId="1" hidden="1">#REF!</definedName>
    <definedName name="_78__123Graph_BCHART_4" hidden="1">#REF!</definedName>
    <definedName name="_93__123Graph_CCHART_1" localSheetId="1" hidden="1">#REF!</definedName>
    <definedName name="_93__123Graph_CCHART_1" hidden="1">#REF!</definedName>
    <definedName name="_AMO_UniqueIdentifier" hidden="1">"'0777fe52-7234-4cf2-bc23-eda151c2f48f'"</definedName>
    <definedName name="_com8"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_dc1" hidden="1">{#N/A,#N/A,FALSE,"Aging Summary";#N/A,#N/A,FALSE,"Ratio Analysis";#N/A,#N/A,FALSE,"Test 120 Day Accts";#N/A,#N/A,FALSE,"Tickmarks"}</definedName>
    <definedName name="_ffd1" hidden="1">{"Valuation_Common",#N/A,FALSE,"Valuation"}</definedName>
    <definedName name="_xlnm._FilterDatabase" localSheetId="2" hidden="1">'Key inputs_EB'!$C$96:$AF$144</definedName>
    <definedName name="_xlnm._FilterDatabase" localSheetId="4" hidden="1">'Key Inputs_New Techs'!$A$3:$AG$71</definedName>
    <definedName name="_xlnm._FilterDatabase" localSheetId="11" hidden="1">'S2'!$A$6:$I$52</definedName>
    <definedName name="_xlnm._FilterDatabase" localSheetId="16" hidden="1">'S7'!#REF!</definedName>
    <definedName name="_Fin1" hidden="1">{"Valuation_Common",#N/A,FALSE,"Valuation"}</definedName>
    <definedName name="_GP2" hidden="1">{"'eb011 a1 GDP per capita in PPS'!$I$55:$K$76","'eb011 a1 GDP per capita in PPS'!$M$3:$W$24"}</definedName>
    <definedName name="_GP3" hidden="1">{"'eb011 a1 GDP per capita in PPS'!$I$55:$K$76","'eb011 a1 GDP per capita in PPS'!$M$3:$W$24"}</definedName>
    <definedName name="_ir024" hidden="1">{"'eb011 a1 GDP per capita in PPS'!$I$55:$K$76","'eb011 a1 GDP per capita in PPS'!$M$3:$W$24"}</definedName>
    <definedName name="_Order1" hidden="1">255</definedName>
    <definedName name="_Order2" hidden="1">255</definedName>
    <definedName name="_wrn2" hidden="1">{"glc1",#N/A,FALSE,"GLC";"glc2",#N/A,FALSE,"GLC";"glc3",#N/A,FALSE,"GLC";"glc4",#N/A,FALSE,"GLC";"glc5",#N/A,FALSE,"GLC"}</definedName>
    <definedName name="_wrn22" hidden="1">{"glc1",#N/A,FALSE,"GLC";"glc2",#N/A,FALSE,"GLC";"glc3",#N/A,FALSE,"GLC";"glc4",#N/A,FALSE,"GLC";"glc5",#N/A,FALSE,"GLC"}</definedName>
    <definedName name="_wrn222" hidden="1">{"glc1",#N/A,FALSE,"GLC";"glc2",#N/A,FALSE,"GLC";"glc3",#N/A,FALSE,"GLC";"glc4",#N/A,FALSE,"GLC";"glc5",#N/A,FALSE,"GLC"}</definedName>
    <definedName name="_wrn2222" hidden="1">{"glc1",#N/A,FALSE,"GLC";"glc2",#N/A,FALSE,"GLC";"glc3",#N/A,FALSE,"GLC";"glc4",#N/A,FALSE,"GLC";"glc5",#N/A,FALSE,"GLC"}</definedName>
    <definedName name="_wrn23" hidden="1">{"glc1",#N/A,FALSE,"GLC";"glc2",#N/A,FALSE,"GLC";"glc3",#N/A,FALSE,"GLC";"glc4",#N/A,FALSE,"GLC";"glc5",#N/A,FALSE,"GLC"}</definedName>
    <definedName name="aa"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a" localSheetId="1" hidden="1">#REF!</definedName>
    <definedName name="aaa" hidden="1">#REF!</definedName>
    <definedName name="AS2DocOpenMode" hidden="1">"AS2DocumentEdit"</definedName>
    <definedName name="BLPH1" hidden="1">#REF!</definedName>
    <definedName name="BLPH2" hidden="1">#REF!</definedName>
    <definedName name="ciao" hidden="1">{#N/A,#N/A,FALSE,"Aging Summary";#N/A,#N/A,FALSE,"Ratio Analysis";#N/A,#N/A,FALSE,"Test 120 Day Accts";#N/A,#N/A,FALSE,"Tickmarks"}</definedName>
    <definedName name="compex7"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complex" hidden="1">{#N/A,#N/A,FALSE,"Aging Summary";#N/A,#N/A,FALSE,"Ratio Analysis";#N/A,#N/A,FALSE,"Test 120 Day Accts";#N/A,#N/A,FALSE,"Tickmarks"}</definedName>
    <definedName name="complex2" hidden="1">{#N/A,#N/A,FALSE,"Aging Summary";#N/A,#N/A,FALSE,"Ratio Analysis";#N/A,#N/A,FALSE,"Test 120 Day Accts";#N/A,#N/A,FALSE,"Tickmarks"}</definedName>
    <definedName name="complex3" hidden="1">{"assets",#N/A,FALSE,"historicBS";"liab",#N/A,FALSE,"historicBS";"is",#N/A,FALSE,"historicIS";"ratios",#N/A,FALSE,"ratios"}</definedName>
    <definedName name="complex4" hidden="1">{"assets",#N/A,FALSE,"historicBS";"liab",#N/A,FALSE,"historicBS";"is",#N/A,FALSE,"historicIS";"ratios",#N/A,FALSE,"ratios"}</definedName>
    <definedName name="complex5" hidden="1">{"glcbs",#N/A,FALSE,"GLCBS";"glccsbs",#N/A,FALSE,"GLCCSBS";"glcis",#N/A,FALSE,"GLCIS";"glccsis",#N/A,FALSE,"GLCCSIS";"glcrat1",#N/A,FALSE,"GLC-ratios1"}</definedName>
    <definedName name="complex6" hidden="1">{"glc1",#N/A,FALSE,"GLC";"glc2",#N/A,FALSE,"GLC";"glc3",#N/A,FALSE,"GLC";"glc4",#N/A,FALSE,"GLC";"glc5",#N/A,FALSE,"GLC"}</definedName>
    <definedName name="complex8" hidden="1">{"Valuation_Common",#N/A,FALSE,"Valuation"}</definedName>
    <definedName name="ddddddd"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Demanda" hidden="1">#REF!</definedName>
    <definedName name="Discl" hidden="1">{"Valuation_Common",#N/A,FALSE,"Valuation"}</definedName>
    <definedName name="Discl1" hidden="1">{"Valuation_Common",#N/A,FALSE,"Valuation"}</definedName>
    <definedName name="e" hidden="1">#REF!</definedName>
    <definedName name="ee" hidden="1">#REF!</definedName>
    <definedName name="elec"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man" hidden="1">#REF!</definedName>
    <definedName name="EV__LASTREFTIME__" hidden="1">38516.7241087963</definedName>
    <definedName name="ffd" hidden="1">{"Valuation_Common",#N/A,FALSE,"Valuation"}</definedName>
    <definedName name="Fin" hidden="1">{"Valuation_Common",#N/A,FALSE,"Valuation"}</definedName>
    <definedName name="Finance" hidden="1">{"Valuation_Common",#N/A,FALSE,"Valuation"}</definedName>
    <definedName name="Finance1" hidden="1">{"Valuation_Common",#N/A,FALSE,"Valuation"}</definedName>
    <definedName name="HTML_CodePage" hidden="1">1252</definedName>
    <definedName name="HTML_Control" hidden="1">{"'eb011 a1 GDP per capita in PPS'!$I$55:$K$76","'eb011 a1 GDP per capita in PPS'!$M$3:$W$24"}</definedName>
    <definedName name="HTML_Description" hidden="1">""</definedName>
    <definedName name="HTML_Email" hidden="1">""</definedName>
    <definedName name="HTML_Header" hidden="1">"eb011 a1 GDP per capita in PPS"</definedName>
    <definedName name="HTML_LastUpdate" hidden="1">"29/10/2002"</definedName>
    <definedName name="HTML_LineAfter" hidden="1">FALSE</definedName>
    <definedName name="HTML_LineBefore" hidden="1">FALSE</definedName>
    <definedName name="HTML_Name" hidden="1">"C system 1"</definedName>
    <definedName name="HTML_OBDlg2" hidden="1">TRUE</definedName>
    <definedName name="HTML_OBDlg4" hidden="1">TRUE</definedName>
    <definedName name="HTML_OS" hidden="1">0</definedName>
    <definedName name="HTML_PathFile" hidden="1">"G:\atelier\charles\struc_ind work files\xls_data.tri\en\eb011\eb011.htm"</definedName>
    <definedName name="HTML_Title" hidden="1">"eb011 a1 GDP per capita in PPS"</definedName>
    <definedName name="Index2" hidden="1">{#N/A,#N/A,FALSE,"Aging Summary";#N/A,#N/A,FALSE,"Ratio Analysis";#N/A,#N/A,FALSE,"Test 120 Day Accts";#N/A,#N/A,FALSE,"Tickmarks"}</definedName>
    <definedName name="Index22" hidden="1">{#N/A,#N/A,FALSE,"Aging Summary";#N/A,#N/A,FALSE,"Ratio Analysis";#N/A,#N/A,FALSE,"Test 120 Day Accts";#N/A,#N/A,FALSE,"Tickmarks"}</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AL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cenario_hbscen2" hidden="1">#N/A</definedName>
    <definedName name="Scenario_hbscen3" hidden="1">#N/A</definedName>
    <definedName name="Scenario_hbscen4" hidden="1">#N/A</definedName>
    <definedName name="Scenario_Setup_hblp" hidden="1">#REF!</definedName>
    <definedName name="solver_adj" localSheetId="3" hidden="1">'Key Inputs_BY Techs'!$P$139</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'Key Inputs_BY Techs'!$P$74</definedName>
    <definedName name="solver_pre" localSheetId="3" hidden="1">0.000001</definedName>
    <definedName name="solver_rbv" localSheetId="3" hidden="1">1</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0</definedName>
    <definedName name="solver_ver" localSheetId="3" hidden="1">3</definedName>
    <definedName name="table6"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 hidden="1">{"glc1",#N/A,FALSE,"GLC";"glc2",#N/A,FALSE,"GLC";"glc3",#N/A,FALSE,"GLC";"glc4",#N/A,FALSE,"GLC";"glc5",#N/A,FALSE,"GLC"}</definedName>
    <definedName name="wrn.Aging._.and._.Trend._.Analysis." hidden="1">{#N/A,#N/A,FALSE,"Aging Summary";#N/A,#N/A,FALSE,"Ratio Analysis";#N/A,#N/A,FALSE,"Test 120 Day Accts";#N/A,#N/A,FALSE,"Tickmarks"}</definedName>
    <definedName name="wrn.Aging.and._Trend._.Analysis.2" hidden="1">{#N/A,#N/A,FALSE,"Aging Summary";#N/A,#N/A,FALSE,"Ratio Analysis";#N/A,#N/A,FALSE,"Test 120 Day Accts";#N/A,#N/A,FALSE,"Tickmarks"}</definedName>
    <definedName name="wrn.basicfin." hidden="1">{"assets",#N/A,FALSE,"historicBS";"liab",#N/A,FALSE,"historicBS";"is",#N/A,FALSE,"historicIS";"ratios",#N/A,FALSE,"ratios"}</definedName>
    <definedName name="wrn.basicfin.2" hidden="1">{"assets",#N/A,FALSE,"historicBS";"liab",#N/A,FALSE,"historicBS";"is",#N/A,FALSE,"historicIS";"ratios",#N/A,FALSE,"ratios"}</definedName>
    <definedName name="wrn.Electricity._.Questionnaire." localSheetId="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4"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8"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glc." hidden="1">{"glcbs",#N/A,FALSE,"GLCBS";"glccsbs",#N/A,FALSE,"GLCCSBS";"glcis",#N/A,FALSE,"GLCIS";"glccsis",#N/A,FALSE,"GLCCSIS";"glcrat1",#N/A,FALSE,"GLC-ratios1"}</definedName>
    <definedName name="wrn.glcpromonte." hidden="1">{"glc1",#N/A,FALSE,"GLC";"glc2",#N/A,FALSE,"GLC";"glc3",#N/A,FALSE,"GLC";"glc4",#N/A,FALSE,"GLC";"glc5",#N/A,FALSE,"GLC"}</definedName>
    <definedName name="wrn.print."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wrn.test." hidden="1">{"Valuation_Common",#N/A,FALSE,"Valuation"}</definedName>
    <definedName name="xxxxx" hidden="1">#REF!</definedName>
    <definedName name="вввввввв" hidden="1">{"toc",#N/A,FALSE,"TOC";"summ",#N/A,FALSE,"summ";"histbs1",#N/A,FALSE,"histBS";"histbs2",#N/A,FALSE,"histBS";"histis",#N/A,FALSE,"histIS";"ratios",#N/A,FALSE,"ratios";"foris",#N/A,FALSE,"forIS";"forbs1",#N/A,FALSE,"forBS";"forbs2",#N/A,FALSE,"forBS";"cf",#N/A,FALSE,"CF";"wc",#N/A,FALSE,"wc";"own.str",#N/A,FALSE,"own.str";"fcf",#N/A,FALSE,"FCF";"wacc",#N/A,FALSE,"wacc";"r(f)",#N/A,FALSE,"r(f)";"glc",#N/A,FALSE,"GLC";"glcbs",#N/A,FALSE,"glcBS";"glccsbs",#N/A,FALSE,"glcCSBS";"glcis",#N/A,FALSE,"glcIS";"glccsis",#N/A,FALSE,"glcCSIS";"glcrat1",#N/A,FALSE,"glcrat1";"glcrat2",#N/A,FALSE,"glcrat2";"norm",#N/A,FALSE,"norm";"control",#N/A,FALSE,"control"}</definedName>
    <definedName name="вс" hidden="1">{#N/A,#N/A,FALSE,"Aging Summary";#N/A,#N/A,FALSE,"Ratio Analysis";#N/A,#N/A,FALSE,"Test 120 Day Accts";#N/A,#N/A,FALSE,"Tickmarks"}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4" i="48" l="1"/>
  <c r="H33" i="48" l="1"/>
  <c r="Q32" i="52"/>
  <c r="Q31" i="52"/>
  <c r="J65" i="55" l="1"/>
  <c r="J64" i="55"/>
  <c r="J59" i="55"/>
  <c r="J71" i="55"/>
  <c r="G195" i="56"/>
  <c r="G196" i="56"/>
  <c r="G197" i="56"/>
  <c r="G198" i="56"/>
  <c r="N141" i="56"/>
  <c r="N142" i="56"/>
  <c r="N143" i="56"/>
  <c r="N144" i="56"/>
  <c r="N72" i="56"/>
  <c r="R72" i="56"/>
  <c r="S72" i="56"/>
  <c r="T72" i="56"/>
  <c r="U72" i="56"/>
  <c r="V72" i="56"/>
  <c r="W72" i="56"/>
  <c r="X72" i="56"/>
  <c r="Y72" i="56"/>
  <c r="Z72" i="56"/>
  <c r="AA72" i="56"/>
  <c r="AB72" i="56"/>
  <c r="AC72" i="56"/>
  <c r="AD72" i="56"/>
  <c r="AE72" i="56"/>
  <c r="AF72" i="56"/>
  <c r="AG72" i="56"/>
  <c r="AH72" i="56"/>
  <c r="AI72" i="56"/>
  <c r="AJ72" i="56"/>
  <c r="AK72" i="56"/>
  <c r="AL72" i="56"/>
  <c r="AM72" i="56"/>
  <c r="AN72" i="56"/>
  <c r="AO72" i="56"/>
  <c r="AP72" i="56"/>
  <c r="AQ72" i="56"/>
  <c r="AR72" i="56"/>
  <c r="AS72" i="56"/>
  <c r="N73" i="56"/>
  <c r="R73" i="56"/>
  <c r="S73" i="56"/>
  <c r="T73" i="56"/>
  <c r="U73" i="56"/>
  <c r="V73" i="56"/>
  <c r="W73" i="56"/>
  <c r="X73" i="56"/>
  <c r="Y73" i="56"/>
  <c r="Z73" i="56"/>
  <c r="AA73" i="56"/>
  <c r="AB73" i="56"/>
  <c r="AC73" i="56"/>
  <c r="AD73" i="56"/>
  <c r="AE73" i="56"/>
  <c r="AF73" i="56"/>
  <c r="AG73" i="56"/>
  <c r="AH73" i="56"/>
  <c r="AI73" i="56"/>
  <c r="AJ73" i="56"/>
  <c r="AK73" i="56"/>
  <c r="AL73" i="56"/>
  <c r="AM73" i="56"/>
  <c r="AN73" i="56"/>
  <c r="AO73" i="56"/>
  <c r="AP73" i="56"/>
  <c r="AQ73" i="56"/>
  <c r="AR73" i="56"/>
  <c r="AS73" i="56"/>
  <c r="N74" i="56"/>
  <c r="R74" i="56"/>
  <c r="S74" i="56"/>
  <c r="T74" i="56"/>
  <c r="U74" i="56"/>
  <c r="V74" i="56"/>
  <c r="W74" i="56"/>
  <c r="X74" i="56"/>
  <c r="Y74" i="56"/>
  <c r="Z74" i="56"/>
  <c r="AA74" i="56"/>
  <c r="AB74" i="56"/>
  <c r="AC74" i="56"/>
  <c r="AD74" i="56"/>
  <c r="AE74" i="56"/>
  <c r="AF74" i="56"/>
  <c r="AG74" i="56"/>
  <c r="AH74" i="56"/>
  <c r="AI74" i="56"/>
  <c r="AJ74" i="56"/>
  <c r="AK74" i="56"/>
  <c r="AL74" i="56"/>
  <c r="AM74" i="56"/>
  <c r="AN74" i="56"/>
  <c r="AO74" i="56"/>
  <c r="AP74" i="56"/>
  <c r="AQ74" i="56"/>
  <c r="AR74" i="56"/>
  <c r="AS74" i="56"/>
  <c r="N75" i="56"/>
  <c r="R75" i="56"/>
  <c r="S75" i="56"/>
  <c r="T75" i="56"/>
  <c r="U75" i="56"/>
  <c r="V75" i="56"/>
  <c r="W75" i="56"/>
  <c r="X75" i="56"/>
  <c r="Y75" i="56"/>
  <c r="Z75" i="56"/>
  <c r="AA75" i="56"/>
  <c r="AB75" i="56"/>
  <c r="AC75" i="56"/>
  <c r="AD75" i="56"/>
  <c r="AE75" i="56"/>
  <c r="AF75" i="56"/>
  <c r="AG75" i="56"/>
  <c r="AH75" i="56"/>
  <c r="AI75" i="56"/>
  <c r="AJ75" i="56"/>
  <c r="AK75" i="56"/>
  <c r="AL75" i="56"/>
  <c r="AM75" i="56"/>
  <c r="AN75" i="56"/>
  <c r="AO75" i="56"/>
  <c r="AP75" i="56"/>
  <c r="AQ75" i="56"/>
  <c r="AR75" i="56"/>
  <c r="AS75" i="56"/>
  <c r="A104" i="55"/>
  <c r="A105" i="55"/>
  <c r="A106" i="55"/>
  <c r="A103" i="55"/>
  <c r="L28" i="55"/>
  <c r="M28" i="55"/>
  <c r="N28" i="55"/>
  <c r="O28" i="55"/>
  <c r="P28" i="55"/>
  <c r="Q28" i="55"/>
  <c r="R28" i="55"/>
  <c r="S28" i="55"/>
  <c r="T28" i="55"/>
  <c r="U28" i="55"/>
  <c r="V28" i="55"/>
  <c r="W28" i="55"/>
  <c r="X28" i="55"/>
  <c r="Y28" i="55"/>
  <c r="Z28" i="55"/>
  <c r="AA28" i="55"/>
  <c r="AB28" i="55"/>
  <c r="AC28" i="55"/>
  <c r="AD28" i="55"/>
  <c r="AE28" i="55"/>
  <c r="AF28" i="55"/>
  <c r="AG28" i="55"/>
  <c r="AH28" i="55"/>
  <c r="AI28" i="55"/>
  <c r="AJ28" i="55"/>
  <c r="AK28" i="55"/>
  <c r="AL28" i="55"/>
  <c r="L29" i="55"/>
  <c r="M29" i="55"/>
  <c r="N29" i="55"/>
  <c r="O29" i="55"/>
  <c r="P29" i="55"/>
  <c r="Q29" i="55"/>
  <c r="R29" i="55"/>
  <c r="S29" i="55"/>
  <c r="T29" i="55"/>
  <c r="U29" i="55"/>
  <c r="V29" i="55"/>
  <c r="W29" i="55"/>
  <c r="X29" i="55"/>
  <c r="Y29" i="55"/>
  <c r="Z29" i="55"/>
  <c r="AA29" i="55"/>
  <c r="AB29" i="55"/>
  <c r="AC29" i="55"/>
  <c r="AD29" i="55"/>
  <c r="AE29" i="55"/>
  <c r="AF29" i="55"/>
  <c r="AG29" i="55"/>
  <c r="AH29" i="55"/>
  <c r="AI29" i="55"/>
  <c r="AJ29" i="55"/>
  <c r="AK29" i="55"/>
  <c r="AL29" i="55"/>
  <c r="L30" i="55"/>
  <c r="M30" i="55"/>
  <c r="N30" i="55"/>
  <c r="O30" i="55"/>
  <c r="P30" i="55"/>
  <c r="Q30" i="55"/>
  <c r="R30" i="55"/>
  <c r="S30" i="55"/>
  <c r="T30" i="55"/>
  <c r="U30" i="55"/>
  <c r="V30" i="55"/>
  <c r="W30" i="55"/>
  <c r="X30" i="55"/>
  <c r="Y30" i="55"/>
  <c r="Z30" i="55"/>
  <c r="AA30" i="55"/>
  <c r="AB30" i="55"/>
  <c r="AC30" i="55"/>
  <c r="AD30" i="55"/>
  <c r="AE30" i="55"/>
  <c r="AF30" i="55"/>
  <c r="AG30" i="55"/>
  <c r="AH30" i="55"/>
  <c r="AI30" i="55"/>
  <c r="AJ30" i="55"/>
  <c r="AK30" i="55"/>
  <c r="AL30" i="55"/>
  <c r="L31" i="55"/>
  <c r="M31" i="55"/>
  <c r="N31" i="55"/>
  <c r="O31" i="55"/>
  <c r="P31" i="55"/>
  <c r="Q31" i="55"/>
  <c r="R31" i="55"/>
  <c r="S31" i="55"/>
  <c r="T31" i="55"/>
  <c r="U31" i="55"/>
  <c r="V31" i="55"/>
  <c r="W31" i="55"/>
  <c r="X31" i="55"/>
  <c r="Y31" i="55"/>
  <c r="Z31" i="55"/>
  <c r="AA31" i="55"/>
  <c r="AB31" i="55"/>
  <c r="AC31" i="55"/>
  <c r="AD31" i="55"/>
  <c r="AE31" i="55"/>
  <c r="AF31" i="55"/>
  <c r="AG31" i="55"/>
  <c r="AH31" i="55"/>
  <c r="AI31" i="55"/>
  <c r="AJ31" i="55"/>
  <c r="AK31" i="55"/>
  <c r="AL31" i="55"/>
  <c r="K31" i="55"/>
  <c r="K30" i="55"/>
  <c r="K29" i="55"/>
  <c r="K28" i="55"/>
  <c r="I31" i="55"/>
  <c r="I30" i="55"/>
  <c r="I29" i="55"/>
  <c r="I28" i="55"/>
  <c r="A31" i="55"/>
  <c r="A30" i="55"/>
  <c r="A29" i="55"/>
  <c r="A28" i="55"/>
  <c r="D17" i="56"/>
  <c r="D195" i="56" s="1"/>
  <c r="D18" i="56"/>
  <c r="D196" i="56" s="1"/>
  <c r="D19" i="56"/>
  <c r="D197" i="56" s="1"/>
  <c r="D20" i="56"/>
  <c r="D198" i="56" s="1"/>
  <c r="C20" i="56"/>
  <c r="C19" i="56"/>
  <c r="C18" i="56"/>
  <c r="C17" i="56"/>
  <c r="A17" i="56"/>
  <c r="B17" i="56"/>
  <c r="A18" i="56"/>
  <c r="B18" i="56"/>
  <c r="A19" i="56"/>
  <c r="B19" i="56"/>
  <c r="A20" i="56"/>
  <c r="B20" i="56"/>
  <c r="F222" i="56"/>
  <c r="G222" i="56"/>
  <c r="N119" i="56"/>
  <c r="A143" i="55"/>
  <c r="E143" i="55"/>
  <c r="I75" i="55"/>
  <c r="A75" i="55"/>
  <c r="E75" i="55"/>
  <c r="K75" i="55"/>
  <c r="R119" i="56" s="1"/>
  <c r="L75" i="55"/>
  <c r="S119" i="56" s="1"/>
  <c r="M75" i="55"/>
  <c r="T119" i="56" s="1"/>
  <c r="N75" i="55"/>
  <c r="U119" i="56" s="1"/>
  <c r="O75" i="55"/>
  <c r="V119" i="56" s="1"/>
  <c r="P75" i="55"/>
  <c r="W119" i="56" s="1"/>
  <c r="Q75" i="55"/>
  <c r="X119" i="56" s="1"/>
  <c r="R75" i="55"/>
  <c r="Y119" i="56" s="1"/>
  <c r="S75" i="55"/>
  <c r="Z119" i="56" s="1"/>
  <c r="T75" i="55"/>
  <c r="AA119" i="56" s="1"/>
  <c r="U75" i="55"/>
  <c r="AB119" i="56" s="1"/>
  <c r="V75" i="55"/>
  <c r="AC119" i="56" s="1"/>
  <c r="W75" i="55"/>
  <c r="AD119" i="56" s="1"/>
  <c r="X75" i="55"/>
  <c r="AE119" i="56" s="1"/>
  <c r="Y75" i="55"/>
  <c r="AF119" i="56" s="1"/>
  <c r="Z75" i="55"/>
  <c r="AG119" i="56" s="1"/>
  <c r="AA75" i="55"/>
  <c r="AH119" i="56" s="1"/>
  <c r="AB75" i="55"/>
  <c r="AI119" i="56" s="1"/>
  <c r="AC75" i="55"/>
  <c r="AJ119" i="56" s="1"/>
  <c r="AD75" i="55"/>
  <c r="AK119" i="56" s="1"/>
  <c r="AE75" i="55"/>
  <c r="AL119" i="56" s="1"/>
  <c r="AF75" i="55"/>
  <c r="AM119" i="56" s="1"/>
  <c r="AG75" i="55"/>
  <c r="AN119" i="56" s="1"/>
  <c r="AH75" i="55"/>
  <c r="AO119" i="56" s="1"/>
  <c r="AI75" i="55"/>
  <c r="AP119" i="56" s="1"/>
  <c r="AJ75" i="55"/>
  <c r="AQ119" i="56" s="1"/>
  <c r="AK75" i="55"/>
  <c r="AR119" i="56" s="1"/>
  <c r="AL75" i="55"/>
  <c r="AS119" i="56" s="1"/>
  <c r="D44" i="56"/>
  <c r="C44" i="56"/>
  <c r="C222" i="56" s="1"/>
  <c r="M44" i="56"/>
  <c r="D143" i="55" s="1"/>
  <c r="E44" i="56"/>
  <c r="E222" i="56" s="1"/>
  <c r="A44" i="56"/>
  <c r="A222" i="56" s="1"/>
  <c r="B44" i="56"/>
  <c r="N20" i="56" l="1"/>
  <c r="B198" i="56"/>
  <c r="P20" i="56"/>
  <c r="A198" i="56"/>
  <c r="N19" i="56"/>
  <c r="B197" i="56"/>
  <c r="P19" i="56"/>
  <c r="A197" i="56"/>
  <c r="N18" i="56"/>
  <c r="B196" i="56"/>
  <c r="P18" i="56"/>
  <c r="A196" i="56"/>
  <c r="N17" i="56"/>
  <c r="B195" i="56"/>
  <c r="P17" i="56"/>
  <c r="A195" i="56"/>
  <c r="F17" i="56"/>
  <c r="F195" i="56" s="1"/>
  <c r="C195" i="56"/>
  <c r="F18" i="56"/>
  <c r="F196" i="56" s="1"/>
  <c r="C196" i="56"/>
  <c r="F19" i="56"/>
  <c r="F197" i="56" s="1"/>
  <c r="C197" i="56"/>
  <c r="F20" i="56"/>
  <c r="F198" i="56" s="1"/>
  <c r="C198" i="56"/>
  <c r="C103" i="55"/>
  <c r="C28" i="55"/>
  <c r="C104" i="55"/>
  <c r="C29" i="55"/>
  <c r="C105" i="55"/>
  <c r="C30" i="55"/>
  <c r="C106" i="55"/>
  <c r="C31" i="55"/>
  <c r="D106" i="55"/>
  <c r="D31" i="55"/>
  <c r="D105" i="55"/>
  <c r="D30" i="55"/>
  <c r="D104" i="55"/>
  <c r="D29" i="55"/>
  <c r="D103" i="55"/>
  <c r="D28" i="55"/>
  <c r="L18" i="56"/>
  <c r="L19" i="56"/>
  <c r="L20" i="56"/>
  <c r="M20" i="56"/>
  <c r="E20" i="56"/>
  <c r="M19" i="56"/>
  <c r="E19" i="56"/>
  <c r="M18" i="56"/>
  <c r="E18" i="56"/>
  <c r="M17" i="56"/>
  <c r="E17" i="56"/>
  <c r="N44" i="56"/>
  <c r="B222" i="56"/>
  <c r="D75" i="55"/>
  <c r="D222" i="56"/>
  <c r="C143" i="55"/>
  <c r="C75" i="55"/>
  <c r="L44" i="56"/>
  <c r="P44" i="56"/>
  <c r="K44" i="56"/>
  <c r="K222" i="56" s="1"/>
  <c r="K17" i="56" l="1"/>
  <c r="E195" i="56"/>
  <c r="K18" i="56"/>
  <c r="E196" i="56"/>
  <c r="K19" i="56"/>
  <c r="E197" i="56"/>
  <c r="K20" i="56"/>
  <c r="E198" i="56"/>
  <c r="M62" i="10"/>
  <c r="L198" i="56"/>
  <c r="M61" i="10"/>
  <c r="L197" i="56"/>
  <c r="M60" i="10"/>
  <c r="L196" i="56"/>
  <c r="B103" i="55"/>
  <c r="K141" i="56" s="1"/>
  <c r="B28" i="55"/>
  <c r="K72" i="56" s="1"/>
  <c r="B104" i="55"/>
  <c r="K142" i="56" s="1"/>
  <c r="B29" i="55"/>
  <c r="K73" i="56" s="1"/>
  <c r="B105" i="55"/>
  <c r="K143" i="56" s="1"/>
  <c r="B30" i="55"/>
  <c r="K74" i="56" s="1"/>
  <c r="B106" i="55"/>
  <c r="K144" i="56" s="1"/>
  <c r="B31" i="55"/>
  <c r="K75" i="56" s="1"/>
  <c r="L17" i="56"/>
  <c r="E104" i="55"/>
  <c r="E105" i="55"/>
  <c r="E106" i="55"/>
  <c r="E103" i="55"/>
  <c r="E29" i="55"/>
  <c r="E30" i="55"/>
  <c r="E31" i="55"/>
  <c r="E28" i="55"/>
  <c r="M86" i="10"/>
  <c r="L222" i="56"/>
  <c r="L86" i="10"/>
  <c r="B143" i="55"/>
  <c r="K181" i="56" s="1"/>
  <c r="B75" i="55"/>
  <c r="K119" i="56" s="1"/>
  <c r="L62" i="10" l="1"/>
  <c r="K198" i="56"/>
  <c r="L61" i="10"/>
  <c r="K197" i="56"/>
  <c r="L60" i="10"/>
  <c r="K196" i="56"/>
  <c r="L59" i="10"/>
  <c r="K195" i="56"/>
  <c r="M59" i="10"/>
  <c r="L195" i="56"/>
  <c r="D27" i="10"/>
  <c r="D26" i="10"/>
  <c r="H123" i="48"/>
  <c r="D42" i="56"/>
  <c r="D28" i="56"/>
  <c r="D27" i="56"/>
  <c r="D26" i="56"/>
  <c r="D13" i="56"/>
  <c r="D12" i="56"/>
  <c r="X145" i="55"/>
  <c r="Y145" i="55"/>
  <c r="Z145" i="55"/>
  <c r="AA145" i="55"/>
  <c r="AB145" i="55"/>
  <c r="AC145" i="55"/>
  <c r="AD145" i="55"/>
  <c r="AE145" i="55"/>
  <c r="AF145" i="55"/>
  <c r="AG145" i="55"/>
  <c r="AH145" i="55"/>
  <c r="AI145" i="55"/>
  <c r="AJ145" i="55"/>
  <c r="AK145" i="55"/>
  <c r="AL145" i="55"/>
  <c r="L145" i="55"/>
  <c r="M145" i="55"/>
  <c r="N145" i="55"/>
  <c r="O145" i="55"/>
  <c r="P145" i="55"/>
  <c r="Q145" i="55"/>
  <c r="R145" i="55"/>
  <c r="S145" i="55"/>
  <c r="T145" i="55"/>
  <c r="U145" i="55"/>
  <c r="V145" i="55"/>
  <c r="W145" i="55"/>
  <c r="K145" i="55"/>
  <c r="AC24" i="59"/>
  <c r="AB24" i="59"/>
  <c r="AA24" i="59"/>
  <c r="Z24" i="59"/>
  <c r="Y24" i="59"/>
  <c r="X24" i="59"/>
  <c r="W24" i="59"/>
  <c r="V24" i="59"/>
  <c r="U24" i="59"/>
  <c r="T24" i="59"/>
  <c r="S24" i="59"/>
  <c r="R24" i="59"/>
  <c r="Q24" i="59"/>
  <c r="P24" i="59"/>
  <c r="O24" i="59"/>
  <c r="N24" i="59"/>
  <c r="M24" i="59"/>
  <c r="L24" i="59"/>
  <c r="K24" i="59"/>
  <c r="J24" i="59"/>
  <c r="I24" i="59"/>
  <c r="H24" i="59"/>
  <c r="G24" i="59"/>
  <c r="F24" i="59"/>
  <c r="E24" i="59"/>
  <c r="D24" i="59"/>
  <c r="C24" i="59"/>
  <c r="B24" i="59"/>
  <c r="P38" i="4" l="1"/>
  <c r="R38" i="4"/>
  <c r="T38" i="4"/>
  <c r="V38" i="4"/>
  <c r="X38" i="4"/>
  <c r="Z38" i="4"/>
  <c r="AB38" i="4"/>
  <c r="AD38" i="4"/>
  <c r="AF38" i="4"/>
  <c r="I38" i="4"/>
  <c r="K38" i="4"/>
  <c r="AA38" i="4"/>
  <c r="AC38" i="4"/>
  <c r="AE38" i="4"/>
  <c r="S38" i="4"/>
  <c r="U38" i="4"/>
  <c r="W38" i="4"/>
  <c r="Y38" i="4"/>
  <c r="Q38" i="4"/>
  <c r="N38" i="4"/>
  <c r="O38" i="4"/>
  <c r="M38" i="4"/>
  <c r="F38" i="4"/>
  <c r="H38" i="4"/>
  <c r="J38" i="4"/>
  <c r="L38" i="4"/>
  <c r="G38" i="4"/>
  <c r="E38" i="4"/>
  <c r="E47" i="4"/>
  <c r="J19" i="48" l="1"/>
  <c r="I132" i="48"/>
  <c r="AF53" i="60" l="1"/>
  <c r="AE53" i="60"/>
  <c r="AD53" i="60"/>
  <c r="AC53" i="60"/>
  <c r="AB53" i="60"/>
  <c r="AA53" i="60"/>
  <c r="Z53" i="60"/>
  <c r="Y53" i="60"/>
  <c r="X53" i="60"/>
  <c r="W53" i="60"/>
  <c r="V53" i="60"/>
  <c r="U53" i="60"/>
  <c r="T53" i="60"/>
  <c r="S53" i="60"/>
  <c r="R53" i="60"/>
  <c r="Q53" i="60"/>
  <c r="P53" i="60"/>
  <c r="O53" i="60"/>
  <c r="N53" i="60"/>
  <c r="M53" i="60"/>
  <c r="L53" i="60"/>
  <c r="K53" i="60"/>
  <c r="J53" i="60"/>
  <c r="I53" i="60"/>
  <c r="H53" i="60"/>
  <c r="G53" i="60"/>
  <c r="F53" i="60"/>
  <c r="E53" i="60"/>
  <c r="AF49" i="60"/>
  <c r="AE49" i="60"/>
  <c r="AD49" i="60"/>
  <c r="AC49" i="60"/>
  <c r="AB49" i="60"/>
  <c r="AA49" i="60"/>
  <c r="Z49" i="60"/>
  <c r="Y49" i="60"/>
  <c r="X49" i="60"/>
  <c r="W49" i="60"/>
  <c r="V49" i="60"/>
  <c r="U49" i="60"/>
  <c r="T49" i="60"/>
  <c r="S49" i="60"/>
  <c r="R49" i="60"/>
  <c r="Q49" i="60"/>
  <c r="P49" i="60"/>
  <c r="O49" i="60"/>
  <c r="N49" i="60"/>
  <c r="M49" i="60"/>
  <c r="L49" i="60"/>
  <c r="K49" i="60"/>
  <c r="J49" i="60"/>
  <c r="I49" i="60"/>
  <c r="H49" i="60"/>
  <c r="G49" i="60"/>
  <c r="F49" i="60"/>
  <c r="E49" i="60"/>
  <c r="F46" i="60"/>
  <c r="G46" i="60"/>
  <c r="H46" i="60"/>
  <c r="I46" i="60"/>
  <c r="J46" i="60"/>
  <c r="K46" i="60"/>
  <c r="L46" i="60"/>
  <c r="M46" i="60"/>
  <c r="N46" i="60"/>
  <c r="O46" i="60"/>
  <c r="P46" i="60"/>
  <c r="Q46" i="60"/>
  <c r="R46" i="60"/>
  <c r="S46" i="60"/>
  <c r="T46" i="60"/>
  <c r="U46" i="60"/>
  <c r="V46" i="60"/>
  <c r="W46" i="60"/>
  <c r="X46" i="60"/>
  <c r="Y46" i="60"/>
  <c r="Z46" i="60"/>
  <c r="AA46" i="60"/>
  <c r="AB46" i="60"/>
  <c r="AC46" i="60"/>
  <c r="AD46" i="60"/>
  <c r="AE46" i="60"/>
  <c r="AF46" i="60"/>
  <c r="E46" i="60"/>
  <c r="F43" i="60"/>
  <c r="G43" i="60"/>
  <c r="H43" i="60"/>
  <c r="I43" i="60"/>
  <c r="J43" i="60"/>
  <c r="K43" i="60"/>
  <c r="L43" i="60"/>
  <c r="M43" i="60"/>
  <c r="N43" i="60"/>
  <c r="O43" i="60"/>
  <c r="P43" i="60"/>
  <c r="Q43" i="60"/>
  <c r="R43" i="60"/>
  <c r="S43" i="60"/>
  <c r="T43" i="60"/>
  <c r="U43" i="60"/>
  <c r="V43" i="60"/>
  <c r="W43" i="60"/>
  <c r="X43" i="60"/>
  <c r="Y43" i="60"/>
  <c r="Z43" i="60"/>
  <c r="AA43" i="60"/>
  <c r="AB43" i="60"/>
  <c r="AC43" i="60"/>
  <c r="AD43" i="60"/>
  <c r="AE43" i="60"/>
  <c r="AF43" i="60"/>
  <c r="E43" i="60"/>
  <c r="F34" i="60"/>
  <c r="G34" i="60"/>
  <c r="H34" i="60"/>
  <c r="I34" i="60"/>
  <c r="J34" i="60"/>
  <c r="K34" i="60"/>
  <c r="L34" i="60"/>
  <c r="M34" i="60"/>
  <c r="N34" i="60"/>
  <c r="O34" i="60"/>
  <c r="P34" i="60"/>
  <c r="Q34" i="60"/>
  <c r="R34" i="60"/>
  <c r="S34" i="60"/>
  <c r="T34" i="60"/>
  <c r="U34" i="60"/>
  <c r="V34" i="60"/>
  <c r="W34" i="60"/>
  <c r="X34" i="60"/>
  <c r="Y34" i="60"/>
  <c r="Z34" i="60"/>
  <c r="AA34" i="60"/>
  <c r="AB34" i="60"/>
  <c r="AC34" i="60"/>
  <c r="AD34" i="60"/>
  <c r="AE34" i="60"/>
  <c r="AF34" i="60"/>
  <c r="E34" i="60"/>
  <c r="AF31" i="60"/>
  <c r="AE31" i="60"/>
  <c r="AD31" i="60"/>
  <c r="AC31" i="60"/>
  <c r="AB31" i="60"/>
  <c r="AA31" i="60"/>
  <c r="Z31" i="60"/>
  <c r="Y31" i="60"/>
  <c r="X31" i="60"/>
  <c r="W31" i="60"/>
  <c r="V31" i="60"/>
  <c r="U31" i="60"/>
  <c r="T31" i="60"/>
  <c r="S31" i="60"/>
  <c r="R31" i="60"/>
  <c r="Q31" i="60"/>
  <c r="P31" i="60"/>
  <c r="O31" i="60"/>
  <c r="N31" i="60"/>
  <c r="M31" i="60"/>
  <c r="L31" i="60"/>
  <c r="K31" i="60"/>
  <c r="J31" i="60"/>
  <c r="I31" i="60"/>
  <c r="H31" i="60"/>
  <c r="G31" i="60"/>
  <c r="F31" i="60"/>
  <c r="E31" i="60"/>
  <c r="AF27" i="60"/>
  <c r="AE27" i="60"/>
  <c r="AD27" i="60"/>
  <c r="AC27" i="60"/>
  <c r="AB27" i="60"/>
  <c r="AA27" i="60"/>
  <c r="Z27" i="60"/>
  <c r="Y27" i="60"/>
  <c r="X27" i="60"/>
  <c r="W27" i="60"/>
  <c r="V27" i="60"/>
  <c r="U27" i="60"/>
  <c r="T27" i="60"/>
  <c r="S27" i="60"/>
  <c r="R27" i="60"/>
  <c r="Q27" i="60"/>
  <c r="P27" i="60"/>
  <c r="O27" i="60"/>
  <c r="N27" i="60"/>
  <c r="M27" i="60"/>
  <c r="L27" i="60"/>
  <c r="K27" i="60"/>
  <c r="J27" i="60"/>
  <c r="I27" i="60"/>
  <c r="H27" i="60"/>
  <c r="G27" i="60"/>
  <c r="F27" i="60"/>
  <c r="E27" i="60"/>
  <c r="F23" i="60"/>
  <c r="G23" i="60"/>
  <c r="H23" i="60"/>
  <c r="I23" i="60"/>
  <c r="J23" i="60"/>
  <c r="K23" i="60"/>
  <c r="L23" i="60"/>
  <c r="M23" i="60"/>
  <c r="N23" i="60"/>
  <c r="O23" i="60"/>
  <c r="P23" i="60"/>
  <c r="Q23" i="60"/>
  <c r="R23" i="60"/>
  <c r="S23" i="60"/>
  <c r="T23" i="60"/>
  <c r="U23" i="60"/>
  <c r="V23" i="60"/>
  <c r="W23" i="60"/>
  <c r="X23" i="60"/>
  <c r="Y23" i="60"/>
  <c r="Z23" i="60"/>
  <c r="AA23" i="60"/>
  <c r="AB23" i="60"/>
  <c r="AC23" i="60"/>
  <c r="AD23" i="60"/>
  <c r="AE23" i="60"/>
  <c r="AF23" i="60"/>
  <c r="E23" i="60"/>
  <c r="AF19" i="60"/>
  <c r="AE19" i="60"/>
  <c r="AD19" i="60"/>
  <c r="AC19" i="60"/>
  <c r="AB19" i="60"/>
  <c r="AA19" i="60"/>
  <c r="Z19" i="60"/>
  <c r="Y19" i="60"/>
  <c r="X19" i="60"/>
  <c r="W19" i="60"/>
  <c r="V19" i="60"/>
  <c r="U19" i="60"/>
  <c r="T19" i="60"/>
  <c r="S19" i="60"/>
  <c r="R19" i="60"/>
  <c r="Q19" i="60"/>
  <c r="P19" i="60"/>
  <c r="O19" i="60"/>
  <c r="N19" i="60"/>
  <c r="M19" i="60"/>
  <c r="L19" i="60"/>
  <c r="K19" i="60"/>
  <c r="J19" i="60"/>
  <c r="I19" i="60"/>
  <c r="H19" i="60"/>
  <c r="G19" i="60"/>
  <c r="F19" i="60"/>
  <c r="E19" i="60"/>
  <c r="F13" i="60"/>
  <c r="G13" i="60"/>
  <c r="H13" i="60"/>
  <c r="I13" i="60"/>
  <c r="J13" i="60"/>
  <c r="K13" i="60"/>
  <c r="L13" i="60"/>
  <c r="M13" i="60"/>
  <c r="N13" i="60"/>
  <c r="O13" i="60"/>
  <c r="P13" i="60"/>
  <c r="Q13" i="60"/>
  <c r="R13" i="60"/>
  <c r="S13" i="60"/>
  <c r="T13" i="60"/>
  <c r="U13" i="60"/>
  <c r="V13" i="60"/>
  <c r="W13" i="60"/>
  <c r="X13" i="60"/>
  <c r="Y13" i="60"/>
  <c r="Z13" i="60"/>
  <c r="AA13" i="60"/>
  <c r="AB13" i="60"/>
  <c r="AC13" i="60"/>
  <c r="AD13" i="60"/>
  <c r="AE13" i="60"/>
  <c r="AF13" i="60"/>
  <c r="E13" i="60"/>
  <c r="AA48" i="4" l="1"/>
  <c r="E48" i="4"/>
  <c r="F48" i="4"/>
  <c r="G48" i="4"/>
  <c r="H48" i="4"/>
  <c r="I48" i="4"/>
  <c r="J48" i="4"/>
  <c r="K48" i="4"/>
  <c r="L48" i="4"/>
  <c r="M48" i="4"/>
  <c r="N48" i="4"/>
  <c r="O48" i="4"/>
  <c r="P48" i="4"/>
  <c r="Q48" i="4"/>
  <c r="R48" i="4"/>
  <c r="S48" i="4"/>
  <c r="T48" i="4"/>
  <c r="U48" i="4"/>
  <c r="V48" i="4"/>
  <c r="W48" i="4"/>
  <c r="X48" i="4"/>
  <c r="Y48" i="4"/>
  <c r="Z48" i="4"/>
  <c r="AB48" i="4"/>
  <c r="AC48" i="4"/>
  <c r="AD48" i="4"/>
  <c r="AE48" i="4"/>
  <c r="AF48" i="4"/>
  <c r="H47" i="4" l="1"/>
  <c r="P47" i="4"/>
  <c r="X47" i="4"/>
  <c r="AF47" i="4"/>
  <c r="Z41" i="4"/>
  <c r="L39" i="4"/>
  <c r="N39" i="4"/>
  <c r="O39" i="4"/>
  <c r="P39" i="4"/>
  <c r="Q39" i="4"/>
  <c r="T39" i="4"/>
  <c r="V39" i="4"/>
  <c r="W39" i="4"/>
  <c r="X39" i="4"/>
  <c r="Y39" i="4"/>
  <c r="AB39" i="4"/>
  <c r="AD39" i="4"/>
  <c r="AE39" i="4"/>
  <c r="AF39" i="4"/>
  <c r="G39" i="4"/>
  <c r="F39" i="4"/>
  <c r="E39" i="4"/>
  <c r="F210" i="56"/>
  <c r="G210" i="56"/>
  <c r="F211" i="56"/>
  <c r="G211" i="56"/>
  <c r="F212" i="56"/>
  <c r="G212" i="56"/>
  <c r="F213" i="56"/>
  <c r="G213" i="56"/>
  <c r="F214" i="56"/>
  <c r="G214" i="56"/>
  <c r="F215" i="56"/>
  <c r="G215" i="56"/>
  <c r="AD47" i="4" l="1"/>
  <c r="V47" i="4"/>
  <c r="N47" i="4"/>
  <c r="F47" i="4"/>
  <c r="I32" i="4"/>
  <c r="AE32" i="4"/>
  <c r="W32" i="4"/>
  <c r="O32" i="4"/>
  <c r="H39" i="4"/>
  <c r="AC39" i="4"/>
  <c r="U39" i="4"/>
  <c r="M39" i="4"/>
  <c r="I39" i="4"/>
  <c r="AA39" i="4"/>
  <c r="S39" i="4"/>
  <c r="K39" i="4"/>
  <c r="Z47" i="4"/>
  <c r="R47" i="4"/>
  <c r="J47" i="4"/>
  <c r="Z39" i="4"/>
  <c r="R39" i="4"/>
  <c r="J39" i="4"/>
  <c r="G32" i="4"/>
  <c r="F32" i="4"/>
  <c r="AB32" i="4"/>
  <c r="T32" i="4"/>
  <c r="L32" i="4"/>
  <c r="AE47" i="4"/>
  <c r="W47" i="4"/>
  <c r="O47" i="4"/>
  <c r="G47" i="4"/>
  <c r="M32" i="4"/>
  <c r="AA32" i="4"/>
  <c r="K32" i="4"/>
  <c r="Z32" i="4"/>
  <c r="R32" i="4"/>
  <c r="AC47" i="4"/>
  <c r="U47" i="4"/>
  <c r="M47" i="4"/>
  <c r="U32" i="4"/>
  <c r="S32" i="4"/>
  <c r="E32" i="4"/>
  <c r="Y32" i="4"/>
  <c r="Q32" i="4"/>
  <c r="AB47" i="4"/>
  <c r="T47" i="4"/>
  <c r="L47" i="4"/>
  <c r="AC32" i="4"/>
  <c r="J32" i="4"/>
  <c r="AF32" i="4"/>
  <c r="X32" i="4"/>
  <c r="P32" i="4"/>
  <c r="AA47" i="4"/>
  <c r="S47" i="4"/>
  <c r="K47" i="4"/>
  <c r="H32" i="4"/>
  <c r="AD32" i="4"/>
  <c r="V32" i="4"/>
  <c r="N32" i="4"/>
  <c r="Y47" i="4"/>
  <c r="Q47" i="4"/>
  <c r="I47" i="4"/>
  <c r="B38" i="47"/>
  <c r="I138" i="49"/>
  <c r="E42" i="56"/>
  <c r="E230" i="56" s="1"/>
  <c r="D227" i="56"/>
  <c r="M227" i="56" s="1"/>
  <c r="D225" i="56"/>
  <c r="M225" i="56" s="1"/>
  <c r="C20" i="10"/>
  <c r="D20" i="10"/>
  <c r="C21" i="10"/>
  <c r="D21" i="10"/>
  <c r="F40" i="4"/>
  <c r="G40" i="4"/>
  <c r="H40" i="4"/>
  <c r="I40" i="4"/>
  <c r="J40" i="4"/>
  <c r="K40" i="4"/>
  <c r="L40" i="4"/>
  <c r="M40" i="4"/>
  <c r="N40" i="4"/>
  <c r="O40" i="4"/>
  <c r="P40" i="4"/>
  <c r="Q40" i="4"/>
  <c r="R40" i="4"/>
  <c r="S40" i="4"/>
  <c r="T40" i="4"/>
  <c r="U40" i="4"/>
  <c r="V40" i="4"/>
  <c r="W40" i="4"/>
  <c r="X40" i="4"/>
  <c r="Y40" i="4"/>
  <c r="Z40" i="4"/>
  <c r="AA40" i="4"/>
  <c r="AB40" i="4"/>
  <c r="AC40" i="4"/>
  <c r="AD40" i="4"/>
  <c r="AE40" i="4"/>
  <c r="AF40" i="4"/>
  <c r="E40" i="4"/>
  <c r="I16" i="56"/>
  <c r="H16" i="56"/>
  <c r="I15" i="56"/>
  <c r="H15" i="56"/>
  <c r="I14" i="56"/>
  <c r="H14" i="56"/>
  <c r="D16" i="56"/>
  <c r="D101" i="55" s="1"/>
  <c r="C16" i="56"/>
  <c r="D15" i="56"/>
  <c r="M15" i="56" s="1"/>
  <c r="C15" i="56"/>
  <c r="D14" i="56"/>
  <c r="D98" i="55" s="1"/>
  <c r="C14" i="56"/>
  <c r="I22" i="56"/>
  <c r="H22" i="56"/>
  <c r="I21" i="56"/>
  <c r="H21" i="56"/>
  <c r="I13" i="56"/>
  <c r="H13" i="56"/>
  <c r="I12" i="56"/>
  <c r="H12" i="56"/>
  <c r="I11" i="56"/>
  <c r="H11" i="56"/>
  <c r="I10" i="56"/>
  <c r="H10" i="56"/>
  <c r="I9" i="56"/>
  <c r="H9" i="56"/>
  <c r="I8" i="56"/>
  <c r="H8" i="56"/>
  <c r="I7" i="56"/>
  <c r="H7" i="56"/>
  <c r="I6" i="56"/>
  <c r="H6" i="56"/>
  <c r="G16" i="49"/>
  <c r="F16" i="49"/>
  <c r="G15" i="49"/>
  <c r="F15" i="49"/>
  <c r="G14" i="49"/>
  <c r="F14" i="49"/>
  <c r="G13" i="49"/>
  <c r="F13" i="49"/>
  <c r="G12" i="49"/>
  <c r="F12" i="49"/>
  <c r="G11" i="49"/>
  <c r="F11" i="49"/>
  <c r="G10" i="49"/>
  <c r="F10" i="49"/>
  <c r="G9" i="49"/>
  <c r="F9" i="49"/>
  <c r="G8" i="49"/>
  <c r="F8" i="49"/>
  <c r="G7" i="49"/>
  <c r="F7" i="49"/>
  <c r="G6" i="49"/>
  <c r="F6" i="49"/>
  <c r="E161" i="42"/>
  <c r="D161" i="42"/>
  <c r="D26" i="48" s="1"/>
  <c r="B147" i="48"/>
  <c r="C147" i="48"/>
  <c r="E150" i="42"/>
  <c r="K177" i="56"/>
  <c r="L177" i="56" s="1"/>
  <c r="K175" i="56"/>
  <c r="L175" i="56" s="1"/>
  <c r="K172" i="56"/>
  <c r="L172" i="56" s="1"/>
  <c r="K170" i="56"/>
  <c r="L170" i="56" s="1"/>
  <c r="K167" i="56"/>
  <c r="L167" i="56" s="1"/>
  <c r="K165" i="56"/>
  <c r="L165" i="56" s="1"/>
  <c r="K162" i="56"/>
  <c r="L162" i="56" s="1"/>
  <c r="K160" i="56"/>
  <c r="L160" i="56" s="1"/>
  <c r="K157" i="56"/>
  <c r="L157" i="56" s="1"/>
  <c r="K155" i="56"/>
  <c r="L155" i="56" s="1"/>
  <c r="K152" i="56"/>
  <c r="L152" i="56" s="1"/>
  <c r="K150" i="56"/>
  <c r="L150" i="56" s="1"/>
  <c r="K147" i="56"/>
  <c r="L147" i="56" s="1"/>
  <c r="K140" i="56"/>
  <c r="L140" i="56" s="1"/>
  <c r="K138" i="56"/>
  <c r="L138" i="56" s="1"/>
  <c r="K135" i="56"/>
  <c r="L135" i="56" s="1"/>
  <c r="K134" i="56"/>
  <c r="L134" i="56" s="1"/>
  <c r="K131" i="56"/>
  <c r="L131" i="56"/>
  <c r="K129" i="56"/>
  <c r="L129" i="56" s="1"/>
  <c r="K126" i="56"/>
  <c r="L126" i="56" s="1"/>
  <c r="K124" i="56"/>
  <c r="L124" i="56" s="1"/>
  <c r="J63" i="55"/>
  <c r="J62" i="55"/>
  <c r="J51" i="55"/>
  <c r="J50" i="55"/>
  <c r="M68" i="49"/>
  <c r="M67" i="49"/>
  <c r="M66" i="49"/>
  <c r="M65" i="49"/>
  <c r="M64" i="49"/>
  <c r="M63" i="49"/>
  <c r="M62" i="49"/>
  <c r="M61" i="49"/>
  <c r="M60" i="49"/>
  <c r="M59" i="49"/>
  <c r="M58" i="49"/>
  <c r="M57" i="49"/>
  <c r="M56" i="49"/>
  <c r="M55" i="49"/>
  <c r="M54" i="49"/>
  <c r="M53" i="49"/>
  <c r="M52" i="49"/>
  <c r="M51" i="49"/>
  <c r="M50" i="49"/>
  <c r="M49" i="49"/>
  <c r="M48" i="49"/>
  <c r="M47" i="49"/>
  <c r="M46" i="49"/>
  <c r="H135" i="48"/>
  <c r="J57" i="55"/>
  <c r="J69" i="55" s="1"/>
  <c r="J56" i="55"/>
  <c r="J55" i="55"/>
  <c r="J54" i="55"/>
  <c r="J58" i="55"/>
  <c r="N42" i="10"/>
  <c r="N41" i="10"/>
  <c r="N40" i="10"/>
  <c r="N39" i="10"/>
  <c r="N38" i="10"/>
  <c r="N37" i="10"/>
  <c r="N36" i="10"/>
  <c r="N35" i="10"/>
  <c r="N34" i="10"/>
  <c r="N33" i="10"/>
  <c r="N32" i="10"/>
  <c r="N31" i="10"/>
  <c r="N30" i="10"/>
  <c r="N29" i="10"/>
  <c r="N28" i="10"/>
  <c r="N27" i="10"/>
  <c r="N26" i="10"/>
  <c r="N25" i="10"/>
  <c r="N24" i="10"/>
  <c r="N23" i="10"/>
  <c r="N22" i="10"/>
  <c r="N21" i="10"/>
  <c r="N20" i="10"/>
  <c r="O39" i="10"/>
  <c r="AI33" i="48"/>
  <c r="S33" i="48"/>
  <c r="K33" i="48"/>
  <c r="Z33" i="48"/>
  <c r="R33" i="48"/>
  <c r="J33" i="48"/>
  <c r="N33" i="48"/>
  <c r="L33" i="48"/>
  <c r="AG33" i="48"/>
  <c r="Y33" i="48"/>
  <c r="Q33" i="48"/>
  <c r="AJ33" i="48"/>
  <c r="AF33" i="48"/>
  <c r="X33" i="48"/>
  <c r="P33" i="48"/>
  <c r="I33" i="48"/>
  <c r="V33" i="48"/>
  <c r="AE33" i="48"/>
  <c r="W33" i="48"/>
  <c r="O33" i="48"/>
  <c r="T33" i="48"/>
  <c r="AC33" i="48"/>
  <c r="U33" i="48"/>
  <c r="M33" i="48"/>
  <c r="AB33" i="48"/>
  <c r="O40" i="10"/>
  <c r="O41" i="10"/>
  <c r="A138" i="55"/>
  <c r="A136" i="55"/>
  <c r="A135" i="55"/>
  <c r="A128" i="55"/>
  <c r="A126" i="55"/>
  <c r="A125" i="55"/>
  <c r="O42" i="10"/>
  <c r="O38" i="10"/>
  <c r="O37" i="10"/>
  <c r="O36" i="10"/>
  <c r="O35" i="10"/>
  <c r="O34" i="10"/>
  <c r="O33" i="10"/>
  <c r="O32" i="10"/>
  <c r="O31" i="10"/>
  <c r="O30" i="10"/>
  <c r="O29" i="10"/>
  <c r="O28" i="10"/>
  <c r="O27" i="10"/>
  <c r="O26" i="10"/>
  <c r="O25" i="10"/>
  <c r="O24" i="10"/>
  <c r="O23" i="10"/>
  <c r="O22" i="10"/>
  <c r="O21" i="10"/>
  <c r="O20" i="10"/>
  <c r="A99" i="48"/>
  <c r="B45" i="56"/>
  <c r="N45" i="56" s="1"/>
  <c r="A45" i="56"/>
  <c r="B43" i="56"/>
  <c r="N43" i="56" s="1"/>
  <c r="A43" i="56"/>
  <c r="A221" i="56" s="1"/>
  <c r="B42" i="56"/>
  <c r="N42" i="56" s="1"/>
  <c r="A42" i="56"/>
  <c r="A220" i="56" s="1"/>
  <c r="B41" i="56"/>
  <c r="A41" i="56"/>
  <c r="A219" i="56" s="1"/>
  <c r="B40" i="56"/>
  <c r="N40" i="56" s="1"/>
  <c r="A40" i="56"/>
  <c r="P40" i="56"/>
  <c r="B39" i="56"/>
  <c r="B217" i="56" s="1"/>
  <c r="A39" i="56"/>
  <c r="A217" i="56" s="1"/>
  <c r="B38" i="56"/>
  <c r="B216" i="56" s="1"/>
  <c r="A38" i="56"/>
  <c r="A216" i="56" s="1"/>
  <c r="B37" i="56"/>
  <c r="A37" i="56"/>
  <c r="A215" i="56" s="1"/>
  <c r="B36" i="56"/>
  <c r="A36" i="56"/>
  <c r="A214" i="56" s="1"/>
  <c r="B35" i="56"/>
  <c r="B213" i="56" s="1"/>
  <c r="A35" i="56"/>
  <c r="A213" i="56" s="1"/>
  <c r="B34" i="56"/>
  <c r="A34" i="56"/>
  <c r="B33" i="56"/>
  <c r="A33" i="56"/>
  <c r="A211" i="56" s="1"/>
  <c r="B32" i="56"/>
  <c r="B210" i="56" s="1"/>
  <c r="A32" i="56"/>
  <c r="A210" i="56" s="1"/>
  <c r="B31" i="56"/>
  <c r="B209" i="56" s="1"/>
  <c r="A31" i="56"/>
  <c r="P31" i="56" s="1"/>
  <c r="B30" i="56"/>
  <c r="N30" i="56" s="1"/>
  <c r="A30" i="56"/>
  <c r="A208" i="56" s="1"/>
  <c r="B29" i="56"/>
  <c r="B207" i="56" s="1"/>
  <c r="A29" i="56"/>
  <c r="A207" i="56" s="1"/>
  <c r="B28" i="56"/>
  <c r="A28" i="56"/>
  <c r="A206" i="56" s="1"/>
  <c r="B27" i="56"/>
  <c r="B205" i="56" s="1"/>
  <c r="A27" i="56"/>
  <c r="A205" i="56" s="1"/>
  <c r="B26" i="56"/>
  <c r="N26" i="56" s="1"/>
  <c r="A26" i="56"/>
  <c r="B25" i="56"/>
  <c r="A25" i="56"/>
  <c r="A203" i="56" s="1"/>
  <c r="B24" i="56"/>
  <c r="A24" i="56"/>
  <c r="A202" i="56" s="1"/>
  <c r="B23" i="56"/>
  <c r="A23" i="56"/>
  <c r="P23" i="56" s="1"/>
  <c r="B22" i="56"/>
  <c r="N22" i="56" s="1"/>
  <c r="A22" i="56"/>
  <c r="P22" i="56" s="1"/>
  <c r="B21" i="56"/>
  <c r="B199" i="56" s="1"/>
  <c r="A21" i="56"/>
  <c r="P21" i="56" s="1"/>
  <c r="B16" i="56"/>
  <c r="N16" i="56" s="1"/>
  <c r="A16" i="56"/>
  <c r="A194" i="56" s="1"/>
  <c r="B15" i="56"/>
  <c r="B193" i="56" s="1"/>
  <c r="A15" i="56"/>
  <c r="A193" i="56" s="1"/>
  <c r="B14" i="56"/>
  <c r="B192" i="56" s="1"/>
  <c r="A14" i="56"/>
  <c r="A192" i="56" s="1"/>
  <c r="B13" i="56"/>
  <c r="N13" i="56" s="1"/>
  <c r="A13" i="56"/>
  <c r="B12" i="56"/>
  <c r="A12" i="56"/>
  <c r="A190" i="56" s="1"/>
  <c r="B11" i="56"/>
  <c r="B189" i="56" s="1"/>
  <c r="A11" i="56"/>
  <c r="B10" i="56"/>
  <c r="B188" i="56" s="1"/>
  <c r="A10" i="56"/>
  <c r="B9" i="56"/>
  <c r="N9" i="56" s="1"/>
  <c r="A9" i="56"/>
  <c r="B8" i="56"/>
  <c r="B186" i="56" s="1"/>
  <c r="A8" i="56"/>
  <c r="B7" i="56"/>
  <c r="N7" i="56" s="1"/>
  <c r="A7" i="56"/>
  <c r="P7" i="56" s="1"/>
  <c r="B6" i="56"/>
  <c r="N6" i="56" s="1"/>
  <c r="A6" i="56"/>
  <c r="P6" i="56" s="1"/>
  <c r="A70" i="55"/>
  <c r="A67" i="55"/>
  <c r="A66" i="55"/>
  <c r="A58" i="55"/>
  <c r="A55" i="55"/>
  <c r="A54" i="55"/>
  <c r="Z34" i="48"/>
  <c r="N182" i="56"/>
  <c r="N180" i="56"/>
  <c r="N179" i="56"/>
  <c r="N178" i="56"/>
  <c r="N177" i="56"/>
  <c r="N176" i="56"/>
  <c r="N175" i="56"/>
  <c r="N174" i="56"/>
  <c r="N173" i="56"/>
  <c r="N172" i="56"/>
  <c r="N171" i="56"/>
  <c r="N170" i="56"/>
  <c r="N169" i="56"/>
  <c r="N168" i="56"/>
  <c r="N167" i="56"/>
  <c r="N166" i="56"/>
  <c r="N165" i="56"/>
  <c r="N164" i="56"/>
  <c r="N163" i="56"/>
  <c r="N162" i="56"/>
  <c r="N161" i="56"/>
  <c r="N160" i="56"/>
  <c r="N159" i="56"/>
  <c r="N158" i="56"/>
  <c r="N157" i="56"/>
  <c r="N156" i="56"/>
  <c r="N155" i="56"/>
  <c r="N154" i="56"/>
  <c r="N153" i="56"/>
  <c r="N152" i="56"/>
  <c r="N151" i="56"/>
  <c r="N150" i="56"/>
  <c r="N149" i="56"/>
  <c r="N148" i="56"/>
  <c r="N147" i="56"/>
  <c r="N146" i="56"/>
  <c r="N145" i="56"/>
  <c r="N140" i="56"/>
  <c r="N139" i="56"/>
  <c r="N138" i="56"/>
  <c r="N137" i="56"/>
  <c r="N136" i="56"/>
  <c r="N135" i="56"/>
  <c r="N134" i="56"/>
  <c r="N133" i="56"/>
  <c r="N132" i="56"/>
  <c r="N131" i="56"/>
  <c r="N130" i="56"/>
  <c r="N129" i="56"/>
  <c r="N128" i="56"/>
  <c r="N127" i="56"/>
  <c r="N126" i="56"/>
  <c r="N125" i="56"/>
  <c r="N124" i="56"/>
  <c r="N123" i="56"/>
  <c r="N120" i="56"/>
  <c r="N118" i="56"/>
  <c r="N117" i="56"/>
  <c r="N116" i="56"/>
  <c r="N115" i="56"/>
  <c r="N114" i="56"/>
  <c r="N113" i="56"/>
  <c r="N112" i="56"/>
  <c r="N111" i="56"/>
  <c r="N110" i="56"/>
  <c r="N109" i="56"/>
  <c r="N108" i="56"/>
  <c r="N107" i="56"/>
  <c r="N106" i="56"/>
  <c r="N105" i="56"/>
  <c r="N104" i="56"/>
  <c r="N103" i="56"/>
  <c r="N102" i="56"/>
  <c r="N101" i="56"/>
  <c r="N100" i="56"/>
  <c r="N99" i="56"/>
  <c r="N98" i="56"/>
  <c r="N97" i="56"/>
  <c r="N96" i="56"/>
  <c r="N95" i="56"/>
  <c r="N94" i="56"/>
  <c r="N93" i="56"/>
  <c r="N92" i="56"/>
  <c r="N91" i="56"/>
  <c r="N90" i="56"/>
  <c r="N89" i="56"/>
  <c r="N88" i="56"/>
  <c r="N87" i="56"/>
  <c r="N86" i="56"/>
  <c r="N85" i="56"/>
  <c r="N84" i="56"/>
  <c r="N83" i="56"/>
  <c r="N82" i="56"/>
  <c r="N81" i="56"/>
  <c r="N80" i="56"/>
  <c r="N79" i="56"/>
  <c r="N78" i="56"/>
  <c r="N77" i="56"/>
  <c r="N76" i="56"/>
  <c r="N71" i="56"/>
  <c r="N70" i="56"/>
  <c r="N69" i="56"/>
  <c r="N68" i="56"/>
  <c r="N67" i="56"/>
  <c r="N66" i="56"/>
  <c r="N65" i="56"/>
  <c r="N64" i="56"/>
  <c r="N63" i="56"/>
  <c r="N62" i="56"/>
  <c r="N61" i="56"/>
  <c r="N60" i="56"/>
  <c r="N59" i="56"/>
  <c r="N58" i="56"/>
  <c r="N57" i="56"/>
  <c r="N56" i="56"/>
  <c r="N55" i="56"/>
  <c r="N54" i="56"/>
  <c r="N53" i="56"/>
  <c r="K115" i="56"/>
  <c r="L115" i="56" s="1"/>
  <c r="K113" i="56"/>
  <c r="L113" i="56" s="1"/>
  <c r="K112" i="56"/>
  <c r="L112" i="56" s="1"/>
  <c r="K109" i="56"/>
  <c r="L109" i="56" s="1"/>
  <c r="K107" i="56"/>
  <c r="L107" i="56" s="1"/>
  <c r="K106" i="56"/>
  <c r="L106" i="56" s="1"/>
  <c r="K103" i="56"/>
  <c r="L103" i="56" s="1"/>
  <c r="K101" i="56"/>
  <c r="L101" i="56" s="1"/>
  <c r="K100" i="56"/>
  <c r="L100" i="56" s="1"/>
  <c r="K97" i="56"/>
  <c r="L97" i="56" s="1"/>
  <c r="K95" i="56"/>
  <c r="L95" i="56" s="1"/>
  <c r="K94" i="56"/>
  <c r="L94" i="56" s="1"/>
  <c r="K91" i="56"/>
  <c r="L91" i="56" s="1"/>
  <c r="K89" i="56"/>
  <c r="L89" i="56" s="1"/>
  <c r="K88" i="56"/>
  <c r="L88" i="56" s="1"/>
  <c r="K85" i="56"/>
  <c r="L85" i="56" s="1"/>
  <c r="K83" i="56"/>
  <c r="L83" i="56" s="1"/>
  <c r="K82" i="56"/>
  <c r="L82" i="56"/>
  <c r="K79" i="56"/>
  <c r="L79" i="56"/>
  <c r="K78" i="56"/>
  <c r="L78" i="56" s="1"/>
  <c r="K71" i="56"/>
  <c r="L71" i="56" s="1"/>
  <c r="K69" i="56"/>
  <c r="L69" i="56" s="1"/>
  <c r="K68" i="56"/>
  <c r="L68" i="56" s="1"/>
  <c r="K63" i="56"/>
  <c r="L63" i="56" s="1"/>
  <c r="K61" i="56"/>
  <c r="L61" i="56" s="1"/>
  <c r="K60" i="56"/>
  <c r="L60" i="56" s="1"/>
  <c r="K57" i="56"/>
  <c r="L57" i="56" s="1"/>
  <c r="K55" i="56"/>
  <c r="L55" i="56" s="1"/>
  <c r="K54" i="56"/>
  <c r="L54" i="56" s="1"/>
  <c r="N52" i="56"/>
  <c r="G230" i="56"/>
  <c r="G229" i="56"/>
  <c r="G228" i="56"/>
  <c r="G227" i="56"/>
  <c r="G226" i="56"/>
  <c r="G225" i="56"/>
  <c r="F230" i="56"/>
  <c r="F229" i="56"/>
  <c r="F228" i="56"/>
  <c r="F227" i="56"/>
  <c r="F226" i="56"/>
  <c r="F225" i="56"/>
  <c r="D230" i="56"/>
  <c r="M230" i="56" s="1"/>
  <c r="A228" i="56"/>
  <c r="A227" i="56"/>
  <c r="G183" i="56"/>
  <c r="F183" i="56"/>
  <c r="E183" i="56"/>
  <c r="D183" i="56"/>
  <c r="C183" i="56"/>
  <c r="B183" i="56"/>
  <c r="A183" i="56"/>
  <c r="G223" i="56"/>
  <c r="F223" i="56"/>
  <c r="G221" i="56"/>
  <c r="F221" i="56"/>
  <c r="G220" i="56"/>
  <c r="F220" i="56"/>
  <c r="G219" i="56"/>
  <c r="F219" i="56"/>
  <c r="G218" i="56"/>
  <c r="F218" i="56"/>
  <c r="G217" i="56"/>
  <c r="F217" i="56"/>
  <c r="G216" i="56"/>
  <c r="F216" i="56"/>
  <c r="G209" i="56"/>
  <c r="F209" i="56"/>
  <c r="G208" i="56"/>
  <c r="F208" i="56"/>
  <c r="G207" i="56"/>
  <c r="F207" i="56"/>
  <c r="G206" i="56"/>
  <c r="F206" i="56"/>
  <c r="G205" i="56"/>
  <c r="F205" i="56"/>
  <c r="G204" i="56"/>
  <c r="F204" i="56"/>
  <c r="A204" i="56"/>
  <c r="G203" i="56"/>
  <c r="F203" i="56"/>
  <c r="G202" i="56"/>
  <c r="F202" i="56"/>
  <c r="G201" i="56"/>
  <c r="F201" i="56"/>
  <c r="G200" i="56"/>
  <c r="F200" i="56"/>
  <c r="G199" i="56"/>
  <c r="F199" i="56"/>
  <c r="G194" i="56"/>
  <c r="F194" i="56"/>
  <c r="G193" i="56"/>
  <c r="F193" i="56"/>
  <c r="G192" i="56"/>
  <c r="F192" i="56"/>
  <c r="G191" i="56"/>
  <c r="F191" i="56"/>
  <c r="G190" i="56"/>
  <c r="F190" i="56"/>
  <c r="G189" i="56"/>
  <c r="F189" i="56"/>
  <c r="G188" i="56"/>
  <c r="F188" i="56"/>
  <c r="G187" i="56"/>
  <c r="F187" i="56"/>
  <c r="G186" i="56"/>
  <c r="F186" i="56"/>
  <c r="G185" i="56"/>
  <c r="F185" i="56"/>
  <c r="G184" i="56"/>
  <c r="F184" i="56"/>
  <c r="A189" i="56"/>
  <c r="M113" i="49"/>
  <c r="M112" i="49"/>
  <c r="M111" i="49"/>
  <c r="M110" i="49"/>
  <c r="M109" i="49"/>
  <c r="M108" i="49"/>
  <c r="M107" i="49"/>
  <c r="M106" i="49"/>
  <c r="M105" i="49"/>
  <c r="M104" i="49"/>
  <c r="M103" i="49"/>
  <c r="M102" i="49"/>
  <c r="M101" i="49"/>
  <c r="M100" i="49"/>
  <c r="M99" i="49"/>
  <c r="M98" i="49"/>
  <c r="M97" i="49"/>
  <c r="M96" i="49"/>
  <c r="M95" i="49"/>
  <c r="M94" i="49"/>
  <c r="M93" i="49"/>
  <c r="M92" i="49"/>
  <c r="M91" i="49"/>
  <c r="A98" i="48"/>
  <c r="A97" i="48"/>
  <c r="A96" i="48"/>
  <c r="A95" i="48"/>
  <c r="A94" i="48"/>
  <c r="A93" i="48"/>
  <c r="A92" i="48"/>
  <c r="A91" i="48"/>
  <c r="A90" i="48"/>
  <c r="A89" i="48"/>
  <c r="A88" i="48"/>
  <c r="A87" i="48"/>
  <c r="A86" i="48"/>
  <c r="A85" i="48"/>
  <c r="A84" i="48"/>
  <c r="A83" i="48"/>
  <c r="A82" i="48"/>
  <c r="A81" i="48"/>
  <c r="A80" i="48"/>
  <c r="A79" i="48"/>
  <c r="A78" i="48"/>
  <c r="A77" i="48"/>
  <c r="A126" i="48"/>
  <c r="A125" i="48"/>
  <c r="A124" i="48"/>
  <c r="A123" i="48"/>
  <c r="A122" i="48"/>
  <c r="A121" i="48"/>
  <c r="A120" i="48"/>
  <c r="A119" i="48"/>
  <c r="A118" i="48"/>
  <c r="A117" i="48"/>
  <c r="A116" i="48"/>
  <c r="A115" i="48"/>
  <c r="A114" i="48"/>
  <c r="A113" i="48"/>
  <c r="A112" i="48"/>
  <c r="A111" i="48"/>
  <c r="A110" i="48"/>
  <c r="A109" i="48"/>
  <c r="A108" i="48"/>
  <c r="A107" i="48"/>
  <c r="A106" i="48"/>
  <c r="A105" i="48"/>
  <c r="A104" i="48"/>
  <c r="A135" i="48"/>
  <c r="A134" i="48"/>
  <c r="A133" i="48"/>
  <c r="A132" i="48"/>
  <c r="B230" i="56"/>
  <c r="N28" i="49"/>
  <c r="N27" i="49"/>
  <c r="N24" i="49"/>
  <c r="N23" i="49"/>
  <c r="N22" i="49"/>
  <c r="N21" i="49"/>
  <c r="N20" i="49"/>
  <c r="N19" i="49"/>
  <c r="N18" i="49"/>
  <c r="N16" i="49"/>
  <c r="N15" i="49"/>
  <c r="N14" i="49"/>
  <c r="N13" i="49"/>
  <c r="N12" i="49"/>
  <c r="N11" i="49"/>
  <c r="N10" i="49"/>
  <c r="N9" i="49"/>
  <c r="N8" i="49"/>
  <c r="N7" i="49"/>
  <c r="N6" i="49"/>
  <c r="C9" i="49"/>
  <c r="C49" i="49" s="1"/>
  <c r="C94" i="49" s="1"/>
  <c r="E22" i="17"/>
  <c r="C28" i="56"/>
  <c r="C46" i="55" s="1"/>
  <c r="C27" i="56"/>
  <c r="C116" i="55" s="1"/>
  <c r="C26" i="56"/>
  <c r="C227" i="56" s="1"/>
  <c r="C13" i="56"/>
  <c r="C21" i="55" s="1"/>
  <c r="C12" i="56"/>
  <c r="C20" i="55" s="1"/>
  <c r="C146" i="48"/>
  <c r="B146" i="48"/>
  <c r="C145" i="48"/>
  <c r="B145" i="48"/>
  <c r="D190" i="56"/>
  <c r="D206" i="56"/>
  <c r="D229" i="56"/>
  <c r="M229" i="56" s="1"/>
  <c r="C94" i="55"/>
  <c r="D52" i="48"/>
  <c r="E182" i="42"/>
  <c r="D39" i="49" s="1"/>
  <c r="K39" i="49" s="1"/>
  <c r="K132" i="49" s="1"/>
  <c r="D182" i="42"/>
  <c r="C39" i="49" s="1"/>
  <c r="E181" i="42"/>
  <c r="D38" i="49" s="1"/>
  <c r="K38" i="49" s="1"/>
  <c r="K131" i="49" s="1"/>
  <c r="D181" i="42"/>
  <c r="C38" i="49" s="1"/>
  <c r="E180" i="42"/>
  <c r="D37" i="49" s="1"/>
  <c r="D180" i="42"/>
  <c r="C37" i="49" s="1"/>
  <c r="E179" i="42"/>
  <c r="D36" i="49" s="1"/>
  <c r="D179" i="42"/>
  <c r="C36" i="49" s="1"/>
  <c r="E178" i="42"/>
  <c r="D35" i="49" s="1"/>
  <c r="D178" i="42"/>
  <c r="C35" i="49" s="1"/>
  <c r="E177" i="42"/>
  <c r="D34" i="49" s="1"/>
  <c r="E34" i="49" s="1"/>
  <c r="D177" i="42"/>
  <c r="C34" i="49" s="1"/>
  <c r="E176" i="42"/>
  <c r="D33" i="49" s="1"/>
  <c r="K33" i="49" s="1"/>
  <c r="K126" i="49" s="1"/>
  <c r="D176" i="42"/>
  <c r="C33" i="49" s="1"/>
  <c r="E175" i="42"/>
  <c r="D32" i="49" s="1"/>
  <c r="D175" i="42"/>
  <c r="C32" i="49" s="1"/>
  <c r="E174" i="42"/>
  <c r="D31" i="49" s="1"/>
  <c r="D174" i="42"/>
  <c r="C31" i="49" s="1"/>
  <c r="E173" i="42"/>
  <c r="D30" i="49" s="1"/>
  <c r="D173" i="42"/>
  <c r="C30" i="49" s="1"/>
  <c r="E172" i="42"/>
  <c r="D29" i="49" s="1"/>
  <c r="D172" i="42"/>
  <c r="C29" i="49" s="1"/>
  <c r="E171" i="42"/>
  <c r="D28" i="49" s="1"/>
  <c r="D171" i="42"/>
  <c r="C28" i="49" s="1"/>
  <c r="D131" i="42"/>
  <c r="E167" i="42"/>
  <c r="D167" i="42"/>
  <c r="E166" i="42"/>
  <c r="D166" i="42"/>
  <c r="D31" i="48" s="1"/>
  <c r="E165" i="42"/>
  <c r="D165" i="42"/>
  <c r="E164" i="42"/>
  <c r="E29" i="48" s="1"/>
  <c r="D164" i="42"/>
  <c r="D29" i="48" s="1"/>
  <c r="E163" i="42"/>
  <c r="D163" i="42"/>
  <c r="E162" i="42"/>
  <c r="D162" i="42"/>
  <c r="D27" i="48" s="1"/>
  <c r="D62" i="48" s="1"/>
  <c r="D90" i="48" s="1"/>
  <c r="D117" i="48" s="1"/>
  <c r="E26" i="48"/>
  <c r="E61" i="48" s="1"/>
  <c r="E89" i="48" s="1"/>
  <c r="E116" i="48" s="1"/>
  <c r="E25" i="48"/>
  <c r="D25" i="48"/>
  <c r="D60" i="48" s="1"/>
  <c r="D88" i="48" s="1"/>
  <c r="D115" i="48" s="1"/>
  <c r="C182" i="42"/>
  <c r="C181" i="42"/>
  <c r="C180" i="42"/>
  <c r="C179" i="42"/>
  <c r="C178" i="42"/>
  <c r="C177" i="42"/>
  <c r="C176" i="42"/>
  <c r="C175" i="42"/>
  <c r="C174" i="42"/>
  <c r="C173" i="42"/>
  <c r="C172" i="42"/>
  <c r="C171" i="42"/>
  <c r="C170" i="42"/>
  <c r="C35" i="48" s="1"/>
  <c r="C169" i="42"/>
  <c r="C168" i="42"/>
  <c r="C33" i="48" s="1"/>
  <c r="C167" i="42"/>
  <c r="C166" i="42"/>
  <c r="C165" i="42"/>
  <c r="C164" i="42"/>
  <c r="C163" i="42"/>
  <c r="C162" i="42"/>
  <c r="C27" i="48" s="1"/>
  <c r="C62" i="48" s="1"/>
  <c r="C161" i="42"/>
  <c r="C160" i="42"/>
  <c r="C25" i="48" s="1"/>
  <c r="C60" i="48" s="1"/>
  <c r="C159" i="42"/>
  <c r="C158" i="42"/>
  <c r="C157" i="42"/>
  <c r="C156" i="42"/>
  <c r="C155" i="42"/>
  <c r="C154" i="42"/>
  <c r="C19" i="48" s="1"/>
  <c r="C54" i="48" s="1"/>
  <c r="C153" i="42"/>
  <c r="C152" i="42"/>
  <c r="C16" i="48" s="1"/>
  <c r="C51" i="48" s="1"/>
  <c r="C151" i="42"/>
  <c r="C150" i="42"/>
  <c r="D159" i="42"/>
  <c r="D24" i="48" s="1"/>
  <c r="E159" i="42"/>
  <c r="E24" i="48" s="1"/>
  <c r="D158" i="42"/>
  <c r="D23" i="48" s="1"/>
  <c r="E158" i="42"/>
  <c r="E23" i="48" s="1"/>
  <c r="E140" i="42"/>
  <c r="D157" i="42"/>
  <c r="D22" i="48" s="1"/>
  <c r="D57" i="48" s="1"/>
  <c r="D85" i="48" s="1"/>
  <c r="D112" i="48" s="1"/>
  <c r="E157" i="42"/>
  <c r="E22" i="48" s="1"/>
  <c r="E153" i="42"/>
  <c r="E18" i="48" s="1"/>
  <c r="E133" i="42"/>
  <c r="D156" i="42"/>
  <c r="D21" i="48" s="1"/>
  <c r="E156" i="42"/>
  <c r="E21" i="48" s="1"/>
  <c r="D13" i="49" s="1"/>
  <c r="E138" i="42"/>
  <c r="D155" i="42"/>
  <c r="D20" i="48" s="1"/>
  <c r="E155" i="42"/>
  <c r="E20" i="48" s="1"/>
  <c r="E136" i="42"/>
  <c r="D154" i="42"/>
  <c r="D19" i="48" s="1"/>
  <c r="E154" i="42"/>
  <c r="E19" i="48" s="1"/>
  <c r="E135" i="42"/>
  <c r="D152" i="42"/>
  <c r="D16" i="48" s="1"/>
  <c r="C8" i="49" s="1"/>
  <c r="C48" i="49" s="1"/>
  <c r="C72" i="49" s="1"/>
  <c r="E152" i="42"/>
  <c r="E17" i="48" s="1"/>
  <c r="D9" i="49" s="1"/>
  <c r="E134" i="42"/>
  <c r="D151" i="42"/>
  <c r="D15" i="48" s="1"/>
  <c r="E151" i="42"/>
  <c r="E15" i="48" s="1"/>
  <c r="E132" i="42"/>
  <c r="D153" i="42"/>
  <c r="D18" i="48" s="1"/>
  <c r="D53" i="48" s="1"/>
  <c r="D81" i="48" s="1"/>
  <c r="D108" i="48" s="1"/>
  <c r="D150" i="42"/>
  <c r="D14" i="48" s="1"/>
  <c r="E131" i="42"/>
  <c r="E139" i="42"/>
  <c r="E141" i="42"/>
  <c r="E127" i="42"/>
  <c r="E46" i="4"/>
  <c r="C38" i="4"/>
  <c r="D38" i="4"/>
  <c r="C39" i="4"/>
  <c r="D39" i="4"/>
  <c r="C40" i="4"/>
  <c r="D40" i="4"/>
  <c r="C41" i="4"/>
  <c r="D41" i="4"/>
  <c r="C42" i="4"/>
  <c r="D42" i="4"/>
  <c r="C43" i="4"/>
  <c r="D43" i="4"/>
  <c r="C44" i="4"/>
  <c r="D44" i="4"/>
  <c r="C45" i="4"/>
  <c r="D45" i="4"/>
  <c r="C46" i="4"/>
  <c r="D46" i="4"/>
  <c r="C47" i="4"/>
  <c r="D47" i="4"/>
  <c r="C29" i="10"/>
  <c r="A12" i="50" s="1"/>
  <c r="D12" i="50" s="1"/>
  <c r="C28" i="10"/>
  <c r="C27" i="10"/>
  <c r="C26" i="10"/>
  <c r="C25" i="10"/>
  <c r="C24" i="10"/>
  <c r="C23" i="10"/>
  <c r="D37" i="56"/>
  <c r="D36" i="56"/>
  <c r="D35" i="56"/>
  <c r="D34" i="56"/>
  <c r="D33" i="56"/>
  <c r="D32" i="56"/>
  <c r="D25" i="56"/>
  <c r="D40" i="55" s="1"/>
  <c r="D24" i="56"/>
  <c r="M24" i="56" s="1"/>
  <c r="D23" i="56"/>
  <c r="M23" i="56" s="1"/>
  <c r="C93" i="49"/>
  <c r="AB22" i="61"/>
  <c r="AB21" i="61"/>
  <c r="AB25" i="61" s="1"/>
  <c r="J16" i="48"/>
  <c r="P48" i="49" s="1"/>
  <c r="K16" i="48"/>
  <c r="Q48" i="49" s="1"/>
  <c r="L16" i="48"/>
  <c r="R48" i="49" s="1"/>
  <c r="M16" i="48"/>
  <c r="S48" i="49" s="1"/>
  <c r="N16" i="48"/>
  <c r="T48" i="49" s="1"/>
  <c r="O16" i="48"/>
  <c r="U48" i="49" s="1"/>
  <c r="P16" i="48"/>
  <c r="V48" i="49" s="1"/>
  <c r="Q16" i="48"/>
  <c r="W48" i="49" s="1"/>
  <c r="R16" i="48"/>
  <c r="X48" i="49" s="1"/>
  <c r="S16" i="48"/>
  <c r="Y48" i="49" s="1"/>
  <c r="T16" i="48"/>
  <c r="Z48" i="49" s="1"/>
  <c r="U16" i="48"/>
  <c r="AA48" i="49" s="1"/>
  <c r="V16" i="48"/>
  <c r="AB48" i="49" s="1"/>
  <c r="W16" i="48"/>
  <c r="AC48" i="49" s="1"/>
  <c r="X16" i="48"/>
  <c r="AD48" i="49" s="1"/>
  <c r="Y16" i="48"/>
  <c r="AE48" i="49" s="1"/>
  <c r="Z16" i="48"/>
  <c r="AF48" i="49" s="1"/>
  <c r="AA16" i="48"/>
  <c r="AG48" i="49" s="1"/>
  <c r="AB16" i="48"/>
  <c r="AH48" i="49" s="1"/>
  <c r="AC16" i="48"/>
  <c r="AI48" i="49" s="1"/>
  <c r="AD16" i="48"/>
  <c r="AJ48" i="49" s="1"/>
  <c r="AE16" i="48"/>
  <c r="AK48" i="49" s="1"/>
  <c r="AF16" i="48"/>
  <c r="AL48" i="49" s="1"/>
  <c r="AG16" i="48"/>
  <c r="AM48" i="49" s="1"/>
  <c r="AH16" i="48"/>
  <c r="AN48" i="49" s="1"/>
  <c r="AI16" i="48"/>
  <c r="AO48" i="49" s="1"/>
  <c r="AJ16" i="48"/>
  <c r="AP48" i="49" s="1"/>
  <c r="I16" i="48"/>
  <c r="O48" i="49" s="1"/>
  <c r="AF6" i="48"/>
  <c r="E10" i="50"/>
  <c r="B10" i="50"/>
  <c r="A10" i="50"/>
  <c r="C10" i="50" s="1"/>
  <c r="H124" i="48"/>
  <c r="N26" i="49" s="1"/>
  <c r="B69" i="48"/>
  <c r="B97" i="48" s="1"/>
  <c r="B124" i="48" s="1"/>
  <c r="B34" i="48"/>
  <c r="A26" i="49" s="1"/>
  <c r="A66" i="49" s="1"/>
  <c r="A111" i="49" s="1"/>
  <c r="C34" i="48"/>
  <c r="D34" i="48"/>
  <c r="D69" i="48" s="1"/>
  <c r="D97" i="48" s="1"/>
  <c r="D124" i="48" s="1"/>
  <c r="E34" i="48"/>
  <c r="E69" i="48" s="1"/>
  <c r="E97" i="48" s="1"/>
  <c r="E124" i="48" s="1"/>
  <c r="B128" i="42"/>
  <c r="B127" i="42"/>
  <c r="C127" i="42"/>
  <c r="C128" i="42"/>
  <c r="D31" i="42"/>
  <c r="E31" i="42"/>
  <c r="C31" i="42"/>
  <c r="B31" i="42"/>
  <c r="H29" i="48"/>
  <c r="H28" i="48"/>
  <c r="H25" i="48"/>
  <c r="H24" i="48"/>
  <c r="M24" i="48" s="1"/>
  <c r="H31" i="48"/>
  <c r="H30" i="48"/>
  <c r="H26" i="48"/>
  <c r="H134" i="48"/>
  <c r="A144" i="55"/>
  <c r="E141" i="55"/>
  <c r="E142" i="55"/>
  <c r="E144" i="55"/>
  <c r="E140" i="55"/>
  <c r="A142" i="55"/>
  <c r="A141" i="55"/>
  <c r="A140" i="55"/>
  <c r="A133" i="55"/>
  <c r="A131" i="55"/>
  <c r="A130" i="55"/>
  <c r="A123" i="55"/>
  <c r="A121" i="55"/>
  <c r="A120" i="55"/>
  <c r="A118" i="55"/>
  <c r="A116" i="55"/>
  <c r="A115" i="55"/>
  <c r="A113" i="55"/>
  <c r="A111" i="55"/>
  <c r="A110" i="55"/>
  <c r="A108" i="55"/>
  <c r="A107" i="55"/>
  <c r="A101" i="55"/>
  <c r="A99" i="55"/>
  <c r="A98" i="55"/>
  <c r="A95" i="55"/>
  <c r="A94" i="55"/>
  <c r="A92" i="55"/>
  <c r="A90" i="55"/>
  <c r="A89" i="55"/>
  <c r="A87" i="55"/>
  <c r="A85" i="55"/>
  <c r="A84" i="55"/>
  <c r="N122" i="56"/>
  <c r="E73" i="55"/>
  <c r="E74" i="55"/>
  <c r="E76" i="55"/>
  <c r="E72" i="55"/>
  <c r="A73" i="55"/>
  <c r="A74" i="55"/>
  <c r="A76" i="55"/>
  <c r="A72" i="55"/>
  <c r="A61" i="55"/>
  <c r="A60" i="55"/>
  <c r="A64" i="55"/>
  <c r="A52" i="55"/>
  <c r="A49" i="55"/>
  <c r="A48" i="55"/>
  <c r="A46" i="55"/>
  <c r="A43" i="55"/>
  <c r="A42" i="55"/>
  <c r="A40" i="55"/>
  <c r="A37" i="55"/>
  <c r="A36" i="55"/>
  <c r="A33" i="55"/>
  <c r="A32" i="55"/>
  <c r="A26" i="55"/>
  <c r="A23" i="55"/>
  <c r="A22" i="55"/>
  <c r="A21" i="55"/>
  <c r="A20" i="55"/>
  <c r="A18" i="55"/>
  <c r="A15" i="55"/>
  <c r="A14" i="55"/>
  <c r="A12" i="55"/>
  <c r="A9" i="55"/>
  <c r="A8" i="55"/>
  <c r="P42" i="56"/>
  <c r="P41" i="56"/>
  <c r="M42" i="56"/>
  <c r="D141" i="55" s="1"/>
  <c r="D45" i="56"/>
  <c r="M45" i="56" s="1"/>
  <c r="D144" i="55" s="1"/>
  <c r="C45" i="56"/>
  <c r="C223" i="56"/>
  <c r="K42" i="56"/>
  <c r="K230" i="56" s="1"/>
  <c r="E220" i="56"/>
  <c r="C144" i="55"/>
  <c r="C76" i="55"/>
  <c r="D43" i="56"/>
  <c r="D221" i="56" s="1"/>
  <c r="C43" i="56"/>
  <c r="C221" i="56" s="1"/>
  <c r="C42" i="56"/>
  <c r="C73" i="55" s="1"/>
  <c r="C41" i="56"/>
  <c r="C140" i="55" s="1"/>
  <c r="C219" i="56"/>
  <c r="D41" i="56"/>
  <c r="D72" i="55" s="1"/>
  <c r="C230" i="56"/>
  <c r="M41" i="56"/>
  <c r="D140" i="55" s="1"/>
  <c r="E138" i="55"/>
  <c r="E136" i="55"/>
  <c r="E135" i="55"/>
  <c r="E133" i="55"/>
  <c r="E131" i="55"/>
  <c r="E130" i="55"/>
  <c r="E128" i="55"/>
  <c r="E126" i="55"/>
  <c r="E125" i="55"/>
  <c r="E123" i="55"/>
  <c r="E121" i="55"/>
  <c r="E120" i="55"/>
  <c r="E118" i="55"/>
  <c r="E116" i="55"/>
  <c r="E115" i="55"/>
  <c r="E113" i="55"/>
  <c r="E111" i="55"/>
  <c r="E110" i="55"/>
  <c r="E108" i="55"/>
  <c r="E107" i="55"/>
  <c r="E101" i="55"/>
  <c r="E99" i="55"/>
  <c r="E98" i="55"/>
  <c r="E95" i="55"/>
  <c r="E94" i="55"/>
  <c r="E92" i="55"/>
  <c r="E90" i="55"/>
  <c r="E89" i="55"/>
  <c r="E87" i="55"/>
  <c r="E85" i="55"/>
  <c r="E84" i="55"/>
  <c r="D118" i="55"/>
  <c r="E8" i="55"/>
  <c r="E9" i="55"/>
  <c r="E12" i="55"/>
  <c r="E14" i="55"/>
  <c r="E15" i="55"/>
  <c r="E18" i="55"/>
  <c r="E20" i="55"/>
  <c r="E21" i="55"/>
  <c r="E22" i="55"/>
  <c r="E23" i="55"/>
  <c r="E26" i="55"/>
  <c r="E32" i="55"/>
  <c r="E33" i="55"/>
  <c r="E36" i="55"/>
  <c r="E37" i="55"/>
  <c r="E40" i="55"/>
  <c r="E42" i="55"/>
  <c r="E43" i="55"/>
  <c r="D46" i="55"/>
  <c r="E46" i="55"/>
  <c r="E48" i="55"/>
  <c r="E49" i="55"/>
  <c r="E52" i="55"/>
  <c r="E54" i="55"/>
  <c r="E55" i="55"/>
  <c r="E58" i="55"/>
  <c r="E60" i="55"/>
  <c r="E61" i="55"/>
  <c r="E64" i="55"/>
  <c r="E66" i="55"/>
  <c r="E67" i="55"/>
  <c r="J67" i="55"/>
  <c r="E70" i="55"/>
  <c r="J42" i="55"/>
  <c r="J36" i="55"/>
  <c r="J32" i="55"/>
  <c r="J20" i="55"/>
  <c r="J8" i="55"/>
  <c r="I41" i="55"/>
  <c r="I40" i="55"/>
  <c r="AK40" i="55" s="1"/>
  <c r="AR84" i="56" s="1"/>
  <c r="I39" i="55"/>
  <c r="I38" i="55"/>
  <c r="I32" i="55"/>
  <c r="C25" i="56"/>
  <c r="C203" i="56" s="1"/>
  <c r="C24" i="56"/>
  <c r="C23" i="56"/>
  <c r="C201" i="56" s="1"/>
  <c r="C22" i="56"/>
  <c r="C108" i="55" s="1"/>
  <c r="C21" i="56"/>
  <c r="C199" i="56" s="1"/>
  <c r="C31" i="56"/>
  <c r="C123" i="55" s="1"/>
  <c r="C209" i="56"/>
  <c r="C30" i="56"/>
  <c r="C208" i="56"/>
  <c r="C29" i="56"/>
  <c r="C207" i="56" s="1"/>
  <c r="C40" i="56"/>
  <c r="C138" i="55" s="1"/>
  <c r="C39" i="56"/>
  <c r="C217" i="56" s="1"/>
  <c r="C38" i="56"/>
  <c r="C216" i="56"/>
  <c r="C37" i="56"/>
  <c r="C215" i="56" s="1"/>
  <c r="C36" i="56"/>
  <c r="C35" i="56"/>
  <c r="C213" i="56" s="1"/>
  <c r="C34" i="56"/>
  <c r="C212" i="56" s="1"/>
  <c r="C33" i="56"/>
  <c r="C55" i="55" s="1"/>
  <c r="C32" i="56"/>
  <c r="C210" i="56" s="1"/>
  <c r="C11" i="56"/>
  <c r="C92" i="55" s="1"/>
  <c r="C10" i="56"/>
  <c r="C188" i="56" s="1"/>
  <c r="C9" i="56"/>
  <c r="C187" i="56" s="1"/>
  <c r="C8" i="56"/>
  <c r="C7" i="56"/>
  <c r="C85" i="55" s="1"/>
  <c r="C6" i="56"/>
  <c r="C9" i="55" s="1"/>
  <c r="D31" i="56"/>
  <c r="D123" i="55" s="1"/>
  <c r="D30" i="56"/>
  <c r="D49" i="55" s="1"/>
  <c r="D29" i="56"/>
  <c r="M29" i="56" s="1"/>
  <c r="D22" i="56"/>
  <c r="D108" i="55" s="1"/>
  <c r="D21" i="56"/>
  <c r="D199" i="56" s="1"/>
  <c r="D20" i="55"/>
  <c r="D7" i="56"/>
  <c r="D9" i="55" s="1"/>
  <c r="D8" i="56"/>
  <c r="E8" i="56" s="1"/>
  <c r="D9" i="56"/>
  <c r="E9" i="56" s="1"/>
  <c r="E187" i="56" s="1"/>
  <c r="D10" i="56"/>
  <c r="D11" i="56"/>
  <c r="D6" i="56"/>
  <c r="E6" i="56" s="1"/>
  <c r="E184" i="56" s="1"/>
  <c r="P27" i="56"/>
  <c r="P26" i="56"/>
  <c r="P25" i="56"/>
  <c r="B203" i="56"/>
  <c r="N25" i="49"/>
  <c r="H115" i="48"/>
  <c r="N17" i="49" s="1"/>
  <c r="D33" i="55"/>
  <c r="D200" i="56"/>
  <c r="D193" i="56"/>
  <c r="B204" i="56"/>
  <c r="C128" i="55"/>
  <c r="C58" i="55"/>
  <c r="C121" i="55"/>
  <c r="C49" i="55"/>
  <c r="D26" i="55"/>
  <c r="D99" i="55"/>
  <c r="D32" i="55"/>
  <c r="J68" i="55"/>
  <c r="J70" i="55"/>
  <c r="N38" i="55"/>
  <c r="U82" i="56" s="1"/>
  <c r="V38" i="55"/>
  <c r="AC82" i="56" s="1"/>
  <c r="AD38" i="55"/>
  <c r="AK82" i="56" s="1"/>
  <c r="AL38" i="55"/>
  <c r="AS82" i="56" s="1"/>
  <c r="L38" i="55"/>
  <c r="S82" i="56" s="1"/>
  <c r="U38" i="55"/>
  <c r="AB82" i="56"/>
  <c r="AE38" i="55"/>
  <c r="AL82" i="56" s="1"/>
  <c r="O38" i="55"/>
  <c r="V82" i="56" s="1"/>
  <c r="X38" i="55"/>
  <c r="AE82" i="56" s="1"/>
  <c r="AG38" i="55"/>
  <c r="AN82" i="56" s="1"/>
  <c r="T38" i="55"/>
  <c r="AA82" i="56" s="1"/>
  <c r="AC38" i="55"/>
  <c r="AJ82" i="56" s="1"/>
  <c r="Y38" i="55"/>
  <c r="AF82" i="56" s="1"/>
  <c r="AK38" i="55"/>
  <c r="AR82" i="56" s="1"/>
  <c r="K38" i="55"/>
  <c r="R82" i="56" s="1"/>
  <c r="Z38" i="55"/>
  <c r="AG82" i="56" s="1"/>
  <c r="M38" i="55"/>
  <c r="T82" i="56" s="1"/>
  <c r="AA38" i="55"/>
  <c r="AH82" i="56" s="1"/>
  <c r="P38" i="55"/>
  <c r="W82" i="56" s="1"/>
  <c r="AB38" i="55"/>
  <c r="AI82" i="56" s="1"/>
  <c r="Q38" i="55"/>
  <c r="X82" i="56" s="1"/>
  <c r="AF38" i="55"/>
  <c r="AM82" i="56" s="1"/>
  <c r="R38" i="55"/>
  <c r="Y82" i="56" s="1"/>
  <c r="AH38" i="55"/>
  <c r="AO82" i="56" s="1"/>
  <c r="S38" i="55"/>
  <c r="Z82" i="56" s="1"/>
  <c r="AI38" i="55"/>
  <c r="AP82" i="56" s="1"/>
  <c r="W38" i="55"/>
  <c r="AD82" i="56"/>
  <c r="AJ38" i="55"/>
  <c r="AQ82" i="56" s="1"/>
  <c r="P39" i="55"/>
  <c r="W83" i="56" s="1"/>
  <c r="X39" i="55"/>
  <c r="AE83" i="56" s="1"/>
  <c r="AF39" i="55"/>
  <c r="AM83" i="56" s="1"/>
  <c r="S39" i="55"/>
  <c r="Z83" i="56" s="1"/>
  <c r="AB39" i="55"/>
  <c r="AI83" i="56" s="1"/>
  <c r="AK39" i="55"/>
  <c r="AR83" i="56" s="1"/>
  <c r="L39" i="55"/>
  <c r="S83" i="56" s="1"/>
  <c r="U39" i="55"/>
  <c r="AB83" i="56" s="1"/>
  <c r="AD39" i="55"/>
  <c r="AK83" i="56" s="1"/>
  <c r="R39" i="55"/>
  <c r="Y83" i="56" s="1"/>
  <c r="AA39" i="55"/>
  <c r="AH83" i="56" s="1"/>
  <c r="AJ39" i="55"/>
  <c r="AQ83" i="56" s="1"/>
  <c r="W39" i="55"/>
  <c r="AD83" i="56" s="1"/>
  <c r="AL39" i="55"/>
  <c r="AS83" i="56" s="1"/>
  <c r="Y39" i="55"/>
  <c r="AF83" i="56" s="1"/>
  <c r="M39" i="55"/>
  <c r="T83" i="56" s="1"/>
  <c r="Z39" i="55"/>
  <c r="AG83" i="56" s="1"/>
  <c r="N39" i="55"/>
  <c r="U83" i="56" s="1"/>
  <c r="AC39" i="55"/>
  <c r="AJ83" i="56" s="1"/>
  <c r="O39" i="55"/>
  <c r="V83" i="56" s="1"/>
  <c r="AE39" i="55"/>
  <c r="AL83" i="56" s="1"/>
  <c r="Q39" i="55"/>
  <c r="X83" i="56" s="1"/>
  <c r="AG39" i="55"/>
  <c r="AN83" i="56" s="1"/>
  <c r="T39" i="55"/>
  <c r="AA83" i="56" s="1"/>
  <c r="AH39" i="55"/>
  <c r="AO83" i="56" s="1"/>
  <c r="V39" i="55"/>
  <c r="AC83" i="56" s="1"/>
  <c r="AI39" i="55"/>
  <c r="AP83" i="56" s="1"/>
  <c r="R40" i="55"/>
  <c r="Y84" i="56" s="1"/>
  <c r="O40" i="55"/>
  <c r="V84" i="56" s="1"/>
  <c r="W40" i="55"/>
  <c r="AD84" i="56" s="1"/>
  <c r="K39" i="55"/>
  <c r="R83" i="56" s="1"/>
  <c r="B126" i="48"/>
  <c r="C126" i="48"/>
  <c r="I20" i="55"/>
  <c r="J21" i="55" s="1"/>
  <c r="I21" i="55" s="1"/>
  <c r="I8" i="55"/>
  <c r="J16" i="55" s="1"/>
  <c r="I16" i="55" s="1"/>
  <c r="H16" i="48"/>
  <c r="H15" i="48"/>
  <c r="H14" i="48"/>
  <c r="J25" i="48"/>
  <c r="I36" i="55"/>
  <c r="J41" i="55" s="1"/>
  <c r="X25" i="48"/>
  <c r="AD24" i="48"/>
  <c r="AG25" i="48"/>
  <c r="P25" i="48"/>
  <c r="AF25" i="48"/>
  <c r="AG24" i="48"/>
  <c r="Q25" i="48"/>
  <c r="Y25" i="48"/>
  <c r="W25" i="48"/>
  <c r="AD25" i="48"/>
  <c r="N25" i="48"/>
  <c r="AC25" i="48"/>
  <c r="U25" i="48"/>
  <c r="M25" i="48"/>
  <c r="AI24" i="48"/>
  <c r="AE25" i="48"/>
  <c r="O25" i="48"/>
  <c r="V25" i="48"/>
  <c r="T24" i="48"/>
  <c r="AJ25" i="48"/>
  <c r="AB25" i="48"/>
  <c r="T25" i="48"/>
  <c r="L25" i="48"/>
  <c r="J24" i="48"/>
  <c r="AI25" i="48"/>
  <c r="AA25" i="48"/>
  <c r="S25" i="48"/>
  <c r="K25" i="48"/>
  <c r="AH25" i="48"/>
  <c r="Z25" i="48"/>
  <c r="R25" i="48"/>
  <c r="AF24" i="48"/>
  <c r="X36" i="55"/>
  <c r="AE80" i="56" s="1"/>
  <c r="N36" i="55"/>
  <c r="U80" i="56" s="1"/>
  <c r="T48" i="55"/>
  <c r="AA92" i="56" s="1"/>
  <c r="AA48" i="55"/>
  <c r="AH92" i="56" s="1"/>
  <c r="AF48" i="55"/>
  <c r="AM92" i="56" s="1"/>
  <c r="AE48" i="55"/>
  <c r="AL92" i="56" s="1"/>
  <c r="J53" i="55"/>
  <c r="AD48" i="55"/>
  <c r="AK92" i="56" s="1"/>
  <c r="M48" i="55"/>
  <c r="T92" i="56" s="1"/>
  <c r="J52" i="55"/>
  <c r="K48" i="55"/>
  <c r="R92" i="56" s="1"/>
  <c r="Z48" i="55"/>
  <c r="AG92" i="56" s="1"/>
  <c r="R48" i="55"/>
  <c r="Y92" i="56" s="1"/>
  <c r="AG48" i="55"/>
  <c r="AN92" i="56" s="1"/>
  <c r="U48" i="55"/>
  <c r="AB92" i="56" s="1"/>
  <c r="P48" i="55"/>
  <c r="W92" i="56" s="1"/>
  <c r="AL48" i="55"/>
  <c r="AS92" i="56" s="1"/>
  <c r="O48" i="55"/>
  <c r="V92" i="56" s="1"/>
  <c r="AC48" i="55"/>
  <c r="AJ92" i="56" s="1"/>
  <c r="Y48" i="55"/>
  <c r="AF92" i="56" s="1"/>
  <c r="X48" i="55"/>
  <c r="AE92" i="56" s="1"/>
  <c r="AK48" i="55"/>
  <c r="AR92" i="56" s="1"/>
  <c r="AH48" i="55"/>
  <c r="AO92" i="56" s="1"/>
  <c r="AB48" i="55"/>
  <c r="AI92" i="56" s="1"/>
  <c r="S48" i="55"/>
  <c r="Z92" i="56" s="1"/>
  <c r="AI48" i="55"/>
  <c r="AP92" i="56" s="1"/>
  <c r="N48" i="55"/>
  <c r="U92" i="56" s="1"/>
  <c r="L48" i="55"/>
  <c r="S92" i="56" s="1"/>
  <c r="Q48" i="55"/>
  <c r="X92" i="56" s="1"/>
  <c r="AJ48" i="55"/>
  <c r="AQ92" i="56" s="1"/>
  <c r="W48" i="55"/>
  <c r="AD92" i="56" s="1"/>
  <c r="V48" i="55"/>
  <c r="AC92" i="56" s="1"/>
  <c r="C17" i="48"/>
  <c r="C52" i="48" s="1"/>
  <c r="B18" i="48"/>
  <c r="C18" i="48"/>
  <c r="C53" i="48" s="1"/>
  <c r="B19" i="48"/>
  <c r="B20" i="48"/>
  <c r="C20" i="48"/>
  <c r="C55" i="48" s="1"/>
  <c r="B21" i="48"/>
  <c r="C21" i="48"/>
  <c r="C56" i="48" s="1"/>
  <c r="B22" i="48"/>
  <c r="C22" i="48"/>
  <c r="C57" i="48" s="1"/>
  <c r="B23" i="48"/>
  <c r="C23" i="48"/>
  <c r="C58" i="48" s="1"/>
  <c r="B24" i="48"/>
  <c r="A17" i="49" s="1"/>
  <c r="A57" i="49" s="1"/>
  <c r="A102" i="49" s="1"/>
  <c r="C24" i="48"/>
  <c r="B17" i="49" s="1"/>
  <c r="B57" i="49" s="1"/>
  <c r="B102" i="49" s="1"/>
  <c r="B25" i="48"/>
  <c r="B26" i="48"/>
  <c r="C26" i="48"/>
  <c r="B24" i="49" s="1"/>
  <c r="B64" i="49" s="1"/>
  <c r="B27" i="48"/>
  <c r="E27" i="48"/>
  <c r="E62" i="48" s="1"/>
  <c r="E90" i="48" s="1"/>
  <c r="E117" i="48" s="1"/>
  <c r="B28" i="48"/>
  <c r="C28" i="48"/>
  <c r="C63" i="48" s="1"/>
  <c r="D28" i="48"/>
  <c r="D63" i="48" s="1"/>
  <c r="D91" i="48" s="1"/>
  <c r="D118" i="48" s="1"/>
  <c r="E28" i="48"/>
  <c r="E63" i="48" s="1"/>
  <c r="E91" i="48" s="1"/>
  <c r="E118" i="48" s="1"/>
  <c r="B29" i="48"/>
  <c r="C29" i="48"/>
  <c r="C64" i="48" s="1"/>
  <c r="B30" i="48"/>
  <c r="C30" i="48"/>
  <c r="C65" i="48" s="1"/>
  <c r="D30" i="48"/>
  <c r="D65" i="48" s="1"/>
  <c r="E30" i="48"/>
  <c r="D22" i="49" s="1"/>
  <c r="K22" i="49" s="1"/>
  <c r="B31" i="48"/>
  <c r="C31" i="48"/>
  <c r="C66" i="48" s="1"/>
  <c r="E31" i="48"/>
  <c r="B32" i="48"/>
  <c r="C32" i="48"/>
  <c r="C67" i="48" s="1"/>
  <c r="D32" i="48"/>
  <c r="D67" i="48" s="1"/>
  <c r="D95" i="48" s="1"/>
  <c r="D122" i="48" s="1"/>
  <c r="E32" i="48"/>
  <c r="E67" i="48" s="1"/>
  <c r="E95" i="48" s="1"/>
  <c r="E122" i="48" s="1"/>
  <c r="B33" i="48"/>
  <c r="A25" i="49" s="1"/>
  <c r="A65" i="49" s="1"/>
  <c r="A110" i="49" s="1"/>
  <c r="D33" i="48"/>
  <c r="E33" i="48"/>
  <c r="E68" i="48" s="1"/>
  <c r="B35" i="48"/>
  <c r="A27" i="49" s="1"/>
  <c r="A67" i="49" s="1"/>
  <c r="D35" i="48"/>
  <c r="E35" i="48"/>
  <c r="E70" i="48" s="1"/>
  <c r="B14" i="48"/>
  <c r="A12" i="49" s="1"/>
  <c r="A52" i="49" s="1"/>
  <c r="C14" i="48"/>
  <c r="B15" i="49" s="1"/>
  <c r="B55" i="49" s="1"/>
  <c r="E14" i="48"/>
  <c r="D6" i="49" s="1"/>
  <c r="K6" i="49" s="1"/>
  <c r="B15" i="48"/>
  <c r="C15" i="48"/>
  <c r="B16" i="48"/>
  <c r="B36" i="48"/>
  <c r="A28" i="49" s="1"/>
  <c r="A121" i="49" s="1"/>
  <c r="C36" i="48"/>
  <c r="E37" i="48"/>
  <c r="E40" i="48"/>
  <c r="E41" i="48"/>
  <c r="B49" i="48"/>
  <c r="B50" i="48"/>
  <c r="B51" i="48"/>
  <c r="A11" i="49"/>
  <c r="A13" i="49"/>
  <c r="A53" i="49" s="1"/>
  <c r="A19" i="49"/>
  <c r="A59" i="49" s="1"/>
  <c r="A18" i="49"/>
  <c r="A58" i="49" s="1"/>
  <c r="A24" i="49"/>
  <c r="A64" i="49" s="1"/>
  <c r="A22" i="49"/>
  <c r="A62" i="49" s="1"/>
  <c r="A20" i="49"/>
  <c r="A60" i="49" s="1"/>
  <c r="A105" i="49" s="1"/>
  <c r="A23" i="49"/>
  <c r="A63" i="49" s="1"/>
  <c r="A21" i="49"/>
  <c r="A61" i="49" s="1"/>
  <c r="D25" i="49"/>
  <c r="K25" i="49" s="1"/>
  <c r="D68" i="48"/>
  <c r="D96" i="48" s="1"/>
  <c r="D123" i="48" s="1"/>
  <c r="C25" i="49"/>
  <c r="C65" i="49" s="1"/>
  <c r="C110" i="49" s="1"/>
  <c r="A16" i="49"/>
  <c r="A56" i="49" s="1"/>
  <c r="C59" i="48"/>
  <c r="B11" i="49"/>
  <c r="B51" i="49" s="1"/>
  <c r="B96" i="49" s="1"/>
  <c r="B14" i="49"/>
  <c r="B54" i="49" s="1"/>
  <c r="Z51" i="55"/>
  <c r="AG95" i="56" s="1"/>
  <c r="V51" i="55"/>
  <c r="AC95" i="56" s="1"/>
  <c r="AC51" i="55"/>
  <c r="AJ95" i="56"/>
  <c r="S51" i="55"/>
  <c r="Z95" i="56" s="1"/>
  <c r="AJ51" i="55"/>
  <c r="AQ95" i="56" s="1"/>
  <c r="AL51" i="55"/>
  <c r="AS95" i="56"/>
  <c r="P51" i="55"/>
  <c r="W95" i="56" s="1"/>
  <c r="AA51" i="55"/>
  <c r="AH95" i="56" s="1"/>
  <c r="N51" i="55"/>
  <c r="U95" i="56" s="1"/>
  <c r="Y51" i="55"/>
  <c r="AF95" i="56" s="1"/>
  <c r="AD51" i="55"/>
  <c r="AK95" i="56" s="1"/>
  <c r="AI51" i="55"/>
  <c r="AP95" i="56" s="1"/>
  <c r="W51" i="55"/>
  <c r="AD95" i="56" s="1"/>
  <c r="R51" i="55"/>
  <c r="Y95" i="56" s="1"/>
  <c r="O51" i="55"/>
  <c r="V95" i="56" s="1"/>
  <c r="AF51" i="55"/>
  <c r="AM95" i="56" s="1"/>
  <c r="L51" i="55"/>
  <c r="S95" i="56" s="1"/>
  <c r="AE51" i="55"/>
  <c r="AL95" i="56" s="1"/>
  <c r="K51" i="55"/>
  <c r="R95" i="56" s="1"/>
  <c r="X51" i="55"/>
  <c r="AE95" i="56" s="1"/>
  <c r="AB51" i="55"/>
  <c r="AI95" i="56" s="1"/>
  <c r="T51" i="55"/>
  <c r="AA95" i="56" s="1"/>
  <c r="AG51" i="55"/>
  <c r="AN95" i="56" s="1"/>
  <c r="U51" i="55"/>
  <c r="AB95" i="56" s="1"/>
  <c r="AH51" i="55"/>
  <c r="AO95" i="56" s="1"/>
  <c r="Q51" i="55"/>
  <c r="X95" i="56" s="1"/>
  <c r="AK51" i="55"/>
  <c r="AR95" i="56" s="1"/>
  <c r="M51" i="55"/>
  <c r="T95" i="56" s="1"/>
  <c r="N53" i="55"/>
  <c r="U97" i="56" s="1"/>
  <c r="R53" i="55"/>
  <c r="Y97" i="56" s="1"/>
  <c r="T53" i="55"/>
  <c r="AA97" i="56" s="1"/>
  <c r="O53" i="55"/>
  <c r="V97" i="56" s="1"/>
  <c r="AL53" i="55"/>
  <c r="AS97" i="56" s="1"/>
  <c r="K53" i="55"/>
  <c r="R97" i="56" s="1"/>
  <c r="U53" i="55"/>
  <c r="AB97" i="56" s="1"/>
  <c r="X53" i="55"/>
  <c r="AE97" i="56" s="1"/>
  <c r="AI53" i="55"/>
  <c r="AP97" i="56" s="1"/>
  <c r="AH53" i="55"/>
  <c r="AO97" i="56" s="1"/>
  <c r="AG53" i="55"/>
  <c r="AN97" i="56" s="1"/>
  <c r="V53" i="55"/>
  <c r="AC97" i="56" s="1"/>
  <c r="Z53" i="55"/>
  <c r="AG97" i="56"/>
  <c r="AJ53" i="55"/>
  <c r="AQ97" i="56" s="1"/>
  <c r="AD53" i="55"/>
  <c r="AK97" i="56" s="1"/>
  <c r="AK53" i="55"/>
  <c r="AR97" i="56" s="1"/>
  <c r="AB53" i="55"/>
  <c r="AI97" i="56" s="1"/>
  <c r="L53" i="55"/>
  <c r="S97" i="56" s="1"/>
  <c r="AC53" i="55"/>
  <c r="AJ97" i="56" s="1"/>
  <c r="M53" i="55"/>
  <c r="T97" i="56" s="1"/>
  <c r="Q53" i="55"/>
  <c r="X97" i="56" s="1"/>
  <c r="W53" i="55"/>
  <c r="AD97" i="56" s="1"/>
  <c r="Y53" i="55"/>
  <c r="AF97" i="56" s="1"/>
  <c r="P53" i="55"/>
  <c r="W97" i="56" s="1"/>
  <c r="AA53" i="55"/>
  <c r="AH97" i="56" s="1"/>
  <c r="S53" i="55"/>
  <c r="Z97" i="56" s="1"/>
  <c r="AE53" i="55"/>
  <c r="AL97" i="56" s="1"/>
  <c r="AF53" i="55"/>
  <c r="AM97" i="56" s="1"/>
  <c r="W49" i="55"/>
  <c r="AD93" i="56" s="1"/>
  <c r="AF49" i="55"/>
  <c r="AM93" i="56" s="1"/>
  <c r="AG49" i="55"/>
  <c r="AN93" i="56" s="1"/>
  <c r="AE49" i="55"/>
  <c r="AL93" i="56" s="1"/>
  <c r="L49" i="55"/>
  <c r="S93" i="56" s="1"/>
  <c r="R49" i="55"/>
  <c r="Y93" i="56" s="1"/>
  <c r="S49" i="55"/>
  <c r="Z93" i="56" s="1"/>
  <c r="Z49" i="55"/>
  <c r="AG93" i="56" s="1"/>
  <c r="AH49" i="55"/>
  <c r="AO93" i="56" s="1"/>
  <c r="T49" i="55"/>
  <c r="AA93" i="56" s="1"/>
  <c r="AB49" i="55"/>
  <c r="AI93" i="56" s="1"/>
  <c r="N49" i="55"/>
  <c r="U93" i="56" s="1"/>
  <c r="U49" i="55"/>
  <c r="AB93" i="56" s="1"/>
  <c r="AC49" i="55"/>
  <c r="AJ93" i="56" s="1"/>
  <c r="AK49" i="55"/>
  <c r="AR93" i="56" s="1"/>
  <c r="AA49" i="55"/>
  <c r="AH93" i="56" s="1"/>
  <c r="AI49" i="55"/>
  <c r="AP93" i="56" s="1"/>
  <c r="AL49" i="55"/>
  <c r="AS93" i="56" s="1"/>
  <c r="X49" i="55"/>
  <c r="AE93" i="56" s="1"/>
  <c r="P49" i="55"/>
  <c r="W93" i="56" s="1"/>
  <c r="M49" i="55"/>
  <c r="T93" i="56" s="1"/>
  <c r="AJ49" i="55"/>
  <c r="AQ93" i="56" s="1"/>
  <c r="AD49" i="55"/>
  <c r="AK93" i="56" s="1"/>
  <c r="K49" i="55"/>
  <c r="R93" i="56" s="1"/>
  <c r="O49" i="55"/>
  <c r="V93" i="56" s="1"/>
  <c r="V49" i="55"/>
  <c r="AC93" i="56" s="1"/>
  <c r="Y49" i="55"/>
  <c r="AF93" i="56" s="1"/>
  <c r="Q49" i="55"/>
  <c r="X93" i="56" s="1"/>
  <c r="U50" i="55"/>
  <c r="AB94" i="56" s="1"/>
  <c r="X50" i="55"/>
  <c r="AE94" i="56" s="1"/>
  <c r="AK50" i="55"/>
  <c r="AR94" i="56" s="1"/>
  <c r="P50" i="55"/>
  <c r="W94" i="56" s="1"/>
  <c r="V50" i="55"/>
  <c r="AC94" i="56" s="1"/>
  <c r="AB50" i="55"/>
  <c r="AI94" i="56" s="1"/>
  <c r="K50" i="55"/>
  <c r="R94" i="56" s="1"/>
  <c r="AL50" i="55"/>
  <c r="AS94" i="56" s="1"/>
  <c r="Z50" i="55"/>
  <c r="AG94" i="56" s="1"/>
  <c r="Y50" i="55"/>
  <c r="AF94" i="56" s="1"/>
  <c r="W50" i="55"/>
  <c r="AD94" i="56" s="1"/>
  <c r="AD50" i="55"/>
  <c r="AK94" i="56" s="1"/>
  <c r="N50" i="55"/>
  <c r="U94" i="56" s="1"/>
  <c r="L50" i="55"/>
  <c r="S94" i="56" s="1"/>
  <c r="O50" i="55"/>
  <c r="V94" i="56" s="1"/>
  <c r="M50" i="55"/>
  <c r="T94" i="56" s="1"/>
  <c r="AJ50" i="55"/>
  <c r="AQ94" i="56" s="1"/>
  <c r="AE50" i="55"/>
  <c r="AL94" i="56" s="1"/>
  <c r="T50" i="55"/>
  <c r="AA94" i="56" s="1"/>
  <c r="AG50" i="55"/>
  <c r="AN94" i="56" s="1"/>
  <c r="AF50" i="55"/>
  <c r="AM94" i="56" s="1"/>
  <c r="Q50" i="55"/>
  <c r="X94" i="56" s="1"/>
  <c r="S50" i="55"/>
  <c r="Z94" i="56"/>
  <c r="AA50" i="55"/>
  <c r="AH94" i="56" s="1"/>
  <c r="AI50" i="55"/>
  <c r="AP94" i="56" s="1"/>
  <c r="AC50" i="55"/>
  <c r="AJ94" i="56" s="1"/>
  <c r="AH50" i="55"/>
  <c r="AO94" i="56" s="1"/>
  <c r="R50" i="55"/>
  <c r="Y94" i="56" s="1"/>
  <c r="U52" i="55"/>
  <c r="AB96" i="56" s="1"/>
  <c r="X52" i="55"/>
  <c r="AE96" i="56" s="1"/>
  <c r="AJ52" i="55"/>
  <c r="AQ96" i="56" s="1"/>
  <c r="AB52" i="55"/>
  <c r="AI96" i="56" s="1"/>
  <c r="AC52" i="55"/>
  <c r="AJ96" i="56" s="1"/>
  <c r="AG52" i="55"/>
  <c r="AN96" i="56" s="1"/>
  <c r="Y52" i="55"/>
  <c r="AF96" i="56" s="1"/>
  <c r="Q52" i="55"/>
  <c r="X96" i="56" s="1"/>
  <c r="AK52" i="55"/>
  <c r="AR96" i="56" s="1"/>
  <c r="T52" i="55"/>
  <c r="AA96" i="56" s="1"/>
  <c r="AL52" i="55"/>
  <c r="AS96" i="56" s="1"/>
  <c r="AF52" i="55"/>
  <c r="AM96" i="56" s="1"/>
  <c r="L52" i="55"/>
  <c r="S96" i="56" s="1"/>
  <c r="AD52" i="55"/>
  <c r="AK96" i="56" s="1"/>
  <c r="Z52" i="55"/>
  <c r="AG96" i="56" s="1"/>
  <c r="R52" i="55"/>
  <c r="Y96" i="56" s="1"/>
  <c r="V52" i="55"/>
  <c r="AC96" i="56" s="1"/>
  <c r="AH52" i="55"/>
  <c r="AO96" i="56" s="1"/>
  <c r="AE52" i="55"/>
  <c r="AL96" i="56" s="1"/>
  <c r="S52" i="55"/>
  <c r="Z96" i="56" s="1"/>
  <c r="N52" i="55"/>
  <c r="U96" i="56" s="1"/>
  <c r="AI52" i="55"/>
  <c r="AP96" i="56" s="1"/>
  <c r="AA52" i="55"/>
  <c r="AH96" i="56" s="1"/>
  <c r="M52" i="55"/>
  <c r="T96" i="56" s="1"/>
  <c r="O52" i="55"/>
  <c r="V96" i="56" s="1"/>
  <c r="W52" i="55"/>
  <c r="AD96" i="56" s="1"/>
  <c r="P52" i="55"/>
  <c r="W96" i="56" s="1"/>
  <c r="K52" i="55"/>
  <c r="R96" i="56" s="1"/>
  <c r="D40" i="56"/>
  <c r="D138" i="55" s="1"/>
  <c r="D39" i="56"/>
  <c r="E39" i="56" s="1"/>
  <c r="D38" i="56"/>
  <c r="D216" i="56" s="1"/>
  <c r="A81" i="49"/>
  <c r="D65" i="49"/>
  <c r="E65" i="49" s="1"/>
  <c r="E110" i="49" s="1"/>
  <c r="E25" i="49"/>
  <c r="D67" i="55"/>
  <c r="E23" i="17"/>
  <c r="E26" i="17"/>
  <c r="E33" i="17"/>
  <c r="E34" i="17"/>
  <c r="E35" i="17"/>
  <c r="E36" i="17"/>
  <c r="E39" i="17"/>
  <c r="E40" i="17"/>
  <c r="E41" i="17"/>
  <c r="E42" i="17"/>
  <c r="E44" i="17"/>
  <c r="L13" i="10"/>
  <c r="B12" i="17" s="1"/>
  <c r="B36" i="17" s="1"/>
  <c r="M13" i="10"/>
  <c r="C12" i="17" s="1"/>
  <c r="C36" i="17" s="1"/>
  <c r="L14" i="10"/>
  <c r="B13" i="17" s="1"/>
  <c r="B39" i="17" s="1"/>
  <c r="M14" i="10"/>
  <c r="C13" i="17" s="1"/>
  <c r="C39" i="17" s="1"/>
  <c r="L15" i="10"/>
  <c r="B14" i="17" s="1"/>
  <c r="B40" i="17" s="1"/>
  <c r="M15" i="10"/>
  <c r="C14" i="17" s="1"/>
  <c r="C40" i="17" s="1"/>
  <c r="C13" i="10"/>
  <c r="D13" i="10"/>
  <c r="C14" i="10"/>
  <c r="D14" i="10"/>
  <c r="C15" i="10"/>
  <c r="D15" i="10"/>
  <c r="D8" i="10"/>
  <c r="D9" i="10"/>
  <c r="D10" i="10"/>
  <c r="D11" i="10"/>
  <c r="D12" i="10"/>
  <c r="D19" i="10"/>
  <c r="E68" i="49"/>
  <c r="E113" i="49" s="1"/>
  <c r="L18" i="10"/>
  <c r="B17" i="17" s="1"/>
  <c r="B44" i="17" s="1"/>
  <c r="M18" i="10"/>
  <c r="C17" i="17" s="1"/>
  <c r="C44" i="17" s="1"/>
  <c r="C18" i="10"/>
  <c r="D18" i="10"/>
  <c r="M8" i="10"/>
  <c r="C7" i="17" s="1"/>
  <c r="C23" i="17" s="1"/>
  <c r="M9" i="10"/>
  <c r="C8" i="17" s="1"/>
  <c r="C26" i="17" s="1"/>
  <c r="M10" i="10"/>
  <c r="C9" i="17" s="1"/>
  <c r="C33" i="17" s="1"/>
  <c r="M11" i="10"/>
  <c r="C10" i="17"/>
  <c r="C34" i="17" s="1"/>
  <c r="B59" i="48"/>
  <c r="B60" i="48"/>
  <c r="B88" i="48" s="1"/>
  <c r="B115" i="48" s="1"/>
  <c r="B61" i="48"/>
  <c r="B62" i="48"/>
  <c r="B90" i="48" s="1"/>
  <c r="B117" i="48" s="1"/>
  <c r="B63" i="48"/>
  <c r="B64" i="48"/>
  <c r="B92" i="48" s="1"/>
  <c r="B119" i="48" s="1"/>
  <c r="B65" i="48"/>
  <c r="B93" i="48" s="1"/>
  <c r="B120" i="48" s="1"/>
  <c r="B66" i="48"/>
  <c r="B67" i="48"/>
  <c r="J24" i="49" s="1"/>
  <c r="B68" i="48"/>
  <c r="B70" i="48"/>
  <c r="B98" i="48" s="1"/>
  <c r="B125" i="48" s="1"/>
  <c r="D80" i="48"/>
  <c r="D107" i="48" s="1"/>
  <c r="B182" i="42"/>
  <c r="B181" i="42"/>
  <c r="B180" i="42"/>
  <c r="B179" i="42"/>
  <c r="B178" i="42"/>
  <c r="B177" i="42"/>
  <c r="B176" i="42"/>
  <c r="B175" i="42"/>
  <c r="B174" i="42"/>
  <c r="B173" i="42"/>
  <c r="B172" i="42"/>
  <c r="B171" i="42"/>
  <c r="J6" i="48"/>
  <c r="K6" i="48"/>
  <c r="L6" i="48"/>
  <c r="M6" i="48"/>
  <c r="N6" i="48"/>
  <c r="O6" i="48"/>
  <c r="P6" i="48"/>
  <c r="Q6" i="48"/>
  <c r="Q133" i="48" s="1"/>
  <c r="R6" i="48"/>
  <c r="S6" i="48"/>
  <c r="T6" i="48"/>
  <c r="U6" i="48"/>
  <c r="V6" i="48"/>
  <c r="W6" i="48"/>
  <c r="X6" i="48"/>
  <c r="Y6" i="48"/>
  <c r="Y133" i="48" s="1"/>
  <c r="Z6" i="48"/>
  <c r="AA6" i="48"/>
  <c r="AB6" i="48"/>
  <c r="AC6" i="48"/>
  <c r="AD6" i="48"/>
  <c r="AE6" i="48"/>
  <c r="AG6" i="48"/>
  <c r="AH6" i="48"/>
  <c r="AI6" i="48"/>
  <c r="AJ6" i="48"/>
  <c r="J7" i="48"/>
  <c r="K7" i="48"/>
  <c r="L7" i="48"/>
  <c r="M7" i="48"/>
  <c r="N7" i="48"/>
  <c r="O7" i="48"/>
  <c r="O17" i="48" s="1"/>
  <c r="U49" i="49" s="1"/>
  <c r="P7" i="48"/>
  <c r="Q7" i="48"/>
  <c r="R7" i="48"/>
  <c r="S7" i="48"/>
  <c r="S17" i="48" s="1"/>
  <c r="Y49" i="49" s="1"/>
  <c r="T7" i="48"/>
  <c r="U7" i="48"/>
  <c r="V7" i="48"/>
  <c r="W7" i="48"/>
  <c r="W17" i="48" s="1"/>
  <c r="AC49" i="49" s="1"/>
  <c r="X7" i="48"/>
  <c r="X17" i="48" s="1"/>
  <c r="AD49" i="49" s="1"/>
  <c r="Y7" i="48"/>
  <c r="U132" i="48" s="1"/>
  <c r="Z7" i="48"/>
  <c r="AA7" i="48"/>
  <c r="AB7" i="48"/>
  <c r="AC7" i="48"/>
  <c r="AD7" i="48"/>
  <c r="AD17" i="48" s="1"/>
  <c r="AJ49" i="49" s="1"/>
  <c r="AE7" i="48"/>
  <c r="AF7" i="48"/>
  <c r="AF17" i="48" s="1"/>
  <c r="AL49" i="49" s="1"/>
  <c r="AG7" i="48"/>
  <c r="AH7" i="48"/>
  <c r="AI7" i="48"/>
  <c r="AJ7" i="48"/>
  <c r="I7" i="48"/>
  <c r="I6" i="48"/>
  <c r="J35" i="48"/>
  <c r="K35" i="48"/>
  <c r="L35" i="48"/>
  <c r="M35" i="48"/>
  <c r="N35" i="48"/>
  <c r="O35" i="48"/>
  <c r="P35" i="48"/>
  <c r="Q35" i="48"/>
  <c r="R35" i="48"/>
  <c r="S35" i="48"/>
  <c r="T35" i="48"/>
  <c r="U35" i="48"/>
  <c r="V35" i="48"/>
  <c r="W35" i="48"/>
  <c r="X35" i="48"/>
  <c r="Y35" i="48"/>
  <c r="Z35" i="48"/>
  <c r="AA35" i="48"/>
  <c r="AB35" i="48"/>
  <c r="AC35" i="48"/>
  <c r="AD35" i="48"/>
  <c r="AE35" i="48"/>
  <c r="AF35" i="48"/>
  <c r="AG35" i="48"/>
  <c r="AH35" i="48"/>
  <c r="AI35" i="48"/>
  <c r="AJ35" i="48"/>
  <c r="J36" i="48"/>
  <c r="K36" i="48"/>
  <c r="L36" i="48"/>
  <c r="M36" i="48"/>
  <c r="N36" i="48"/>
  <c r="O36" i="48"/>
  <c r="P36" i="48"/>
  <c r="Q36" i="48"/>
  <c r="R36" i="48"/>
  <c r="S36" i="48"/>
  <c r="T36" i="48"/>
  <c r="U36" i="48"/>
  <c r="V36" i="48"/>
  <c r="W36" i="48"/>
  <c r="X36" i="48"/>
  <c r="Y36" i="48"/>
  <c r="Z36" i="48"/>
  <c r="AA36" i="48"/>
  <c r="AB36" i="48"/>
  <c r="AC36" i="48"/>
  <c r="AD36" i="48"/>
  <c r="AE36" i="48"/>
  <c r="AF36" i="48"/>
  <c r="AG36" i="48"/>
  <c r="AH36" i="48"/>
  <c r="AI36" i="48"/>
  <c r="AJ36" i="48"/>
  <c r="Z17" i="48"/>
  <c r="AF49" i="49" s="1"/>
  <c r="R17" i="48"/>
  <c r="X49" i="49" s="1"/>
  <c r="J17" i="48"/>
  <c r="P49" i="49" s="1"/>
  <c r="AH17" i="48"/>
  <c r="AN49" i="49" s="1"/>
  <c r="B95" i="48"/>
  <c r="B122" i="48" s="1"/>
  <c r="B91" i="48"/>
  <c r="B118" i="48" s="1"/>
  <c r="B89" i="48"/>
  <c r="B116" i="48" s="1"/>
  <c r="B87" i="48"/>
  <c r="B114" i="48" s="1"/>
  <c r="B94" i="48"/>
  <c r="B121" i="48" s="1"/>
  <c r="C87" i="48"/>
  <c r="C114" i="48" s="1"/>
  <c r="L16" i="49"/>
  <c r="E98" i="48"/>
  <c r="E125" i="48" s="1"/>
  <c r="E96" i="48"/>
  <c r="E123" i="48" s="1"/>
  <c r="E109" i="42"/>
  <c r="D109" i="42"/>
  <c r="B109" i="42"/>
  <c r="C109" i="42"/>
  <c r="E137" i="42"/>
  <c r="E142" i="42"/>
  <c r="B135" i="42"/>
  <c r="C135" i="42"/>
  <c r="B136" i="42"/>
  <c r="C136" i="42"/>
  <c r="B137" i="42"/>
  <c r="C137" i="42"/>
  <c r="D137" i="42"/>
  <c r="D138" i="42"/>
  <c r="D139" i="42"/>
  <c r="D140" i="42"/>
  <c r="D141" i="42"/>
  <c r="D142" i="42"/>
  <c r="D132" i="42"/>
  <c r="D133" i="42"/>
  <c r="D134" i="42"/>
  <c r="D135" i="42"/>
  <c r="D136" i="42"/>
  <c r="D118" i="42"/>
  <c r="E118" i="42"/>
  <c r="D119" i="42"/>
  <c r="E119" i="42"/>
  <c r="D120" i="42"/>
  <c r="E120" i="42"/>
  <c r="D121" i="42"/>
  <c r="E121" i="42"/>
  <c r="D122" i="42"/>
  <c r="E122" i="42"/>
  <c r="D123" i="42"/>
  <c r="E123" i="42"/>
  <c r="E129" i="42"/>
  <c r="D129" i="42"/>
  <c r="E110" i="42"/>
  <c r="D110" i="42"/>
  <c r="E125" i="42"/>
  <c r="D125" i="42"/>
  <c r="D113" i="42"/>
  <c r="E113" i="42"/>
  <c r="D114" i="42"/>
  <c r="E114" i="42"/>
  <c r="D115" i="42"/>
  <c r="E115" i="42"/>
  <c r="D116" i="42"/>
  <c r="E116" i="42"/>
  <c r="D117" i="42"/>
  <c r="E117" i="42"/>
  <c r="E112" i="42"/>
  <c r="B113" i="42"/>
  <c r="C113" i="42"/>
  <c r="B114" i="42"/>
  <c r="C114" i="42"/>
  <c r="B115" i="42"/>
  <c r="C115" i="42"/>
  <c r="B116" i="42"/>
  <c r="C116" i="42"/>
  <c r="B117" i="42"/>
  <c r="C117" i="42"/>
  <c r="D112" i="42"/>
  <c r="F37" i="4"/>
  <c r="G37" i="4"/>
  <c r="H37" i="4"/>
  <c r="I37" i="4"/>
  <c r="J37" i="4"/>
  <c r="K37" i="4"/>
  <c r="L37" i="4"/>
  <c r="M37" i="4"/>
  <c r="N37" i="4"/>
  <c r="O37" i="4"/>
  <c r="P37" i="4"/>
  <c r="Q37" i="4"/>
  <c r="R37" i="4"/>
  <c r="S37" i="4"/>
  <c r="T37" i="4"/>
  <c r="U37" i="4"/>
  <c r="V37" i="4"/>
  <c r="W37" i="4"/>
  <c r="X37" i="4"/>
  <c r="Y37" i="4"/>
  <c r="Z37" i="4"/>
  <c r="AA37" i="4"/>
  <c r="AB37" i="4"/>
  <c r="AC37" i="4"/>
  <c r="AD37" i="4"/>
  <c r="AE37" i="4"/>
  <c r="AF37" i="4"/>
  <c r="F41" i="4"/>
  <c r="G41" i="4"/>
  <c r="H41" i="4"/>
  <c r="I41" i="4"/>
  <c r="J41" i="4"/>
  <c r="K41" i="4"/>
  <c r="L41" i="4"/>
  <c r="M41" i="4"/>
  <c r="N41" i="4"/>
  <c r="O41" i="4"/>
  <c r="P41" i="4"/>
  <c r="Q41" i="4"/>
  <c r="R41" i="4"/>
  <c r="S41" i="4"/>
  <c r="T41" i="4"/>
  <c r="U41" i="4"/>
  <c r="V41" i="4"/>
  <c r="W41" i="4"/>
  <c r="X41" i="4"/>
  <c r="Y41" i="4"/>
  <c r="AA41" i="4"/>
  <c r="AB41" i="4"/>
  <c r="AC41" i="4"/>
  <c r="AD41" i="4"/>
  <c r="AE41" i="4"/>
  <c r="AF41" i="4"/>
  <c r="F42" i="4"/>
  <c r="G42" i="4"/>
  <c r="H42" i="4"/>
  <c r="I42" i="4"/>
  <c r="J42" i="4"/>
  <c r="K42" i="4"/>
  <c r="L42" i="4"/>
  <c r="M42" i="4"/>
  <c r="N42" i="4"/>
  <c r="O42" i="4"/>
  <c r="P42" i="4"/>
  <c r="Q42" i="4"/>
  <c r="R42" i="4"/>
  <c r="S42" i="4"/>
  <c r="T42" i="4"/>
  <c r="U42" i="4"/>
  <c r="V42" i="4"/>
  <c r="W42" i="4"/>
  <c r="X42" i="4"/>
  <c r="Y42" i="4"/>
  <c r="Z42" i="4"/>
  <c r="AA42" i="4"/>
  <c r="AB42" i="4"/>
  <c r="AC42" i="4"/>
  <c r="AD42" i="4"/>
  <c r="AE42" i="4"/>
  <c r="AF42" i="4"/>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F44" i="4"/>
  <c r="G44" i="4"/>
  <c r="H44" i="4"/>
  <c r="I44" i="4"/>
  <c r="J44" i="4"/>
  <c r="K44" i="4"/>
  <c r="L44" i="4"/>
  <c r="M44" i="4"/>
  <c r="N44" i="4"/>
  <c r="O44" i="4"/>
  <c r="P44" i="4"/>
  <c r="Q44" i="4"/>
  <c r="R44" i="4"/>
  <c r="S44" i="4"/>
  <c r="T44" i="4"/>
  <c r="U44" i="4"/>
  <c r="V44" i="4"/>
  <c r="W44" i="4"/>
  <c r="X44" i="4"/>
  <c r="Y44" i="4"/>
  <c r="Z44" i="4"/>
  <c r="AA44" i="4"/>
  <c r="AB44" i="4"/>
  <c r="AC44" i="4"/>
  <c r="AD44" i="4"/>
  <c r="AE44" i="4"/>
  <c r="AF44" i="4"/>
  <c r="F45" i="4"/>
  <c r="G45" i="4"/>
  <c r="H45" i="4"/>
  <c r="I45" i="4"/>
  <c r="J45" i="4"/>
  <c r="K45" i="4"/>
  <c r="L45" i="4"/>
  <c r="M45" i="4"/>
  <c r="N45" i="4"/>
  <c r="O45" i="4"/>
  <c r="P45" i="4"/>
  <c r="Q45" i="4"/>
  <c r="R45" i="4"/>
  <c r="S45" i="4"/>
  <c r="T45" i="4"/>
  <c r="U45" i="4"/>
  <c r="V45" i="4"/>
  <c r="W45" i="4"/>
  <c r="X45" i="4"/>
  <c r="Y45" i="4"/>
  <c r="Z45" i="4"/>
  <c r="AA45" i="4"/>
  <c r="AB45" i="4"/>
  <c r="AC45" i="4"/>
  <c r="AD45" i="4"/>
  <c r="AE45" i="4"/>
  <c r="AF45" i="4"/>
  <c r="F46" i="4"/>
  <c r="G46" i="4"/>
  <c r="H46" i="4"/>
  <c r="I46" i="4"/>
  <c r="J46" i="4"/>
  <c r="K46" i="4"/>
  <c r="L46" i="4"/>
  <c r="M46" i="4"/>
  <c r="N46" i="4"/>
  <c r="O46" i="4"/>
  <c r="P46" i="4"/>
  <c r="Q46" i="4"/>
  <c r="R46" i="4"/>
  <c r="S46" i="4"/>
  <c r="T46" i="4"/>
  <c r="U46" i="4"/>
  <c r="V46" i="4"/>
  <c r="W46" i="4"/>
  <c r="X46" i="4"/>
  <c r="Y46" i="4"/>
  <c r="Z46" i="4"/>
  <c r="AA46" i="4"/>
  <c r="AB46" i="4"/>
  <c r="AC46" i="4"/>
  <c r="AD46" i="4"/>
  <c r="AE46" i="4"/>
  <c r="AF46" i="4"/>
  <c r="E42" i="4"/>
  <c r="E45" i="4"/>
  <c r="E44" i="4"/>
  <c r="E43" i="4"/>
  <c r="E41" i="4"/>
  <c r="E37" i="4"/>
  <c r="C48" i="4"/>
  <c r="D48" i="4"/>
  <c r="D37" i="4"/>
  <c r="C37" i="4"/>
  <c r="B102" i="42"/>
  <c r="C102" i="42"/>
  <c r="B103" i="42"/>
  <c r="C103" i="42"/>
  <c r="B107" i="42"/>
  <c r="C107" i="42"/>
  <c r="D107" i="42"/>
  <c r="E107" i="42"/>
  <c r="D97" i="42"/>
  <c r="E97" i="42"/>
  <c r="D98" i="42"/>
  <c r="E98" i="42"/>
  <c r="D99" i="42"/>
  <c r="E99" i="42"/>
  <c r="D100" i="42"/>
  <c r="E100" i="42"/>
  <c r="D101" i="42"/>
  <c r="E101" i="42"/>
  <c r="D102" i="42"/>
  <c r="E102" i="42"/>
  <c r="D103" i="42"/>
  <c r="E103" i="42"/>
  <c r="D104" i="42"/>
  <c r="E104" i="42"/>
  <c r="D105" i="42"/>
  <c r="E105" i="42"/>
  <c r="D106" i="42"/>
  <c r="E106" i="42"/>
  <c r="E96" i="42"/>
  <c r="D96" i="42"/>
  <c r="B125" i="42"/>
  <c r="C125" i="42"/>
  <c r="D89" i="42"/>
  <c r="E89" i="42"/>
  <c r="D85" i="42"/>
  <c r="E85" i="42"/>
  <c r="D86" i="42"/>
  <c r="E86" i="42"/>
  <c r="D87" i="42"/>
  <c r="E87" i="42"/>
  <c r="D88" i="42"/>
  <c r="E88" i="42"/>
  <c r="E84" i="42"/>
  <c r="D84" i="42"/>
  <c r="C89" i="42"/>
  <c r="B89" i="42"/>
  <c r="C88" i="42"/>
  <c r="B88" i="42"/>
  <c r="C87" i="42"/>
  <c r="B87" i="42"/>
  <c r="C86" i="42"/>
  <c r="B86" i="42"/>
  <c r="C85" i="42"/>
  <c r="B85" i="42"/>
  <c r="C84" i="42"/>
  <c r="B84" i="42"/>
  <c r="D78" i="42"/>
  <c r="E78" i="42"/>
  <c r="D79" i="42"/>
  <c r="E79" i="42"/>
  <c r="D80" i="42"/>
  <c r="E80" i="42"/>
  <c r="D81" i="42"/>
  <c r="E81" i="42"/>
  <c r="D82" i="42"/>
  <c r="E82" i="42"/>
  <c r="E77" i="42"/>
  <c r="D77" i="42"/>
  <c r="D71" i="42"/>
  <c r="E71" i="42"/>
  <c r="D72" i="42"/>
  <c r="E72" i="42"/>
  <c r="D73" i="42"/>
  <c r="E73" i="42"/>
  <c r="D74" i="42"/>
  <c r="E74" i="42"/>
  <c r="D75" i="42"/>
  <c r="E75" i="42"/>
  <c r="E70" i="42"/>
  <c r="D70" i="42"/>
  <c r="D64" i="42"/>
  <c r="E64" i="42"/>
  <c r="D65" i="42"/>
  <c r="E65" i="42"/>
  <c r="D66" i="42"/>
  <c r="E66" i="42"/>
  <c r="D67" i="42"/>
  <c r="E67" i="42"/>
  <c r="D68" i="42"/>
  <c r="E68" i="42"/>
  <c r="E63" i="42"/>
  <c r="D63" i="42"/>
  <c r="D57" i="42"/>
  <c r="E57" i="42"/>
  <c r="D58" i="42"/>
  <c r="E58" i="42"/>
  <c r="D59" i="42"/>
  <c r="E59" i="42"/>
  <c r="D60" i="42"/>
  <c r="E60" i="42"/>
  <c r="D61" i="42"/>
  <c r="E61" i="42"/>
  <c r="E56" i="42"/>
  <c r="D56" i="42"/>
  <c r="D50" i="42"/>
  <c r="E50" i="42"/>
  <c r="D51" i="42"/>
  <c r="E51" i="42"/>
  <c r="D52" i="42"/>
  <c r="E52" i="42"/>
  <c r="D53" i="42"/>
  <c r="E53" i="42"/>
  <c r="D54" i="42"/>
  <c r="E54" i="42"/>
  <c r="E49" i="42"/>
  <c r="D49" i="42"/>
  <c r="D43" i="42"/>
  <c r="E43" i="42"/>
  <c r="D44" i="42"/>
  <c r="E44" i="42"/>
  <c r="D45" i="42"/>
  <c r="E45" i="42"/>
  <c r="D46" i="42"/>
  <c r="E46" i="42"/>
  <c r="D47" i="42"/>
  <c r="E47" i="42"/>
  <c r="E42" i="42"/>
  <c r="D42" i="42"/>
  <c r="D36" i="42"/>
  <c r="E36" i="42"/>
  <c r="D37" i="42"/>
  <c r="E37" i="42"/>
  <c r="D38" i="42"/>
  <c r="E38" i="42"/>
  <c r="D39" i="42"/>
  <c r="E39" i="42"/>
  <c r="D40" i="42"/>
  <c r="E40" i="42"/>
  <c r="E35" i="42"/>
  <c r="D35" i="42"/>
  <c r="D28" i="42"/>
  <c r="E28" i="42"/>
  <c r="D29" i="42"/>
  <c r="E29" i="42"/>
  <c r="D30" i="42"/>
  <c r="E30" i="42"/>
  <c r="D32" i="42"/>
  <c r="E32" i="42"/>
  <c r="D33" i="42"/>
  <c r="E33" i="42"/>
  <c r="E27" i="42"/>
  <c r="D27" i="42"/>
  <c r="D21" i="42"/>
  <c r="E21" i="42"/>
  <c r="D22" i="42"/>
  <c r="E22" i="42"/>
  <c r="D23" i="42"/>
  <c r="E23" i="42"/>
  <c r="D24" i="42"/>
  <c r="E24" i="42"/>
  <c r="D25" i="42"/>
  <c r="E25" i="42"/>
  <c r="E20" i="42"/>
  <c r="D20" i="42"/>
  <c r="D14" i="42"/>
  <c r="E14" i="42"/>
  <c r="D15" i="42"/>
  <c r="E15" i="42"/>
  <c r="D16" i="42"/>
  <c r="E16" i="42"/>
  <c r="D17" i="42"/>
  <c r="E17" i="42"/>
  <c r="D18" i="42"/>
  <c r="E18" i="42"/>
  <c r="E13" i="42"/>
  <c r="D13" i="42"/>
  <c r="D7" i="42"/>
  <c r="E7" i="42"/>
  <c r="D8" i="42"/>
  <c r="E8" i="42"/>
  <c r="D9" i="42"/>
  <c r="E9" i="42"/>
  <c r="D10" i="42"/>
  <c r="E10" i="42"/>
  <c r="D11" i="42"/>
  <c r="E11" i="42"/>
  <c r="E6" i="42"/>
  <c r="D6" i="42"/>
  <c r="C18" i="42"/>
  <c r="B18" i="42"/>
  <c r="C17" i="42"/>
  <c r="B17" i="42"/>
  <c r="C16" i="42"/>
  <c r="Z16" i="42" s="1"/>
  <c r="B16" i="42"/>
  <c r="C15" i="42"/>
  <c r="B15" i="42"/>
  <c r="C14" i="42"/>
  <c r="B14" i="42"/>
  <c r="C13" i="42"/>
  <c r="B13" i="42"/>
  <c r="C25" i="42"/>
  <c r="B25" i="42"/>
  <c r="C24" i="42"/>
  <c r="B24" i="42"/>
  <c r="C23" i="42"/>
  <c r="B23" i="42"/>
  <c r="C22" i="42"/>
  <c r="B22" i="42"/>
  <c r="C21" i="42"/>
  <c r="AH21" i="42" s="1"/>
  <c r="B21" i="42"/>
  <c r="C20" i="42"/>
  <c r="B20" i="42"/>
  <c r="C33" i="42"/>
  <c r="B33" i="42"/>
  <c r="C32" i="42"/>
  <c r="B32" i="42"/>
  <c r="C30" i="42"/>
  <c r="B30" i="42"/>
  <c r="C29" i="42"/>
  <c r="B29" i="42"/>
  <c r="C28" i="42"/>
  <c r="B28" i="42"/>
  <c r="C27" i="42"/>
  <c r="B27" i="42"/>
  <c r="U16" i="55"/>
  <c r="AB60" i="56" s="1"/>
  <c r="O32" i="55"/>
  <c r="V76" i="56" s="1"/>
  <c r="O20" i="55"/>
  <c r="V64" i="56" s="1"/>
  <c r="W16" i="55"/>
  <c r="AD60" i="56" s="1"/>
  <c r="R20" i="55"/>
  <c r="Y64" i="56" s="1"/>
  <c r="AI20" i="55"/>
  <c r="AP64" i="56" s="1"/>
  <c r="AJ20" i="55"/>
  <c r="AQ64" i="56" s="1"/>
  <c r="AJ32" i="55"/>
  <c r="AQ76" i="56" s="1"/>
  <c r="AJ16" i="55"/>
  <c r="AQ60" i="56" s="1"/>
  <c r="Z20" i="55"/>
  <c r="AG64" i="56" s="1"/>
  <c r="Z32" i="55"/>
  <c r="AG76" i="56" s="1"/>
  <c r="Z16" i="55"/>
  <c r="AG60" i="56" s="1"/>
  <c r="AF32" i="55"/>
  <c r="AM76" i="56" s="1"/>
  <c r="V89" i="42"/>
  <c r="S88" i="42"/>
  <c r="H89" i="42"/>
  <c r="S89" i="42"/>
  <c r="P88" i="42"/>
  <c r="H20" i="42"/>
  <c r="H49" i="42" s="1"/>
  <c r="H88" i="42"/>
  <c r="H32" i="42"/>
  <c r="N89" i="42"/>
  <c r="K88" i="42"/>
  <c r="AH85" i="42"/>
  <c r="AE84" i="42"/>
  <c r="H27" i="42"/>
  <c r="K89" i="42"/>
  <c r="AH86" i="42"/>
  <c r="AE85" i="42"/>
  <c r="AB84" i="42"/>
  <c r="AI88" i="42"/>
  <c r="Z85" i="42"/>
  <c r="W84" i="42"/>
  <c r="H85" i="42"/>
  <c r="AI89" i="42"/>
  <c r="AF88" i="42"/>
  <c r="W85" i="42"/>
  <c r="O84" i="42"/>
  <c r="AD89" i="42"/>
  <c r="AA88" i="42"/>
  <c r="R85" i="42"/>
  <c r="I13" i="42"/>
  <c r="Q13" i="42"/>
  <c r="Y13" i="42"/>
  <c r="AG13" i="42"/>
  <c r="AB14" i="42"/>
  <c r="M17" i="42"/>
  <c r="U17" i="42"/>
  <c r="AC17" i="42"/>
  <c r="K20" i="42"/>
  <c r="K49" i="42" s="1"/>
  <c r="S20" i="42"/>
  <c r="S49" i="42" s="1"/>
  <c r="AA20" i="42"/>
  <c r="AA49" i="42" s="1"/>
  <c r="AI20" i="42"/>
  <c r="AI49" i="42" s="1"/>
  <c r="I22" i="42"/>
  <c r="I51" i="42" s="1"/>
  <c r="Q22" i="42"/>
  <c r="Q51" i="42" s="1"/>
  <c r="Y22" i="42"/>
  <c r="Y51" i="42" s="1"/>
  <c r="AG22" i="42"/>
  <c r="AG51" i="42" s="1"/>
  <c r="M27" i="42"/>
  <c r="U27" i="42"/>
  <c r="AC27" i="42"/>
  <c r="J13" i="42"/>
  <c r="R13" i="42"/>
  <c r="Z13" i="42"/>
  <c r="AH13" i="42"/>
  <c r="K13" i="42"/>
  <c r="S13" i="42"/>
  <c r="AA13" i="42"/>
  <c r="AI13" i="42"/>
  <c r="L13" i="42"/>
  <c r="M13" i="42"/>
  <c r="U13" i="42"/>
  <c r="AC13" i="42"/>
  <c r="S15" i="42"/>
  <c r="I17" i="42"/>
  <c r="Q17" i="42"/>
  <c r="Y17" i="42"/>
  <c r="AG17" i="42"/>
  <c r="AB18" i="42"/>
  <c r="O20" i="42"/>
  <c r="O49" i="42" s="1"/>
  <c r="W20" i="42"/>
  <c r="W49" i="42" s="1"/>
  <c r="AE20" i="42"/>
  <c r="M22" i="42"/>
  <c r="M51" i="42" s="1"/>
  <c r="U22" i="42"/>
  <c r="U51" i="42" s="1"/>
  <c r="AC22" i="42"/>
  <c r="AC51" i="42" s="1"/>
  <c r="N13" i="42"/>
  <c r="V13" i="42"/>
  <c r="AD13" i="42"/>
  <c r="Q14" i="42"/>
  <c r="J17" i="42"/>
  <c r="R17" i="42"/>
  <c r="Z17" i="42"/>
  <c r="AH17" i="42"/>
  <c r="AC18" i="42"/>
  <c r="P20" i="42"/>
  <c r="P49" i="42" s="1"/>
  <c r="X20" i="42"/>
  <c r="X49" i="42" s="1"/>
  <c r="AF20" i="42"/>
  <c r="AF49" i="42" s="1"/>
  <c r="N22" i="42"/>
  <c r="N51" i="42" s="1"/>
  <c r="V22" i="42"/>
  <c r="V51" i="42" s="1"/>
  <c r="AD22" i="42"/>
  <c r="AD51" i="42" s="1"/>
  <c r="L24" i="42"/>
  <c r="L53" i="42" s="1"/>
  <c r="J27" i="42"/>
  <c r="O13" i="42"/>
  <c r="W13" i="42"/>
  <c r="AE13" i="42"/>
  <c r="P13" i="42"/>
  <c r="I15" i="42"/>
  <c r="T17" i="42"/>
  <c r="AF17" i="42"/>
  <c r="M20" i="42"/>
  <c r="M49" i="42" s="1"/>
  <c r="Z20" i="42"/>
  <c r="Z49" i="42" s="1"/>
  <c r="S22" i="42"/>
  <c r="S51" i="42" s="1"/>
  <c r="AF22" i="42"/>
  <c r="AF51" i="42" s="1"/>
  <c r="O23" i="42"/>
  <c r="O52" i="42" s="1"/>
  <c r="P27" i="42"/>
  <c r="Y27" i="42"/>
  <c r="AH27" i="42"/>
  <c r="W28" i="42"/>
  <c r="M29" i="42"/>
  <c r="K32" i="42"/>
  <c r="S32" i="42"/>
  <c r="AA32" i="42"/>
  <c r="AI32" i="42"/>
  <c r="T13" i="42"/>
  <c r="J15" i="42"/>
  <c r="V17" i="42"/>
  <c r="AI17" i="42"/>
  <c r="N20" i="42"/>
  <c r="AB20" i="42"/>
  <c r="AB49" i="42" s="1"/>
  <c r="T22" i="42"/>
  <c r="T51" i="42" s="1"/>
  <c r="AH22" i="42"/>
  <c r="AH51" i="42" s="1"/>
  <c r="K24" i="42"/>
  <c r="K53" i="42" s="1"/>
  <c r="Q27" i="42"/>
  <c r="Z27" i="42"/>
  <c r="AI27" i="42"/>
  <c r="O28" i="42"/>
  <c r="V29" i="42"/>
  <c r="L32" i="42"/>
  <c r="T32" i="42"/>
  <c r="AB32" i="42"/>
  <c r="X13" i="42"/>
  <c r="K17" i="42"/>
  <c r="W17" i="42"/>
  <c r="Q20" i="42"/>
  <c r="AC20" i="42"/>
  <c r="AC49" i="42" s="1"/>
  <c r="J22" i="42"/>
  <c r="J51" i="42" s="1"/>
  <c r="W22" i="42"/>
  <c r="AI22" i="42"/>
  <c r="AI51" i="42" s="1"/>
  <c r="X24" i="42"/>
  <c r="X53" i="42" s="1"/>
  <c r="R27" i="42"/>
  <c r="AA27" i="42"/>
  <c r="M32" i="42"/>
  <c r="U32" i="42"/>
  <c r="AC32" i="42"/>
  <c r="AB13" i="42"/>
  <c r="L17" i="42"/>
  <c r="X17" i="42"/>
  <c r="R20" i="42"/>
  <c r="R49" i="42" s="1"/>
  <c r="AD20" i="42"/>
  <c r="AD49" i="42" s="1"/>
  <c r="K22" i="42"/>
  <c r="K51" i="42" s="1"/>
  <c r="X22" i="42"/>
  <c r="X51" i="42" s="1"/>
  <c r="I27" i="42"/>
  <c r="S27" i="42"/>
  <c r="AB27" i="42"/>
  <c r="N32" i="42"/>
  <c r="V32" i="42"/>
  <c r="AD32" i="42"/>
  <c r="AF13" i="42"/>
  <c r="Q15" i="42"/>
  <c r="N17" i="42"/>
  <c r="AA17" i="42"/>
  <c r="J18" i="42"/>
  <c r="T20" i="42"/>
  <c r="T49" i="42" s="1"/>
  <c r="AG20" i="42"/>
  <c r="AG49" i="42" s="1"/>
  <c r="L22" i="42"/>
  <c r="Z22" i="42"/>
  <c r="Z51" i="42" s="1"/>
  <c r="K27" i="42"/>
  <c r="T27" i="42"/>
  <c r="AD27" i="42"/>
  <c r="J28" i="42"/>
  <c r="Y29" i="42"/>
  <c r="O32" i="42"/>
  <c r="W32" i="42"/>
  <c r="AE32" i="42"/>
  <c r="O17" i="42"/>
  <c r="AB17" i="42"/>
  <c r="I20" i="42"/>
  <c r="U20" i="42"/>
  <c r="AH20" i="42"/>
  <c r="AH49" i="42" s="1"/>
  <c r="O22" i="42"/>
  <c r="O51" i="42" s="1"/>
  <c r="AA22" i="42"/>
  <c r="AA51" i="42" s="1"/>
  <c r="AI23" i="42"/>
  <c r="AA24" i="42"/>
  <c r="AA53" i="42" s="1"/>
  <c r="L27" i="42"/>
  <c r="V27" i="42"/>
  <c r="AE27" i="42"/>
  <c r="P32" i="42"/>
  <c r="X32" i="42"/>
  <c r="AF32" i="42"/>
  <c r="S33" i="42"/>
  <c r="P17" i="42"/>
  <c r="AD17" i="42"/>
  <c r="J20" i="42"/>
  <c r="J49" i="42" s="1"/>
  <c r="V20" i="42"/>
  <c r="V49" i="42" s="1"/>
  <c r="P22" i="42"/>
  <c r="P51" i="42" s="1"/>
  <c r="AB22" i="42"/>
  <c r="AB51" i="42" s="1"/>
  <c r="N27" i="42"/>
  <c r="W27" i="42"/>
  <c r="AF27" i="42"/>
  <c r="J29" i="42"/>
  <c r="Q32" i="42"/>
  <c r="Y32" i="42"/>
  <c r="AG32" i="42"/>
  <c r="AB33" i="42"/>
  <c r="AE22" i="42"/>
  <c r="AE51" i="42" s="1"/>
  <c r="Z32" i="42"/>
  <c r="AI14" i="42"/>
  <c r="O27" i="42"/>
  <c r="AH32" i="42"/>
  <c r="V15" i="42"/>
  <c r="L20" i="42"/>
  <c r="L49" i="42" s="1"/>
  <c r="X27" i="42"/>
  <c r="Y20" i="42"/>
  <c r="Y49" i="42" s="1"/>
  <c r="AG27" i="42"/>
  <c r="AC33" i="42"/>
  <c r="AD24" i="42"/>
  <c r="AD53" i="42" s="1"/>
  <c r="S17" i="42"/>
  <c r="J32" i="42"/>
  <c r="AE17" i="42"/>
  <c r="R22" i="42"/>
  <c r="R51" i="42" s="1"/>
  <c r="R32" i="42"/>
  <c r="P84" i="42"/>
  <c r="X84" i="42"/>
  <c r="AF84" i="42"/>
  <c r="K85" i="42"/>
  <c r="S85" i="42"/>
  <c r="AA85" i="42"/>
  <c r="AI85" i="42"/>
  <c r="L88" i="42"/>
  <c r="T88" i="42"/>
  <c r="AB88" i="42"/>
  <c r="O89" i="42"/>
  <c r="W89" i="42"/>
  <c r="AE89" i="42"/>
  <c r="H22" i="42"/>
  <c r="H51" i="42" s="1"/>
  <c r="H84" i="42"/>
  <c r="H17" i="42"/>
  <c r="I84" i="42"/>
  <c r="Q84" i="42"/>
  <c r="Y84" i="42"/>
  <c r="AG84" i="42"/>
  <c r="L85" i="42"/>
  <c r="T85" i="42"/>
  <c r="AB85" i="42"/>
  <c r="M88" i="42"/>
  <c r="U88" i="42"/>
  <c r="AC88" i="42"/>
  <c r="P89" i="42"/>
  <c r="X89" i="42"/>
  <c r="AF89" i="42"/>
  <c r="J84" i="42"/>
  <c r="R84" i="42"/>
  <c r="Z84" i="42"/>
  <c r="AH84" i="42"/>
  <c r="M85" i="42"/>
  <c r="U85" i="42"/>
  <c r="AC85" i="42"/>
  <c r="N88" i="42"/>
  <c r="V88" i="42"/>
  <c r="AD88" i="42"/>
  <c r="I89" i="42"/>
  <c r="Q89" i="42"/>
  <c r="Y89" i="42"/>
  <c r="AG89" i="42"/>
  <c r="H13" i="42"/>
  <c r="K84" i="42"/>
  <c r="S84" i="42"/>
  <c r="AA84" i="42"/>
  <c r="AI84" i="42"/>
  <c r="N85" i="42"/>
  <c r="V85" i="42"/>
  <c r="AD85" i="42"/>
  <c r="AG86" i="42"/>
  <c r="O88" i="42"/>
  <c r="W88" i="42"/>
  <c r="AE88" i="42"/>
  <c r="J89" i="42"/>
  <c r="R89" i="42"/>
  <c r="Z89" i="42"/>
  <c r="AH89" i="42"/>
  <c r="L84" i="42"/>
  <c r="T84" i="42"/>
  <c r="M84" i="42"/>
  <c r="U84" i="42"/>
  <c r="AC84" i="42"/>
  <c r="P85" i="42"/>
  <c r="X85" i="42"/>
  <c r="AF85" i="42"/>
  <c r="AA86" i="42"/>
  <c r="I88" i="42"/>
  <c r="Q88" i="42"/>
  <c r="Y88" i="42"/>
  <c r="AG88" i="42"/>
  <c r="L89" i="42"/>
  <c r="T89" i="42"/>
  <c r="AB89" i="42"/>
  <c r="N84" i="42"/>
  <c r="V84" i="42"/>
  <c r="AD84" i="42"/>
  <c r="I85" i="42"/>
  <c r="Q85" i="42"/>
  <c r="Y85" i="42"/>
  <c r="AG85" i="42"/>
  <c r="J88" i="42"/>
  <c r="R88" i="42"/>
  <c r="Z88" i="42"/>
  <c r="AH88" i="42"/>
  <c r="M89" i="42"/>
  <c r="U89" i="42"/>
  <c r="AC89" i="42"/>
  <c r="AA89" i="42"/>
  <c r="X88" i="42"/>
  <c r="R86" i="42"/>
  <c r="O85" i="42"/>
  <c r="O26" i="48"/>
  <c r="W26" i="48"/>
  <c r="P26" i="48"/>
  <c r="X26" i="48"/>
  <c r="AF26" i="48"/>
  <c r="Q26" i="48"/>
  <c r="Y26" i="48"/>
  <c r="AG26" i="48"/>
  <c r="J26" i="48"/>
  <c r="R26" i="48"/>
  <c r="Z26" i="48"/>
  <c r="AH26" i="48"/>
  <c r="K26" i="48"/>
  <c r="S26" i="48"/>
  <c r="AA26" i="48"/>
  <c r="AI26" i="48"/>
  <c r="L26" i="48"/>
  <c r="T26" i="48"/>
  <c r="AB26" i="48"/>
  <c r="AJ26" i="48"/>
  <c r="M26" i="48"/>
  <c r="U26" i="48"/>
  <c r="AC26" i="48"/>
  <c r="V26" i="48"/>
  <c r="N26" i="48"/>
  <c r="B52" i="48"/>
  <c r="B80" i="48" s="1"/>
  <c r="B107" i="48" s="1"/>
  <c r="C80" i="48"/>
  <c r="C107" i="48" s="1"/>
  <c r="L9" i="49"/>
  <c r="AD26" i="48"/>
  <c r="AE26" i="48"/>
  <c r="J135" i="48"/>
  <c r="R135" i="48"/>
  <c r="Z135" i="48"/>
  <c r="AH135" i="48"/>
  <c r="K135" i="48"/>
  <c r="S135" i="48"/>
  <c r="AA135" i="48"/>
  <c r="AI135" i="48"/>
  <c r="L135" i="48"/>
  <c r="T135" i="48"/>
  <c r="AB135" i="48"/>
  <c r="AJ135" i="48"/>
  <c r="M135" i="48"/>
  <c r="U135" i="48"/>
  <c r="AC135" i="48"/>
  <c r="N135" i="48"/>
  <c r="V135" i="48"/>
  <c r="AD135" i="48"/>
  <c r="O135" i="48"/>
  <c r="W135" i="48"/>
  <c r="AE135" i="48"/>
  <c r="P135" i="48"/>
  <c r="X135" i="48"/>
  <c r="AF135" i="48"/>
  <c r="Q135" i="48"/>
  <c r="Y135" i="48"/>
  <c r="AG135" i="48"/>
  <c r="I114" i="49"/>
  <c r="I1" i="49"/>
  <c r="H32" i="48"/>
  <c r="S32" i="48" s="1"/>
  <c r="AC32" i="48"/>
  <c r="Y32" i="48"/>
  <c r="K23" i="48"/>
  <c r="S23" i="48"/>
  <c r="AA23" i="48"/>
  <c r="AI23" i="48"/>
  <c r="L23" i="48"/>
  <c r="T23" i="48"/>
  <c r="AB23" i="48"/>
  <c r="AJ23" i="48"/>
  <c r="M23" i="48"/>
  <c r="U23" i="48"/>
  <c r="AC23" i="48"/>
  <c r="N23" i="48"/>
  <c r="V23" i="48"/>
  <c r="AD23" i="48"/>
  <c r="O23" i="48"/>
  <c r="W23" i="48"/>
  <c r="AE23" i="48"/>
  <c r="P23" i="48"/>
  <c r="X23" i="48"/>
  <c r="AF23" i="48"/>
  <c r="Q23" i="48"/>
  <c r="Y23" i="48"/>
  <c r="AG23" i="48"/>
  <c r="R23" i="48"/>
  <c r="Z23" i="48"/>
  <c r="J23" i="48"/>
  <c r="AH23" i="48"/>
  <c r="K19" i="48"/>
  <c r="S19" i="48"/>
  <c r="AA19" i="48"/>
  <c r="AI19" i="48"/>
  <c r="L19" i="48"/>
  <c r="T19" i="48"/>
  <c r="AB19" i="48"/>
  <c r="AJ19" i="48"/>
  <c r="M19" i="48"/>
  <c r="U19" i="48"/>
  <c r="AC19" i="48"/>
  <c r="N19" i="48"/>
  <c r="V19" i="48"/>
  <c r="AD19" i="48"/>
  <c r="O19" i="48"/>
  <c r="W19" i="48"/>
  <c r="AE19" i="48"/>
  <c r="P19" i="48"/>
  <c r="X19" i="48"/>
  <c r="AF19" i="48"/>
  <c r="Q19" i="48"/>
  <c r="Y19" i="48"/>
  <c r="AG19" i="48"/>
  <c r="R19" i="48"/>
  <c r="Z19" i="48"/>
  <c r="AH19" i="48"/>
  <c r="B2" i="59"/>
  <c r="Q18" i="48"/>
  <c r="Y18" i="48"/>
  <c r="N18" i="48"/>
  <c r="V18" i="48"/>
  <c r="O18" i="48"/>
  <c r="W18" i="48"/>
  <c r="K18" i="48"/>
  <c r="X18" i="48"/>
  <c r="AG18" i="48"/>
  <c r="L18" i="48"/>
  <c r="Z18" i="48"/>
  <c r="AH18" i="48"/>
  <c r="M18" i="48"/>
  <c r="AA18" i="48"/>
  <c r="AI18" i="48"/>
  <c r="P18" i="48"/>
  <c r="AB18" i="48"/>
  <c r="AJ18" i="48"/>
  <c r="R18" i="48"/>
  <c r="AC18" i="48"/>
  <c r="S18" i="48"/>
  <c r="AD18" i="48"/>
  <c r="T18" i="48"/>
  <c r="AE18" i="48"/>
  <c r="J18" i="48"/>
  <c r="U18" i="48"/>
  <c r="AF18" i="48"/>
  <c r="Q22" i="48"/>
  <c r="Y22" i="48"/>
  <c r="AG22" i="48"/>
  <c r="J22" i="48"/>
  <c r="R22" i="48"/>
  <c r="Z22" i="48"/>
  <c r="AH22" i="48"/>
  <c r="K22" i="48"/>
  <c r="S22" i="48"/>
  <c r="AA22" i="48"/>
  <c r="AI22" i="48"/>
  <c r="L22" i="48"/>
  <c r="T22" i="48"/>
  <c r="AB22" i="48"/>
  <c r="AJ22" i="48"/>
  <c r="M22" i="48"/>
  <c r="U22" i="48"/>
  <c r="AC22" i="48"/>
  <c r="N22" i="48"/>
  <c r="V22" i="48"/>
  <c r="AD22" i="48"/>
  <c r="O22" i="48"/>
  <c r="W22" i="48"/>
  <c r="AE22" i="48"/>
  <c r="P22" i="48"/>
  <c r="AF22" i="48"/>
  <c r="X22" i="48"/>
  <c r="L14" i="48"/>
  <c r="T14" i="48"/>
  <c r="AB14" i="48"/>
  <c r="AJ14" i="48"/>
  <c r="Q14" i="48"/>
  <c r="Y14" i="48"/>
  <c r="AG14" i="48"/>
  <c r="J14" i="48"/>
  <c r="R14" i="48"/>
  <c r="Z14" i="48"/>
  <c r="AH14" i="48"/>
  <c r="P14" i="48"/>
  <c r="AD14" i="48"/>
  <c r="S14" i="48"/>
  <c r="AE14" i="48"/>
  <c r="U14" i="48"/>
  <c r="AF14" i="48"/>
  <c r="V14" i="48"/>
  <c r="AI14" i="48"/>
  <c r="AC14" i="48"/>
  <c r="K14" i="48"/>
  <c r="W14" i="48"/>
  <c r="M14" i="48"/>
  <c r="X14" i="48"/>
  <c r="N14" i="48"/>
  <c r="AA14" i="48"/>
  <c r="O14" i="48"/>
  <c r="B6" i="58"/>
  <c r="B2" i="58"/>
  <c r="E136" i="48"/>
  <c r="I74" i="55"/>
  <c r="N74" i="55" s="1"/>
  <c r="U118" i="56" s="1"/>
  <c r="R183" i="56"/>
  <c r="I121" i="55"/>
  <c r="I138" i="55"/>
  <c r="I100" i="55"/>
  <c r="I117" i="55"/>
  <c r="I135" i="55"/>
  <c r="I99" i="55"/>
  <c r="I116" i="55"/>
  <c r="I91" i="55"/>
  <c r="I112" i="55"/>
  <c r="I85" i="55"/>
  <c r="I122" i="55"/>
  <c r="I90" i="55"/>
  <c r="I111" i="55"/>
  <c r="I136" i="55"/>
  <c r="I139" i="55"/>
  <c r="I86" i="55"/>
  <c r="I137" i="55"/>
  <c r="I140" i="55"/>
  <c r="I114" i="55"/>
  <c r="I102" i="55"/>
  <c r="I94" i="55"/>
  <c r="I113" i="55"/>
  <c r="I101" i="55"/>
  <c r="I93" i="55"/>
  <c r="I120" i="55"/>
  <c r="I92" i="55"/>
  <c r="I84" i="55"/>
  <c r="I119" i="55"/>
  <c r="I118" i="55"/>
  <c r="I110" i="55"/>
  <c r="I98" i="55"/>
  <c r="I109" i="55"/>
  <c r="I97" i="55"/>
  <c r="I89" i="55"/>
  <c r="I124" i="55"/>
  <c r="I108" i="55"/>
  <c r="AI108" i="55" s="1"/>
  <c r="AP146" i="56" s="1"/>
  <c r="I96" i="55"/>
  <c r="I88" i="55"/>
  <c r="I123" i="55"/>
  <c r="I115" i="55"/>
  <c r="I107" i="55"/>
  <c r="I95" i="55"/>
  <c r="I87" i="55"/>
  <c r="AE74" i="55"/>
  <c r="AL118" i="56" s="1"/>
  <c r="AF74" i="55"/>
  <c r="AM118" i="56" s="1"/>
  <c r="K74" i="55"/>
  <c r="R118" i="56" s="1"/>
  <c r="V74" i="55"/>
  <c r="AC118" i="56"/>
  <c r="S74" i="55"/>
  <c r="Z118" i="56" s="1"/>
  <c r="T74" i="55"/>
  <c r="AA118" i="56" s="1"/>
  <c r="U74" i="55"/>
  <c r="AB118" i="56" s="1"/>
  <c r="AC74" i="55"/>
  <c r="AJ118" i="56" s="1"/>
  <c r="L39" i="48"/>
  <c r="J39" i="48"/>
  <c r="K39" i="48"/>
  <c r="I39" i="48"/>
  <c r="I46" i="48" s="1"/>
  <c r="AE39" i="48"/>
  <c r="AD39" i="48"/>
  <c r="O30" i="48"/>
  <c r="W30" i="48"/>
  <c r="AE30" i="48"/>
  <c r="P30" i="48"/>
  <c r="X30" i="48"/>
  <c r="AF30" i="48"/>
  <c r="Q30" i="48"/>
  <c r="Y30" i="48"/>
  <c r="AG30" i="48"/>
  <c r="J30" i="48"/>
  <c r="R30" i="48"/>
  <c r="Z30" i="48"/>
  <c r="AH30" i="48"/>
  <c r="K30" i="48"/>
  <c r="S30" i="48"/>
  <c r="AA30" i="48"/>
  <c r="AI30" i="48"/>
  <c r="T30" i="48"/>
  <c r="AJ30" i="48"/>
  <c r="L30" i="48"/>
  <c r="AB30" i="48"/>
  <c r="M30" i="48"/>
  <c r="U30" i="48"/>
  <c r="AC30" i="48"/>
  <c r="V30" i="48"/>
  <c r="AD30" i="48"/>
  <c r="N30" i="48"/>
  <c r="H27" i="48"/>
  <c r="R27" i="48" s="1"/>
  <c r="I76" i="55"/>
  <c r="P76" i="55" s="1"/>
  <c r="W120" i="56" s="1"/>
  <c r="AI120" i="55"/>
  <c r="AP158" i="56" s="1"/>
  <c r="Q76" i="55"/>
  <c r="X120" i="56" s="1"/>
  <c r="Y76" i="55"/>
  <c r="AF120" i="56" s="1"/>
  <c r="AG76" i="55"/>
  <c r="AN120" i="56" s="1"/>
  <c r="Z76" i="55"/>
  <c r="AG120" i="56" s="1"/>
  <c r="AH76" i="55"/>
  <c r="AO120" i="56" s="1"/>
  <c r="S76" i="55"/>
  <c r="Z120" i="56" s="1"/>
  <c r="AA76" i="55"/>
  <c r="AH120" i="56" s="1"/>
  <c r="AF76" i="55"/>
  <c r="AM120" i="56" s="1"/>
  <c r="T76" i="55"/>
  <c r="AA120" i="56"/>
  <c r="AB76" i="55"/>
  <c r="AI120" i="56" s="1"/>
  <c r="K76" i="55"/>
  <c r="R120" i="56" s="1"/>
  <c r="M76" i="55"/>
  <c r="T120" i="56" s="1"/>
  <c r="U76" i="55"/>
  <c r="AB120" i="56" s="1"/>
  <c r="X76" i="55"/>
  <c r="AE120" i="56" s="1"/>
  <c r="N76" i="55"/>
  <c r="U120" i="56" s="1"/>
  <c r="V76" i="55"/>
  <c r="AC120" i="56" s="1"/>
  <c r="AD76" i="55"/>
  <c r="AK120" i="56" s="1"/>
  <c r="O76" i="55"/>
  <c r="V120" i="56" s="1"/>
  <c r="AE76" i="55"/>
  <c r="AL120" i="56" s="1"/>
  <c r="Q31" i="48"/>
  <c r="Y31" i="48"/>
  <c r="AG31" i="48"/>
  <c r="J31" i="48"/>
  <c r="R31" i="48"/>
  <c r="Z31" i="48"/>
  <c r="AH31" i="48"/>
  <c r="K31" i="48"/>
  <c r="S31" i="48"/>
  <c r="AA31" i="48"/>
  <c r="AI31" i="48"/>
  <c r="L31" i="48"/>
  <c r="T31" i="48"/>
  <c r="AB31" i="48"/>
  <c r="AJ31" i="48"/>
  <c r="M31" i="48"/>
  <c r="U31" i="48"/>
  <c r="AC31" i="48"/>
  <c r="V31" i="48"/>
  <c r="N31" i="48"/>
  <c r="AD31" i="48"/>
  <c r="O31" i="48"/>
  <c r="W31" i="48"/>
  <c r="AE31" i="48"/>
  <c r="X31" i="48"/>
  <c r="AF31" i="48"/>
  <c r="P31" i="48"/>
  <c r="Y27" i="48"/>
  <c r="AG27" i="48"/>
  <c r="J27" i="48"/>
  <c r="AH27" i="48"/>
  <c r="K27" i="48"/>
  <c r="AA27" i="48"/>
  <c r="AI27" i="48"/>
  <c r="L27" i="48"/>
  <c r="AJ27" i="48"/>
  <c r="M27" i="48"/>
  <c r="AC27" i="48"/>
  <c r="N27" i="48"/>
  <c r="V27" i="48"/>
  <c r="W27" i="48"/>
  <c r="AE27" i="48"/>
  <c r="X27" i="48"/>
  <c r="AF27" i="48"/>
  <c r="P13" i="56"/>
  <c r="C17" i="10"/>
  <c r="D17" i="10"/>
  <c r="L17" i="10"/>
  <c r="B16" i="17" s="1"/>
  <c r="B42" i="17" s="1"/>
  <c r="M17" i="10"/>
  <c r="C16" i="17"/>
  <c r="C42" i="17" s="1"/>
  <c r="K1" i="56"/>
  <c r="M22" i="56"/>
  <c r="E40" i="56"/>
  <c r="E218" i="56" s="1"/>
  <c r="M30" i="56"/>
  <c r="E10" i="56"/>
  <c r="E188" i="56" s="1"/>
  <c r="M39" i="56"/>
  <c r="E12" i="56"/>
  <c r="E190" i="56" s="1"/>
  <c r="E28" i="56"/>
  <c r="M16" i="56"/>
  <c r="E16" i="56"/>
  <c r="E194" i="56" s="1"/>
  <c r="M28" i="56"/>
  <c r="E37" i="56"/>
  <c r="E215" i="56" s="1"/>
  <c r="M40" i="56"/>
  <c r="E15" i="56"/>
  <c r="E193" i="56" s="1"/>
  <c r="B2" i="53"/>
  <c r="B2" i="4"/>
  <c r="N12" i="56"/>
  <c r="N25" i="56"/>
  <c r="N32" i="56"/>
  <c r="I135" i="48"/>
  <c r="E139" i="48"/>
  <c r="E138" i="48"/>
  <c r="E137" i="48"/>
  <c r="I73" i="55"/>
  <c r="AC73" i="55" s="1"/>
  <c r="AJ117" i="56" s="1"/>
  <c r="I72" i="55"/>
  <c r="S72" i="55" s="1"/>
  <c r="B3" i="53"/>
  <c r="Z116" i="56"/>
  <c r="AA72" i="55"/>
  <c r="AH116" i="56" s="1"/>
  <c r="AI72" i="55"/>
  <c r="AP116" i="56" s="1"/>
  <c r="AK72" i="55"/>
  <c r="AR116" i="56" s="1"/>
  <c r="Z72" i="55"/>
  <c r="AG116" i="56" s="1"/>
  <c r="V72" i="55"/>
  <c r="AC116" i="56" s="1"/>
  <c r="W72" i="55"/>
  <c r="AD116" i="56" s="1"/>
  <c r="AE72" i="55"/>
  <c r="AL116" i="56" s="1"/>
  <c r="P72" i="55"/>
  <c r="W116" i="56" s="1"/>
  <c r="R72" i="55"/>
  <c r="Y116" i="56" s="1"/>
  <c r="K72" i="55"/>
  <c r="R116" i="56" s="1"/>
  <c r="O73" i="55"/>
  <c r="V117" i="56" s="1"/>
  <c r="N134" i="48"/>
  <c r="V134" i="48"/>
  <c r="AD134" i="48"/>
  <c r="O134" i="48"/>
  <c r="W134" i="48"/>
  <c r="AE134" i="48"/>
  <c r="P134" i="48"/>
  <c r="X134" i="48"/>
  <c r="AF134" i="48"/>
  <c r="Q134" i="48"/>
  <c r="Y134" i="48"/>
  <c r="AG134" i="48"/>
  <c r="J134" i="48"/>
  <c r="R134" i="48"/>
  <c r="Z134" i="48"/>
  <c r="AH134" i="48"/>
  <c r="K134" i="48"/>
  <c r="S134" i="48"/>
  <c r="AA134" i="48"/>
  <c r="AI134" i="48"/>
  <c r="L134" i="48"/>
  <c r="T134" i="48"/>
  <c r="AB134" i="48"/>
  <c r="AJ134" i="48"/>
  <c r="M134" i="48"/>
  <c r="U134" i="48"/>
  <c r="AC134" i="48"/>
  <c r="N15" i="48"/>
  <c r="V15" i="48"/>
  <c r="AD15" i="48"/>
  <c r="K15" i="48"/>
  <c r="S15" i="48"/>
  <c r="AA15" i="48"/>
  <c r="AI15" i="48"/>
  <c r="L15" i="48"/>
  <c r="T15" i="48"/>
  <c r="AB15" i="48"/>
  <c r="AJ15" i="48"/>
  <c r="M15" i="48"/>
  <c r="Y15" i="48"/>
  <c r="O15" i="48"/>
  <c r="Z15" i="48"/>
  <c r="P15" i="48"/>
  <c r="AC15" i="48"/>
  <c r="Q15" i="48"/>
  <c r="AE15" i="48"/>
  <c r="R15" i="48"/>
  <c r="AF15" i="48"/>
  <c r="U15" i="48"/>
  <c r="AG15" i="48"/>
  <c r="X15" i="48"/>
  <c r="W15" i="48"/>
  <c r="AH15" i="48"/>
  <c r="J15" i="48"/>
  <c r="M20" i="48"/>
  <c r="U20" i="48"/>
  <c r="AC20" i="48"/>
  <c r="N20" i="48"/>
  <c r="V20" i="48"/>
  <c r="AD20" i="48"/>
  <c r="O20" i="48"/>
  <c r="W20" i="48"/>
  <c r="AE20" i="48"/>
  <c r="P20" i="48"/>
  <c r="X20" i="48"/>
  <c r="AF20" i="48"/>
  <c r="Q20" i="48"/>
  <c r="Y20" i="48"/>
  <c r="AG20" i="48"/>
  <c r="J20" i="48"/>
  <c r="R20" i="48"/>
  <c r="Z20" i="48"/>
  <c r="AH20" i="48"/>
  <c r="K20" i="48"/>
  <c r="S20" i="48"/>
  <c r="AA20" i="48"/>
  <c r="AI20" i="48"/>
  <c r="T20" i="48"/>
  <c r="AB20" i="48"/>
  <c r="L20" i="48"/>
  <c r="AJ20" i="48"/>
  <c r="K28" i="48"/>
  <c r="S28" i="48"/>
  <c r="AA28" i="48"/>
  <c r="AI28" i="48"/>
  <c r="L28" i="48"/>
  <c r="T28" i="48"/>
  <c r="AB28" i="48"/>
  <c r="AJ28" i="48"/>
  <c r="M28" i="48"/>
  <c r="U28" i="48"/>
  <c r="AC28" i="48"/>
  <c r="N28" i="48"/>
  <c r="V28" i="48"/>
  <c r="AD28" i="48"/>
  <c r="O28" i="48"/>
  <c r="W28" i="48"/>
  <c r="AE28" i="48"/>
  <c r="P28" i="48"/>
  <c r="X28" i="48"/>
  <c r="AF28" i="48"/>
  <c r="Q28" i="48"/>
  <c r="Y28" i="48"/>
  <c r="AG28" i="48"/>
  <c r="R28" i="48"/>
  <c r="Z28" i="48"/>
  <c r="AH28" i="48"/>
  <c r="J28" i="48"/>
  <c r="M29" i="48"/>
  <c r="U29" i="48"/>
  <c r="AC29" i="48"/>
  <c r="N29" i="48"/>
  <c r="V29" i="48"/>
  <c r="AD29" i="48"/>
  <c r="O29" i="48"/>
  <c r="W29" i="48"/>
  <c r="AE29" i="48"/>
  <c r="P29" i="48"/>
  <c r="X29" i="48"/>
  <c r="AF29" i="48"/>
  <c r="Q29" i="48"/>
  <c r="Y29" i="48"/>
  <c r="AG29" i="48"/>
  <c r="J29" i="48"/>
  <c r="R29" i="48"/>
  <c r="Z29" i="48"/>
  <c r="AH29" i="48"/>
  <c r="K29" i="48"/>
  <c r="S29" i="48"/>
  <c r="AA29" i="48"/>
  <c r="AI29" i="48"/>
  <c r="L29" i="48"/>
  <c r="T29" i="48"/>
  <c r="AJ29" i="48"/>
  <c r="AB29" i="48"/>
  <c r="I134" i="48"/>
  <c r="B71" i="48"/>
  <c r="B99" i="48" s="1"/>
  <c r="B58" i="48"/>
  <c r="B86" i="48" s="1"/>
  <c r="B113" i="48" s="1"/>
  <c r="B57" i="48"/>
  <c r="B85" i="48" s="1"/>
  <c r="B112" i="48" s="1"/>
  <c r="B56" i="48"/>
  <c r="B84" i="48" s="1"/>
  <c r="B111" i="48" s="1"/>
  <c r="B55" i="48"/>
  <c r="B83" i="48" s="1"/>
  <c r="B110" i="48" s="1"/>
  <c r="B54" i="48"/>
  <c r="B82" i="48" s="1"/>
  <c r="B109" i="48" s="1"/>
  <c r="B53" i="48"/>
  <c r="J10" i="49" s="1"/>
  <c r="E12" i="50"/>
  <c r="E11" i="50"/>
  <c r="E9" i="50"/>
  <c r="E8" i="50"/>
  <c r="E7" i="50"/>
  <c r="E6" i="50"/>
  <c r="C81" i="48"/>
  <c r="C108" i="48" s="1"/>
  <c r="L10" i="49"/>
  <c r="C85" i="48"/>
  <c r="C112" i="48" s="1"/>
  <c r="L14" i="49"/>
  <c r="B77" i="48"/>
  <c r="B104" i="48" s="1"/>
  <c r="B78" i="48"/>
  <c r="B105" i="48" s="1"/>
  <c r="C83" i="48"/>
  <c r="C110" i="48" s="1"/>
  <c r="L12" i="49"/>
  <c r="B79" i="48"/>
  <c r="B106" i="48" s="1"/>
  <c r="C79" i="48"/>
  <c r="C106" i="48" s="1"/>
  <c r="L8" i="49"/>
  <c r="C84" i="48"/>
  <c r="C111" i="48" s="1"/>
  <c r="L13" i="49"/>
  <c r="O21" i="48"/>
  <c r="W21" i="48"/>
  <c r="AE21" i="48"/>
  <c r="P21" i="48"/>
  <c r="X21" i="48"/>
  <c r="AF21" i="48"/>
  <c r="Q21" i="48"/>
  <c r="Y21" i="48"/>
  <c r="AG21" i="48"/>
  <c r="J21" i="48"/>
  <c r="R21" i="48"/>
  <c r="Z21" i="48"/>
  <c r="AH21" i="48"/>
  <c r="K21" i="48"/>
  <c r="S21" i="48"/>
  <c r="AA21" i="48"/>
  <c r="AI21" i="48"/>
  <c r="L21" i="48"/>
  <c r="T21" i="48"/>
  <c r="AB21" i="48"/>
  <c r="AJ21" i="48"/>
  <c r="M21" i="48"/>
  <c r="U21" i="48"/>
  <c r="AC21" i="48"/>
  <c r="N21" i="48"/>
  <c r="V21" i="48"/>
  <c r="AD21" i="48"/>
  <c r="I45" i="49"/>
  <c r="I90" i="49"/>
  <c r="I69" i="49"/>
  <c r="L7" i="10"/>
  <c r="B6" i="17" s="1"/>
  <c r="B22" i="17" s="1"/>
  <c r="M7" i="10"/>
  <c r="C6" i="17" s="1"/>
  <c r="C22" i="17" s="1"/>
  <c r="L8" i="10"/>
  <c r="B7" i="17" s="1"/>
  <c r="B23" i="17" s="1"/>
  <c r="L9" i="10"/>
  <c r="B8" i="17" s="1"/>
  <c r="B26" i="17" s="1"/>
  <c r="L10" i="10"/>
  <c r="B9" i="17" s="1"/>
  <c r="B33" i="17" s="1"/>
  <c r="L11" i="10"/>
  <c r="B10" i="17" s="1"/>
  <c r="B34" i="17" s="1"/>
  <c r="L12" i="10"/>
  <c r="B11" i="17" s="1"/>
  <c r="B35" i="17" s="1"/>
  <c r="M12" i="10"/>
  <c r="C11" i="17" s="1"/>
  <c r="C35" i="17" s="1"/>
  <c r="L16" i="10"/>
  <c r="B15" i="17" s="1"/>
  <c r="B41" i="17" s="1"/>
  <c r="M16" i="10"/>
  <c r="C15" i="17" s="1"/>
  <c r="C41" i="17" s="1"/>
  <c r="C135" i="48"/>
  <c r="B135" i="48"/>
  <c r="C134" i="48"/>
  <c r="B134" i="48"/>
  <c r="C133" i="48"/>
  <c r="B133" i="48"/>
  <c r="C132" i="48"/>
  <c r="B132" i="48"/>
  <c r="C126" i="42"/>
  <c r="B126" i="42"/>
  <c r="C130" i="42"/>
  <c r="B130" i="42"/>
  <c r="C143" i="42"/>
  <c r="B143" i="42"/>
  <c r="C124" i="42"/>
  <c r="B124" i="42"/>
  <c r="C111" i="42"/>
  <c r="B111" i="42"/>
  <c r="C108" i="42"/>
  <c r="B108" i="42"/>
  <c r="C129" i="42"/>
  <c r="B129" i="42"/>
  <c r="C142" i="42"/>
  <c r="B142" i="42"/>
  <c r="C141" i="42"/>
  <c r="B141" i="42"/>
  <c r="C140" i="42"/>
  <c r="B140" i="42"/>
  <c r="C139" i="42"/>
  <c r="B139" i="42"/>
  <c r="C138" i="42"/>
  <c r="B138" i="42"/>
  <c r="C134" i="42"/>
  <c r="B134" i="42"/>
  <c r="C133" i="42"/>
  <c r="B133" i="42"/>
  <c r="C132" i="42"/>
  <c r="B132" i="42"/>
  <c r="C131" i="42"/>
  <c r="B131" i="42"/>
  <c r="C123" i="42"/>
  <c r="B123" i="42"/>
  <c r="C122" i="42"/>
  <c r="B122" i="42"/>
  <c r="C121" i="42"/>
  <c r="B121" i="42"/>
  <c r="C120" i="42"/>
  <c r="B120" i="42"/>
  <c r="C119" i="42"/>
  <c r="B119" i="42"/>
  <c r="C118" i="42"/>
  <c r="B118" i="42"/>
  <c r="C112" i="42"/>
  <c r="B112" i="42"/>
  <c r="C110" i="42"/>
  <c r="B110" i="42"/>
  <c r="C106" i="42"/>
  <c r="B106" i="42"/>
  <c r="C105" i="42"/>
  <c r="B105" i="42"/>
  <c r="C104" i="42"/>
  <c r="B104" i="42"/>
  <c r="C101" i="42"/>
  <c r="B101" i="42"/>
  <c r="C100" i="42"/>
  <c r="B100" i="42"/>
  <c r="C99" i="42"/>
  <c r="B99" i="42"/>
  <c r="C98" i="42"/>
  <c r="B98" i="42"/>
  <c r="C97" i="42"/>
  <c r="B97" i="42"/>
  <c r="B96" i="42"/>
  <c r="C96" i="42"/>
  <c r="C82" i="42"/>
  <c r="B82" i="42"/>
  <c r="C81" i="42"/>
  <c r="B81" i="42"/>
  <c r="C80" i="42"/>
  <c r="B80" i="42"/>
  <c r="C79" i="42"/>
  <c r="L79" i="42" s="1"/>
  <c r="B79" i="42"/>
  <c r="C78" i="42"/>
  <c r="B78" i="42"/>
  <c r="C77" i="42"/>
  <c r="B77" i="42"/>
  <c r="C75" i="42"/>
  <c r="B75" i="42"/>
  <c r="C74" i="42"/>
  <c r="S74" i="42" s="1"/>
  <c r="B74" i="42"/>
  <c r="C73" i="42"/>
  <c r="B73" i="42"/>
  <c r="C72" i="42"/>
  <c r="B72" i="42"/>
  <c r="C71" i="42"/>
  <c r="B71" i="42"/>
  <c r="C70" i="42"/>
  <c r="AH70" i="42" s="1"/>
  <c r="B70" i="42"/>
  <c r="C68" i="42"/>
  <c r="B68" i="42"/>
  <c r="C67" i="42"/>
  <c r="B67" i="42"/>
  <c r="C66" i="42"/>
  <c r="B66" i="42"/>
  <c r="C65" i="42"/>
  <c r="B65" i="42"/>
  <c r="C64" i="42"/>
  <c r="B64" i="42"/>
  <c r="C63" i="42"/>
  <c r="B63" i="42"/>
  <c r="C61" i="42"/>
  <c r="B61" i="42"/>
  <c r="C60" i="42"/>
  <c r="AF60" i="42" s="1"/>
  <c r="B60" i="42"/>
  <c r="C59" i="42"/>
  <c r="B59" i="42"/>
  <c r="C58" i="42"/>
  <c r="B58" i="42"/>
  <c r="C57" i="42"/>
  <c r="B57" i="42"/>
  <c r="C56" i="42"/>
  <c r="H56" i="42" s="1"/>
  <c r="B56" i="42"/>
  <c r="C54" i="42"/>
  <c r="B54" i="42"/>
  <c r="C53" i="42"/>
  <c r="B53" i="42"/>
  <c r="C52" i="42"/>
  <c r="B52" i="42"/>
  <c r="C51" i="42"/>
  <c r="B51" i="42"/>
  <c r="C50" i="42"/>
  <c r="B50" i="42"/>
  <c r="C49" i="42"/>
  <c r="B49" i="42"/>
  <c r="C47" i="42"/>
  <c r="B47" i="42"/>
  <c r="C46" i="42"/>
  <c r="J46" i="42" s="1"/>
  <c r="B46" i="42"/>
  <c r="C45" i="42"/>
  <c r="B45" i="42"/>
  <c r="C44" i="42"/>
  <c r="B44" i="42"/>
  <c r="C43" i="42"/>
  <c r="B43" i="42"/>
  <c r="C42" i="42"/>
  <c r="AH42" i="42" s="1"/>
  <c r="B42" i="42"/>
  <c r="C40" i="42"/>
  <c r="B40" i="42"/>
  <c r="C39" i="42"/>
  <c r="B39" i="42"/>
  <c r="C38" i="42"/>
  <c r="B38" i="42"/>
  <c r="C37" i="42"/>
  <c r="Q37" i="42" s="1"/>
  <c r="B37" i="42"/>
  <c r="C36" i="42"/>
  <c r="B36" i="42"/>
  <c r="C35" i="42"/>
  <c r="B35" i="42"/>
  <c r="B11" i="42"/>
  <c r="B10" i="42"/>
  <c r="B9" i="42"/>
  <c r="B8" i="42"/>
  <c r="B7" i="42"/>
  <c r="B6" i="42"/>
  <c r="C11" i="42"/>
  <c r="C10" i="42"/>
  <c r="C9" i="42"/>
  <c r="C8" i="42"/>
  <c r="C7" i="42"/>
  <c r="C6" i="42"/>
  <c r="O40" i="42"/>
  <c r="Z40" i="42"/>
  <c r="I40" i="42"/>
  <c r="AI40" i="42"/>
  <c r="M40" i="42"/>
  <c r="AG40" i="42"/>
  <c r="AF40" i="42"/>
  <c r="Q40" i="42"/>
  <c r="N40" i="42"/>
  <c r="AB40" i="42"/>
  <c r="R40" i="42"/>
  <c r="V40" i="42"/>
  <c r="AC73" i="42"/>
  <c r="N73" i="42"/>
  <c r="AD73" i="42"/>
  <c r="J73" i="42"/>
  <c r="S73" i="42"/>
  <c r="R73" i="42"/>
  <c r="O73" i="42"/>
  <c r="X73" i="42"/>
  <c r="AE73" i="42"/>
  <c r="K73" i="42"/>
  <c r="AH67" i="42"/>
  <c r="AH10" i="42" s="1"/>
  <c r="AI70" i="42"/>
  <c r="R70" i="42"/>
  <c r="S70" i="42"/>
  <c r="I70" i="42"/>
  <c r="W70" i="42"/>
  <c r="P70" i="42"/>
  <c r="AD70" i="42"/>
  <c r="AE70" i="42"/>
  <c r="AC70" i="42"/>
  <c r="AB70" i="42"/>
  <c r="H74" i="42"/>
  <c r="W74" i="42"/>
  <c r="X74" i="42"/>
  <c r="Z74" i="42"/>
  <c r="AD74" i="42"/>
  <c r="AI74" i="42"/>
  <c r="N74" i="42"/>
  <c r="V74" i="42"/>
  <c r="AB74" i="42"/>
  <c r="J74" i="42"/>
  <c r="U74" i="42"/>
  <c r="R74" i="42"/>
  <c r="S79" i="42"/>
  <c r="AI79" i="42"/>
  <c r="AA79" i="42"/>
  <c r="M79" i="42"/>
  <c r="AB79" i="42"/>
  <c r="X79" i="42"/>
  <c r="AF79" i="42"/>
  <c r="P79" i="42"/>
  <c r="O79" i="42"/>
  <c r="W79" i="42"/>
  <c r="AH79" i="42"/>
  <c r="AG79" i="42"/>
  <c r="AC79" i="42"/>
  <c r="W36" i="42"/>
  <c r="M36" i="42"/>
  <c r="X36" i="42"/>
  <c r="L36" i="42"/>
  <c r="Z36" i="42"/>
  <c r="AG36" i="42"/>
  <c r="N36" i="42"/>
  <c r="AD36" i="42"/>
  <c r="AH36" i="42"/>
  <c r="AE36" i="42"/>
  <c r="AC36" i="42"/>
  <c r="T36" i="42"/>
  <c r="J36" i="42"/>
  <c r="H36" i="42"/>
  <c r="X78" i="42"/>
  <c r="J78" i="42"/>
  <c r="Y78" i="42"/>
  <c r="AG78" i="42"/>
  <c r="U78" i="42"/>
  <c r="V78" i="42"/>
  <c r="AD78" i="42"/>
  <c r="P78" i="42"/>
  <c r="R78" i="42"/>
  <c r="AI78" i="42"/>
  <c r="AH78" i="42"/>
  <c r="AC78" i="42"/>
  <c r="AA78" i="42"/>
  <c r="W78" i="42"/>
  <c r="AI45" i="42"/>
  <c r="AB45" i="42"/>
  <c r="X45" i="42"/>
  <c r="J45" i="42"/>
  <c r="AF45" i="42"/>
  <c r="Z45" i="42"/>
  <c r="V45" i="42"/>
  <c r="AH45" i="42"/>
  <c r="O45" i="42"/>
  <c r="AE45" i="42"/>
  <c r="R45" i="42"/>
  <c r="H45" i="42"/>
  <c r="AC45" i="42"/>
  <c r="AG45" i="42"/>
  <c r="T66" i="42"/>
  <c r="T9" i="42" s="1"/>
  <c r="AH66" i="42"/>
  <c r="AH9" i="42" s="1"/>
  <c r="W66" i="42"/>
  <c r="W9" i="42" s="1"/>
  <c r="J66" i="42"/>
  <c r="J9" i="42" s="1"/>
  <c r="AC66" i="42"/>
  <c r="AC9" i="42" s="1"/>
  <c r="R66" i="42"/>
  <c r="R9" i="42" s="1"/>
  <c r="AE66" i="42"/>
  <c r="AE9" i="42" s="1"/>
  <c r="U66" i="42"/>
  <c r="U9" i="42" s="1"/>
  <c r="AG66" i="42"/>
  <c r="AG9" i="42" s="1"/>
  <c r="P66" i="42"/>
  <c r="P9" i="42" s="1"/>
  <c r="AA66" i="42"/>
  <c r="AA9" i="42" s="1"/>
  <c r="V66" i="42"/>
  <c r="V9" i="42" s="1"/>
  <c r="AD66" i="42"/>
  <c r="AD9" i="42" s="1"/>
  <c r="K66" i="42"/>
  <c r="K9" i="42" s="1"/>
  <c r="L82" i="42"/>
  <c r="U82" i="42"/>
  <c r="AC82" i="42"/>
  <c r="AH82" i="42"/>
  <c r="I82" i="42"/>
  <c r="O82" i="42"/>
  <c r="W82" i="42"/>
  <c r="Y82" i="42"/>
  <c r="S82" i="42"/>
  <c r="AG82" i="42"/>
  <c r="AF82" i="42"/>
  <c r="AA82" i="42"/>
  <c r="V82" i="42"/>
  <c r="AI82" i="42"/>
  <c r="AE37" i="42"/>
  <c r="AD58" i="42"/>
  <c r="N58" i="42"/>
  <c r="AC38" i="42"/>
  <c r="W38" i="42"/>
  <c r="L38" i="42"/>
  <c r="N38" i="42"/>
  <c r="AH38" i="42"/>
  <c r="AD38" i="42"/>
  <c r="M38" i="42"/>
  <c r="X38" i="42"/>
  <c r="O38" i="42"/>
  <c r="P38" i="42"/>
  <c r="Q38" i="42"/>
  <c r="AE38" i="42"/>
  <c r="R38" i="42"/>
  <c r="AG38" i="42"/>
  <c r="T38" i="42"/>
  <c r="V38" i="42"/>
  <c r="I38" i="42"/>
  <c r="AI38" i="42"/>
  <c r="AA38" i="42"/>
  <c r="Z38" i="42"/>
  <c r="S38" i="42"/>
  <c r="Y38" i="42"/>
  <c r="AF38" i="42"/>
  <c r="H38" i="42"/>
  <c r="U43" i="42"/>
  <c r="AC43" i="42"/>
  <c r="AF43" i="42"/>
  <c r="AG43" i="42"/>
  <c r="R43" i="42"/>
  <c r="K43" i="42"/>
  <c r="T43" i="42"/>
  <c r="M43" i="42"/>
  <c r="N43" i="42"/>
  <c r="O43" i="42"/>
  <c r="Z43" i="42"/>
  <c r="S43" i="42"/>
  <c r="AD43" i="42"/>
  <c r="AE43" i="42"/>
  <c r="AI43" i="42"/>
  <c r="P43" i="42"/>
  <c r="Q43" i="42"/>
  <c r="X43" i="42"/>
  <c r="W43" i="42"/>
  <c r="AA43" i="42"/>
  <c r="L43" i="42"/>
  <c r="V43" i="42"/>
  <c r="J43" i="42"/>
  <c r="AH43" i="42"/>
  <c r="I43" i="42"/>
  <c r="AB43" i="42"/>
  <c r="H43" i="42"/>
  <c r="Y43" i="42"/>
  <c r="AG47" i="42"/>
  <c r="J47" i="42"/>
  <c r="R47" i="42"/>
  <c r="H47" i="42"/>
  <c r="Q47" i="42"/>
  <c r="S47" i="42"/>
  <c r="AD47" i="42"/>
  <c r="W47" i="42"/>
  <c r="Y47" i="42"/>
  <c r="AA47" i="42"/>
  <c r="AE47" i="42"/>
  <c r="P47" i="42"/>
  <c r="L47" i="42"/>
  <c r="M47" i="42"/>
  <c r="AH47" i="42"/>
  <c r="AB47" i="42"/>
  <c r="AC47" i="42"/>
  <c r="N47" i="42"/>
  <c r="X47" i="42"/>
  <c r="Z47" i="42"/>
  <c r="K47" i="42"/>
  <c r="O47" i="42"/>
  <c r="AI47" i="42"/>
  <c r="AF47" i="42"/>
  <c r="V47" i="42"/>
  <c r="U47" i="42"/>
  <c r="T47" i="42"/>
  <c r="I47" i="42"/>
  <c r="H59" i="42"/>
  <c r="V59" i="42"/>
  <c r="AG59" i="42"/>
  <c r="AA59" i="42"/>
  <c r="AD59" i="42"/>
  <c r="P59" i="42"/>
  <c r="J59" i="42"/>
  <c r="AI59" i="42"/>
  <c r="U59" i="42"/>
  <c r="AE59" i="42"/>
  <c r="Q59" i="42"/>
  <c r="K59" i="42"/>
  <c r="AH59" i="42"/>
  <c r="M59" i="42"/>
  <c r="I59" i="42"/>
  <c r="AC59" i="42"/>
  <c r="Y59" i="42"/>
  <c r="X59" i="42"/>
  <c r="O59" i="42"/>
  <c r="AF59" i="42"/>
  <c r="S59" i="42"/>
  <c r="W59" i="42"/>
  <c r="AB59" i="42"/>
  <c r="T59" i="42"/>
  <c r="L59" i="42"/>
  <c r="R59" i="42"/>
  <c r="N59" i="42"/>
  <c r="Z59" i="42"/>
  <c r="AH64" i="42"/>
  <c r="T64" i="42"/>
  <c r="N64" i="42"/>
  <c r="AB64" i="42"/>
  <c r="V64" i="42"/>
  <c r="I64" i="42"/>
  <c r="Q64" i="42"/>
  <c r="AG64" i="42"/>
  <c r="R64" i="42"/>
  <c r="AC64" i="42"/>
  <c r="W64" i="42"/>
  <c r="AD64" i="42"/>
  <c r="M64" i="42"/>
  <c r="J64" i="42"/>
  <c r="U64" i="42"/>
  <c r="Z64" i="42"/>
  <c r="K64" i="42"/>
  <c r="L64" i="42"/>
  <c r="P64" i="42"/>
  <c r="S64" i="42"/>
  <c r="O64" i="42"/>
  <c r="AI64" i="42"/>
  <c r="AA64" i="42"/>
  <c r="H64" i="42"/>
  <c r="AE64" i="42"/>
  <c r="AF64" i="42"/>
  <c r="Y64" i="42"/>
  <c r="X64" i="42"/>
  <c r="H68" i="42"/>
  <c r="H11" i="42" s="1"/>
  <c r="AF68" i="42"/>
  <c r="AF11" i="42" s="1"/>
  <c r="Z68" i="42"/>
  <c r="Z11" i="42" s="1"/>
  <c r="O68" i="42"/>
  <c r="O11" i="42" s="1"/>
  <c r="AH68" i="42"/>
  <c r="AH11" i="42" s="1"/>
  <c r="U68" i="42"/>
  <c r="U11" i="42" s="1"/>
  <c r="AC68" i="42"/>
  <c r="AC11" i="42" s="1"/>
  <c r="AD68" i="42"/>
  <c r="AD11" i="42" s="1"/>
  <c r="P68" i="42"/>
  <c r="P11" i="42" s="1"/>
  <c r="J68" i="42"/>
  <c r="J11" i="42" s="1"/>
  <c r="AI68" i="42"/>
  <c r="AI11" i="42" s="1"/>
  <c r="N68" i="42"/>
  <c r="N11" i="42" s="1"/>
  <c r="R68" i="42"/>
  <c r="R11" i="42" s="1"/>
  <c r="T68" i="42"/>
  <c r="T11" i="42" s="1"/>
  <c r="V68" i="42"/>
  <c r="V11" i="42" s="1"/>
  <c r="M68" i="42"/>
  <c r="M11" i="42" s="1"/>
  <c r="Q68" i="42"/>
  <c r="Y68" i="42"/>
  <c r="Y11" i="42" s="1"/>
  <c r="AG68" i="42"/>
  <c r="AG11" i="42" s="1"/>
  <c r="K68" i="42"/>
  <c r="K11" i="42" s="1"/>
  <c r="AA68" i="42"/>
  <c r="AA11" i="42" s="1"/>
  <c r="W68" i="42"/>
  <c r="W11" i="42" s="1"/>
  <c r="AE68" i="42"/>
  <c r="AE11" i="42" s="1"/>
  <c r="X68" i="42"/>
  <c r="X11" i="42" s="1"/>
  <c r="AB68" i="42"/>
  <c r="AB11" i="42" s="1"/>
  <c r="L68" i="42"/>
  <c r="L11" i="42" s="1"/>
  <c r="I68" i="42"/>
  <c r="I11" i="42" s="1"/>
  <c r="S68" i="42"/>
  <c r="S11" i="42" s="1"/>
  <c r="AF71" i="42"/>
  <c r="R71" i="42"/>
  <c r="U71" i="42"/>
  <c r="AE71" i="42"/>
  <c r="AG71" i="42"/>
  <c r="AC71" i="42"/>
  <c r="N71" i="42"/>
  <c r="O71" i="42"/>
  <c r="V71" i="42"/>
  <c r="W71" i="42"/>
  <c r="AD71" i="42"/>
  <c r="S71" i="42"/>
  <c r="I71" i="42"/>
  <c r="T71" i="42"/>
  <c r="AI71" i="42"/>
  <c r="AH71" i="42"/>
  <c r="Q71" i="42"/>
  <c r="M71" i="42"/>
  <c r="H71" i="42"/>
  <c r="L71" i="42"/>
  <c r="AB71" i="42"/>
  <c r="Z71" i="42"/>
  <c r="P71" i="42"/>
  <c r="AA71" i="42"/>
  <c r="K71" i="42"/>
  <c r="J71" i="42"/>
  <c r="Y71" i="42"/>
  <c r="X71" i="42"/>
  <c r="H75" i="42"/>
  <c r="AH75" i="42"/>
  <c r="Z75" i="42"/>
  <c r="R75" i="42"/>
  <c r="AI75" i="42"/>
  <c r="T75" i="42"/>
  <c r="K75" i="42"/>
  <c r="S75" i="42"/>
  <c r="M75" i="42"/>
  <c r="O75" i="42"/>
  <c r="AA75" i="42"/>
  <c r="AB75" i="42"/>
  <c r="U75" i="42"/>
  <c r="N75" i="42"/>
  <c r="P75" i="42"/>
  <c r="AG75" i="42"/>
  <c r="J75" i="42"/>
  <c r="L75" i="42"/>
  <c r="AC75" i="42"/>
  <c r="V75" i="42"/>
  <c r="X75" i="42"/>
  <c r="AD75" i="42"/>
  <c r="AF75" i="42"/>
  <c r="AE75" i="42"/>
  <c r="I75" i="42"/>
  <c r="W75" i="42"/>
  <c r="Q75" i="42"/>
  <c r="Y75" i="42"/>
  <c r="N80" i="42"/>
  <c r="AD80" i="42"/>
  <c r="AE80" i="42"/>
  <c r="P80" i="42"/>
  <c r="AF80" i="42"/>
  <c r="H80" i="42"/>
  <c r="Y80" i="42"/>
  <c r="AB80" i="42"/>
  <c r="O80" i="42"/>
  <c r="X80" i="42"/>
  <c r="W80" i="42"/>
  <c r="K80" i="42"/>
  <c r="V80" i="42"/>
  <c r="M80" i="42"/>
  <c r="AH80" i="42"/>
  <c r="I80" i="42"/>
  <c r="S80" i="42"/>
  <c r="Q80" i="42"/>
  <c r="J80" i="42"/>
  <c r="AA80" i="42"/>
  <c r="AG80" i="42"/>
  <c r="R80" i="42"/>
  <c r="AI80" i="42"/>
  <c r="U80" i="42"/>
  <c r="Z80" i="42"/>
  <c r="L80" i="42"/>
  <c r="AC80" i="42"/>
  <c r="T80" i="42"/>
  <c r="AE57" i="42"/>
  <c r="P57" i="42"/>
  <c r="AA57" i="42"/>
  <c r="U57" i="42"/>
  <c r="X57" i="42"/>
  <c r="J57" i="42"/>
  <c r="AI57" i="42"/>
  <c r="AC57" i="42"/>
  <c r="O57" i="42"/>
  <c r="Y57" i="42"/>
  <c r="K57" i="42"/>
  <c r="AD57" i="42"/>
  <c r="Q57" i="42"/>
  <c r="AH57" i="42"/>
  <c r="AG57" i="42"/>
  <c r="L57" i="42"/>
  <c r="T57" i="42"/>
  <c r="AB57" i="42"/>
  <c r="AF57" i="42"/>
  <c r="S57" i="42"/>
  <c r="V57" i="42"/>
  <c r="M57" i="42"/>
  <c r="N57" i="42"/>
  <c r="W57" i="42"/>
  <c r="I57" i="42"/>
  <c r="R57" i="42"/>
  <c r="Z57" i="42"/>
  <c r="H57" i="42"/>
  <c r="S42" i="42"/>
  <c r="AE42" i="42"/>
  <c r="K42" i="42"/>
  <c r="H61" i="42"/>
  <c r="AB61" i="42"/>
  <c r="N61" i="42"/>
  <c r="AG61" i="42"/>
  <c r="V61" i="42"/>
  <c r="P61" i="42"/>
  <c r="K61" i="42"/>
  <c r="AA61" i="42"/>
  <c r="L61" i="42"/>
  <c r="W61" i="42"/>
  <c r="Q61" i="42"/>
  <c r="M61" i="42"/>
  <c r="AD61" i="42"/>
  <c r="I61" i="42"/>
  <c r="T61" i="42"/>
  <c r="U61" i="42"/>
  <c r="Y61" i="42"/>
  <c r="AC61" i="42"/>
  <c r="X61" i="42"/>
  <c r="S61" i="42"/>
  <c r="AF61" i="42"/>
  <c r="AI61" i="42"/>
  <c r="J61" i="42"/>
  <c r="AH61" i="42"/>
  <c r="Z61" i="42"/>
  <c r="O61" i="42"/>
  <c r="R61" i="42"/>
  <c r="AE61" i="42"/>
  <c r="Q46" i="42"/>
  <c r="P46" i="42"/>
  <c r="K46" i="42"/>
  <c r="M63" i="42"/>
  <c r="M6" i="42" s="1"/>
  <c r="N63" i="42"/>
  <c r="X63" i="42"/>
  <c r="X6" i="42" s="1"/>
  <c r="J63" i="42"/>
  <c r="J6" i="42" s="1"/>
  <c r="U63" i="42"/>
  <c r="U6" i="42" s="1"/>
  <c r="V63" i="42"/>
  <c r="V6" i="42" s="1"/>
  <c r="AF63" i="42"/>
  <c r="AF6" i="42" s="1"/>
  <c r="R63" i="42"/>
  <c r="R6" i="42" s="1"/>
  <c r="L63" i="42"/>
  <c r="L6" i="42" s="1"/>
  <c r="W63" i="42"/>
  <c r="AE63" i="42"/>
  <c r="AE6" i="42" s="1"/>
  <c r="AG63" i="42"/>
  <c r="AG6" i="42" s="1"/>
  <c r="AA63" i="42"/>
  <c r="AA6" i="42" s="1"/>
  <c r="Z63" i="42"/>
  <c r="Z6" i="42" s="1"/>
  <c r="I63" i="42"/>
  <c r="I6" i="42" s="1"/>
  <c r="AH63" i="42"/>
  <c r="AH6" i="42" s="1"/>
  <c r="O63" i="42"/>
  <c r="Q63" i="42"/>
  <c r="Q6" i="42" s="1"/>
  <c r="T63" i="42"/>
  <c r="T6" i="42" s="1"/>
  <c r="P63" i="42"/>
  <c r="P6" i="42" s="1"/>
  <c r="Y63" i="42"/>
  <c r="Y6" i="42" s="1"/>
  <c r="AB63" i="42"/>
  <c r="AB6" i="42" s="1"/>
  <c r="K63" i="42"/>
  <c r="K6" i="42" s="1"/>
  <c r="AI63" i="42"/>
  <c r="AI6" i="42" s="1"/>
  <c r="H63" i="42"/>
  <c r="H6" i="42" s="1"/>
  <c r="AC63" i="42"/>
  <c r="AC6" i="42" s="1"/>
  <c r="S63" i="42"/>
  <c r="S6" i="42" s="1"/>
  <c r="AD63" i="42"/>
  <c r="AD6" i="42" s="1"/>
  <c r="AD35" i="42"/>
  <c r="W35" i="42"/>
  <c r="K35" i="42"/>
  <c r="M35" i="42"/>
  <c r="S35" i="42"/>
  <c r="AA35" i="42"/>
  <c r="AC35" i="42"/>
  <c r="P35" i="42"/>
  <c r="AI35" i="42"/>
  <c r="L35" i="42"/>
  <c r="X35" i="42"/>
  <c r="AB35" i="42"/>
  <c r="N35" i="42"/>
  <c r="Q35" i="42"/>
  <c r="U35" i="42"/>
  <c r="I35" i="42"/>
  <c r="Z35" i="42"/>
  <c r="AE35" i="42"/>
  <c r="T35" i="42"/>
  <c r="V35" i="42"/>
  <c r="AF35" i="42"/>
  <c r="AG35" i="42"/>
  <c r="O35" i="42"/>
  <c r="R35" i="42"/>
  <c r="Y35" i="42"/>
  <c r="AH35" i="42"/>
  <c r="H35" i="42"/>
  <c r="J35" i="42"/>
  <c r="Q39" i="42"/>
  <c r="O39" i="42"/>
  <c r="J39" i="42"/>
  <c r="H39" i="42"/>
  <c r="L44" i="42"/>
  <c r="U44" i="42"/>
  <c r="S44" i="42"/>
  <c r="AE56" i="42"/>
  <c r="O56" i="42"/>
  <c r="AF56" i="42"/>
  <c r="AD56" i="42"/>
  <c r="Q60" i="42"/>
  <c r="X60" i="42"/>
  <c r="AE60" i="42"/>
  <c r="S65" i="42"/>
  <c r="T65" i="42"/>
  <c r="AD65" i="42"/>
  <c r="P65" i="42"/>
  <c r="J65" i="42"/>
  <c r="AB65" i="42"/>
  <c r="M65" i="42"/>
  <c r="X65" i="42"/>
  <c r="R65" i="42"/>
  <c r="AA65" i="42"/>
  <c r="AC65" i="42"/>
  <c r="N65" i="42"/>
  <c r="AG65" i="42"/>
  <c r="L65" i="42"/>
  <c r="V65" i="42"/>
  <c r="AE65" i="42"/>
  <c r="AH65" i="42"/>
  <c r="I65" i="42"/>
  <c r="H65" i="42"/>
  <c r="Q65" i="42"/>
  <c r="Y65" i="42"/>
  <c r="U65" i="42"/>
  <c r="AF65" i="42"/>
  <c r="O65" i="42"/>
  <c r="W65" i="42"/>
  <c r="AI65" i="42"/>
  <c r="K65" i="42"/>
  <c r="Z65" i="42"/>
  <c r="AA72" i="42"/>
  <c r="AB72" i="42"/>
  <c r="AH72" i="42"/>
  <c r="M77" i="42"/>
  <c r="AC77" i="42"/>
  <c r="AD77" i="42"/>
  <c r="U77" i="42"/>
  <c r="AF77" i="42"/>
  <c r="Y77" i="42"/>
  <c r="V77" i="42"/>
  <c r="J77" i="42"/>
  <c r="O77" i="42"/>
  <c r="R77" i="42"/>
  <c r="L77" i="42"/>
  <c r="W77" i="42"/>
  <c r="Z77" i="42"/>
  <c r="T77" i="42"/>
  <c r="AE77" i="42"/>
  <c r="P77" i="42"/>
  <c r="I77" i="42"/>
  <c r="AH77" i="42"/>
  <c r="K77" i="42"/>
  <c r="AB77" i="42"/>
  <c r="N77" i="42"/>
  <c r="H77" i="42"/>
  <c r="X77" i="42"/>
  <c r="Q77" i="42"/>
  <c r="S77" i="42"/>
  <c r="AG77" i="42"/>
  <c r="AA77" i="42"/>
  <c r="AI77" i="42"/>
  <c r="J81" i="42"/>
  <c r="U81" i="42"/>
  <c r="H81" i="42"/>
  <c r="I14" i="48"/>
  <c r="I25" i="48"/>
  <c r="I27" i="48"/>
  <c r="I35" i="48"/>
  <c r="I36" i="48"/>
  <c r="I28" i="48"/>
  <c r="I29" i="48"/>
  <c r="I30" i="48"/>
  <c r="I32" i="48"/>
  <c r="I26" i="48"/>
  <c r="I31" i="48"/>
  <c r="I23" i="48"/>
  <c r="I15" i="48"/>
  <c r="I18" i="48"/>
  <c r="I19" i="48"/>
  <c r="I21" i="48"/>
  <c r="I22" i="48"/>
  <c r="I20" i="48"/>
  <c r="D16" i="10"/>
  <c r="C16" i="10"/>
  <c r="C19" i="10"/>
  <c r="C12" i="10"/>
  <c r="C11" i="10"/>
  <c r="C10" i="10"/>
  <c r="C9" i="10"/>
  <c r="C8" i="10"/>
  <c r="D7" i="10"/>
  <c r="D23" i="10"/>
  <c r="B6" i="50" s="1"/>
  <c r="C7" i="10"/>
  <c r="D31" i="10"/>
  <c r="C31" i="10"/>
  <c r="D34" i="10"/>
  <c r="C34" i="10"/>
  <c r="D33" i="10"/>
  <c r="C33" i="10"/>
  <c r="D32" i="10"/>
  <c r="C32" i="10"/>
  <c r="A11" i="50"/>
  <c r="C11" i="50" s="1"/>
  <c r="A9" i="50"/>
  <c r="C9" i="50" s="1"/>
  <c r="D9" i="50"/>
  <c r="A8" i="50"/>
  <c r="D8" i="50" s="1"/>
  <c r="A7" i="50"/>
  <c r="D7" i="50" s="1"/>
  <c r="A6" i="50"/>
  <c r="C6" i="50" s="1"/>
  <c r="D6" i="50"/>
  <c r="D29" i="10"/>
  <c r="B12" i="50" s="1"/>
  <c r="D28" i="10"/>
  <c r="B11" i="50" s="1"/>
  <c r="B9" i="50"/>
  <c r="D25" i="10"/>
  <c r="B8" i="50" s="1"/>
  <c r="D24" i="10"/>
  <c r="B7" i="50" s="1"/>
  <c r="C8" i="50"/>
  <c r="AH26" i="4"/>
  <c r="AH24" i="4"/>
  <c r="AH25" i="4"/>
  <c r="AH17" i="4"/>
  <c r="AH22" i="4"/>
  <c r="AH13" i="4"/>
  <c r="AH11" i="4"/>
  <c r="AH23" i="4"/>
  <c r="AH19" i="4"/>
  <c r="AH16" i="4"/>
  <c r="AH12" i="4"/>
  <c r="AH14" i="4"/>
  <c r="AH21" i="4"/>
  <c r="AH10" i="4"/>
  <c r="AH18" i="4"/>
  <c r="AH20" i="4"/>
  <c r="AH7" i="4"/>
  <c r="J66" i="55"/>
  <c r="I60" i="55"/>
  <c r="AD60" i="55" s="1"/>
  <c r="AK104" i="56" s="1"/>
  <c r="R195" i="56" l="1"/>
  <c r="S195" i="56"/>
  <c r="T195" i="56"/>
  <c r="U195" i="56"/>
  <c r="V195" i="56"/>
  <c r="W195" i="56"/>
  <c r="X195" i="56"/>
  <c r="Y195" i="56"/>
  <c r="Z195" i="56"/>
  <c r="AA195" i="56"/>
  <c r="AB195" i="56"/>
  <c r="AC195" i="56"/>
  <c r="AD195" i="56"/>
  <c r="AE195" i="56"/>
  <c r="AF195" i="56"/>
  <c r="AG195" i="56"/>
  <c r="AH195" i="56"/>
  <c r="AI195" i="56"/>
  <c r="AJ195" i="56"/>
  <c r="AK195" i="56"/>
  <c r="AL195" i="56"/>
  <c r="AM195" i="56"/>
  <c r="AN195" i="56"/>
  <c r="AO195" i="56"/>
  <c r="AP195" i="56"/>
  <c r="AQ195" i="56"/>
  <c r="AR195" i="56"/>
  <c r="AS195" i="56"/>
  <c r="R196" i="56"/>
  <c r="S196" i="56"/>
  <c r="T196" i="56"/>
  <c r="U196" i="56"/>
  <c r="V196" i="56"/>
  <c r="W196" i="56"/>
  <c r="X196" i="56"/>
  <c r="Y196" i="56"/>
  <c r="Z196" i="56"/>
  <c r="AA196" i="56"/>
  <c r="AB196" i="56"/>
  <c r="AC196" i="56"/>
  <c r="AD196" i="56"/>
  <c r="AE196" i="56"/>
  <c r="AF196" i="56"/>
  <c r="AG196" i="56"/>
  <c r="AH196" i="56"/>
  <c r="AI196" i="56"/>
  <c r="AJ196" i="56"/>
  <c r="AK196" i="56"/>
  <c r="AL196" i="56"/>
  <c r="AM196" i="56"/>
  <c r="AN196" i="56"/>
  <c r="AO196" i="56"/>
  <c r="AP196" i="56"/>
  <c r="AQ196" i="56"/>
  <c r="AR196" i="56"/>
  <c r="AS196" i="56"/>
  <c r="R197" i="56"/>
  <c r="S197" i="56"/>
  <c r="T197" i="56"/>
  <c r="U197" i="56"/>
  <c r="V197" i="56"/>
  <c r="W197" i="56"/>
  <c r="X197" i="56"/>
  <c r="Y197" i="56"/>
  <c r="Z197" i="56"/>
  <c r="AA197" i="56"/>
  <c r="AB197" i="56"/>
  <c r="AC197" i="56"/>
  <c r="AD197" i="56"/>
  <c r="AE197" i="56"/>
  <c r="AF197" i="56"/>
  <c r="AG197" i="56"/>
  <c r="AH197" i="56"/>
  <c r="AI197" i="56"/>
  <c r="AJ197" i="56"/>
  <c r="AK197" i="56"/>
  <c r="AL197" i="56"/>
  <c r="AM197" i="56"/>
  <c r="AN197" i="56"/>
  <c r="AO197" i="56"/>
  <c r="AP197" i="56"/>
  <c r="AQ197" i="56"/>
  <c r="AR197" i="56"/>
  <c r="AS197" i="56"/>
  <c r="R198" i="56"/>
  <c r="S198" i="56"/>
  <c r="T198" i="56"/>
  <c r="U198" i="56"/>
  <c r="V198" i="56"/>
  <c r="W198" i="56"/>
  <c r="X198" i="56"/>
  <c r="Y198" i="56"/>
  <c r="Z198" i="56"/>
  <c r="AA198" i="56"/>
  <c r="AB198" i="56"/>
  <c r="AC198" i="56"/>
  <c r="AD198" i="56"/>
  <c r="AE198" i="56"/>
  <c r="AF198" i="56"/>
  <c r="AG198" i="56"/>
  <c r="AH198" i="56"/>
  <c r="AI198" i="56"/>
  <c r="AJ198" i="56"/>
  <c r="AK198" i="56"/>
  <c r="AL198" i="56"/>
  <c r="AM198" i="56"/>
  <c r="AN198" i="56"/>
  <c r="AO198" i="56"/>
  <c r="AP198" i="56"/>
  <c r="AQ198" i="56"/>
  <c r="AR198" i="56"/>
  <c r="AS198" i="56"/>
  <c r="I104" i="55"/>
  <c r="I105" i="55"/>
  <c r="I106" i="55"/>
  <c r="I103" i="55"/>
  <c r="AA15" i="42"/>
  <c r="O24" i="42"/>
  <c r="O53" i="42" s="1"/>
  <c r="I32" i="42"/>
  <c r="Y30" i="42"/>
  <c r="Z30" i="42"/>
  <c r="AA30" i="42"/>
  <c r="AB30" i="42"/>
  <c r="AC30" i="42"/>
  <c r="AD30" i="42"/>
  <c r="AE30" i="42"/>
  <c r="AF30" i="42"/>
  <c r="AG30" i="42"/>
  <c r="AH30" i="42"/>
  <c r="AI30" i="42"/>
  <c r="O30" i="42"/>
  <c r="P30" i="42"/>
  <c r="Q30" i="42"/>
  <c r="R30" i="42"/>
  <c r="S30" i="42"/>
  <c r="T30" i="42"/>
  <c r="U30" i="42"/>
  <c r="V30" i="42"/>
  <c r="W30" i="42"/>
  <c r="X30" i="42"/>
  <c r="I30" i="42"/>
  <c r="J30" i="42"/>
  <c r="K30" i="42"/>
  <c r="L30" i="42"/>
  <c r="M30" i="42"/>
  <c r="N30" i="42"/>
  <c r="H30" i="42"/>
  <c r="U29" i="42"/>
  <c r="S39" i="42"/>
  <c r="I37" i="42"/>
  <c r="AF44" i="42"/>
  <c r="P58" i="42"/>
  <c r="X67" i="42"/>
  <c r="X10" i="42" s="1"/>
  <c r="R72" i="42"/>
  <c r="Z81" i="42"/>
  <c r="T25" i="17"/>
  <c r="V25" i="17"/>
  <c r="AD25" i="17"/>
  <c r="AE25" i="17"/>
  <c r="Y25" i="17"/>
  <c r="AA25" i="17"/>
  <c r="AC25" i="17"/>
  <c r="Q25" i="17"/>
  <c r="R25" i="17"/>
  <c r="S25" i="17"/>
  <c r="M25" i="17"/>
  <c r="O25" i="17"/>
  <c r="I25" i="17"/>
  <c r="P25" i="17"/>
  <c r="L25" i="17"/>
  <c r="J25" i="17"/>
  <c r="W25" i="17"/>
  <c r="AJ25" i="17"/>
  <c r="AH25" i="17"/>
  <c r="AF25" i="17"/>
  <c r="AB25" i="17"/>
  <c r="Z25" i="17"/>
  <c r="X25" i="17"/>
  <c r="K25" i="17"/>
  <c r="AI25" i="17"/>
  <c r="N25" i="17"/>
  <c r="AG25" i="17"/>
  <c r="U25" i="17"/>
  <c r="P31" i="42"/>
  <c r="Q31" i="42"/>
  <c r="R31" i="42"/>
  <c r="S31" i="42"/>
  <c r="T31" i="42"/>
  <c r="U31" i="42"/>
  <c r="V31" i="42"/>
  <c r="W31" i="42"/>
  <c r="X31" i="42"/>
  <c r="Y31" i="42"/>
  <c r="Z31" i="42"/>
  <c r="AA31" i="42"/>
  <c r="AB31" i="42"/>
  <c r="AC31" i="42"/>
  <c r="AD31" i="42"/>
  <c r="AE31" i="42"/>
  <c r="AF31" i="42"/>
  <c r="AG31" i="42"/>
  <c r="AH31" i="42"/>
  <c r="AI31" i="42"/>
  <c r="I31" i="42"/>
  <c r="J31" i="42"/>
  <c r="K31" i="42"/>
  <c r="L31" i="42"/>
  <c r="M31" i="42"/>
  <c r="N31" i="42"/>
  <c r="O31" i="42"/>
  <c r="H31" i="42"/>
  <c r="S183" i="56"/>
  <c r="R222" i="56"/>
  <c r="AI92" i="55"/>
  <c r="AP130" i="56" s="1"/>
  <c r="AI93" i="55"/>
  <c r="AP131" i="56" s="1"/>
  <c r="AI136" i="55"/>
  <c r="AP174" i="56" s="1"/>
  <c r="I24" i="17"/>
  <c r="I23" i="17" s="1"/>
  <c r="AB43" i="17"/>
  <c r="AB42" i="17" s="1"/>
  <c r="AJ43" i="17"/>
  <c r="AJ42" i="17" s="1"/>
  <c r="Q43" i="17"/>
  <c r="Q42" i="17" s="1"/>
  <c r="AI43" i="17"/>
  <c r="AI42" i="17" s="1"/>
  <c r="AC43" i="17"/>
  <c r="AC42" i="17" s="1"/>
  <c r="J43" i="17"/>
  <c r="J42" i="17" s="1"/>
  <c r="R43" i="17"/>
  <c r="R42" i="17" s="1"/>
  <c r="S43" i="17"/>
  <c r="S42" i="17" s="1"/>
  <c r="V43" i="17"/>
  <c r="V42" i="17" s="1"/>
  <c r="AD43" i="17"/>
  <c r="AD42" i="17" s="1"/>
  <c r="K43" i="17"/>
  <c r="K42" i="17" s="1"/>
  <c r="O43" i="17"/>
  <c r="O42" i="17" s="1"/>
  <c r="W43" i="17"/>
  <c r="W42" i="17" s="1"/>
  <c r="AE43" i="17"/>
  <c r="AE42" i="17" s="1"/>
  <c r="L43" i="17"/>
  <c r="L42" i="17" s="1"/>
  <c r="T43" i="17"/>
  <c r="T42" i="17" s="1"/>
  <c r="AA43" i="17"/>
  <c r="AA42" i="17" s="1"/>
  <c r="X43" i="17"/>
  <c r="X42" i="17" s="1"/>
  <c r="AF43" i="17"/>
  <c r="AF42" i="17" s="1"/>
  <c r="M43" i="17"/>
  <c r="M42" i="17" s="1"/>
  <c r="U43" i="17"/>
  <c r="U42" i="17" s="1"/>
  <c r="AH43" i="17"/>
  <c r="AH42" i="17" s="1"/>
  <c r="P43" i="17"/>
  <c r="P42" i="17" s="1"/>
  <c r="Y43" i="17"/>
  <c r="Y42" i="17" s="1"/>
  <c r="AG43" i="17"/>
  <c r="AG42" i="17" s="1"/>
  <c r="N43" i="17"/>
  <c r="N42" i="17" s="1"/>
  <c r="I43" i="17"/>
  <c r="I42" i="17" s="1"/>
  <c r="Z43" i="17"/>
  <c r="Z42" i="17" s="1"/>
  <c r="AL73" i="55"/>
  <c r="AS117" i="56" s="1"/>
  <c r="W36" i="55"/>
  <c r="AD80" i="56" s="1"/>
  <c r="AK73" i="55"/>
  <c r="AR117" i="56" s="1"/>
  <c r="J40" i="55"/>
  <c r="J14" i="55"/>
  <c r="J15" i="55" s="1"/>
  <c r="I15" i="55" s="1"/>
  <c r="Q15" i="55" s="1"/>
  <c r="X59" i="56" s="1"/>
  <c r="AF72" i="55"/>
  <c r="AM116" i="56" s="1"/>
  <c r="AC72" i="55"/>
  <c r="AJ116" i="56" s="1"/>
  <c r="Y36" i="55"/>
  <c r="AF80" i="56" s="1"/>
  <c r="X72" i="55"/>
  <c r="AE116" i="56" s="1"/>
  <c r="M72" i="55"/>
  <c r="T116" i="56" s="1"/>
  <c r="R36" i="55"/>
  <c r="Y80" i="56" s="1"/>
  <c r="J10" i="55"/>
  <c r="I10" i="55" s="1"/>
  <c r="L73" i="55"/>
  <c r="S117" i="56" s="1"/>
  <c r="AF36" i="55"/>
  <c r="AM80" i="56" s="1"/>
  <c r="AA81" i="42"/>
  <c r="P81" i="42"/>
  <c r="R81" i="42"/>
  <c r="S72" i="42"/>
  <c r="AC72" i="42"/>
  <c r="Y72" i="42"/>
  <c r="Y121" i="42" s="1"/>
  <c r="Y167" i="42" s="1"/>
  <c r="Z67" i="48" s="1"/>
  <c r="Q44" i="42"/>
  <c r="T44" i="42"/>
  <c r="T117" i="42" s="1"/>
  <c r="AI44" i="42"/>
  <c r="K44" i="42"/>
  <c r="K117" i="42" s="1"/>
  <c r="AG39" i="42"/>
  <c r="I39" i="42"/>
  <c r="AH39" i="42"/>
  <c r="Y58" i="42"/>
  <c r="Y119" i="42" s="1"/>
  <c r="Y165" i="42" s="1"/>
  <c r="I58" i="42"/>
  <c r="V67" i="42"/>
  <c r="V10" i="42" s="1"/>
  <c r="K67" i="42"/>
  <c r="K10" i="42" s="1"/>
  <c r="AH29" i="42"/>
  <c r="AH115" i="42" s="1"/>
  <c r="AH163" i="42" s="1"/>
  <c r="AI63" i="48" s="1"/>
  <c r="Q24" i="42"/>
  <c r="Q53" i="42" s="1"/>
  <c r="Q29" i="42"/>
  <c r="M24" i="42"/>
  <c r="AC15" i="42"/>
  <c r="N29" i="42"/>
  <c r="K15" i="42"/>
  <c r="K113" i="42" s="1"/>
  <c r="K162" i="42" s="1"/>
  <c r="L62" i="48" s="1"/>
  <c r="K29" i="42"/>
  <c r="D120" i="49"/>
  <c r="K120" i="49" s="1"/>
  <c r="D223" i="56"/>
  <c r="T81" i="42"/>
  <c r="V81" i="42"/>
  <c r="AD81" i="42"/>
  <c r="Y81" i="42"/>
  <c r="U72" i="42"/>
  <c r="U121" i="42" s="1"/>
  <c r="U167" i="42" s="1"/>
  <c r="V67" i="48" s="1"/>
  <c r="H72" i="42"/>
  <c r="X72" i="42"/>
  <c r="X121" i="42" s="1"/>
  <c r="X167" i="42" s="1"/>
  <c r="Y67" i="48" s="1"/>
  <c r="M72" i="42"/>
  <c r="AH44" i="42"/>
  <c r="W44" i="42"/>
  <c r="J44" i="42"/>
  <c r="J117" i="42" s="1"/>
  <c r="X44" i="42"/>
  <c r="M39" i="42"/>
  <c r="V39" i="42"/>
  <c r="AD39" i="42"/>
  <c r="H58" i="42"/>
  <c r="U58" i="42"/>
  <c r="W67" i="42"/>
  <c r="W10" i="42" s="1"/>
  <c r="S24" i="42"/>
  <c r="AB29" i="42"/>
  <c r="Z29" i="42"/>
  <c r="Z115" i="42" s="1"/>
  <c r="Z163" i="42" s="1"/>
  <c r="AA63" i="48" s="1"/>
  <c r="AH15" i="42"/>
  <c r="AE29" i="42"/>
  <c r="AE115" i="42" s="1"/>
  <c r="AE163" i="42" s="1"/>
  <c r="AF63" i="48" s="1"/>
  <c r="M15" i="42"/>
  <c r="AF15" i="42"/>
  <c r="E6" i="49"/>
  <c r="C49" i="48"/>
  <c r="D76" i="55"/>
  <c r="AI127" i="42"/>
  <c r="P36" i="56"/>
  <c r="AH33" i="48"/>
  <c r="N81" i="42"/>
  <c r="AF81" i="42"/>
  <c r="M81" i="42"/>
  <c r="AG81" i="42"/>
  <c r="AG83" i="42" s="1"/>
  <c r="AD72" i="42"/>
  <c r="V72" i="42"/>
  <c r="V121" i="42" s="1"/>
  <c r="V167" i="42" s="1"/>
  <c r="Q72" i="42"/>
  <c r="N72" i="42"/>
  <c r="N121" i="42" s="1"/>
  <c r="N167" i="42" s="1"/>
  <c r="O67" i="48" s="1"/>
  <c r="H44" i="42"/>
  <c r="AD44" i="42"/>
  <c r="AD117" i="42" s="1"/>
  <c r="I44" i="42"/>
  <c r="P44" i="42"/>
  <c r="P117" i="42" s="1"/>
  <c r="Z39" i="42"/>
  <c r="U39" i="42"/>
  <c r="X39" i="42"/>
  <c r="AA58" i="42"/>
  <c r="AA119" i="42" s="1"/>
  <c r="AA165" i="42" s="1"/>
  <c r="S58" i="42"/>
  <c r="AB67" i="42"/>
  <c r="AB10" i="42" s="1"/>
  <c r="N11" i="56"/>
  <c r="L29" i="42"/>
  <c r="L115" i="42" s="1"/>
  <c r="L163" i="42" s="1"/>
  <c r="M63" i="48" s="1"/>
  <c r="R29" i="42"/>
  <c r="R15" i="42"/>
  <c r="R113" i="42" s="1"/>
  <c r="R162" i="42" s="1"/>
  <c r="S62" i="48" s="1"/>
  <c r="AI24" i="42"/>
  <c r="AI53" i="42" s="1"/>
  <c r="W29" i="42"/>
  <c r="W115" i="42" s="1"/>
  <c r="W163" i="42" s="1"/>
  <c r="X63" i="48" s="1"/>
  <c r="X15" i="42"/>
  <c r="AE15" i="42"/>
  <c r="D46" i="49"/>
  <c r="E49" i="48"/>
  <c r="E77" i="48" s="1"/>
  <c r="E104" i="48" s="1"/>
  <c r="L81" i="42"/>
  <c r="O81" i="42"/>
  <c r="AB81" i="42"/>
  <c r="I81" i="42"/>
  <c r="AG72" i="42"/>
  <c r="L72" i="42"/>
  <c r="Z72" i="42"/>
  <c r="J72" i="42"/>
  <c r="J121" i="42" s="1"/>
  <c r="J167" i="42" s="1"/>
  <c r="K67" i="48" s="1"/>
  <c r="AC44" i="42"/>
  <c r="Z44" i="42"/>
  <c r="Z117" i="42" s="1"/>
  <c r="M44" i="42"/>
  <c r="AG44" i="42"/>
  <c r="AG117" i="42" s="1"/>
  <c r="T39" i="42"/>
  <c r="AB39" i="42"/>
  <c r="P39" i="42"/>
  <c r="AF58" i="42"/>
  <c r="AF119" i="42" s="1"/>
  <c r="AF165" i="42" s="1"/>
  <c r="K58" i="42"/>
  <c r="L67" i="42"/>
  <c r="L10" i="42" s="1"/>
  <c r="I24" i="42"/>
  <c r="I53" i="42" s="1"/>
  <c r="AC24" i="42"/>
  <c r="AC53" i="42" s="1"/>
  <c r="U15" i="42"/>
  <c r="I29" i="42"/>
  <c r="Y24" i="42"/>
  <c r="Y53" i="42" s="1"/>
  <c r="AD15" i="42"/>
  <c r="O29" i="42"/>
  <c r="AB15" i="42"/>
  <c r="AB113" i="42" s="1"/>
  <c r="AB162" i="42" s="1"/>
  <c r="AC62" i="48" s="1"/>
  <c r="P15" i="42"/>
  <c r="W15" i="42"/>
  <c r="W113" i="42" s="1"/>
  <c r="W162" i="42" s="1"/>
  <c r="X62" i="48" s="1"/>
  <c r="B6" i="49"/>
  <c r="B46" i="49" s="1"/>
  <c r="AK60" i="55"/>
  <c r="AR104" i="56" s="1"/>
  <c r="AE81" i="42"/>
  <c r="AC81" i="42"/>
  <c r="AC83" i="42" s="1"/>
  <c r="S81" i="42"/>
  <c r="Q81" i="42"/>
  <c r="AF72" i="42"/>
  <c r="AI72" i="42"/>
  <c r="AI121" i="42" s="1"/>
  <c r="AI167" i="42" s="1"/>
  <c r="AJ67" i="48" s="1"/>
  <c r="I72" i="42"/>
  <c r="W72" i="42"/>
  <c r="AE44" i="42"/>
  <c r="Y44" i="42"/>
  <c r="Y117" i="42" s="1"/>
  <c r="AB44" i="42"/>
  <c r="AE39" i="42"/>
  <c r="AA39" i="42"/>
  <c r="L39" i="42"/>
  <c r="AC39" i="42"/>
  <c r="AC58" i="42"/>
  <c r="T58" i="42"/>
  <c r="M67" i="42"/>
  <c r="M10" i="42" s="1"/>
  <c r="H29" i="42"/>
  <c r="AI29" i="42"/>
  <c r="AI115" i="42" s="1"/>
  <c r="AI163" i="42" s="1"/>
  <c r="AJ63" i="48" s="1"/>
  <c r="R24" i="42"/>
  <c r="R53" i="42" s="1"/>
  <c r="AF29" i="42"/>
  <c r="AF115" i="42" s="1"/>
  <c r="AF163" i="42" s="1"/>
  <c r="AG63" i="48" s="1"/>
  <c r="N24" i="42"/>
  <c r="N53" i="42" s="1"/>
  <c r="N15" i="42"/>
  <c r="AF24" i="42"/>
  <c r="AF53" i="42" s="1"/>
  <c r="T15" i="42"/>
  <c r="T113" i="42" s="1"/>
  <c r="T162" i="42" s="1"/>
  <c r="U62" i="48" s="1"/>
  <c r="AE24" i="42"/>
  <c r="AE53" i="42" s="1"/>
  <c r="O15" i="42"/>
  <c r="O113" i="42" s="1"/>
  <c r="O162" i="42" s="1"/>
  <c r="P62" i="48" s="1"/>
  <c r="H15" i="42"/>
  <c r="J20" i="49"/>
  <c r="J105" i="49" s="1"/>
  <c r="B8" i="49"/>
  <c r="B48" i="49" s="1"/>
  <c r="B93" i="49" s="1"/>
  <c r="C20" i="49"/>
  <c r="C60" i="49" s="1"/>
  <c r="C113" i="55"/>
  <c r="AI121" i="55"/>
  <c r="AP159" i="56" s="1"/>
  <c r="AA139" i="55"/>
  <c r="AH177" i="56" s="1"/>
  <c r="P37" i="56"/>
  <c r="AA33" i="48"/>
  <c r="AA60" i="55"/>
  <c r="AH104" i="56" s="1"/>
  <c r="K72" i="42"/>
  <c r="AE72" i="42"/>
  <c r="P72" i="42"/>
  <c r="V44" i="42"/>
  <c r="V117" i="42" s="1"/>
  <c r="O44" i="42"/>
  <c r="AA44" i="42"/>
  <c r="AA117" i="42" s="1"/>
  <c r="AI39" i="42"/>
  <c r="N39" i="42"/>
  <c r="K39" i="42"/>
  <c r="Y39" i="42"/>
  <c r="AB58" i="42"/>
  <c r="AE58" i="42"/>
  <c r="AE62" i="42" s="1"/>
  <c r="AA67" i="42"/>
  <c r="AA10" i="42" s="1"/>
  <c r="H24" i="42"/>
  <c r="H53" i="42" s="1"/>
  <c r="T29" i="42"/>
  <c r="AA29" i="42"/>
  <c r="AA115" i="42" s="1"/>
  <c r="AA163" i="42" s="1"/>
  <c r="AB63" i="48" s="1"/>
  <c r="Z24" i="42"/>
  <c r="Z53" i="42" s="1"/>
  <c r="X29" i="42"/>
  <c r="AG24" i="42"/>
  <c r="AG53" i="42" s="1"/>
  <c r="AC29" i="42"/>
  <c r="AC115" i="42" s="1"/>
  <c r="AC163" i="42" s="1"/>
  <c r="AD63" i="48" s="1"/>
  <c r="U24" i="42"/>
  <c r="U53" i="42" s="1"/>
  <c r="AB24" i="42"/>
  <c r="AB53" i="42" s="1"/>
  <c r="L15" i="42"/>
  <c r="AI15" i="42"/>
  <c r="AI113" i="42" s="1"/>
  <c r="AI162" i="42" s="1"/>
  <c r="AJ62" i="48" s="1"/>
  <c r="W24" i="42"/>
  <c r="W53" i="42" s="1"/>
  <c r="B10" i="49"/>
  <c r="B50" i="49" s="1"/>
  <c r="B95" i="49" s="1"/>
  <c r="L25" i="56"/>
  <c r="L203" i="56" s="1"/>
  <c r="AI81" i="42"/>
  <c r="AI83" i="42" s="1"/>
  <c r="K81" i="42"/>
  <c r="AH81" i="42"/>
  <c r="AH83" i="42" s="1"/>
  <c r="P60" i="55"/>
  <c r="W104" i="56" s="1"/>
  <c r="W81" i="42"/>
  <c r="W83" i="42" s="1"/>
  <c r="X81" i="42"/>
  <c r="T72" i="42"/>
  <c r="O72" i="42"/>
  <c r="R44" i="42"/>
  <c r="R117" i="42" s="1"/>
  <c r="N44" i="42"/>
  <c r="AF39" i="42"/>
  <c r="W39" i="42"/>
  <c r="R39" i="42"/>
  <c r="AG58" i="42"/>
  <c r="S29" i="42"/>
  <c r="AG29" i="42"/>
  <c r="P24" i="42"/>
  <c r="P53" i="42" s="1"/>
  <c r="AG15" i="42"/>
  <c r="P29" i="42"/>
  <c r="P115" i="42" s="1"/>
  <c r="P163" i="42" s="1"/>
  <c r="Q63" i="48" s="1"/>
  <c r="AH24" i="42"/>
  <c r="AH53" i="42" s="1"/>
  <c r="AD29" i="42"/>
  <c r="AD115" i="42" s="1"/>
  <c r="AD163" i="42" s="1"/>
  <c r="AE63" i="48" s="1"/>
  <c r="V24" i="42"/>
  <c r="V53" i="42" s="1"/>
  <c r="Z15" i="42"/>
  <c r="J24" i="42"/>
  <c r="J53" i="42" s="1"/>
  <c r="Y15" i="42"/>
  <c r="Y113" i="42" s="1"/>
  <c r="Y162" i="42" s="1"/>
  <c r="Z62" i="48" s="1"/>
  <c r="T24" i="42"/>
  <c r="T53" i="42" s="1"/>
  <c r="E65" i="48"/>
  <c r="E93" i="48" s="1"/>
  <c r="E120" i="48" s="1"/>
  <c r="P35" i="56"/>
  <c r="AB17" i="48"/>
  <c r="AH49" i="49" s="1"/>
  <c r="AD10" i="55"/>
  <c r="AK54" i="56" s="1"/>
  <c r="AD16" i="55"/>
  <c r="AK60" i="56" s="1"/>
  <c r="AD15" i="55"/>
  <c r="AK59" i="56" s="1"/>
  <c r="AD32" i="55"/>
  <c r="AK76" i="56" s="1"/>
  <c r="AD20" i="55"/>
  <c r="AK64" i="56" s="1"/>
  <c r="Q16" i="55"/>
  <c r="X60" i="56" s="1"/>
  <c r="AB20" i="55"/>
  <c r="AI64" i="56" s="1"/>
  <c r="I133" i="48"/>
  <c r="AG133" i="48"/>
  <c r="Y10" i="55"/>
  <c r="AF54" i="56" s="1"/>
  <c r="Q10" i="55"/>
  <c r="X54" i="56" s="1"/>
  <c r="AB16" i="55"/>
  <c r="AI60" i="56" s="1"/>
  <c r="AD133" i="48"/>
  <c r="Y16" i="55"/>
  <c r="AF60" i="56" s="1"/>
  <c r="AB32" i="55"/>
  <c r="AI76" i="56" s="1"/>
  <c r="Q32" i="55"/>
  <c r="X76" i="56" s="1"/>
  <c r="Y32" i="55"/>
  <c r="AF76" i="56" s="1"/>
  <c r="Q20" i="55"/>
  <c r="X64" i="56" s="1"/>
  <c r="AB15" i="55"/>
  <c r="AI59" i="56" s="1"/>
  <c r="Y20" i="55"/>
  <c r="AF64" i="56" s="1"/>
  <c r="AF133" i="48"/>
  <c r="AF15" i="55"/>
  <c r="AM59" i="56" s="1"/>
  <c r="T16" i="55"/>
  <c r="AA60" i="56" s="1"/>
  <c r="AE133" i="48"/>
  <c r="P133" i="48"/>
  <c r="AF20" i="55"/>
  <c r="AM64" i="56" s="1"/>
  <c r="S133" i="48"/>
  <c r="AC133" i="48"/>
  <c r="V133" i="48"/>
  <c r="N133" i="48"/>
  <c r="T20" i="55"/>
  <c r="AA64" i="56" s="1"/>
  <c r="AB133" i="48"/>
  <c r="U133" i="48"/>
  <c r="M133" i="48"/>
  <c r="O133" i="48"/>
  <c r="W133" i="48"/>
  <c r="AJ133" i="48"/>
  <c r="AA133" i="48"/>
  <c r="T133" i="48"/>
  <c r="L133" i="48"/>
  <c r="AF10" i="55"/>
  <c r="AM54" i="56" s="1"/>
  <c r="X133" i="48"/>
  <c r="Z133" i="48"/>
  <c r="M15" i="55"/>
  <c r="T59" i="56" s="1"/>
  <c r="AF16" i="55"/>
  <c r="AM60" i="56" s="1"/>
  <c r="K133" i="48"/>
  <c r="AI133" i="48"/>
  <c r="AH133" i="48"/>
  <c r="R133" i="48"/>
  <c r="J133" i="48"/>
  <c r="AA87" i="55"/>
  <c r="AH125" i="56" s="1"/>
  <c r="AI114" i="55"/>
  <c r="AP152" i="56" s="1"/>
  <c r="AA90" i="55"/>
  <c r="AH128" i="56" s="1"/>
  <c r="AA86" i="55"/>
  <c r="AH124" i="56" s="1"/>
  <c r="AA97" i="55"/>
  <c r="AH135" i="56" s="1"/>
  <c r="AC85" i="55"/>
  <c r="AJ123" i="56" s="1"/>
  <c r="AA93" i="55"/>
  <c r="AH131" i="56" s="1"/>
  <c r="AI87" i="55"/>
  <c r="AP125" i="56" s="1"/>
  <c r="AI90" i="55"/>
  <c r="AP128" i="56" s="1"/>
  <c r="AA120" i="55"/>
  <c r="AH158" i="56" s="1"/>
  <c r="AA113" i="55"/>
  <c r="AH151" i="56" s="1"/>
  <c r="AB109" i="55"/>
  <c r="AI147" i="56" s="1"/>
  <c r="L116" i="55"/>
  <c r="S154" i="56" s="1"/>
  <c r="AA140" i="55"/>
  <c r="AH178" i="56" s="1"/>
  <c r="AI98" i="55"/>
  <c r="AP136" i="56" s="1"/>
  <c r="AI102" i="55"/>
  <c r="AP140" i="56" s="1"/>
  <c r="AI94" i="55"/>
  <c r="AA138" i="55"/>
  <c r="AH176" i="56" s="1"/>
  <c r="AI122" i="55"/>
  <c r="AP160" i="56" s="1"/>
  <c r="AA85" i="55"/>
  <c r="AH123" i="56" s="1"/>
  <c r="AI111" i="55"/>
  <c r="AP149" i="56" s="1"/>
  <c r="AI91" i="55"/>
  <c r="AP129" i="56" s="1"/>
  <c r="AI110" i="55"/>
  <c r="AP148" i="56" s="1"/>
  <c r="AH138" i="55"/>
  <c r="AO176" i="56" s="1"/>
  <c r="AI140" i="55"/>
  <c r="AP178" i="56" s="1"/>
  <c r="AA116" i="55"/>
  <c r="AH154" i="56" s="1"/>
  <c r="AI85" i="55"/>
  <c r="AP123" i="56" s="1"/>
  <c r="AI96" i="55"/>
  <c r="AP134" i="56" s="1"/>
  <c r="AA109" i="55"/>
  <c r="AH147" i="56" s="1"/>
  <c r="AE93" i="55"/>
  <c r="AL131" i="56" s="1"/>
  <c r="W85" i="55"/>
  <c r="AD123" i="56" s="1"/>
  <c r="O99" i="55"/>
  <c r="V137" i="56" s="1"/>
  <c r="AB23" i="61"/>
  <c r="AB24" i="61" s="1"/>
  <c r="AA98" i="55"/>
  <c r="AH136" i="56" s="1"/>
  <c r="AA102" i="55"/>
  <c r="AH140" i="56" s="1"/>
  <c r="AA137" i="55"/>
  <c r="AH175" i="56" s="1"/>
  <c r="AI88" i="55"/>
  <c r="AP126" i="56" s="1"/>
  <c r="Z85" i="55"/>
  <c r="AG123" i="56" s="1"/>
  <c r="R140" i="55"/>
  <c r="Y178" i="56" s="1"/>
  <c r="AA114" i="55"/>
  <c r="AH152" i="56" s="1"/>
  <c r="AI116" i="55"/>
  <c r="AP154" i="56" s="1"/>
  <c r="AI119" i="55"/>
  <c r="AP157" i="56" s="1"/>
  <c r="L118" i="55"/>
  <c r="S156" i="56" s="1"/>
  <c r="L111" i="55"/>
  <c r="S149" i="56" s="1"/>
  <c r="L114" i="55"/>
  <c r="S152" i="56" s="1"/>
  <c r="L140" i="55"/>
  <c r="S178" i="56" s="1"/>
  <c r="L102" i="55"/>
  <c r="S140" i="56" s="1"/>
  <c r="L115" i="55"/>
  <c r="S153" i="56" s="1"/>
  <c r="L96" i="55"/>
  <c r="S134" i="56" s="1"/>
  <c r="L93" i="55"/>
  <c r="S131" i="56" s="1"/>
  <c r="L109" i="55"/>
  <c r="S147" i="56" s="1"/>
  <c r="L90" i="55"/>
  <c r="S128" i="56" s="1"/>
  <c r="L121" i="55"/>
  <c r="S159" i="56" s="1"/>
  <c r="L112" i="55"/>
  <c r="S150" i="56" s="1"/>
  <c r="Z102" i="55"/>
  <c r="AG140" i="56" s="1"/>
  <c r="Z93" i="55"/>
  <c r="AG131" i="56" s="1"/>
  <c r="Z114" i="55"/>
  <c r="AG152" i="56" s="1"/>
  <c r="Z117" i="55"/>
  <c r="AG155" i="56" s="1"/>
  <c r="AC117" i="55"/>
  <c r="AJ155" i="56" s="1"/>
  <c r="AC114" i="55"/>
  <c r="AJ152" i="56" s="1"/>
  <c r="AL115" i="55"/>
  <c r="AS153" i="56" s="1"/>
  <c r="AD96" i="55"/>
  <c r="AK134" i="56" s="1"/>
  <c r="V111" i="55"/>
  <c r="AC149" i="56" s="1"/>
  <c r="N122" i="55"/>
  <c r="U160" i="56" s="1"/>
  <c r="AK114" i="55"/>
  <c r="AR152" i="56" s="1"/>
  <c r="U112" i="55"/>
  <c r="AB150" i="56" s="1"/>
  <c r="M92" i="55"/>
  <c r="T130" i="56" s="1"/>
  <c r="AJ92" i="55"/>
  <c r="AQ130" i="56" s="1"/>
  <c r="T93" i="55"/>
  <c r="AA131" i="56" s="1"/>
  <c r="S119" i="55"/>
  <c r="Z157" i="56" s="1"/>
  <c r="K94" i="55"/>
  <c r="AG100" i="55"/>
  <c r="AN138" i="56" s="1"/>
  <c r="Y98" i="55"/>
  <c r="AF136" i="56" s="1"/>
  <c r="Q118" i="55"/>
  <c r="X156" i="56" s="1"/>
  <c r="AE98" i="55"/>
  <c r="AL136" i="56" s="1"/>
  <c r="AE99" i="55"/>
  <c r="AL137" i="56" s="1"/>
  <c r="AF96" i="55"/>
  <c r="AM134" i="56" s="1"/>
  <c r="X115" i="55"/>
  <c r="AE153" i="56" s="1"/>
  <c r="P109" i="55"/>
  <c r="W147" i="56" s="1"/>
  <c r="M88" i="55"/>
  <c r="T126" i="56" s="1"/>
  <c r="M112" i="55"/>
  <c r="T150" i="56" s="1"/>
  <c r="AJ114" i="55"/>
  <c r="AQ152" i="56" s="1"/>
  <c r="T112" i="55"/>
  <c r="AA150" i="56" s="1"/>
  <c r="T96" i="55"/>
  <c r="AA134" i="56" s="1"/>
  <c r="T137" i="55"/>
  <c r="AA175" i="56" s="1"/>
  <c r="T123" i="55"/>
  <c r="AA161" i="56" s="1"/>
  <c r="T86" i="55"/>
  <c r="AA124" i="56" s="1"/>
  <c r="T98" i="55"/>
  <c r="AA136" i="56" s="1"/>
  <c r="T102" i="55"/>
  <c r="AA140" i="56" s="1"/>
  <c r="AK119" i="55"/>
  <c r="AR157" i="56" s="1"/>
  <c r="AK86" i="55"/>
  <c r="AR124" i="56" s="1"/>
  <c r="AK115" i="55"/>
  <c r="AR153" i="56" s="1"/>
  <c r="AK111" i="55"/>
  <c r="AR149" i="56" s="1"/>
  <c r="AK98" i="55"/>
  <c r="AR136" i="56" s="1"/>
  <c r="Y117" i="55"/>
  <c r="AF155" i="56" s="1"/>
  <c r="AB98" i="55"/>
  <c r="AI136" i="56" s="1"/>
  <c r="X116" i="55"/>
  <c r="AE154" i="56" s="1"/>
  <c r="L87" i="55"/>
  <c r="S125" i="56" s="1"/>
  <c r="AE117" i="55"/>
  <c r="AL155" i="56" s="1"/>
  <c r="Y88" i="55"/>
  <c r="AF126" i="56" s="1"/>
  <c r="AC115" i="55"/>
  <c r="AJ153" i="56" s="1"/>
  <c r="V120" i="55"/>
  <c r="AC158" i="56" s="1"/>
  <c r="V115" i="55"/>
  <c r="AC153" i="56" s="1"/>
  <c r="V91" i="55"/>
  <c r="AC129" i="56" s="1"/>
  <c r="N120" i="55"/>
  <c r="U158" i="56" s="1"/>
  <c r="Q109" i="55"/>
  <c r="X147" i="56" s="1"/>
  <c r="Q122" i="55"/>
  <c r="X160" i="56" s="1"/>
  <c r="AB100" i="55"/>
  <c r="AI138" i="56" s="1"/>
  <c r="AB90" i="55"/>
  <c r="AI128" i="56" s="1"/>
  <c r="AB117" i="55"/>
  <c r="AI155" i="56" s="1"/>
  <c r="P97" i="55"/>
  <c r="W135" i="56" s="1"/>
  <c r="P120" i="55"/>
  <c r="W158" i="56" s="1"/>
  <c r="AC93" i="55"/>
  <c r="AJ131" i="56" s="1"/>
  <c r="W90" i="55"/>
  <c r="AD128" i="56" s="1"/>
  <c r="W100" i="55"/>
  <c r="AD138" i="56" s="1"/>
  <c r="W94" i="55"/>
  <c r="L123" i="55"/>
  <c r="S161" i="56" s="1"/>
  <c r="L117" i="55"/>
  <c r="S155" i="56" s="1"/>
  <c r="L100" i="55"/>
  <c r="S138" i="56" s="1"/>
  <c r="L120" i="55"/>
  <c r="S158" i="56" s="1"/>
  <c r="L119" i="55"/>
  <c r="S157" i="56" s="1"/>
  <c r="L92" i="55"/>
  <c r="S130" i="56" s="1"/>
  <c r="L139" i="55"/>
  <c r="S177" i="56" s="1"/>
  <c r="L138" i="55"/>
  <c r="S176" i="56" s="1"/>
  <c r="AH86" i="55"/>
  <c r="AO124" i="56" s="1"/>
  <c r="W114" i="55"/>
  <c r="AD152" i="56" s="1"/>
  <c r="Q93" i="55"/>
  <c r="X131" i="56" s="1"/>
  <c r="Q116" i="55"/>
  <c r="X154" i="56" s="1"/>
  <c r="W87" i="55"/>
  <c r="AD125" i="56" s="1"/>
  <c r="AH87" i="55"/>
  <c r="AO125" i="56" s="1"/>
  <c r="P102" i="55"/>
  <c r="W140" i="56" s="1"/>
  <c r="AB85" i="55"/>
  <c r="AI123" i="56" s="1"/>
  <c r="X90" i="55"/>
  <c r="AE128" i="56" s="1"/>
  <c r="X108" i="55"/>
  <c r="AE146" i="56" s="1"/>
  <c r="AB137" i="55"/>
  <c r="AI175" i="56" s="1"/>
  <c r="L94" i="55"/>
  <c r="L86" i="55"/>
  <c r="S124" i="56" s="1"/>
  <c r="AH109" i="55"/>
  <c r="AO147" i="56" s="1"/>
  <c r="L124" i="55"/>
  <c r="S162" i="56" s="1"/>
  <c r="AC135" i="55"/>
  <c r="AJ173" i="56" s="1"/>
  <c r="R122" i="55"/>
  <c r="Y160" i="56" s="1"/>
  <c r="R100" i="55"/>
  <c r="Y138" i="56" s="1"/>
  <c r="R99" i="55"/>
  <c r="Y137" i="56" s="1"/>
  <c r="R117" i="55"/>
  <c r="Y155" i="56" s="1"/>
  <c r="R113" i="55"/>
  <c r="Y151" i="56" s="1"/>
  <c r="R120" i="55"/>
  <c r="Y158" i="56" s="1"/>
  <c r="Q96" i="55"/>
  <c r="X134" i="56" s="1"/>
  <c r="Q124" i="55"/>
  <c r="X162" i="56" s="1"/>
  <c r="AF115" i="55"/>
  <c r="AM153" i="56" s="1"/>
  <c r="AF91" i="55"/>
  <c r="AM129" i="56" s="1"/>
  <c r="AF138" i="55"/>
  <c r="AM176" i="56" s="1"/>
  <c r="AF99" i="55"/>
  <c r="AM137" i="56" s="1"/>
  <c r="X92" i="55"/>
  <c r="AE130" i="56" s="1"/>
  <c r="X86" i="55"/>
  <c r="AE124" i="56" s="1"/>
  <c r="X119" i="55"/>
  <c r="AE157" i="56" s="1"/>
  <c r="X109" i="55"/>
  <c r="AE147" i="56" s="1"/>
  <c r="X117" i="55"/>
  <c r="AE155" i="56" s="1"/>
  <c r="X89" i="55"/>
  <c r="AE127" i="56" s="1"/>
  <c r="X121" i="55"/>
  <c r="AE159" i="56" s="1"/>
  <c r="AC120" i="55"/>
  <c r="AJ158" i="56" s="1"/>
  <c r="AC99" i="55"/>
  <c r="AJ137" i="56" s="1"/>
  <c r="AC92" i="55"/>
  <c r="AJ130" i="56" s="1"/>
  <c r="AC96" i="55"/>
  <c r="AJ134" i="56" s="1"/>
  <c r="X88" i="55"/>
  <c r="AE126" i="56" s="1"/>
  <c r="X118" i="55"/>
  <c r="AE156" i="56" s="1"/>
  <c r="AE96" i="55"/>
  <c r="AL134" i="56" s="1"/>
  <c r="AE109" i="55"/>
  <c r="AL147" i="56" s="1"/>
  <c r="AE120" i="55"/>
  <c r="AL158" i="56" s="1"/>
  <c r="X93" i="55"/>
  <c r="AE131" i="56" s="1"/>
  <c r="X114" i="55"/>
  <c r="AE152" i="56" s="1"/>
  <c r="AF93" i="55"/>
  <c r="AM131" i="56" s="1"/>
  <c r="W93" i="55"/>
  <c r="AD131" i="56" s="1"/>
  <c r="L98" i="55"/>
  <c r="S136" i="56" s="1"/>
  <c r="O116" i="55"/>
  <c r="V154" i="56" s="1"/>
  <c r="AF136" i="55"/>
  <c r="AM174" i="56" s="1"/>
  <c r="X102" i="55"/>
  <c r="AE140" i="56" s="1"/>
  <c r="L85" i="55"/>
  <c r="S123" i="56" s="1"/>
  <c r="O119" i="55"/>
  <c r="V157" i="56" s="1"/>
  <c r="Q90" i="55"/>
  <c r="X128" i="56" s="1"/>
  <c r="AF94" i="55"/>
  <c r="W111" i="55"/>
  <c r="AD149" i="56" s="1"/>
  <c r="AB139" i="55"/>
  <c r="AI177" i="56" s="1"/>
  <c r="X120" i="55"/>
  <c r="AE158" i="56" s="1"/>
  <c r="L99" i="55"/>
  <c r="S137" i="56" s="1"/>
  <c r="K117" i="55"/>
  <c r="R155" i="56" s="1"/>
  <c r="Y102" i="55"/>
  <c r="AF140" i="56" s="1"/>
  <c r="Y90" i="55"/>
  <c r="AF128" i="56" s="1"/>
  <c r="X96" i="55"/>
  <c r="AE134" i="56" s="1"/>
  <c r="Y120" i="55"/>
  <c r="AF158" i="56" s="1"/>
  <c r="X100" i="55"/>
  <c r="AE138" i="56" s="1"/>
  <c r="AC124" i="55"/>
  <c r="AJ162" i="56" s="1"/>
  <c r="AI117" i="55"/>
  <c r="AP155" i="56" s="1"/>
  <c r="AI123" i="55"/>
  <c r="AP161" i="56" s="1"/>
  <c r="AI109" i="55"/>
  <c r="AP147" i="56" s="1"/>
  <c r="AI86" i="55"/>
  <c r="AP124" i="56" s="1"/>
  <c r="AI115" i="55"/>
  <c r="AP153" i="56" s="1"/>
  <c r="AI99" i="55"/>
  <c r="AP137" i="56" s="1"/>
  <c r="AI124" i="55"/>
  <c r="AP162" i="56" s="1"/>
  <c r="AI100" i="55"/>
  <c r="AP138" i="56" s="1"/>
  <c r="AI112" i="55"/>
  <c r="AP150" i="56" s="1"/>
  <c r="AA99" i="55"/>
  <c r="AH137" i="56" s="1"/>
  <c r="AA94" i="55"/>
  <c r="AA110" i="55"/>
  <c r="AH148" i="56" s="1"/>
  <c r="AA89" i="55"/>
  <c r="AH127" i="56" s="1"/>
  <c r="AA92" i="55"/>
  <c r="AH130" i="56" s="1"/>
  <c r="AA115" i="55"/>
  <c r="AH153" i="56" s="1"/>
  <c r="AA112" i="55"/>
  <c r="AH150" i="56" s="1"/>
  <c r="AA111" i="55"/>
  <c r="AH149" i="56" s="1"/>
  <c r="AA119" i="55"/>
  <c r="AH157" i="56" s="1"/>
  <c r="AA101" i="55"/>
  <c r="AH139" i="56" s="1"/>
  <c r="AA122" i="55"/>
  <c r="AH160" i="56" s="1"/>
  <c r="AA123" i="55"/>
  <c r="AH161" i="56" s="1"/>
  <c r="AA88" i="55"/>
  <c r="AH126" i="56" s="1"/>
  <c r="AA100" i="55"/>
  <c r="AH138" i="56" s="1"/>
  <c r="AA117" i="55"/>
  <c r="AH155" i="56" s="1"/>
  <c r="AA96" i="55"/>
  <c r="AH134" i="56" s="1"/>
  <c r="AA108" i="55"/>
  <c r="AH146" i="56" s="1"/>
  <c r="S86" i="55"/>
  <c r="Z124" i="56" s="1"/>
  <c r="S111" i="55"/>
  <c r="Z149" i="56" s="1"/>
  <c r="S124" i="55"/>
  <c r="Z162" i="56" s="1"/>
  <c r="S112" i="55"/>
  <c r="Z150" i="56" s="1"/>
  <c r="Y87" i="55"/>
  <c r="AF125" i="56" s="1"/>
  <c r="Y85" i="55"/>
  <c r="AF123" i="56" s="1"/>
  <c r="AB86" i="55"/>
  <c r="AI124" i="56" s="1"/>
  <c r="Q120" i="55"/>
  <c r="X158" i="56" s="1"/>
  <c r="Y112" i="55"/>
  <c r="AF150" i="56" s="1"/>
  <c r="Y121" i="55"/>
  <c r="AF159" i="56" s="1"/>
  <c r="K89" i="55"/>
  <c r="R127" i="56" s="1"/>
  <c r="Z121" i="55"/>
  <c r="AG159" i="56" s="1"/>
  <c r="Z88" i="55"/>
  <c r="AG126" i="56" s="1"/>
  <c r="Z115" i="55"/>
  <c r="AG153" i="56" s="1"/>
  <c r="K119" i="55"/>
  <c r="R157" i="56" s="1"/>
  <c r="X136" i="55"/>
  <c r="AE174" i="56" s="1"/>
  <c r="K115" i="55"/>
  <c r="R153" i="56" s="1"/>
  <c r="K93" i="55"/>
  <c r="R131" i="56" s="1"/>
  <c r="AI101" i="55"/>
  <c r="AP139" i="56" s="1"/>
  <c r="AI137" i="55"/>
  <c r="AP175" i="56" s="1"/>
  <c r="K112" i="55"/>
  <c r="R150" i="56" s="1"/>
  <c r="K88" i="55"/>
  <c r="R126" i="56" s="1"/>
  <c r="Z8" i="42"/>
  <c r="Z112" i="42" s="1"/>
  <c r="AD76" i="42"/>
  <c r="K69" i="42"/>
  <c r="S76" i="42"/>
  <c r="W69" i="42"/>
  <c r="AH69" i="42"/>
  <c r="AA69" i="42"/>
  <c r="D11" i="50"/>
  <c r="D10" i="50"/>
  <c r="E31" i="56"/>
  <c r="E209" i="56" s="1"/>
  <c r="D8" i="55"/>
  <c r="C142" i="55"/>
  <c r="D202" i="56"/>
  <c r="D217" i="56"/>
  <c r="D203" i="56"/>
  <c r="P38" i="56"/>
  <c r="S21" i="55"/>
  <c r="Z65" i="56" s="1"/>
  <c r="Z21" i="55"/>
  <c r="AG65" i="56" s="1"/>
  <c r="Q21" i="55"/>
  <c r="X65" i="56" s="1"/>
  <c r="T21" i="55"/>
  <c r="AA65" i="56" s="1"/>
  <c r="AD21" i="55"/>
  <c r="AK65" i="56" s="1"/>
  <c r="Y21" i="55"/>
  <c r="AF65" i="56" s="1"/>
  <c r="AF21" i="55"/>
  <c r="AM65" i="56" s="1"/>
  <c r="AB60" i="55"/>
  <c r="AI104" i="56" s="1"/>
  <c r="AJ72" i="55"/>
  <c r="AQ116" i="56" s="1"/>
  <c r="R73" i="55"/>
  <c r="Y117" i="56" s="1"/>
  <c r="Y72" i="55"/>
  <c r="AF116" i="56" s="1"/>
  <c r="AL72" i="55"/>
  <c r="AS116" i="56" s="1"/>
  <c r="AB72" i="55"/>
  <c r="AI116" i="56" s="1"/>
  <c r="Q113" i="55"/>
  <c r="X151" i="56" s="1"/>
  <c r="W113" i="55"/>
  <c r="AD151" i="56" s="1"/>
  <c r="L89" i="55"/>
  <c r="S127" i="56" s="1"/>
  <c r="R89" i="55"/>
  <c r="Y127" i="56" s="1"/>
  <c r="L84" i="55"/>
  <c r="S122" i="56" s="1"/>
  <c r="AD95" i="55"/>
  <c r="AK133" i="56" s="1"/>
  <c r="J13" i="55"/>
  <c r="I13" i="55" s="1"/>
  <c r="J24" i="55"/>
  <c r="I24" i="55" s="1"/>
  <c r="AG72" i="55"/>
  <c r="AN116" i="56" s="1"/>
  <c r="O72" i="55"/>
  <c r="V116" i="56" s="1"/>
  <c r="Z60" i="55"/>
  <c r="AG104" i="56" s="1"/>
  <c r="W60" i="55"/>
  <c r="AD104" i="56" s="1"/>
  <c r="I65" i="55"/>
  <c r="AD65" i="55" s="1"/>
  <c r="AK109" i="56" s="1"/>
  <c r="Q73" i="55"/>
  <c r="X117" i="56" s="1"/>
  <c r="Q72" i="55"/>
  <c r="X116" i="56" s="1"/>
  <c r="AD72" i="55"/>
  <c r="AK116" i="56" s="1"/>
  <c r="L72" i="55"/>
  <c r="S116" i="56" s="1"/>
  <c r="AF88" i="55"/>
  <c r="AM126" i="56" s="1"/>
  <c r="L88" i="55"/>
  <c r="S126" i="56" s="1"/>
  <c r="P112" i="55"/>
  <c r="W150" i="56" s="1"/>
  <c r="Q91" i="55"/>
  <c r="X129" i="56" s="1"/>
  <c r="AA91" i="55"/>
  <c r="AH129" i="56" s="1"/>
  <c r="AB97" i="55"/>
  <c r="AI135" i="56" s="1"/>
  <c r="AK97" i="55"/>
  <c r="AR135" i="56" s="1"/>
  <c r="O113" i="55"/>
  <c r="V151" i="56" s="1"/>
  <c r="X113" i="55"/>
  <c r="AE151" i="56" s="1"/>
  <c r="R118" i="55"/>
  <c r="Y156" i="56" s="1"/>
  <c r="AB89" i="55"/>
  <c r="AI127" i="56" s="1"/>
  <c r="AJ89" i="55"/>
  <c r="AQ127" i="56" s="1"/>
  <c r="AK89" i="55"/>
  <c r="AR127" i="56" s="1"/>
  <c r="AI84" i="55"/>
  <c r="AP122" i="56" s="1"/>
  <c r="O110" i="55"/>
  <c r="V148" i="56" s="1"/>
  <c r="AF110" i="55"/>
  <c r="AM148" i="56" s="1"/>
  <c r="AK110" i="55"/>
  <c r="AR148" i="56" s="1"/>
  <c r="AK95" i="55"/>
  <c r="AR133" i="56" s="1"/>
  <c r="AI21" i="55"/>
  <c r="AP65" i="56" s="1"/>
  <c r="J12" i="55"/>
  <c r="I12" i="55" s="1"/>
  <c r="S12" i="55" s="1"/>
  <c r="Z56" i="56" s="1"/>
  <c r="AH97" i="55"/>
  <c r="AO135" i="56" s="1"/>
  <c r="AJ113" i="55"/>
  <c r="AQ151" i="56" s="1"/>
  <c r="O89" i="55"/>
  <c r="V127" i="56" s="1"/>
  <c r="AI89" i="55"/>
  <c r="AP127" i="56" s="1"/>
  <c r="T101" i="55"/>
  <c r="AA139" i="56" s="1"/>
  <c r="T110" i="55"/>
  <c r="AA148" i="56" s="1"/>
  <c r="I9" i="55"/>
  <c r="R9" i="55" s="1"/>
  <c r="Y53" i="56" s="1"/>
  <c r="AE60" i="55"/>
  <c r="AL104" i="56" s="1"/>
  <c r="M91" i="55"/>
  <c r="T129" i="56" s="1"/>
  <c r="R91" i="55"/>
  <c r="Y129" i="56" s="1"/>
  <c r="AE121" i="55"/>
  <c r="AL159" i="56" s="1"/>
  <c r="R121" i="55"/>
  <c r="Y159" i="56" s="1"/>
  <c r="V97" i="55"/>
  <c r="AC135" i="56" s="1"/>
  <c r="T113" i="55"/>
  <c r="AA151" i="56" s="1"/>
  <c r="P113" i="55"/>
  <c r="W151" i="56" s="1"/>
  <c r="AH113" i="55"/>
  <c r="AO151" i="56" s="1"/>
  <c r="T118" i="55"/>
  <c r="AA156" i="56" s="1"/>
  <c r="P118" i="55"/>
  <c r="W156" i="56" s="1"/>
  <c r="Q89" i="55"/>
  <c r="X127" i="56" s="1"/>
  <c r="P89" i="55"/>
  <c r="W127" i="56" s="1"/>
  <c r="AF107" i="55"/>
  <c r="AM145" i="56" s="1"/>
  <c r="T122" i="55"/>
  <c r="AA160" i="56" s="1"/>
  <c r="Y122" i="55"/>
  <c r="AF160" i="56" s="1"/>
  <c r="AK122" i="55"/>
  <c r="AR160" i="56" s="1"/>
  <c r="W101" i="55"/>
  <c r="AD139" i="56" s="1"/>
  <c r="T95" i="55"/>
  <c r="AA133" i="56" s="1"/>
  <c r="S15" i="55"/>
  <c r="Z59" i="56" s="1"/>
  <c r="O15" i="55"/>
  <c r="V59" i="56" s="1"/>
  <c r="Z36" i="55"/>
  <c r="AG80" i="56" s="1"/>
  <c r="J18" i="55"/>
  <c r="I18" i="55" s="1"/>
  <c r="X95" i="55"/>
  <c r="AE133" i="56" s="1"/>
  <c r="J11" i="55"/>
  <c r="I11" i="55" s="1"/>
  <c r="U11" i="55" s="1"/>
  <c r="AB55" i="56" s="1"/>
  <c r="M121" i="55"/>
  <c r="T159" i="56" s="1"/>
  <c r="V121" i="55"/>
  <c r="AC159" i="56" s="1"/>
  <c r="AK121" i="55"/>
  <c r="AR159" i="56" s="1"/>
  <c r="T97" i="55"/>
  <c r="AA135" i="56" s="1"/>
  <c r="L97" i="55"/>
  <c r="S135" i="56" s="1"/>
  <c r="X97" i="55"/>
  <c r="AE135" i="56" s="1"/>
  <c r="Y113" i="55"/>
  <c r="AF151" i="56" s="1"/>
  <c r="T89" i="55"/>
  <c r="AA127" i="56" s="1"/>
  <c r="AF89" i="55"/>
  <c r="AM127" i="56" s="1"/>
  <c r="V89" i="55"/>
  <c r="AC127" i="56" s="1"/>
  <c r="M122" i="55"/>
  <c r="T160" i="56" s="1"/>
  <c r="W122" i="55"/>
  <c r="AD160" i="56" s="1"/>
  <c r="L122" i="55"/>
  <c r="S160" i="56" s="1"/>
  <c r="X122" i="55"/>
  <c r="AE160" i="56" s="1"/>
  <c r="X101" i="55"/>
  <c r="AE139" i="56" s="1"/>
  <c r="X84" i="55"/>
  <c r="AE122" i="56" s="1"/>
  <c r="X110" i="55"/>
  <c r="AE148" i="56" s="1"/>
  <c r="AH110" i="55"/>
  <c r="AO148" i="56" s="1"/>
  <c r="AA95" i="55"/>
  <c r="AH133" i="56" s="1"/>
  <c r="AI10" i="55"/>
  <c r="AP54" i="56" s="1"/>
  <c r="AK36" i="55"/>
  <c r="AR80" i="56" s="1"/>
  <c r="J17" i="55"/>
  <c r="I17" i="55" s="1"/>
  <c r="T91" i="55"/>
  <c r="AA129" i="56" s="1"/>
  <c r="L91" i="55"/>
  <c r="S129" i="56" s="1"/>
  <c r="AK91" i="55"/>
  <c r="AR129" i="56" s="1"/>
  <c r="Q121" i="55"/>
  <c r="X159" i="56" s="1"/>
  <c r="AA121" i="55"/>
  <c r="AH159" i="56" s="1"/>
  <c r="P121" i="55"/>
  <c r="W159" i="56" s="1"/>
  <c r="Q97" i="55"/>
  <c r="X135" i="56" s="1"/>
  <c r="W97" i="55"/>
  <c r="AD135" i="56" s="1"/>
  <c r="R97" i="55"/>
  <c r="Y135" i="56" s="1"/>
  <c r="W118" i="55"/>
  <c r="AD156" i="56" s="1"/>
  <c r="M89" i="55"/>
  <c r="T127" i="56" s="1"/>
  <c r="W89" i="55"/>
  <c r="AD127" i="56" s="1"/>
  <c r="AB110" i="55"/>
  <c r="AI148" i="56" s="1"/>
  <c r="L110" i="55"/>
  <c r="S148" i="56" s="1"/>
  <c r="R95" i="55"/>
  <c r="Y133" i="56" s="1"/>
  <c r="V36" i="55"/>
  <c r="AC80" i="56" s="1"/>
  <c r="T36" i="55"/>
  <c r="AA80" i="56" s="1"/>
  <c r="J27" i="55"/>
  <c r="O65" i="55"/>
  <c r="V109" i="56" s="1"/>
  <c r="U65" i="55"/>
  <c r="AB109" i="56" s="1"/>
  <c r="AD73" i="55"/>
  <c r="AK117" i="56" s="1"/>
  <c r="AC60" i="55"/>
  <c r="AJ104" i="56" s="1"/>
  <c r="AF60" i="55"/>
  <c r="AM104" i="56" s="1"/>
  <c r="J14" i="49"/>
  <c r="J78" i="49" s="1"/>
  <c r="Y73" i="55"/>
  <c r="AF117" i="56" s="1"/>
  <c r="AB73" i="55"/>
  <c r="AI117" i="56" s="1"/>
  <c r="P27" i="48"/>
  <c r="U27" i="48"/>
  <c r="S27" i="48"/>
  <c r="Q27" i="48"/>
  <c r="W76" i="55"/>
  <c r="AD120" i="56" s="1"/>
  <c r="L76" i="55"/>
  <c r="S120" i="56" s="1"/>
  <c r="AF137" i="55"/>
  <c r="AM175" i="56" s="1"/>
  <c r="P137" i="55"/>
  <c r="W175" i="56" s="1"/>
  <c r="AK137" i="55"/>
  <c r="AR175" i="56" s="1"/>
  <c r="AD139" i="55"/>
  <c r="AK177" i="56" s="1"/>
  <c r="W139" i="55"/>
  <c r="AD177" i="56" s="1"/>
  <c r="M74" i="55"/>
  <c r="T118" i="56" s="1"/>
  <c r="L74" i="55"/>
  <c r="S118" i="56" s="1"/>
  <c r="AG74" i="55"/>
  <c r="AN118" i="56" s="1"/>
  <c r="X32" i="48"/>
  <c r="AJ32" i="48"/>
  <c r="AJ10" i="55"/>
  <c r="AQ54" i="56" s="1"/>
  <c r="R10" i="55"/>
  <c r="Y54" i="56" s="1"/>
  <c r="T10" i="55"/>
  <c r="AA54" i="56" s="1"/>
  <c r="K132" i="48"/>
  <c r="AH74" i="55"/>
  <c r="AO118" i="56" s="1"/>
  <c r="X74" i="55"/>
  <c r="AE118" i="56" s="1"/>
  <c r="W74" i="55"/>
  <c r="AD118" i="56" s="1"/>
  <c r="AF32" i="48"/>
  <c r="AB32" i="48"/>
  <c r="S132" i="48"/>
  <c r="D70" i="48"/>
  <c r="D98" i="48" s="1"/>
  <c r="D125" i="48" s="1"/>
  <c r="C27" i="49"/>
  <c r="C67" i="49" s="1"/>
  <c r="C112" i="49" s="1"/>
  <c r="AL74" i="55"/>
  <c r="AS118" i="56" s="1"/>
  <c r="AD74" i="55"/>
  <c r="AK118" i="56" s="1"/>
  <c r="AI74" i="55"/>
  <c r="AP118" i="56" s="1"/>
  <c r="Z74" i="55"/>
  <c r="AG118" i="56" s="1"/>
  <c r="Y74" i="55"/>
  <c r="AF118" i="56" s="1"/>
  <c r="AE32" i="48"/>
  <c r="T32" i="48"/>
  <c r="X73" i="55"/>
  <c r="AE117" i="56" s="1"/>
  <c r="M73" i="55"/>
  <c r="T117" i="56" s="1"/>
  <c r="P73" i="55"/>
  <c r="W117" i="56" s="1"/>
  <c r="O27" i="48"/>
  <c r="AB27" i="48"/>
  <c r="Z27" i="48"/>
  <c r="AL76" i="55"/>
  <c r="AS120" i="56" s="1"/>
  <c r="AK76" i="55"/>
  <c r="AR120" i="56" s="1"/>
  <c r="AJ76" i="55"/>
  <c r="AQ120" i="56" s="1"/>
  <c r="AI76" i="55"/>
  <c r="AP120" i="56" s="1"/>
  <c r="R76" i="55"/>
  <c r="Y120" i="56" s="1"/>
  <c r="Q137" i="55"/>
  <c r="X175" i="56" s="1"/>
  <c r="V137" i="55"/>
  <c r="AC175" i="56" s="1"/>
  <c r="N137" i="55"/>
  <c r="U175" i="56" s="1"/>
  <c r="T139" i="55"/>
  <c r="AA177" i="56" s="1"/>
  <c r="R139" i="55"/>
  <c r="Y177" i="56" s="1"/>
  <c r="X139" i="55"/>
  <c r="AE177" i="56" s="1"/>
  <c r="AI139" i="55"/>
  <c r="AP177" i="56" s="1"/>
  <c r="R135" i="55"/>
  <c r="Y173" i="56" s="1"/>
  <c r="AJ74" i="55"/>
  <c r="AQ118" i="56" s="1"/>
  <c r="AA74" i="55"/>
  <c r="AH118" i="56" s="1"/>
  <c r="P74" i="55"/>
  <c r="W118" i="56" s="1"/>
  <c r="O74" i="55"/>
  <c r="V118" i="56" s="1"/>
  <c r="J32" i="48"/>
  <c r="O32" i="48"/>
  <c r="AI32" i="48"/>
  <c r="Q132" i="48"/>
  <c r="P17" i="48"/>
  <c r="V49" i="49" s="1"/>
  <c r="U17" i="48"/>
  <c r="AA49" i="49" s="1"/>
  <c r="W9" i="55"/>
  <c r="AD53" i="56" s="1"/>
  <c r="W21" i="55"/>
  <c r="AD65" i="56" s="1"/>
  <c r="W15" i="55"/>
  <c r="AD59" i="56" s="1"/>
  <c r="W20" i="55"/>
  <c r="AD64" i="56" s="1"/>
  <c r="W32" i="55"/>
  <c r="AD76" i="56" s="1"/>
  <c r="M17" i="48"/>
  <c r="S49" i="49" s="1"/>
  <c r="O11" i="55"/>
  <c r="V55" i="56" s="1"/>
  <c r="O21" i="55"/>
  <c r="V65" i="56" s="1"/>
  <c r="W13" i="55"/>
  <c r="AD57" i="56" s="1"/>
  <c r="AB13" i="55"/>
  <c r="AI57" i="56" s="1"/>
  <c r="R65" i="55"/>
  <c r="Y109" i="56" s="1"/>
  <c r="AJ60" i="55"/>
  <c r="AQ104" i="56" s="1"/>
  <c r="AG60" i="55"/>
  <c r="AN104" i="56" s="1"/>
  <c r="AJ65" i="55"/>
  <c r="AQ109" i="56" s="1"/>
  <c r="S60" i="55"/>
  <c r="Z104" i="56" s="1"/>
  <c r="X60" i="55"/>
  <c r="AE104" i="56" s="1"/>
  <c r="S73" i="55"/>
  <c r="Z117" i="56" s="1"/>
  <c r="W73" i="55"/>
  <c r="AD117" i="56" s="1"/>
  <c r="AD27" i="48"/>
  <c r="T27" i="48"/>
  <c r="AC76" i="55"/>
  <c r="AJ120" i="56" s="1"/>
  <c r="O137" i="55"/>
  <c r="V175" i="56" s="1"/>
  <c r="U137" i="55"/>
  <c r="AB175" i="56" s="1"/>
  <c r="X137" i="55"/>
  <c r="AE175" i="56" s="1"/>
  <c r="V139" i="55"/>
  <c r="AC177" i="56" s="1"/>
  <c r="AF139" i="55"/>
  <c r="AM177" i="56" s="1"/>
  <c r="AK74" i="55"/>
  <c r="AR118" i="56" s="1"/>
  <c r="AB74" i="55"/>
  <c r="AI118" i="56" s="1"/>
  <c r="R74" i="55"/>
  <c r="Y118" i="56" s="1"/>
  <c r="Q74" i="55"/>
  <c r="X118" i="56" s="1"/>
  <c r="AH32" i="48"/>
  <c r="AD32" i="48"/>
  <c r="AA32" i="48"/>
  <c r="AJ21" i="55"/>
  <c r="AQ65" i="56" s="1"/>
  <c r="M13" i="55"/>
  <c r="T57" i="56" s="1"/>
  <c r="R13" i="55"/>
  <c r="Y57" i="56" s="1"/>
  <c r="R32" i="55"/>
  <c r="Y76" i="56" s="1"/>
  <c r="A88" i="49"/>
  <c r="A109" i="49"/>
  <c r="M65" i="55"/>
  <c r="T109" i="56" s="1"/>
  <c r="Z32" i="48"/>
  <c r="V32" i="48"/>
  <c r="K32" i="48"/>
  <c r="AI132" i="48"/>
  <c r="M20" i="55"/>
  <c r="T64" i="56" s="1"/>
  <c r="R132" i="48"/>
  <c r="K65" i="55"/>
  <c r="R109" i="56" s="1"/>
  <c r="T73" i="55"/>
  <c r="AA117" i="56" s="1"/>
  <c r="Q32" i="48"/>
  <c r="M32" i="48"/>
  <c r="AG17" i="48"/>
  <c r="AM49" i="49" s="1"/>
  <c r="AI32" i="55"/>
  <c r="AP76" i="56" s="1"/>
  <c r="Y132" i="48"/>
  <c r="AF132" i="48"/>
  <c r="M132" i="48"/>
  <c r="AH132" i="48"/>
  <c r="AB132" i="48"/>
  <c r="J132" i="48"/>
  <c r="Q17" i="48"/>
  <c r="W49" i="49" s="1"/>
  <c r="S32" i="55"/>
  <c r="Z76" i="56" s="1"/>
  <c r="S20" i="55"/>
  <c r="Z64" i="56" s="1"/>
  <c r="D70" i="49"/>
  <c r="O10" i="55"/>
  <c r="V54" i="56" s="1"/>
  <c r="AB10" i="55"/>
  <c r="AI54" i="56" s="1"/>
  <c r="W10" i="55"/>
  <c r="AD54" i="56" s="1"/>
  <c r="O16" i="55"/>
  <c r="V60" i="56" s="1"/>
  <c r="AI16" i="55"/>
  <c r="AP60" i="56" s="1"/>
  <c r="R16" i="55"/>
  <c r="Y60" i="56" s="1"/>
  <c r="S16" i="55"/>
  <c r="Z60" i="56" s="1"/>
  <c r="L20" i="55"/>
  <c r="S64" i="56" s="1"/>
  <c r="T11" i="55"/>
  <c r="AA55" i="56" s="1"/>
  <c r="D24" i="49"/>
  <c r="K24" i="49" s="1"/>
  <c r="K36" i="55"/>
  <c r="R80" i="56" s="1"/>
  <c r="I14" i="55"/>
  <c r="L14" i="55" s="1"/>
  <c r="S58" i="56" s="1"/>
  <c r="AH24" i="48"/>
  <c r="I24" i="48"/>
  <c r="N24" i="48"/>
  <c r="U40" i="55"/>
  <c r="AB84" i="56" s="1"/>
  <c r="AD40" i="55"/>
  <c r="AK84" i="56" s="1"/>
  <c r="AA40" i="55"/>
  <c r="AH84" i="56" s="1"/>
  <c r="V40" i="55"/>
  <c r="AC84" i="56" s="1"/>
  <c r="P40" i="55"/>
  <c r="W84" i="56" s="1"/>
  <c r="D51" i="48"/>
  <c r="W132" i="48"/>
  <c r="A84" i="49"/>
  <c r="AD36" i="55"/>
  <c r="AK80" i="56" s="1"/>
  <c r="AH36" i="55"/>
  <c r="AO80" i="56" s="1"/>
  <c r="U36" i="55"/>
  <c r="AB80" i="56" s="1"/>
  <c r="M36" i="55"/>
  <c r="T80" i="56" s="1"/>
  <c r="O36" i="55"/>
  <c r="V80" i="56" s="1"/>
  <c r="J39" i="55"/>
  <c r="L24" i="48"/>
  <c r="V24" i="48"/>
  <c r="J26" i="55"/>
  <c r="I26" i="55" s="1"/>
  <c r="AH26" i="55" s="1"/>
  <c r="AO70" i="56" s="1"/>
  <c r="J22" i="55"/>
  <c r="J25" i="55"/>
  <c r="I25" i="55" s="1"/>
  <c r="N40" i="55"/>
  <c r="U84" i="56" s="1"/>
  <c r="AB40" i="55"/>
  <c r="AI84" i="56" s="1"/>
  <c r="AH40" i="55"/>
  <c r="AO84" i="56" s="1"/>
  <c r="V132" i="48"/>
  <c r="N132" i="48"/>
  <c r="AI36" i="55"/>
  <c r="AP80" i="56" s="1"/>
  <c r="AC36" i="55"/>
  <c r="AJ80" i="56" s="1"/>
  <c r="J38" i="55"/>
  <c r="K24" i="48"/>
  <c r="AB24" i="48"/>
  <c r="Y24" i="48"/>
  <c r="U24" i="48"/>
  <c r="J19" i="55"/>
  <c r="I19" i="55" s="1"/>
  <c r="I27" i="55"/>
  <c r="U27" i="55" s="1"/>
  <c r="AB71" i="56" s="1"/>
  <c r="AF40" i="55"/>
  <c r="AM84" i="56" s="1"/>
  <c r="L40" i="55"/>
  <c r="S84" i="56" s="1"/>
  <c r="AG40" i="55"/>
  <c r="AN84" i="56" s="1"/>
  <c r="S40" i="55"/>
  <c r="Z84" i="56" s="1"/>
  <c r="AC132" i="48"/>
  <c r="B81" i="49"/>
  <c r="AI81" i="49" s="1"/>
  <c r="A15" i="49"/>
  <c r="A55" i="49" s="1"/>
  <c r="A100" i="49" s="1"/>
  <c r="Q36" i="55"/>
  <c r="X80" i="56" s="1"/>
  <c r="AG36" i="55"/>
  <c r="AN80" i="56" s="1"/>
  <c r="AB36" i="55"/>
  <c r="AI80" i="56" s="1"/>
  <c r="S36" i="55"/>
  <c r="Z80" i="56" s="1"/>
  <c r="AE36" i="55"/>
  <c r="AL80" i="56" s="1"/>
  <c r="L36" i="55"/>
  <c r="S80" i="56" s="1"/>
  <c r="I37" i="55"/>
  <c r="S24" i="48"/>
  <c r="T40" i="55"/>
  <c r="AA84" i="56" s="1"/>
  <c r="X40" i="55"/>
  <c r="AE84" i="56" s="1"/>
  <c r="Z40" i="55"/>
  <c r="AG84" i="56" s="1"/>
  <c r="AD33" i="48"/>
  <c r="AJ132" i="48"/>
  <c r="A9" i="49"/>
  <c r="A49" i="49" s="1"/>
  <c r="AL36" i="55"/>
  <c r="AS80" i="56" s="1"/>
  <c r="AA36" i="55"/>
  <c r="AH80" i="56" s="1"/>
  <c r="X24" i="48"/>
  <c r="AA24" i="48"/>
  <c r="Q24" i="48"/>
  <c r="AC24" i="48"/>
  <c r="AE40" i="55"/>
  <c r="AL84" i="56" s="1"/>
  <c r="AC40" i="55"/>
  <c r="AJ84" i="56" s="1"/>
  <c r="AI40" i="55"/>
  <c r="AP84" i="56" s="1"/>
  <c r="K40" i="55"/>
  <c r="R84" i="56" s="1"/>
  <c r="T32" i="55"/>
  <c r="AA76" i="56" s="1"/>
  <c r="T15" i="55"/>
  <c r="AA59" i="56" s="1"/>
  <c r="A14" i="49"/>
  <c r="A54" i="49" s="1"/>
  <c r="P36" i="55"/>
  <c r="W80" i="56" s="1"/>
  <c r="AJ36" i="55"/>
  <c r="AQ80" i="56" s="1"/>
  <c r="R24" i="48"/>
  <c r="AJ24" i="48"/>
  <c r="O24" i="48"/>
  <c r="L8" i="55"/>
  <c r="S52" i="56" s="1"/>
  <c r="T8" i="55"/>
  <c r="AA52" i="56" s="1"/>
  <c r="AB8" i="55"/>
  <c r="AI52" i="56" s="1"/>
  <c r="AJ8" i="55"/>
  <c r="AQ52" i="56" s="1"/>
  <c r="S8" i="55"/>
  <c r="Z52" i="56" s="1"/>
  <c r="M8" i="55"/>
  <c r="T52" i="56" s="1"/>
  <c r="U8" i="55"/>
  <c r="AB52" i="56" s="1"/>
  <c r="AK8" i="55"/>
  <c r="AR52" i="56" s="1"/>
  <c r="O8" i="55"/>
  <c r="V52" i="56" s="1"/>
  <c r="AF8" i="55"/>
  <c r="AM52" i="56" s="1"/>
  <c r="AD8" i="55"/>
  <c r="AK52" i="56" s="1"/>
  <c r="W8" i="55"/>
  <c r="AD52" i="56" s="1"/>
  <c r="AI8" i="55"/>
  <c r="AP52" i="56" s="1"/>
  <c r="Q8" i="55"/>
  <c r="X52" i="56" s="1"/>
  <c r="Y8" i="55"/>
  <c r="AF52" i="56" s="1"/>
  <c r="R8" i="55"/>
  <c r="Y52" i="56" s="1"/>
  <c r="Z8" i="55"/>
  <c r="AG52" i="56" s="1"/>
  <c r="AH8" i="55"/>
  <c r="AO52" i="56" s="1"/>
  <c r="AJ40" i="55"/>
  <c r="AQ84" i="56" s="1"/>
  <c r="Q40" i="55"/>
  <c r="X84" i="56" s="1"/>
  <c r="M40" i="55"/>
  <c r="T84" i="56" s="1"/>
  <c r="AL40" i="55"/>
  <c r="AS84" i="56" s="1"/>
  <c r="Y40" i="55"/>
  <c r="AF84" i="56" s="1"/>
  <c r="Z24" i="48"/>
  <c r="AE24" i="48"/>
  <c r="W24" i="48"/>
  <c r="M21" i="42"/>
  <c r="M50" i="42" s="1"/>
  <c r="U125" i="42"/>
  <c r="Y125" i="42"/>
  <c r="AD125" i="42"/>
  <c r="AD168" i="42" s="1"/>
  <c r="S125" i="42"/>
  <c r="S168" i="42" s="1"/>
  <c r="N125" i="42"/>
  <c r="N168" i="42" s="1"/>
  <c r="I125" i="42"/>
  <c r="I126" i="42" s="1"/>
  <c r="K125" i="42"/>
  <c r="K168" i="42" s="1"/>
  <c r="P125" i="42"/>
  <c r="P168" i="42" s="1"/>
  <c r="AH125" i="42"/>
  <c r="AH168" i="42" s="1"/>
  <c r="Z125" i="42"/>
  <c r="Z168" i="42" s="1"/>
  <c r="X125" i="42"/>
  <c r="X168" i="42" s="1"/>
  <c r="L125" i="42"/>
  <c r="L168" i="42" s="1"/>
  <c r="R125" i="42"/>
  <c r="R168" i="42" s="1"/>
  <c r="W125" i="42"/>
  <c r="W168" i="42" s="1"/>
  <c r="H125" i="42"/>
  <c r="H126" i="42" s="1"/>
  <c r="Z25" i="42"/>
  <c r="Z54" i="42" s="1"/>
  <c r="Z137" i="42" s="1"/>
  <c r="Z177" i="42" s="1"/>
  <c r="AF25" i="42"/>
  <c r="AF54" i="42" s="1"/>
  <c r="AF137" i="42" s="1"/>
  <c r="AF177" i="42" s="1"/>
  <c r="AH25" i="42"/>
  <c r="AH54" i="42" s="1"/>
  <c r="AH137" i="42" s="1"/>
  <c r="AH177" i="42" s="1"/>
  <c r="O25" i="42"/>
  <c r="O54" i="42" s="1"/>
  <c r="O137" i="42" s="1"/>
  <c r="O177" i="42" s="1"/>
  <c r="N25" i="42"/>
  <c r="N54" i="42" s="1"/>
  <c r="S25" i="42"/>
  <c r="S54" i="42" s="1"/>
  <c r="S137" i="42" s="1"/>
  <c r="S177" i="42" s="1"/>
  <c r="I25" i="42"/>
  <c r="I54" i="42" s="1"/>
  <c r="I137" i="42" s="1"/>
  <c r="I177" i="42" s="1"/>
  <c r="H25" i="42"/>
  <c r="H54" i="42" s="1"/>
  <c r="H137" i="42" s="1"/>
  <c r="H177" i="42" s="1"/>
  <c r="W25" i="42"/>
  <c r="W54" i="42" s="1"/>
  <c r="Y25" i="42"/>
  <c r="Y54" i="42" s="1"/>
  <c r="Y137" i="42" s="1"/>
  <c r="Y177" i="42" s="1"/>
  <c r="P25" i="42"/>
  <c r="P54" i="42" s="1"/>
  <c r="P137" i="42" s="1"/>
  <c r="P177" i="42" s="1"/>
  <c r="AC25" i="42"/>
  <c r="AC54" i="42" s="1"/>
  <c r="AC137" i="42" s="1"/>
  <c r="AC177" i="42" s="1"/>
  <c r="T25" i="42"/>
  <c r="T133" i="42" s="1"/>
  <c r="T173" i="42" s="1"/>
  <c r="V25" i="42"/>
  <c r="V54" i="42" s="1"/>
  <c r="V137" i="42" s="1"/>
  <c r="V177" i="42" s="1"/>
  <c r="M25" i="42"/>
  <c r="M54" i="42" s="1"/>
  <c r="M137" i="42" s="1"/>
  <c r="M177" i="42" s="1"/>
  <c r="AA25" i="42"/>
  <c r="AA133" i="42" s="1"/>
  <c r="AA173" i="42" s="1"/>
  <c r="AD25" i="42"/>
  <c r="AD54" i="42" s="1"/>
  <c r="AD137" i="42" s="1"/>
  <c r="AD177" i="42" s="1"/>
  <c r="AE25" i="42"/>
  <c r="AE54" i="42" s="1"/>
  <c r="AE137" i="42" s="1"/>
  <c r="AE177" i="42" s="1"/>
  <c r="X25" i="42"/>
  <c r="X54" i="42" s="1"/>
  <c r="X137" i="42" s="1"/>
  <c r="X177" i="42" s="1"/>
  <c r="Q25" i="42"/>
  <c r="Q54" i="42" s="1"/>
  <c r="Q137" i="42" s="1"/>
  <c r="Q177" i="42" s="1"/>
  <c r="K25" i="42"/>
  <c r="K54" i="42" s="1"/>
  <c r="K137" i="42" s="1"/>
  <c r="K177" i="42" s="1"/>
  <c r="J25" i="42"/>
  <c r="J54" i="42" s="1"/>
  <c r="J137" i="42" s="1"/>
  <c r="J177" i="42" s="1"/>
  <c r="AI25" i="42"/>
  <c r="AI54" i="42" s="1"/>
  <c r="AI137" i="42" s="1"/>
  <c r="AI177" i="42" s="1"/>
  <c r="AG25" i="42"/>
  <c r="AG54" i="42" s="1"/>
  <c r="M87" i="42"/>
  <c r="AF87" i="42"/>
  <c r="AG87" i="42"/>
  <c r="AG90" i="42" s="1"/>
  <c r="L87" i="42"/>
  <c r="AE87" i="42"/>
  <c r="H87" i="42"/>
  <c r="J87" i="42"/>
  <c r="T87" i="42"/>
  <c r="R87" i="42"/>
  <c r="R90" i="42" s="1"/>
  <c r="K87" i="42"/>
  <c r="AB87" i="42"/>
  <c r="P87" i="42"/>
  <c r="X87" i="42"/>
  <c r="Z87" i="42"/>
  <c r="S87" i="42"/>
  <c r="U87" i="42"/>
  <c r="AH87" i="42"/>
  <c r="AH90" i="42" s="1"/>
  <c r="AA87" i="42"/>
  <c r="AA90" i="42" s="1"/>
  <c r="N87" i="42"/>
  <c r="I87" i="42"/>
  <c r="AI87" i="42"/>
  <c r="V87" i="42"/>
  <c r="AC87" i="42"/>
  <c r="Q87" i="42"/>
  <c r="AD87" i="42"/>
  <c r="O87" i="42"/>
  <c r="C69" i="48"/>
  <c r="C97" i="48" s="1"/>
  <c r="C124" i="48" s="1"/>
  <c r="B26" i="49"/>
  <c r="B66" i="49" s="1"/>
  <c r="B111" i="49" s="1"/>
  <c r="V8" i="42"/>
  <c r="V112" i="42" s="1"/>
  <c r="N6" i="42"/>
  <c r="N96" i="42" s="1"/>
  <c r="S60" i="42"/>
  <c r="I60" i="42"/>
  <c r="AC60" i="42"/>
  <c r="L60" i="42"/>
  <c r="Z56" i="42"/>
  <c r="Z103" i="42" s="1"/>
  <c r="Z156" i="42" s="1"/>
  <c r="X56" i="42"/>
  <c r="M56" i="42"/>
  <c r="M103" i="42" s="1"/>
  <c r="M156" i="42" s="1"/>
  <c r="AI8" i="42"/>
  <c r="AI112" i="42" s="1"/>
  <c r="M46" i="42"/>
  <c r="X46" i="42"/>
  <c r="L46" i="42"/>
  <c r="I46" i="42"/>
  <c r="Y42" i="42"/>
  <c r="Y101" i="42" s="1"/>
  <c r="Y155" i="42" s="1"/>
  <c r="AF42" i="42"/>
  <c r="AF101" i="42" s="1"/>
  <c r="AF155" i="42" s="1"/>
  <c r="O42" i="42"/>
  <c r="O101" i="42" s="1"/>
  <c r="O155" i="42" s="1"/>
  <c r="R42" i="42"/>
  <c r="R101" i="42" s="1"/>
  <c r="R155" i="42" s="1"/>
  <c r="V37" i="42"/>
  <c r="V116" i="42" s="1"/>
  <c r="R37" i="42"/>
  <c r="AB38" i="42"/>
  <c r="K38" i="42"/>
  <c r="U38" i="42"/>
  <c r="J38" i="42"/>
  <c r="I66" i="42"/>
  <c r="I9" i="42" s="1"/>
  <c r="N66" i="42"/>
  <c r="N9" i="42" s="1"/>
  <c r="H66" i="42"/>
  <c r="H9" i="42" s="1"/>
  <c r="AB66" i="42"/>
  <c r="Q66" i="42"/>
  <c r="Q9" i="42" s="1"/>
  <c r="L66" i="42"/>
  <c r="L9" i="42" s="1"/>
  <c r="AI66" i="42"/>
  <c r="AI9" i="42" s="1"/>
  <c r="O66" i="42"/>
  <c r="O9" i="42" s="1"/>
  <c r="M66" i="42"/>
  <c r="M9" i="42" s="1"/>
  <c r="S66" i="42"/>
  <c r="Z66" i="42"/>
  <c r="Z9" i="42" s="1"/>
  <c r="X66" i="42"/>
  <c r="Y66" i="42"/>
  <c r="Y9" i="42" s="1"/>
  <c r="AF66" i="42"/>
  <c r="AF9" i="42" s="1"/>
  <c r="Y87" i="42"/>
  <c r="K127" i="42"/>
  <c r="K30" i="49"/>
  <c r="K123" i="49" s="1"/>
  <c r="E30" i="49"/>
  <c r="W6" i="42"/>
  <c r="W96" i="42" s="1"/>
  <c r="AH60" i="42"/>
  <c r="W60" i="42"/>
  <c r="M60" i="42"/>
  <c r="Z60" i="42"/>
  <c r="R56" i="42"/>
  <c r="R103" i="42" s="1"/>
  <c r="R156" i="42" s="1"/>
  <c r="P56" i="42"/>
  <c r="AB56" i="42"/>
  <c r="AB103" i="42" s="1"/>
  <c r="AB156" i="42" s="1"/>
  <c r="U46" i="42"/>
  <c r="O46" i="42"/>
  <c r="S46" i="42"/>
  <c r="H46" i="42"/>
  <c r="H42" i="42"/>
  <c r="H101" i="42" s="1"/>
  <c r="H155" i="42" s="1"/>
  <c r="AB42" i="42"/>
  <c r="AB101" i="42" s="1"/>
  <c r="AB155" i="42" s="1"/>
  <c r="AD42" i="42"/>
  <c r="J42" i="42"/>
  <c r="W37" i="42"/>
  <c r="W116" i="42" s="1"/>
  <c r="J37" i="42"/>
  <c r="J116" i="42" s="1"/>
  <c r="AB25" i="42"/>
  <c r="AB54" i="42" s="1"/>
  <c r="AB137" i="42" s="1"/>
  <c r="AB177" i="42" s="1"/>
  <c r="X16" i="42"/>
  <c r="T127" i="42"/>
  <c r="T128" i="42" s="1"/>
  <c r="A85" i="49"/>
  <c r="A106" i="49"/>
  <c r="J60" i="42"/>
  <c r="N60" i="42"/>
  <c r="AG60" i="42"/>
  <c r="P60" i="42"/>
  <c r="W56" i="42"/>
  <c r="U56" i="42"/>
  <c r="U103" i="42" s="1"/>
  <c r="U156" i="42" s="1"/>
  <c r="T56" i="42"/>
  <c r="T103" i="42" s="1"/>
  <c r="T156" i="42" s="1"/>
  <c r="Y46" i="42"/>
  <c r="AF46" i="42"/>
  <c r="AH46" i="42"/>
  <c r="AH48" i="42" s="1"/>
  <c r="AD46" i="42"/>
  <c r="AG42" i="42"/>
  <c r="AG101" i="42" s="1"/>
  <c r="AG155" i="42" s="1"/>
  <c r="P42" i="42"/>
  <c r="AC42" i="42"/>
  <c r="AI42" i="42"/>
  <c r="AI101" i="42" s="1"/>
  <c r="AI155" i="42" s="1"/>
  <c r="R76" i="42"/>
  <c r="T37" i="42"/>
  <c r="T116" i="42" s="1"/>
  <c r="H37" i="42"/>
  <c r="H116" i="42" s="1"/>
  <c r="J58" i="42"/>
  <c r="J119" i="42" s="1"/>
  <c r="J165" i="42" s="1"/>
  <c r="K65" i="48" s="1"/>
  <c r="O58" i="42"/>
  <c r="O119" i="42" s="1"/>
  <c r="O165" i="42" s="1"/>
  <c r="P65" i="48" s="1"/>
  <c r="X58" i="42"/>
  <c r="V58" i="42"/>
  <c r="V119" i="42" s="1"/>
  <c r="V165" i="42" s="1"/>
  <c r="W65" i="48" s="1"/>
  <c r="Z58" i="42"/>
  <c r="Z119" i="42" s="1"/>
  <c r="Z165" i="42" s="1"/>
  <c r="AA65" i="48" s="1"/>
  <c r="R58" i="42"/>
  <c r="R119" i="42" s="1"/>
  <c r="R165" i="42" s="1"/>
  <c r="S65" i="48" s="1"/>
  <c r="Q58" i="42"/>
  <c r="Q119" i="42" s="1"/>
  <c r="Q165" i="42" s="1"/>
  <c r="R65" i="48" s="1"/>
  <c r="AH58" i="42"/>
  <c r="AH119" i="42" s="1"/>
  <c r="AH165" i="42" s="1"/>
  <c r="AI65" i="48" s="1"/>
  <c r="M58" i="42"/>
  <c r="W58" i="42"/>
  <c r="W119" i="42" s="1"/>
  <c r="W165" i="42" s="1"/>
  <c r="X65" i="48" s="1"/>
  <c r="L58" i="42"/>
  <c r="AI58" i="42"/>
  <c r="AI119" i="42" s="1"/>
  <c r="AI165" i="42" s="1"/>
  <c r="AJ65" i="48" s="1"/>
  <c r="P67" i="42"/>
  <c r="P10" i="42" s="1"/>
  <c r="Q67" i="42"/>
  <c r="Q10" i="42" s="1"/>
  <c r="O67" i="42"/>
  <c r="O10" i="42" s="1"/>
  <c r="S67" i="42"/>
  <c r="S10" i="42" s="1"/>
  <c r="N67" i="42"/>
  <c r="N10" i="42" s="1"/>
  <c r="Y67" i="42"/>
  <c r="Y10" i="42" s="1"/>
  <c r="J67" i="42"/>
  <c r="J10" i="42" s="1"/>
  <c r="AC67" i="42"/>
  <c r="H67" i="42"/>
  <c r="H10" i="42" s="1"/>
  <c r="I67" i="42"/>
  <c r="I10" i="42" s="1"/>
  <c r="AF67" i="42"/>
  <c r="AF10" i="42" s="1"/>
  <c r="W87" i="42"/>
  <c r="T21" i="42"/>
  <c r="T50" i="42" s="1"/>
  <c r="R25" i="42"/>
  <c r="R54" i="42" s="1"/>
  <c r="R137" i="42" s="1"/>
  <c r="N21" i="42"/>
  <c r="N50" i="42" s="1"/>
  <c r="AI21" i="42"/>
  <c r="AI50" i="42" s="1"/>
  <c r="Q21" i="42"/>
  <c r="Q50" i="42" s="1"/>
  <c r="AF21" i="42"/>
  <c r="AF50" i="42" s="1"/>
  <c r="Y21" i="42"/>
  <c r="Y50" i="42" s="1"/>
  <c r="AE21" i="42"/>
  <c r="AE50" i="42" s="1"/>
  <c r="V21" i="42"/>
  <c r="V50" i="42" s="1"/>
  <c r="U21" i="42"/>
  <c r="U50" i="42" s="1"/>
  <c r="L21" i="42"/>
  <c r="L50" i="42" s="1"/>
  <c r="AD21" i="42"/>
  <c r="AD50" i="42" s="1"/>
  <c r="J21" i="42"/>
  <c r="J50" i="42" s="1"/>
  <c r="I21" i="42"/>
  <c r="I50" i="42" s="1"/>
  <c r="X21" i="42"/>
  <c r="X50" i="42" s="1"/>
  <c r="P21" i="42"/>
  <c r="P50" i="42" s="1"/>
  <c r="R21" i="42"/>
  <c r="R50" i="42" s="1"/>
  <c r="K21" i="42"/>
  <c r="K50" i="42" s="1"/>
  <c r="W21" i="42"/>
  <c r="W50" i="42" s="1"/>
  <c r="AC21" i="42"/>
  <c r="AC50" i="42" s="1"/>
  <c r="H21" i="42"/>
  <c r="H50" i="42" s="1"/>
  <c r="Z21" i="42"/>
  <c r="Z50" i="42" s="1"/>
  <c r="S21" i="42"/>
  <c r="S50" i="42" s="1"/>
  <c r="O21" i="42"/>
  <c r="O50" i="42" s="1"/>
  <c r="AG21" i="42"/>
  <c r="AG50" i="42" s="1"/>
  <c r="AD60" i="42"/>
  <c r="AD62" i="42" s="1"/>
  <c r="K60" i="42"/>
  <c r="U60" i="42"/>
  <c r="R60" i="42"/>
  <c r="V56" i="42"/>
  <c r="V103" i="42" s="1"/>
  <c r="V156" i="42" s="1"/>
  <c r="Q56" i="42"/>
  <c r="Q62" i="42" s="1"/>
  <c r="AG56" i="42"/>
  <c r="Z46" i="42"/>
  <c r="N46" i="42"/>
  <c r="AG46" i="42"/>
  <c r="V46" i="42"/>
  <c r="M42" i="42"/>
  <c r="M101" i="42" s="1"/>
  <c r="M155" i="42" s="1"/>
  <c r="L42" i="42"/>
  <c r="L101" i="42" s="1"/>
  <c r="L155" i="42" s="1"/>
  <c r="I42" i="42"/>
  <c r="I101" i="42" s="1"/>
  <c r="I155" i="42" s="1"/>
  <c r="AA42" i="42"/>
  <c r="AA101" i="42" s="1"/>
  <c r="AA155" i="42" s="1"/>
  <c r="AF37" i="42"/>
  <c r="AF116" i="42" s="1"/>
  <c r="X37" i="42"/>
  <c r="X116" i="42" s="1"/>
  <c r="A76" i="49"/>
  <c r="A97" i="49"/>
  <c r="Y8" i="42"/>
  <c r="AI60" i="42"/>
  <c r="AB60" i="42"/>
  <c r="AA60" i="42"/>
  <c r="AA56" i="42"/>
  <c r="L56" i="42"/>
  <c r="AH56" i="42"/>
  <c r="AH103" i="42" s="1"/>
  <c r="AH156" i="42" s="1"/>
  <c r="N56" i="42"/>
  <c r="AC46" i="42"/>
  <c r="T46" i="42"/>
  <c r="W46" i="42"/>
  <c r="N42" i="42"/>
  <c r="N101" i="42" s="1"/>
  <c r="N155" i="42" s="1"/>
  <c r="Q42" i="42"/>
  <c r="V42" i="42"/>
  <c r="V101" i="42" s="1"/>
  <c r="V155" i="42" s="1"/>
  <c r="N37" i="42"/>
  <c r="N116" i="42" s="1"/>
  <c r="K36" i="42"/>
  <c r="AF36" i="42"/>
  <c r="U36" i="42"/>
  <c r="O36" i="42"/>
  <c r="R36" i="42"/>
  <c r="Q36" i="42"/>
  <c r="Q41" i="42" s="1"/>
  <c r="AA36" i="42"/>
  <c r="I36" i="42"/>
  <c r="I41" i="42" s="1"/>
  <c r="AB36" i="42"/>
  <c r="AI36" i="42"/>
  <c r="Y36" i="42"/>
  <c r="V36" i="42"/>
  <c r="P36" i="42"/>
  <c r="S36" i="42"/>
  <c r="L40" i="42"/>
  <c r="L135" i="42" s="1"/>
  <c r="L175" i="42" s="1"/>
  <c r="P40" i="42"/>
  <c r="P135" i="42" s="1"/>
  <c r="P175" i="42" s="1"/>
  <c r="X40" i="42"/>
  <c r="X135" i="42" s="1"/>
  <c r="X175" i="42" s="1"/>
  <c r="AH40" i="42"/>
  <c r="AH135" i="42" s="1"/>
  <c r="AH175" i="42" s="1"/>
  <c r="AE40" i="42"/>
  <c r="S40" i="42"/>
  <c r="S135" i="42" s="1"/>
  <c r="S175" i="42" s="1"/>
  <c r="T40" i="42"/>
  <c r="T135" i="42" s="1"/>
  <c r="T175" i="42" s="1"/>
  <c r="J40" i="42"/>
  <c r="H40" i="42"/>
  <c r="H135" i="42" s="1"/>
  <c r="H175" i="42" s="1"/>
  <c r="W40" i="42"/>
  <c r="W135" i="42" s="1"/>
  <c r="W175" i="42" s="1"/>
  <c r="Y40" i="42"/>
  <c r="U40" i="42"/>
  <c r="U135" i="42" s="1"/>
  <c r="U175" i="42" s="1"/>
  <c r="Q45" i="42"/>
  <c r="W45" i="42"/>
  <c r="T45" i="42"/>
  <c r="AA45" i="42"/>
  <c r="U45" i="42"/>
  <c r="P45" i="42"/>
  <c r="S45" i="42"/>
  <c r="L45" i="42"/>
  <c r="Y45" i="42"/>
  <c r="N45" i="42"/>
  <c r="I45" i="42"/>
  <c r="M45" i="42"/>
  <c r="K45" i="42"/>
  <c r="AD45" i="42"/>
  <c r="H73" i="42"/>
  <c r="AA73" i="42"/>
  <c r="W73" i="42"/>
  <c r="W76" i="42" s="1"/>
  <c r="U73" i="42"/>
  <c r="AG73" i="42"/>
  <c r="AH73" i="42"/>
  <c r="V73" i="42"/>
  <c r="AI73" i="42"/>
  <c r="AF73" i="42"/>
  <c r="L73" i="42"/>
  <c r="I73" i="42"/>
  <c r="Z73" i="42"/>
  <c r="I78" i="42"/>
  <c r="AB78" i="42"/>
  <c r="M78" i="42"/>
  <c r="L78" i="42"/>
  <c r="L83" i="42" s="1"/>
  <c r="Q78" i="42"/>
  <c r="AE78" i="42"/>
  <c r="T78" i="42"/>
  <c r="Z78" i="42"/>
  <c r="H78" i="42"/>
  <c r="K78" i="42"/>
  <c r="AF78" i="42"/>
  <c r="AF83" i="42" s="1"/>
  <c r="S78" i="42"/>
  <c r="S83" i="42" s="1"/>
  <c r="N78" i="42"/>
  <c r="O78" i="42"/>
  <c r="M82" i="42"/>
  <c r="AB82" i="42"/>
  <c r="AB141" i="42" s="1"/>
  <c r="AB181" i="42" s="1"/>
  <c r="X82" i="42"/>
  <c r="X83" i="42" s="1"/>
  <c r="R82" i="42"/>
  <c r="AE82" i="42"/>
  <c r="AE141" i="42" s="1"/>
  <c r="AE181" i="42" s="1"/>
  <c r="Q82" i="42"/>
  <c r="Q141" i="42" s="1"/>
  <c r="Q181" i="42" s="1"/>
  <c r="N82" i="42"/>
  <c r="N141" i="42" s="1"/>
  <c r="N181" i="42" s="1"/>
  <c r="H82" i="42"/>
  <c r="P82" i="42"/>
  <c r="J82" i="42"/>
  <c r="J141" i="42" s="1"/>
  <c r="J181" i="42" s="1"/>
  <c r="T82" i="42"/>
  <c r="T141" i="42" s="1"/>
  <c r="T181" i="42" s="1"/>
  <c r="Z82" i="42"/>
  <c r="K82" i="42"/>
  <c r="K141" i="42" s="1"/>
  <c r="K181" i="42" s="1"/>
  <c r="AD82" i="42"/>
  <c r="AD141" i="42" s="1"/>
  <c r="AD181" i="42" s="1"/>
  <c r="AG125" i="42"/>
  <c r="AG168" i="42" s="1"/>
  <c r="Y37" i="42"/>
  <c r="Y116" i="42" s="1"/>
  <c r="AD37" i="42"/>
  <c r="AD116" i="42" s="1"/>
  <c r="AB37" i="42"/>
  <c r="AB116" i="42" s="1"/>
  <c r="AG37" i="42"/>
  <c r="AG41" i="42" s="1"/>
  <c r="U37" i="42"/>
  <c r="P37" i="42"/>
  <c r="P116" i="42" s="1"/>
  <c r="M37" i="42"/>
  <c r="AI37" i="42"/>
  <c r="AI116" i="42" s="1"/>
  <c r="AA37" i="42"/>
  <c r="AA116" i="42" s="1"/>
  <c r="O37" i="42"/>
  <c r="O116" i="42" s="1"/>
  <c r="S37" i="42"/>
  <c r="S116" i="42" s="1"/>
  <c r="AH37" i="42"/>
  <c r="AH116" i="42" s="1"/>
  <c r="L37" i="42"/>
  <c r="A89" i="49"/>
  <c r="A112" i="49"/>
  <c r="H60" i="42"/>
  <c r="H62" i="42" s="1"/>
  <c r="T60" i="42"/>
  <c r="Y60" i="42"/>
  <c r="AI56" i="42"/>
  <c r="AI103" i="42" s="1"/>
  <c r="AI156" i="42" s="1"/>
  <c r="J56" i="42"/>
  <c r="J103" i="42" s="1"/>
  <c r="J156" i="42" s="1"/>
  <c r="I56" i="42"/>
  <c r="Y56" i="42"/>
  <c r="Y103" i="42" s="1"/>
  <c r="Y156" i="42" s="1"/>
  <c r="AI46" i="42"/>
  <c r="AA46" i="42"/>
  <c r="R46" i="42"/>
  <c r="W42" i="42"/>
  <c r="W101" i="42" s="1"/>
  <c r="W155" i="42" s="1"/>
  <c r="X42" i="42"/>
  <c r="X48" i="42" s="1"/>
  <c r="U42" i="42"/>
  <c r="U101" i="42" s="1"/>
  <c r="U155" i="42" s="1"/>
  <c r="AC37" i="42"/>
  <c r="K37" i="42"/>
  <c r="K116" i="42" s="1"/>
  <c r="L25" i="42"/>
  <c r="L54" i="42" s="1"/>
  <c r="L137" i="42" s="1"/>
  <c r="L177" i="42" s="1"/>
  <c r="U25" i="42"/>
  <c r="U54" i="42" s="1"/>
  <c r="U137" i="42" s="1"/>
  <c r="U177" i="42" s="1"/>
  <c r="AI125" i="42"/>
  <c r="AI168" i="42" s="1"/>
  <c r="C86" i="48"/>
  <c r="C113" i="48" s="1"/>
  <c r="L15" i="49"/>
  <c r="C82" i="48"/>
  <c r="C109" i="48" s="1"/>
  <c r="L11" i="49"/>
  <c r="C70" i="48"/>
  <c r="C98" i="48" s="1"/>
  <c r="B27" i="49"/>
  <c r="B67" i="49" s="1"/>
  <c r="O67" i="49" s="1"/>
  <c r="AH16" i="42"/>
  <c r="P16" i="42"/>
  <c r="S16" i="42"/>
  <c r="H16" i="42"/>
  <c r="N16" i="42"/>
  <c r="M16" i="42"/>
  <c r="AB16" i="42"/>
  <c r="AF16" i="42"/>
  <c r="T16" i="42"/>
  <c r="I16" i="42"/>
  <c r="AI16" i="42"/>
  <c r="V16" i="42"/>
  <c r="O16" i="42"/>
  <c r="AA16" i="42"/>
  <c r="AG16" i="42"/>
  <c r="AD16" i="42"/>
  <c r="W16" i="42"/>
  <c r="AE16" i="42"/>
  <c r="Q16" i="42"/>
  <c r="J16" i="42"/>
  <c r="L16" i="42"/>
  <c r="AC16" i="42"/>
  <c r="R16" i="42"/>
  <c r="K16" i="42"/>
  <c r="Y16" i="42"/>
  <c r="U16" i="42"/>
  <c r="AH127" i="42"/>
  <c r="M127" i="42"/>
  <c r="H127" i="42"/>
  <c r="X127" i="42"/>
  <c r="Q127" i="42"/>
  <c r="S127" i="42"/>
  <c r="S128" i="42" s="1"/>
  <c r="L127" i="42"/>
  <c r="U127" i="42"/>
  <c r="O127" i="42"/>
  <c r="N127" i="42"/>
  <c r="Y127" i="42"/>
  <c r="Y169" i="42" s="1"/>
  <c r="AE127" i="42"/>
  <c r="P127" i="42"/>
  <c r="P128" i="42" s="1"/>
  <c r="AA127" i="42"/>
  <c r="AA128" i="42" s="1"/>
  <c r="AG127" i="42"/>
  <c r="R127" i="42"/>
  <c r="R128" i="42" s="1"/>
  <c r="AA83" i="42"/>
  <c r="V60" i="42"/>
  <c r="O60" i="42"/>
  <c r="O62" i="42" s="1"/>
  <c r="S56" i="42"/>
  <c r="K56" i="42"/>
  <c r="AC56" i="42"/>
  <c r="AB46" i="42"/>
  <c r="AE46" i="42"/>
  <c r="AE48" i="42" s="1"/>
  <c r="Z42" i="42"/>
  <c r="Z101" i="42" s="1"/>
  <c r="Z155" i="42" s="1"/>
  <c r="T42" i="42"/>
  <c r="T101" i="42" s="1"/>
  <c r="T155" i="42" s="1"/>
  <c r="Z37" i="42"/>
  <c r="Z41" i="42" s="1"/>
  <c r="AE67" i="42"/>
  <c r="Q73" i="42"/>
  <c r="AB73" i="42"/>
  <c r="AB76" i="42" s="1"/>
  <c r="AC40" i="42"/>
  <c r="AC135" i="42" s="1"/>
  <c r="AC175" i="42" s="1"/>
  <c r="AB21" i="42"/>
  <c r="AB50" i="42" s="1"/>
  <c r="AA21" i="42"/>
  <c r="AA50" i="42" s="1"/>
  <c r="Y79" i="42"/>
  <c r="Y83" i="42" s="1"/>
  <c r="R79" i="42"/>
  <c r="T79" i="42"/>
  <c r="T122" i="42" s="1"/>
  <c r="T161" i="42" s="1"/>
  <c r="Y74" i="42"/>
  <c r="T74" i="42"/>
  <c r="AG74" i="42"/>
  <c r="K70" i="42"/>
  <c r="X70" i="42"/>
  <c r="X105" i="42" s="1"/>
  <c r="X158" i="42" s="1"/>
  <c r="J70" i="42"/>
  <c r="A6" i="49"/>
  <c r="D26" i="49"/>
  <c r="C24" i="49"/>
  <c r="C64" i="49" s="1"/>
  <c r="C88" i="49" s="1"/>
  <c r="Q79" i="42"/>
  <c r="Q122" i="42" s="1"/>
  <c r="Q161" i="42" s="1"/>
  <c r="V79" i="42"/>
  <c r="V83" i="42" s="1"/>
  <c r="H79" i="42"/>
  <c r="K74" i="42"/>
  <c r="L74" i="42"/>
  <c r="P74" i="42"/>
  <c r="N70" i="42"/>
  <c r="M70" i="42"/>
  <c r="M105" i="42" s="1"/>
  <c r="M158" i="42" s="1"/>
  <c r="P14" i="42"/>
  <c r="X33" i="42"/>
  <c r="X134" i="42" s="1"/>
  <c r="A8" i="49"/>
  <c r="A48" i="49" s="1"/>
  <c r="A93" i="49" s="1"/>
  <c r="E24" i="49"/>
  <c r="I79" i="42"/>
  <c r="I122" i="42" s="1"/>
  <c r="I161" i="42" s="1"/>
  <c r="N79" i="42"/>
  <c r="N122" i="42" s="1"/>
  <c r="N161" i="42" s="1"/>
  <c r="K79" i="42"/>
  <c r="K122" i="42" s="1"/>
  <c r="K161" i="42" s="1"/>
  <c r="M74" i="42"/>
  <c r="AH74" i="42"/>
  <c r="AE74" i="42"/>
  <c r="AE76" i="42" s="1"/>
  <c r="Q70" i="42"/>
  <c r="Q105" i="42" s="1"/>
  <c r="Q158" i="42" s="1"/>
  <c r="V70" i="42"/>
  <c r="J17" i="49"/>
  <c r="M31" i="10" s="1"/>
  <c r="D64" i="49"/>
  <c r="S64" i="49" s="1"/>
  <c r="C22" i="49"/>
  <c r="C62" i="49" s="1"/>
  <c r="A7" i="49"/>
  <c r="A47" i="49" s="1"/>
  <c r="A10" i="49"/>
  <c r="A50" i="49" s="1"/>
  <c r="D18" i="49"/>
  <c r="E18" i="49" s="1"/>
  <c r="U79" i="42"/>
  <c r="U83" i="42" s="1"/>
  <c r="AD79" i="42"/>
  <c r="AE79" i="42"/>
  <c r="AE122" i="42" s="1"/>
  <c r="AE161" i="42" s="1"/>
  <c r="AA74" i="42"/>
  <c r="I74" i="42"/>
  <c r="U70" i="42"/>
  <c r="U105" i="42" s="1"/>
  <c r="U158" i="42" s="1"/>
  <c r="AF70" i="42"/>
  <c r="AF105" i="42" s="1"/>
  <c r="AF158" i="42" s="1"/>
  <c r="J27" i="49"/>
  <c r="M41" i="10" s="1"/>
  <c r="J26" i="49"/>
  <c r="J111" i="49" s="1"/>
  <c r="C14" i="49"/>
  <c r="C54" i="49" s="1"/>
  <c r="C78" i="49" s="1"/>
  <c r="AH10" i="55"/>
  <c r="AO54" i="56" s="1"/>
  <c r="U21" i="55"/>
  <c r="AB65" i="56" s="1"/>
  <c r="L10" i="55"/>
  <c r="S54" i="56" s="1"/>
  <c r="AH21" i="55"/>
  <c r="AO65" i="56" s="1"/>
  <c r="AH12" i="55"/>
  <c r="AO56" i="56" s="1"/>
  <c r="L21" i="55"/>
  <c r="S65" i="56" s="1"/>
  <c r="U13" i="55"/>
  <c r="AB57" i="56" s="1"/>
  <c r="X8" i="55"/>
  <c r="AE8" i="55"/>
  <c r="AH16" i="55"/>
  <c r="AO60" i="56" s="1"/>
  <c r="AH13" i="55"/>
  <c r="AO57" i="56" s="1"/>
  <c r="L25" i="55"/>
  <c r="S69" i="56" s="1"/>
  <c r="U15" i="55"/>
  <c r="AB59" i="56" s="1"/>
  <c r="L9" i="55"/>
  <c r="S53" i="56" s="1"/>
  <c r="AG132" i="48"/>
  <c r="Z132" i="48"/>
  <c r="AH9" i="55"/>
  <c r="AO53" i="56" s="1"/>
  <c r="U25" i="55"/>
  <c r="AB69" i="56" s="1"/>
  <c r="AH15" i="55"/>
  <c r="AO59" i="56" s="1"/>
  <c r="U12" i="55"/>
  <c r="AB56" i="56" s="1"/>
  <c r="U10" i="55"/>
  <c r="AB54" i="56" s="1"/>
  <c r="AH11" i="55"/>
  <c r="AO55" i="56" s="1"/>
  <c r="AH32" i="55"/>
  <c r="AO76" i="56" s="1"/>
  <c r="U32" i="55"/>
  <c r="AB76" i="56" s="1"/>
  <c r="U9" i="55"/>
  <c r="AB53" i="56" s="1"/>
  <c r="L13" i="55"/>
  <c r="S57" i="56" s="1"/>
  <c r="P132" i="48"/>
  <c r="AH20" i="55"/>
  <c r="AO64" i="56" s="1"/>
  <c r="U20" i="55"/>
  <c r="AB64" i="56" s="1"/>
  <c r="L32" i="55"/>
  <c r="S76" i="56" s="1"/>
  <c r="L16" i="55"/>
  <c r="S60" i="56" s="1"/>
  <c r="O6" i="42"/>
  <c r="O96" i="42" s="1"/>
  <c r="C7" i="50"/>
  <c r="Q11" i="42"/>
  <c r="Q8" i="42" s="1"/>
  <c r="Q49" i="42"/>
  <c r="Q102" i="42" s="1"/>
  <c r="N49" i="42"/>
  <c r="N102" i="42" s="1"/>
  <c r="C11" i="49"/>
  <c r="C51" i="49" s="1"/>
  <c r="C75" i="49" s="1"/>
  <c r="D54" i="48"/>
  <c r="D82" i="48" s="1"/>
  <c r="D109" i="48" s="1"/>
  <c r="K36" i="49"/>
  <c r="K129" i="49" s="1"/>
  <c r="E36" i="49"/>
  <c r="D61" i="48"/>
  <c r="D89" i="48" s="1"/>
  <c r="D116" i="48" s="1"/>
  <c r="C18" i="49"/>
  <c r="C58" i="49" s="1"/>
  <c r="C103" i="49" s="1"/>
  <c r="C101" i="55"/>
  <c r="L16" i="56"/>
  <c r="L194" i="56" s="1"/>
  <c r="C26" i="55"/>
  <c r="C194" i="56"/>
  <c r="D205" i="56"/>
  <c r="D43" i="55"/>
  <c r="M8" i="42"/>
  <c r="AE65" i="55"/>
  <c r="AL109" i="56" s="1"/>
  <c r="AH65" i="55"/>
  <c r="AO109" i="56" s="1"/>
  <c r="Q65" i="55"/>
  <c r="X109" i="56" s="1"/>
  <c r="AK65" i="55"/>
  <c r="AR109" i="56" s="1"/>
  <c r="AB8" i="42"/>
  <c r="AB112" i="42" s="1"/>
  <c r="N65" i="55"/>
  <c r="U109" i="56" s="1"/>
  <c r="P65" i="55"/>
  <c r="W109" i="56" s="1"/>
  <c r="L65" i="55"/>
  <c r="S109" i="56" s="1"/>
  <c r="AH60" i="55"/>
  <c r="AO104" i="56" s="1"/>
  <c r="C12" i="50"/>
  <c r="AA65" i="55"/>
  <c r="AH109" i="56" s="1"/>
  <c r="AC65" i="55"/>
  <c r="AJ109" i="56" s="1"/>
  <c r="I64" i="55"/>
  <c r="AL64" i="55" s="1"/>
  <c r="AS108" i="56" s="1"/>
  <c r="Y60" i="55"/>
  <c r="AF104" i="56" s="1"/>
  <c r="Q60" i="55"/>
  <c r="X104" i="56" s="1"/>
  <c r="V60" i="55"/>
  <c r="AC104" i="56" s="1"/>
  <c r="O60" i="55"/>
  <c r="V104" i="56" s="1"/>
  <c r="I61" i="55"/>
  <c r="AF61" i="55" s="1"/>
  <c r="AM105" i="56" s="1"/>
  <c r="AG65" i="55"/>
  <c r="AN109" i="56" s="1"/>
  <c r="V65" i="55"/>
  <c r="AC109" i="56" s="1"/>
  <c r="X65" i="55"/>
  <c r="AE109" i="56" s="1"/>
  <c r="T65" i="55"/>
  <c r="AA109" i="56" s="1"/>
  <c r="AI60" i="55"/>
  <c r="AP104" i="56" s="1"/>
  <c r="M60" i="55"/>
  <c r="T104" i="56" s="1"/>
  <c r="E36" i="56"/>
  <c r="E214" i="56" s="1"/>
  <c r="D214" i="56"/>
  <c r="T67" i="42"/>
  <c r="U67" i="42"/>
  <c r="AD67" i="42"/>
  <c r="AD10" i="42" s="1"/>
  <c r="AG67" i="42"/>
  <c r="AG10" i="42" s="1"/>
  <c r="C87" i="55"/>
  <c r="C186" i="56"/>
  <c r="C61" i="55"/>
  <c r="C214" i="56"/>
  <c r="L36" i="56"/>
  <c r="C131" i="55"/>
  <c r="Y70" i="42"/>
  <c r="Y105" i="42" s="1"/>
  <c r="Y158" i="42" s="1"/>
  <c r="H70" i="42"/>
  <c r="AG70" i="42"/>
  <c r="AG105" i="42" s="1"/>
  <c r="AG158" i="42" s="1"/>
  <c r="AI67" i="42"/>
  <c r="AI10" i="42" s="1"/>
  <c r="Z67" i="42"/>
  <c r="Z10" i="42" s="1"/>
  <c r="X107" i="55"/>
  <c r="AE145" i="56" s="1"/>
  <c r="AI107" i="55"/>
  <c r="AP145" i="56" s="1"/>
  <c r="R107" i="55"/>
  <c r="Y145" i="56" s="1"/>
  <c r="T107" i="55"/>
  <c r="AA145" i="56" s="1"/>
  <c r="AL107" i="55"/>
  <c r="AS145" i="56" s="1"/>
  <c r="Z107" i="55"/>
  <c r="AG145" i="56" s="1"/>
  <c r="N107" i="55"/>
  <c r="U145" i="56" s="1"/>
  <c r="W107" i="55"/>
  <c r="AD145" i="56" s="1"/>
  <c r="Q107" i="55"/>
  <c r="X145" i="56" s="1"/>
  <c r="M107" i="55"/>
  <c r="T145" i="56" s="1"/>
  <c r="AG107" i="55"/>
  <c r="AN145" i="56" s="1"/>
  <c r="L107" i="55"/>
  <c r="S145" i="56" s="1"/>
  <c r="AA107" i="55"/>
  <c r="AH145" i="56" s="1"/>
  <c r="AB107" i="55"/>
  <c r="AI145" i="56" s="1"/>
  <c r="Y107" i="55"/>
  <c r="AF145" i="56" s="1"/>
  <c r="O107" i="55"/>
  <c r="V145" i="56" s="1"/>
  <c r="P107" i="55"/>
  <c r="W145" i="56" s="1"/>
  <c r="V107" i="55"/>
  <c r="AC145" i="56" s="1"/>
  <c r="Z79" i="42"/>
  <c r="J79" i="42"/>
  <c r="AC74" i="42"/>
  <c r="AC76" i="42" s="1"/>
  <c r="Q74" i="42"/>
  <c r="T70" i="42"/>
  <c r="T105" i="42" s="1"/>
  <c r="T158" i="42" s="1"/>
  <c r="Z70" i="42"/>
  <c r="AA70" i="42"/>
  <c r="R67" i="42"/>
  <c r="R10" i="42" s="1"/>
  <c r="AA40" i="42"/>
  <c r="AA135" i="42" s="1"/>
  <c r="AA175" i="42" s="1"/>
  <c r="K40" i="42"/>
  <c r="AD40" i="42"/>
  <c r="AD135" i="42" s="1"/>
  <c r="AD175" i="42" s="1"/>
  <c r="T73" i="42"/>
  <c r="Y73" i="42"/>
  <c r="P73" i="42"/>
  <c r="M73" i="42"/>
  <c r="S67" i="49"/>
  <c r="AN67" i="49"/>
  <c r="J11" i="49"/>
  <c r="M25" i="10" s="1"/>
  <c r="L70" i="42"/>
  <c r="O70" i="42"/>
  <c r="O105" i="42" s="1"/>
  <c r="O158" i="42" s="1"/>
  <c r="O74" i="42"/>
  <c r="AF74" i="42"/>
  <c r="K84" i="55"/>
  <c r="R122" i="56" s="1"/>
  <c r="AA84" i="55"/>
  <c r="AH122" i="56" s="1"/>
  <c r="Y84" i="55"/>
  <c r="AF122" i="56" s="1"/>
  <c r="AH84" i="55"/>
  <c r="AO122" i="56" s="1"/>
  <c r="W84" i="55"/>
  <c r="AD122" i="56" s="1"/>
  <c r="T84" i="55"/>
  <c r="AA122" i="56" s="1"/>
  <c r="AK84" i="55"/>
  <c r="AR122" i="56" s="1"/>
  <c r="Z84" i="55"/>
  <c r="AG122" i="56" s="1"/>
  <c r="AL84" i="55"/>
  <c r="AS122" i="56" s="1"/>
  <c r="N84" i="55"/>
  <c r="U122" i="56" s="1"/>
  <c r="M84" i="55"/>
  <c r="T122" i="56" s="1"/>
  <c r="I49" i="42"/>
  <c r="I102" i="42" s="1"/>
  <c r="L51" i="42"/>
  <c r="L118" i="42" s="1"/>
  <c r="L26" i="49"/>
  <c r="E50" i="48"/>
  <c r="E78" i="48" s="1"/>
  <c r="E105" i="48" s="1"/>
  <c r="D7" i="49"/>
  <c r="K18" i="49"/>
  <c r="B219" i="56"/>
  <c r="N41" i="56"/>
  <c r="V139" i="42"/>
  <c r="V179" i="42" s="1"/>
  <c r="D50" i="48"/>
  <c r="D78" i="48" s="1"/>
  <c r="D105" i="48" s="1"/>
  <c r="C7" i="49"/>
  <c r="C47" i="49" s="1"/>
  <c r="N24" i="56"/>
  <c r="B202" i="56"/>
  <c r="B206" i="56"/>
  <c r="B229" i="56"/>
  <c r="V123" i="55"/>
  <c r="AC161" i="56" s="1"/>
  <c r="X123" i="55"/>
  <c r="AE161" i="56" s="1"/>
  <c r="V113" i="55"/>
  <c r="AC151" i="56" s="1"/>
  <c r="Z113" i="55"/>
  <c r="AG151" i="56" s="1"/>
  <c r="AI113" i="55"/>
  <c r="AP151" i="56" s="1"/>
  <c r="U84" i="55"/>
  <c r="AB122" i="56" s="1"/>
  <c r="B100" i="49"/>
  <c r="B79" i="49"/>
  <c r="C71" i="48"/>
  <c r="B28" i="49"/>
  <c r="E56" i="48"/>
  <c r="E84" i="48" s="1"/>
  <c r="E111" i="48" s="1"/>
  <c r="E58" i="48"/>
  <c r="E86" i="48" s="1"/>
  <c r="E113" i="48" s="1"/>
  <c r="D15" i="49"/>
  <c r="D55" i="49" s="1"/>
  <c r="AC34" i="48"/>
  <c r="Y34" i="48"/>
  <c r="P34" i="48"/>
  <c r="AD34" i="48"/>
  <c r="AB34" i="48"/>
  <c r="L34" i="48"/>
  <c r="I34" i="48"/>
  <c r="J28" i="49"/>
  <c r="J68" i="49" s="1"/>
  <c r="M138" i="55"/>
  <c r="T176" i="56" s="1"/>
  <c r="W123" i="55"/>
  <c r="AD161" i="56" s="1"/>
  <c r="AF97" i="55"/>
  <c r="AM135" i="56" s="1"/>
  <c r="AI97" i="55"/>
  <c r="AP135" i="56" s="1"/>
  <c r="AB135" i="55"/>
  <c r="AI173" i="56" s="1"/>
  <c r="AF113" i="55"/>
  <c r="AM151" i="56" s="1"/>
  <c r="L113" i="55"/>
  <c r="S151" i="56" s="1"/>
  <c r="Q84" i="55"/>
  <c r="X122" i="56" s="1"/>
  <c r="V84" i="55"/>
  <c r="AC122" i="56" s="1"/>
  <c r="A128" i="49"/>
  <c r="A122" i="49"/>
  <c r="A125" i="49"/>
  <c r="A127" i="49"/>
  <c r="A123" i="49"/>
  <c r="A130" i="49"/>
  <c r="A131" i="49"/>
  <c r="J22" i="49"/>
  <c r="D93" i="48"/>
  <c r="D120" i="48" s="1"/>
  <c r="D53" i="49"/>
  <c r="K13" i="49"/>
  <c r="E13" i="49"/>
  <c r="D58" i="48"/>
  <c r="D86" i="48" s="1"/>
  <c r="D113" i="48" s="1"/>
  <c r="C15" i="49"/>
  <c r="C55" i="49" s="1"/>
  <c r="C100" i="49" s="1"/>
  <c r="R84" i="55"/>
  <c r="Y122" i="56" s="1"/>
  <c r="C111" i="55"/>
  <c r="C202" i="56"/>
  <c r="E59" i="48"/>
  <c r="E87" i="48" s="1"/>
  <c r="E114" i="48" s="1"/>
  <c r="D16" i="49"/>
  <c r="W18" i="42"/>
  <c r="W132" i="42" s="1"/>
  <c r="W172" i="42" s="1"/>
  <c r="AA18" i="42"/>
  <c r="AA132" i="42" s="1"/>
  <c r="AA172" i="42" s="1"/>
  <c r="I18" i="42"/>
  <c r="I132" i="42" s="1"/>
  <c r="I172" i="42" s="1"/>
  <c r="AI18" i="42"/>
  <c r="Q18" i="42"/>
  <c r="Q19" i="42" s="1"/>
  <c r="V18" i="42"/>
  <c r="V132" i="42" s="1"/>
  <c r="V172" i="42" s="1"/>
  <c r="N18" i="42"/>
  <c r="N132" i="42" s="1"/>
  <c r="O18" i="42"/>
  <c r="O132" i="42" s="1"/>
  <c r="O172" i="42" s="1"/>
  <c r="AD18" i="42"/>
  <c r="AD132" i="42" s="1"/>
  <c r="AD172" i="42" s="1"/>
  <c r="AH18" i="42"/>
  <c r="AH132" i="42" s="1"/>
  <c r="AH172" i="42" s="1"/>
  <c r="Z18" i="42"/>
  <c r="Z132" i="42" s="1"/>
  <c r="Z172" i="42" s="1"/>
  <c r="H18" i="42"/>
  <c r="H132" i="42" s="1"/>
  <c r="H172" i="42" s="1"/>
  <c r="P18" i="42"/>
  <c r="P132" i="42" s="1"/>
  <c r="P172" i="42" s="1"/>
  <c r="X18" i="42"/>
  <c r="X132" i="42" s="1"/>
  <c r="X172" i="42" s="1"/>
  <c r="L18" i="42"/>
  <c r="L132" i="42" s="1"/>
  <c r="L172" i="42" s="1"/>
  <c r="M18" i="42"/>
  <c r="M132" i="42" s="1"/>
  <c r="M172" i="42" s="1"/>
  <c r="R18" i="42"/>
  <c r="S18" i="42"/>
  <c r="S132" i="42" s="1"/>
  <c r="S172" i="42" s="1"/>
  <c r="K18" i="42"/>
  <c r="K132" i="42" s="1"/>
  <c r="K172" i="42" s="1"/>
  <c r="AF18" i="42"/>
  <c r="AF132" i="42" s="1"/>
  <c r="AF172" i="42" s="1"/>
  <c r="T18" i="42"/>
  <c r="T132" i="42" s="1"/>
  <c r="T172" i="42" s="1"/>
  <c r="U18" i="42"/>
  <c r="U132" i="42" s="1"/>
  <c r="U172" i="42" s="1"/>
  <c r="AE18" i="42"/>
  <c r="AE132" i="42" s="1"/>
  <c r="AE172" i="42" s="1"/>
  <c r="AG18" i="42"/>
  <c r="AG132" i="42" s="1"/>
  <c r="AG172" i="42" s="1"/>
  <c r="Y18" i="42"/>
  <c r="Y132" i="42" s="1"/>
  <c r="Y172" i="42" s="1"/>
  <c r="X14" i="42"/>
  <c r="Y14" i="42"/>
  <c r="AA14" i="42"/>
  <c r="N14" i="42"/>
  <c r="AF14" i="42"/>
  <c r="AG14" i="42"/>
  <c r="O14" i="42"/>
  <c r="V14" i="42"/>
  <c r="R14" i="42"/>
  <c r="Z14" i="42"/>
  <c r="Z19" i="42" s="1"/>
  <c r="K14" i="42"/>
  <c r="H14" i="42"/>
  <c r="AD14" i="42"/>
  <c r="AH14" i="42"/>
  <c r="M14" i="42"/>
  <c r="J14" i="42"/>
  <c r="L14" i="42"/>
  <c r="U14" i="42"/>
  <c r="S14" i="42"/>
  <c r="W14" i="42"/>
  <c r="T14" i="42"/>
  <c r="AC14" i="42"/>
  <c r="I14" i="42"/>
  <c r="AE14" i="42"/>
  <c r="X23" i="42"/>
  <c r="AG23" i="42"/>
  <c r="AG52" i="42" s="1"/>
  <c r="AC23" i="42"/>
  <c r="AA23" i="42"/>
  <c r="AA52" i="42" s="1"/>
  <c r="N23" i="42"/>
  <c r="N52" i="42" s="1"/>
  <c r="R23" i="42"/>
  <c r="J23" i="42"/>
  <c r="H23" i="42"/>
  <c r="L23" i="42"/>
  <c r="L52" i="42" s="1"/>
  <c r="I23" i="42"/>
  <c r="I52" i="42" s="1"/>
  <c r="AD23" i="42"/>
  <c r="S23" i="42"/>
  <c r="S52" i="42" s="1"/>
  <c r="V23" i="42"/>
  <c r="K23" i="42"/>
  <c r="K52" i="42" s="1"/>
  <c r="T23" i="42"/>
  <c r="T52" i="42" s="1"/>
  <c r="Q23" i="42"/>
  <c r="Q52" i="42" s="1"/>
  <c r="AH23" i="42"/>
  <c r="AH52" i="42" s="1"/>
  <c r="AE23" i="42"/>
  <c r="AE52" i="42" s="1"/>
  <c r="U23" i="42"/>
  <c r="U52" i="42" s="1"/>
  <c r="W23" i="42"/>
  <c r="W52" i="42" s="1"/>
  <c r="M23" i="42"/>
  <c r="M52" i="42" s="1"/>
  <c r="AB23" i="42"/>
  <c r="P23" i="42"/>
  <c r="Y23" i="42"/>
  <c r="AF23" i="42"/>
  <c r="Z23" i="42"/>
  <c r="Z52" i="42" s="1"/>
  <c r="AF33" i="42"/>
  <c r="AF134" i="42" s="1"/>
  <c r="AF174" i="42" s="1"/>
  <c r="AA33" i="42"/>
  <c r="AA134" i="42" s="1"/>
  <c r="N33" i="42"/>
  <c r="N134" i="42" s="1"/>
  <c r="N174" i="42" s="1"/>
  <c r="O33" i="42"/>
  <c r="O134" i="42" s="1"/>
  <c r="J33" i="42"/>
  <c r="J134" i="42" s="1"/>
  <c r="J174" i="42" s="1"/>
  <c r="AI33" i="42"/>
  <c r="AI134" i="42" s="1"/>
  <c r="U33" i="42"/>
  <c r="U134" i="42" s="1"/>
  <c r="H33" i="42"/>
  <c r="H134" i="42" s="1"/>
  <c r="H174" i="42" s="1"/>
  <c r="V33" i="42"/>
  <c r="V134" i="42" s="1"/>
  <c r="V174" i="42" s="1"/>
  <c r="W33" i="42"/>
  <c r="W134" i="42" s="1"/>
  <c r="R33" i="42"/>
  <c r="AD33" i="42"/>
  <c r="AD134" i="42" s="1"/>
  <c r="AE33" i="42"/>
  <c r="AE134" i="42" s="1"/>
  <c r="I33" i="42"/>
  <c r="I134" i="42" s="1"/>
  <c r="Z33" i="42"/>
  <c r="M33" i="42"/>
  <c r="M134" i="42" s="1"/>
  <c r="Q33" i="42"/>
  <c r="Q134" i="42" s="1"/>
  <c r="AH33" i="42"/>
  <c r="AH134" i="42" s="1"/>
  <c r="AH174" i="42" s="1"/>
  <c r="Y33" i="42"/>
  <c r="Y134" i="42" s="1"/>
  <c r="L33" i="42"/>
  <c r="L134" i="42" s="1"/>
  <c r="P33" i="42"/>
  <c r="P134" i="42" s="1"/>
  <c r="AG33" i="42"/>
  <c r="AG134" i="42" s="1"/>
  <c r="AG174" i="42" s="1"/>
  <c r="K33" i="42"/>
  <c r="K134" i="42" s="1"/>
  <c r="T33" i="42"/>
  <c r="T134" i="42" s="1"/>
  <c r="AG28" i="42"/>
  <c r="AG110" i="42" s="1"/>
  <c r="AG160" i="42" s="1"/>
  <c r="Y28" i="42"/>
  <c r="S28" i="42"/>
  <c r="P28" i="42"/>
  <c r="P110" i="42" s="1"/>
  <c r="P160" i="42" s="1"/>
  <c r="AH28" i="42"/>
  <c r="AH110" i="42" s="1"/>
  <c r="AH160" i="42" s="1"/>
  <c r="I28" i="42"/>
  <c r="AB28" i="42"/>
  <c r="AB110" i="42" s="1"/>
  <c r="AB160" i="42" s="1"/>
  <c r="X28" i="42"/>
  <c r="X110" i="42" s="1"/>
  <c r="X160" i="42" s="1"/>
  <c r="R28" i="42"/>
  <c r="R110" i="42" s="1"/>
  <c r="R160" i="42" s="1"/>
  <c r="L28" i="42"/>
  <c r="L110" i="42" s="1"/>
  <c r="L160" i="42" s="1"/>
  <c r="AF28" i="42"/>
  <c r="AF110" i="42" s="1"/>
  <c r="AF160" i="42" s="1"/>
  <c r="AA28" i="42"/>
  <c r="AA110" i="42" s="1"/>
  <c r="AA160" i="42" s="1"/>
  <c r="U28" i="42"/>
  <c r="U110" i="42" s="1"/>
  <c r="U160" i="42" s="1"/>
  <c r="AE28" i="42"/>
  <c r="AE110" i="42" s="1"/>
  <c r="AE160" i="42" s="1"/>
  <c r="H28" i="42"/>
  <c r="H110" i="42" s="1"/>
  <c r="H160" i="42" s="1"/>
  <c r="Q28" i="42"/>
  <c r="Q110" i="42" s="1"/>
  <c r="Q160" i="42" s="1"/>
  <c r="K28" i="42"/>
  <c r="K110" i="42" s="1"/>
  <c r="AD28" i="42"/>
  <c r="AD110" i="42" s="1"/>
  <c r="V28" i="42"/>
  <c r="V110" i="42" s="1"/>
  <c r="V160" i="42" s="1"/>
  <c r="Z28" i="42"/>
  <c r="Z110" i="42" s="1"/>
  <c r="Z160" i="42" s="1"/>
  <c r="T28" i="42"/>
  <c r="T110" i="42" s="1"/>
  <c r="T160" i="42" s="1"/>
  <c r="N28" i="42"/>
  <c r="N110" i="42" s="1"/>
  <c r="N160" i="42" s="1"/>
  <c r="AI28" i="42"/>
  <c r="AC28" i="42"/>
  <c r="AC110" i="42" s="1"/>
  <c r="AC160" i="42" s="1"/>
  <c r="M28" i="42"/>
  <c r="M110" i="42" s="1"/>
  <c r="M160" i="42" s="1"/>
  <c r="J86" i="42"/>
  <c r="J123" i="42" s="1"/>
  <c r="AI86" i="42"/>
  <c r="AI123" i="42" s="1"/>
  <c r="N86" i="42"/>
  <c r="N123" i="42" s="1"/>
  <c r="M86" i="42"/>
  <c r="H86" i="42"/>
  <c r="V86" i="42"/>
  <c r="V123" i="42" s="1"/>
  <c r="U86" i="42"/>
  <c r="U123" i="42" s="1"/>
  <c r="AD86" i="42"/>
  <c r="O86" i="42"/>
  <c r="O123" i="42" s="1"/>
  <c r="P86" i="42"/>
  <c r="P123" i="42" s="1"/>
  <c r="I86" i="42"/>
  <c r="I123" i="42" s="1"/>
  <c r="L86" i="42"/>
  <c r="L123" i="42" s="1"/>
  <c r="Z86" i="42"/>
  <c r="W86" i="42"/>
  <c r="W123" i="42" s="1"/>
  <c r="X86" i="42"/>
  <c r="X123" i="42" s="1"/>
  <c r="Q86" i="42"/>
  <c r="Q123" i="42" s="1"/>
  <c r="K86" i="42"/>
  <c r="K123" i="42" s="1"/>
  <c r="T86" i="42"/>
  <c r="T90" i="42" s="1"/>
  <c r="AC86" i="42"/>
  <c r="AC123" i="42" s="1"/>
  <c r="AE86" i="42"/>
  <c r="AF86" i="42"/>
  <c r="Y86" i="42"/>
  <c r="Y90" i="42" s="1"/>
  <c r="S86" i="42"/>
  <c r="AB86" i="42"/>
  <c r="AI95" i="55"/>
  <c r="AP133" i="56" s="1"/>
  <c r="D136" i="55"/>
  <c r="B74" i="49"/>
  <c r="D64" i="55"/>
  <c r="D215" i="56"/>
  <c r="E16" i="48"/>
  <c r="P39" i="56"/>
  <c r="W95" i="55"/>
  <c r="AD133" i="56" s="1"/>
  <c r="AH95" i="55"/>
  <c r="AO133" i="56" s="1"/>
  <c r="AH64" i="49"/>
  <c r="N33" i="56"/>
  <c r="B211" i="56"/>
  <c r="N36" i="56"/>
  <c r="B214" i="56"/>
  <c r="S217" i="56"/>
  <c r="J18" i="49"/>
  <c r="J103" i="49" s="1"/>
  <c r="C118" i="55"/>
  <c r="R208" i="56"/>
  <c r="P34" i="56"/>
  <c r="A212" i="56"/>
  <c r="D54" i="55"/>
  <c r="D210" i="56"/>
  <c r="N34" i="56"/>
  <c r="B212" i="56"/>
  <c r="E22" i="49"/>
  <c r="C126" i="55"/>
  <c r="C211" i="56"/>
  <c r="M33" i="56"/>
  <c r="D211" i="56"/>
  <c r="N37" i="56"/>
  <c r="B215" i="56"/>
  <c r="D62" i="49"/>
  <c r="D107" i="49" s="1"/>
  <c r="C19" i="49"/>
  <c r="C59" i="49" s="1"/>
  <c r="C104" i="49" s="1"/>
  <c r="C125" i="55"/>
  <c r="C72" i="55"/>
  <c r="D58" i="55"/>
  <c r="D212" i="56"/>
  <c r="C54" i="55"/>
  <c r="L41" i="56"/>
  <c r="L219" i="56" s="1"/>
  <c r="D60" i="55"/>
  <c r="D213" i="56"/>
  <c r="E33" i="49"/>
  <c r="E38" i="49"/>
  <c r="R190" i="56"/>
  <c r="S216" i="56"/>
  <c r="AD98" i="42"/>
  <c r="W120" i="42"/>
  <c r="R136" i="42"/>
  <c r="R176" i="42" s="1"/>
  <c r="X98" i="42"/>
  <c r="AH139" i="42"/>
  <c r="AH179" i="42" s="1"/>
  <c r="AD104" i="42"/>
  <c r="AD131" i="42"/>
  <c r="AD171" i="42" s="1"/>
  <c r="Q96" i="42"/>
  <c r="J96" i="42"/>
  <c r="I136" i="42"/>
  <c r="I176" i="42" s="1"/>
  <c r="AI136" i="42"/>
  <c r="AI176" i="42" s="1"/>
  <c r="AC122" i="42"/>
  <c r="AC161" i="42" s="1"/>
  <c r="AH114" i="42"/>
  <c r="U131" i="42"/>
  <c r="U171" i="42" s="1"/>
  <c r="U100" i="42"/>
  <c r="U154" i="42" s="1"/>
  <c r="I109" i="42"/>
  <c r="I159" i="42" s="1"/>
  <c r="J59" i="48" s="1"/>
  <c r="J87" i="48" s="1"/>
  <c r="P139" i="42"/>
  <c r="P179" i="42" s="1"/>
  <c r="AG140" i="42"/>
  <c r="AG180" i="42" s="1"/>
  <c r="S98" i="42"/>
  <c r="I121" i="42"/>
  <c r="I167" i="42" s="1"/>
  <c r="J67" i="48" s="1"/>
  <c r="H118" i="42"/>
  <c r="H131" i="42"/>
  <c r="H171" i="42" s="1"/>
  <c r="U49" i="4"/>
  <c r="U50" i="4" s="1"/>
  <c r="H97" i="42"/>
  <c r="H151" i="42" s="1"/>
  <c r="AF100" i="42"/>
  <c r="AF154" i="42" s="1"/>
  <c r="S131" i="42"/>
  <c r="S171" i="42" s="1"/>
  <c r="L139" i="42"/>
  <c r="L179" i="42" s="1"/>
  <c r="Y98" i="42"/>
  <c r="I98" i="42"/>
  <c r="AI114" i="42"/>
  <c r="I114" i="42"/>
  <c r="W114" i="42"/>
  <c r="AE114" i="42"/>
  <c r="AI98" i="42"/>
  <c r="R131" i="42"/>
  <c r="R171" i="42" s="1"/>
  <c r="V104" i="42"/>
  <c r="J120" i="42"/>
  <c r="U139" i="42"/>
  <c r="U179" i="42" s="1"/>
  <c r="K96" i="42"/>
  <c r="U96" i="42"/>
  <c r="AD139" i="42"/>
  <c r="AD179" i="42" s="1"/>
  <c r="AI104" i="42"/>
  <c r="AG109" i="42"/>
  <c r="AG159" i="42" s="1"/>
  <c r="Q104" i="42"/>
  <c r="T104" i="42"/>
  <c r="AI131" i="42"/>
  <c r="AI171" i="42" s="1"/>
  <c r="N131" i="42"/>
  <c r="N171" i="42" s="1"/>
  <c r="S106" i="42"/>
  <c r="K106" i="42"/>
  <c r="W106" i="42"/>
  <c r="H103" i="42"/>
  <c r="H156" i="42" s="1"/>
  <c r="O117" i="42"/>
  <c r="AD119" i="42"/>
  <c r="AD165" i="42" s="1"/>
  <c r="AE65" i="48" s="1"/>
  <c r="AI141" i="42"/>
  <c r="AI181" i="42" s="1"/>
  <c r="J122" i="42"/>
  <c r="J161" i="42" s="1"/>
  <c r="P99" i="42"/>
  <c r="P152" i="42" s="1"/>
  <c r="J98" i="42"/>
  <c r="AA98" i="42"/>
  <c r="P114" i="42"/>
  <c r="K114" i="42"/>
  <c r="Q114" i="42"/>
  <c r="AG114" i="42"/>
  <c r="AF114" i="42"/>
  <c r="Z96" i="42"/>
  <c r="N120" i="42"/>
  <c r="T131" i="42"/>
  <c r="T171" i="42" s="1"/>
  <c r="S139" i="42"/>
  <c r="S179" i="42" s="1"/>
  <c r="AG120" i="42"/>
  <c r="X109" i="42"/>
  <c r="X159" i="42" s="1"/>
  <c r="K104" i="42"/>
  <c r="U104" i="42"/>
  <c r="M131" i="42"/>
  <c r="M171" i="42" s="1"/>
  <c r="L96" i="42"/>
  <c r="S120" i="42"/>
  <c r="Z109" i="42"/>
  <c r="Z159" i="42" s="1"/>
  <c r="H96" i="42"/>
  <c r="Y139" i="42"/>
  <c r="Y179" i="42" s="1"/>
  <c r="AC96" i="42"/>
  <c r="AG96" i="42"/>
  <c r="AC121" i="42"/>
  <c r="AC167" i="42" s="1"/>
  <c r="AD67" i="48" s="1"/>
  <c r="O138" i="42"/>
  <c r="O178" i="42" s="1"/>
  <c r="Q140" i="42"/>
  <c r="Q180" i="42" s="1"/>
  <c r="AH140" i="42"/>
  <c r="AH180" i="42" s="1"/>
  <c r="AD136" i="42"/>
  <c r="AD176" i="42" s="1"/>
  <c r="L119" i="42"/>
  <c r="L165" i="42" s="1"/>
  <c r="M65" i="48" s="1"/>
  <c r="AC116" i="42"/>
  <c r="H141" i="42"/>
  <c r="H181" i="42" s="1"/>
  <c r="X122" i="42"/>
  <c r="X161" i="42" s="1"/>
  <c r="AB38" i="17"/>
  <c r="W97" i="42"/>
  <c r="W151" i="42" s="1"/>
  <c r="O141" i="42"/>
  <c r="O181" i="42" s="1"/>
  <c r="R141" i="42"/>
  <c r="R181" i="42" s="1"/>
  <c r="T114" i="42"/>
  <c r="N133" i="42"/>
  <c r="N173" i="42" s="1"/>
  <c r="L98" i="42"/>
  <c r="Z114" i="42"/>
  <c r="N114" i="42"/>
  <c r="V98" i="42"/>
  <c r="AB114" i="42"/>
  <c r="AB109" i="42"/>
  <c r="AB159" i="42" s="1"/>
  <c r="AC59" i="48" s="1"/>
  <c r="AC87" i="48" s="1"/>
  <c r="K131" i="42"/>
  <c r="K171" i="42" s="1"/>
  <c r="H120" i="42"/>
  <c r="N109" i="42"/>
  <c r="N159" i="42" s="1"/>
  <c r="AC131" i="42"/>
  <c r="AC171" i="42" s="1"/>
  <c r="M120" i="42"/>
  <c r="Q109" i="42"/>
  <c r="Q159" i="42" s="1"/>
  <c r="R59" i="48" s="1"/>
  <c r="R87" i="48" s="1"/>
  <c r="X120" i="42"/>
  <c r="AI109" i="42"/>
  <c r="AI159" i="42" s="1"/>
  <c r="Q139" i="42"/>
  <c r="Q179" i="42" s="1"/>
  <c r="AI120" i="42"/>
  <c r="AA120" i="42"/>
  <c r="AI139" i="42"/>
  <c r="AI179" i="42" s="1"/>
  <c r="AG104" i="42"/>
  <c r="N139" i="42"/>
  <c r="N179" i="42" s="1"/>
  <c r="U106" i="42"/>
  <c r="W121" i="42"/>
  <c r="W167" i="42" s="1"/>
  <c r="X67" i="48" s="1"/>
  <c r="J118" i="42"/>
  <c r="W117" i="42"/>
  <c r="Q138" i="42"/>
  <c r="Q178" i="42" s="1"/>
  <c r="S101" i="42"/>
  <c r="S155" i="42" s="1"/>
  <c r="W140" i="42"/>
  <c r="W180" i="42" s="1"/>
  <c r="K140" i="42"/>
  <c r="K180" i="42" s="1"/>
  <c r="AI102" i="42"/>
  <c r="AI135" i="42"/>
  <c r="AI175" i="42" s="1"/>
  <c r="P107" i="42"/>
  <c r="Y140" i="42"/>
  <c r="Y180" i="42" s="1"/>
  <c r="Y114" i="42"/>
  <c r="Z98" i="42"/>
  <c r="AA114" i="42"/>
  <c r="Q98" i="42"/>
  <c r="AD114" i="42"/>
  <c r="R98" i="42"/>
  <c r="AD109" i="42"/>
  <c r="AD159" i="42" s="1"/>
  <c r="AE59" i="48" s="1"/>
  <c r="AE87" i="48" s="1"/>
  <c r="K139" i="42"/>
  <c r="K179" i="42" s="1"/>
  <c r="AB96" i="42"/>
  <c r="K120" i="42"/>
  <c r="V109" i="42"/>
  <c r="V159" i="42" s="1"/>
  <c r="T139" i="42"/>
  <c r="T179" i="42" s="1"/>
  <c r="AF104" i="42"/>
  <c r="AA96" i="42"/>
  <c r="L120" i="42"/>
  <c r="U109" i="42"/>
  <c r="U159" i="42" s="1"/>
  <c r="V59" i="48" s="1"/>
  <c r="M139" i="42"/>
  <c r="M179" i="42" s="1"/>
  <c r="L104" i="42"/>
  <c r="V120" i="42"/>
  <c r="AE131" i="42"/>
  <c r="AE171" i="42" s="1"/>
  <c r="H104" i="42"/>
  <c r="K109" i="42"/>
  <c r="K159" i="42" s="1"/>
  <c r="X139" i="42"/>
  <c r="X179" i="42" s="1"/>
  <c r="AG131" i="42"/>
  <c r="AG171" i="42" s="1"/>
  <c r="P106" i="42"/>
  <c r="O106" i="42"/>
  <c r="AF121" i="42"/>
  <c r="AF167" i="42" s="1"/>
  <c r="K118" i="42"/>
  <c r="W138" i="42"/>
  <c r="W178" i="42" s="1"/>
  <c r="AH122" i="42"/>
  <c r="AH161" i="42" s="1"/>
  <c r="Z102" i="42"/>
  <c r="AG135" i="42"/>
  <c r="AG175" i="42" s="1"/>
  <c r="S129" i="42"/>
  <c r="S130" i="42" s="1"/>
  <c r="T32" i="17"/>
  <c r="I120" i="42"/>
  <c r="R114" i="42"/>
  <c r="AB133" i="42"/>
  <c r="AB173" i="42" s="1"/>
  <c r="K98" i="42"/>
  <c r="X114" i="42"/>
  <c r="AG98" i="42"/>
  <c r="L114" i="42"/>
  <c r="AH98" i="42"/>
  <c r="P109" i="42"/>
  <c r="P159" i="42" s="1"/>
  <c r="Q59" i="48" s="1"/>
  <c r="Q87" i="48" s="1"/>
  <c r="I131" i="42"/>
  <c r="I171" i="42" s="1"/>
  <c r="AB120" i="42"/>
  <c r="M109" i="42"/>
  <c r="M159" i="42" s="1"/>
  <c r="AA131" i="42"/>
  <c r="AA171" i="42" s="1"/>
  <c r="I96" i="42"/>
  <c r="AC139" i="42"/>
  <c r="AC179" i="42" s="1"/>
  <c r="M104" i="42"/>
  <c r="O109" i="42"/>
  <c r="O159" i="42" s="1"/>
  <c r="W131" i="42"/>
  <c r="W171" i="42" s="1"/>
  <c r="U120" i="42"/>
  <c r="AE120" i="42"/>
  <c r="AA109" i="42"/>
  <c r="AA159" i="42" s="1"/>
  <c r="T109" i="42"/>
  <c r="AG139" i="42"/>
  <c r="AG179" i="42" s="1"/>
  <c r="P104" i="42"/>
  <c r="K121" i="42"/>
  <c r="K167" i="42" s="1"/>
  <c r="Q121" i="42"/>
  <c r="Q167" i="42" s="1"/>
  <c r="AA118" i="42"/>
  <c r="AE117" i="42"/>
  <c r="U138" i="42"/>
  <c r="U178" i="42" s="1"/>
  <c r="AD101" i="42"/>
  <c r="AD155" i="42" s="1"/>
  <c r="AA140" i="42"/>
  <c r="AA180" i="42" s="1"/>
  <c r="X136" i="42"/>
  <c r="X176" i="42" s="1"/>
  <c r="AB102" i="42"/>
  <c r="Q24" i="17"/>
  <c r="Q23" i="17" s="1"/>
  <c r="U26" i="17"/>
  <c r="S99" i="42"/>
  <c r="S152" i="42" s="1"/>
  <c r="X142" i="42"/>
  <c r="X182" i="42" s="1"/>
  <c r="P102" i="42"/>
  <c r="X102" i="42"/>
  <c r="AA29" i="17"/>
  <c r="O26" i="17"/>
  <c r="R142" i="42"/>
  <c r="R182" i="42" s="1"/>
  <c r="H113" i="42"/>
  <c r="H162" i="42" s="1"/>
  <c r="I62" i="48" s="1"/>
  <c r="AA102" i="42"/>
  <c r="T102" i="42"/>
  <c r="AH102" i="42"/>
  <c r="AH141" i="42"/>
  <c r="AH181" i="42" s="1"/>
  <c r="U119" i="42"/>
  <c r="U165" i="42" s="1"/>
  <c r="V65" i="48" s="1"/>
  <c r="H119" i="42"/>
  <c r="H165" i="42" s="1"/>
  <c r="I65" i="48" s="1"/>
  <c r="H136" i="42"/>
  <c r="H176" i="42" s="1"/>
  <c r="M136" i="42"/>
  <c r="M176" i="42" s="1"/>
  <c r="W137" i="42"/>
  <c r="W177" i="42" s="1"/>
  <c r="S140" i="42"/>
  <c r="S180" i="42" s="1"/>
  <c r="K138" i="42"/>
  <c r="K178" i="42" s="1"/>
  <c r="AI138" i="42"/>
  <c r="AI178" i="42" s="1"/>
  <c r="R138" i="42"/>
  <c r="R178" i="42" s="1"/>
  <c r="S100" i="42"/>
  <c r="S154" i="42" s="1"/>
  <c r="T118" i="42"/>
  <c r="X118" i="42"/>
  <c r="O120" i="42"/>
  <c r="AE104" i="42"/>
  <c r="Y131" i="42"/>
  <c r="Y171" i="42" s="1"/>
  <c r="Y104" i="42"/>
  <c r="N104" i="42"/>
  <c r="O139" i="42"/>
  <c r="O179" i="42" s="1"/>
  <c r="AC26" i="17"/>
  <c r="P38" i="17"/>
  <c r="R115" i="42"/>
  <c r="R163" i="42" s="1"/>
  <c r="S63" i="48" s="1"/>
  <c r="X107" i="42"/>
  <c r="AF99" i="42"/>
  <c r="AF152" i="42" s="1"/>
  <c r="K142" i="42"/>
  <c r="K182" i="42" s="1"/>
  <c r="J142" i="42"/>
  <c r="J182" i="42" s="1"/>
  <c r="H107" i="42"/>
  <c r="AF102" i="42"/>
  <c r="J102" i="42"/>
  <c r="Y102" i="42"/>
  <c r="AD105" i="42"/>
  <c r="AD158" i="42" s="1"/>
  <c r="O122" i="42"/>
  <c r="O161" i="42" s="1"/>
  <c r="AA141" i="42"/>
  <c r="AA181" i="42" s="1"/>
  <c r="K119" i="42"/>
  <c r="K165" i="42" s="1"/>
  <c r="L65" i="48" s="1"/>
  <c r="U140" i="42"/>
  <c r="U180" i="42" s="1"/>
  <c r="AD140" i="42"/>
  <c r="AD180" i="42" s="1"/>
  <c r="M138" i="42"/>
  <c r="M178" i="42" s="1"/>
  <c r="AG100" i="42"/>
  <c r="AG154" i="42" s="1"/>
  <c r="AC117" i="42"/>
  <c r="M118" i="42"/>
  <c r="AC118" i="42"/>
  <c r="I118" i="42"/>
  <c r="V115" i="42"/>
  <c r="V163" i="42" s="1"/>
  <c r="W63" i="48" s="1"/>
  <c r="AI99" i="42"/>
  <c r="AI152" i="42" s="1"/>
  <c r="Q99" i="42"/>
  <c r="Q152" i="42" s="1"/>
  <c r="O142" i="42"/>
  <c r="O182" i="42" s="1"/>
  <c r="AC142" i="42"/>
  <c r="AC182" i="42" s="1"/>
  <c r="H142" i="42"/>
  <c r="H182" i="42" s="1"/>
  <c r="M102" i="42"/>
  <c r="K102" i="42"/>
  <c r="AA122" i="42"/>
  <c r="AA161" i="42" s="1"/>
  <c r="AF122" i="42"/>
  <c r="AF161" i="42" s="1"/>
  <c r="AE116" i="42"/>
  <c r="AH136" i="42"/>
  <c r="AH176" i="42" s="1"/>
  <c r="K136" i="42"/>
  <c r="K176" i="42" s="1"/>
  <c r="AC140" i="42"/>
  <c r="AC180" i="42" s="1"/>
  <c r="AG138" i="42"/>
  <c r="AG178" i="42" s="1"/>
  <c r="AC138" i="42"/>
  <c r="AC178" i="42" s="1"/>
  <c r="AA100" i="42"/>
  <c r="AA154" i="42" s="1"/>
  <c r="S117" i="42"/>
  <c r="AE118" i="42"/>
  <c r="O118" i="42"/>
  <c r="AH118" i="42"/>
  <c r="W103" i="42"/>
  <c r="W156" i="42" s="1"/>
  <c r="R121" i="42"/>
  <c r="R167" i="42" s="1"/>
  <c r="S67" i="48" s="1"/>
  <c r="O121" i="42"/>
  <c r="O167" i="42" s="1"/>
  <c r="AD121" i="42"/>
  <c r="AD167" i="42" s="1"/>
  <c r="AE67" i="48" s="1"/>
  <c r="X106" i="42"/>
  <c r="AI106" i="42"/>
  <c r="S104" i="42"/>
  <c r="AB139" i="42"/>
  <c r="AB179" i="42" s="1"/>
  <c r="T120" i="42"/>
  <c r="X104" i="42"/>
  <c r="J131" i="42"/>
  <c r="J171" i="42" s="1"/>
  <c r="Y96" i="42"/>
  <c r="AE139" i="42"/>
  <c r="AE179" i="42" s="1"/>
  <c r="AI107" i="42"/>
  <c r="J99" i="42"/>
  <c r="J152" i="42" s="1"/>
  <c r="AB99" i="42"/>
  <c r="AB152" i="42" s="1"/>
  <c r="AE142" i="42"/>
  <c r="AE182" i="42" s="1"/>
  <c r="M142" i="42"/>
  <c r="M182" i="42" s="1"/>
  <c r="AF135" i="42"/>
  <c r="AF175" i="42" s="1"/>
  <c r="V135" i="42"/>
  <c r="V175" i="42" s="1"/>
  <c r="H102" i="42"/>
  <c r="R102" i="42"/>
  <c r="K105" i="42"/>
  <c r="K158" i="42" s="1"/>
  <c r="AG122" i="42"/>
  <c r="AG161" i="42" s="1"/>
  <c r="U141" i="42"/>
  <c r="U181" i="42" s="1"/>
  <c r="I141" i="42"/>
  <c r="I181" i="42" s="1"/>
  <c r="I119" i="42"/>
  <c r="I165" i="42" s="1"/>
  <c r="J65" i="48" s="1"/>
  <c r="AB119" i="42"/>
  <c r="AB165" i="42" s="1"/>
  <c r="AC65" i="48" s="1"/>
  <c r="Q136" i="42"/>
  <c r="Q176" i="42" s="1"/>
  <c r="M140" i="42"/>
  <c r="M180" i="42" s="1"/>
  <c r="N140" i="42"/>
  <c r="N180" i="42" s="1"/>
  <c r="L138" i="42"/>
  <c r="L178" i="42" s="1"/>
  <c r="AH138" i="42"/>
  <c r="AH178" i="42" s="1"/>
  <c r="K100" i="42"/>
  <c r="K154" i="42" s="1"/>
  <c r="AF118" i="42"/>
  <c r="R118" i="42"/>
  <c r="AI118" i="42"/>
  <c r="S121" i="42"/>
  <c r="S167" i="42" s="1"/>
  <c r="T67" i="48" s="1"/>
  <c r="AF106" i="42"/>
  <c r="H109" i="42"/>
  <c r="H159" i="42" s="1"/>
  <c r="AC104" i="42"/>
  <c r="AB134" i="42"/>
  <c r="AB174" i="42" s="1"/>
  <c r="K99" i="42"/>
  <c r="K152" i="42" s="1"/>
  <c r="Z99" i="42"/>
  <c r="Z152" i="42" s="1"/>
  <c r="AF142" i="42"/>
  <c r="AF182" i="42" s="1"/>
  <c r="T142" i="42"/>
  <c r="T182" i="42" s="1"/>
  <c r="W102" i="42"/>
  <c r="AC102" i="42"/>
  <c r="AE105" i="42"/>
  <c r="AE158" i="42" s="1"/>
  <c r="U116" i="42"/>
  <c r="S119" i="42"/>
  <c r="S165" i="42" s="1"/>
  <c r="T65" i="48" s="1"/>
  <c r="AE136" i="42"/>
  <c r="AE176" i="42" s="1"/>
  <c r="O136" i="42"/>
  <c r="O176" i="42" s="1"/>
  <c r="H138" i="42"/>
  <c r="H178" i="42" s="1"/>
  <c r="I138" i="42"/>
  <c r="I178" i="42" s="1"/>
  <c r="V100" i="42"/>
  <c r="V154" i="42" s="1"/>
  <c r="AH117" i="42"/>
  <c r="Y118" i="42"/>
  <c r="Z118" i="42"/>
  <c r="AG118" i="42"/>
  <c r="P121" i="42"/>
  <c r="P167" i="42" s="1"/>
  <c r="Q67" i="48" s="1"/>
  <c r="Y31" i="17"/>
  <c r="AH99" i="42"/>
  <c r="AH152" i="42" s="1"/>
  <c r="Q142" i="42"/>
  <c r="Q182" i="42" s="1"/>
  <c r="Z142" i="42"/>
  <c r="Z182" i="42" s="1"/>
  <c r="AB135" i="42"/>
  <c r="AB175" i="42" s="1"/>
  <c r="AG102" i="42"/>
  <c r="O102" i="42"/>
  <c r="L102" i="42"/>
  <c r="P122" i="42"/>
  <c r="P161" i="42" s="1"/>
  <c r="Y141" i="42"/>
  <c r="Y181" i="42" s="1"/>
  <c r="L116" i="42"/>
  <c r="T119" i="42"/>
  <c r="T165" i="42" s="1"/>
  <c r="U65" i="48" s="1"/>
  <c r="AC119" i="42"/>
  <c r="AC165" i="42" s="1"/>
  <c r="AD65" i="48" s="1"/>
  <c r="S136" i="42"/>
  <c r="S176" i="42" s="1"/>
  <c r="AG137" i="42"/>
  <c r="AG177" i="42" s="1"/>
  <c r="P140" i="42"/>
  <c r="P180" i="42" s="1"/>
  <c r="X140" i="42"/>
  <c r="X180" i="42" s="1"/>
  <c r="V138" i="42"/>
  <c r="V178" i="42" s="1"/>
  <c r="S138" i="42"/>
  <c r="S178" i="42" s="1"/>
  <c r="M100" i="42"/>
  <c r="M154" i="42" s="1"/>
  <c r="Q100" i="42"/>
  <c r="Q154" i="42" s="1"/>
  <c r="X117" i="42"/>
  <c r="M117" i="42"/>
  <c r="N117" i="42"/>
  <c r="P118" i="42"/>
  <c r="U118" i="42"/>
  <c r="Q118" i="42"/>
  <c r="I103" i="42"/>
  <c r="I156" i="42" s="1"/>
  <c r="R140" i="42"/>
  <c r="R180" i="42" s="1"/>
  <c r="AE138" i="42"/>
  <c r="AE178" i="42" s="1"/>
  <c r="T98" i="42"/>
  <c r="V114" i="42"/>
  <c r="AB98" i="42"/>
  <c r="P98" i="42"/>
  <c r="AF109" i="42"/>
  <c r="AF159" i="42" s="1"/>
  <c r="AG59" i="48" s="1"/>
  <c r="AG87" i="48" s="1"/>
  <c r="I139" i="42"/>
  <c r="I179" i="42" s="1"/>
  <c r="AB104" i="42"/>
  <c r="Q120" i="42"/>
  <c r="S109" i="42"/>
  <c r="S159" i="42" s="1"/>
  <c r="I104" i="42"/>
  <c r="AA104" i="42"/>
  <c r="V131" i="42"/>
  <c r="V171" i="42" s="1"/>
  <c r="R96" i="42"/>
  <c r="Y120" i="42"/>
  <c r="O104" i="42"/>
  <c r="O131" i="42"/>
  <c r="O171" i="42" s="1"/>
  <c r="H139" i="42"/>
  <c r="H179" i="42" s="1"/>
  <c r="AF120" i="42"/>
  <c r="AE96" i="42"/>
  <c r="AC109" i="42"/>
  <c r="AC159" i="42" s="1"/>
  <c r="AD59" i="48" s="1"/>
  <c r="AD87" i="48" s="1"/>
  <c r="AB131" i="42"/>
  <c r="AB171" i="42" s="1"/>
  <c r="N106" i="42"/>
  <c r="J106" i="42"/>
  <c r="AC106" i="42"/>
  <c r="S118" i="42"/>
  <c r="L100" i="42"/>
  <c r="L154" i="42" s="1"/>
  <c r="H122" i="42"/>
  <c r="H161" i="42" s="1"/>
  <c r="AH105" i="42"/>
  <c r="AH158" i="42" s="1"/>
  <c r="Q135" i="42"/>
  <c r="Q175" i="42" s="1"/>
  <c r="W142" i="42"/>
  <c r="W182" i="42" s="1"/>
  <c r="N98" i="42"/>
  <c r="S114" i="42"/>
  <c r="J114" i="42"/>
  <c r="AF98" i="42"/>
  <c r="AH131" i="42"/>
  <c r="AH171" i="42" s="1"/>
  <c r="V96" i="42"/>
  <c r="AE109" i="42"/>
  <c r="AE159" i="42" s="1"/>
  <c r="AF59" i="48" s="1"/>
  <c r="Y109" i="42"/>
  <c r="Y159" i="42" s="1"/>
  <c r="AA139" i="42"/>
  <c r="AA179" i="42" s="1"/>
  <c r="P120" i="42"/>
  <c r="AH96" i="42"/>
  <c r="L131" i="42"/>
  <c r="L171" i="42" s="1"/>
  <c r="W139" i="42"/>
  <c r="W179" i="42" s="1"/>
  <c r="AI96" i="42"/>
  <c r="W104" i="42"/>
  <c r="W109" i="42"/>
  <c r="W159" i="42" s="1"/>
  <c r="AF139" i="42"/>
  <c r="AF179" i="42" s="1"/>
  <c r="T96" i="42"/>
  <c r="L109" i="42"/>
  <c r="L159" i="42" s="1"/>
  <c r="AD120" i="42"/>
  <c r="AG106" i="42"/>
  <c r="Z106" i="42"/>
  <c r="V106" i="42"/>
  <c r="M106" i="42"/>
  <c r="Z121" i="42"/>
  <c r="Z167" i="42" s="1"/>
  <c r="AA67" i="48" s="1"/>
  <c r="M121" i="42"/>
  <c r="M167" i="42" s="1"/>
  <c r="AB118" i="42"/>
  <c r="I117" i="42"/>
  <c r="I100" i="42"/>
  <c r="I154" i="42" s="1"/>
  <c r="AI100" i="42"/>
  <c r="AI154" i="42" s="1"/>
  <c r="AB138" i="42"/>
  <c r="AB178" i="42" s="1"/>
  <c r="J140" i="42"/>
  <c r="J180" i="42" s="1"/>
  <c r="AF136" i="42"/>
  <c r="AF176" i="42" s="1"/>
  <c r="M122" i="42"/>
  <c r="M161" i="42" s="1"/>
  <c r="I105" i="42"/>
  <c r="I158" i="42" s="1"/>
  <c r="R105" i="42"/>
  <c r="R158" i="42" s="1"/>
  <c r="S58" i="48" s="1"/>
  <c r="S86" i="48" s="1"/>
  <c r="AC120" i="42"/>
  <c r="Q117" i="42"/>
  <c r="T138" i="42"/>
  <c r="T178" i="42" s="1"/>
  <c r="P101" i="42"/>
  <c r="P155" i="42" s="1"/>
  <c r="AH101" i="42"/>
  <c r="AH155" i="42" s="1"/>
  <c r="N136" i="42"/>
  <c r="N176" i="42" s="1"/>
  <c r="P136" i="42"/>
  <c r="P176" i="42" s="1"/>
  <c r="J136" i="42"/>
  <c r="J176" i="42" s="1"/>
  <c r="AG119" i="42"/>
  <c r="AG165" i="42" s="1"/>
  <c r="AH65" i="48" s="1"/>
  <c r="Q116" i="42"/>
  <c r="AF141" i="42"/>
  <c r="AF181" i="42" s="1"/>
  <c r="AC141" i="42"/>
  <c r="AC181" i="42" s="1"/>
  <c r="Y106" i="42"/>
  <c r="AH121" i="42"/>
  <c r="AH167" i="42" s="1"/>
  <c r="AI67" i="48" s="1"/>
  <c r="Y100" i="42"/>
  <c r="Y154" i="42" s="1"/>
  <c r="P100" i="42"/>
  <c r="P154" i="42" s="1"/>
  <c r="Z138" i="42"/>
  <c r="Z178" i="42" s="1"/>
  <c r="I140" i="42"/>
  <c r="I180" i="42" s="1"/>
  <c r="O140" i="42"/>
  <c r="O180" i="42" s="1"/>
  <c r="AC136" i="42"/>
  <c r="AC176" i="42" s="1"/>
  <c r="AG136" i="42"/>
  <c r="AG176" i="42" s="1"/>
  <c r="W122" i="42"/>
  <c r="W161" i="42" s="1"/>
  <c r="AI122" i="42"/>
  <c r="AI161" i="42" s="1"/>
  <c r="P105" i="42"/>
  <c r="P158" i="42" s="1"/>
  <c r="S96" i="42"/>
  <c r="Q106" i="42"/>
  <c r="AH106" i="42"/>
  <c r="AE121" i="42"/>
  <c r="AE167" i="42" s="1"/>
  <c r="AF67" i="48" s="1"/>
  <c r="O103" i="42"/>
  <c r="O156" i="42" s="1"/>
  <c r="U117" i="42"/>
  <c r="N100" i="42"/>
  <c r="N154" i="42" s="1"/>
  <c r="AC100" i="42"/>
  <c r="AC154" i="42" s="1"/>
  <c r="AE140" i="42"/>
  <c r="AE180" i="42" s="1"/>
  <c r="V140" i="42"/>
  <c r="V180" i="42" s="1"/>
  <c r="AI140" i="42"/>
  <c r="AI180" i="42" s="1"/>
  <c r="N119" i="42"/>
  <c r="N165" i="42" s="1"/>
  <c r="O65" i="48" s="1"/>
  <c r="V141" i="42"/>
  <c r="V181" i="42" s="1"/>
  <c r="Z122" i="42"/>
  <c r="Z161" i="42" s="1"/>
  <c r="AI105" i="42"/>
  <c r="AI158" i="42" s="1"/>
  <c r="I135" i="42"/>
  <c r="I175" i="42" s="1"/>
  <c r="Z131" i="42"/>
  <c r="Z171" i="42" s="1"/>
  <c r="I106" i="42"/>
  <c r="R106" i="42"/>
  <c r="AA103" i="42"/>
  <c r="AA156" i="42" s="1"/>
  <c r="AB56" i="48" s="1"/>
  <c r="AB84" i="48" s="1"/>
  <c r="H117" i="42"/>
  <c r="O100" i="42"/>
  <c r="O154" i="42" s="1"/>
  <c r="T100" i="42"/>
  <c r="T154" i="42" s="1"/>
  <c r="AB100" i="42"/>
  <c r="AB154" i="42" s="1"/>
  <c r="AD138" i="42"/>
  <c r="AD178" i="42" s="1"/>
  <c r="K101" i="42"/>
  <c r="K155" i="42" s="1"/>
  <c r="AF140" i="42"/>
  <c r="AF180" i="42" s="1"/>
  <c r="AA136" i="42"/>
  <c r="AA176" i="42" s="1"/>
  <c r="AG141" i="42"/>
  <c r="AG181" i="42" s="1"/>
  <c r="AE103" i="42"/>
  <c r="AE156" i="42" s="1"/>
  <c r="AI117" i="42"/>
  <c r="AE100" i="42"/>
  <c r="AE154" i="42" s="1"/>
  <c r="X100" i="42"/>
  <c r="X154" i="42" s="1"/>
  <c r="W100" i="42"/>
  <c r="W154" i="42" s="1"/>
  <c r="J138" i="42"/>
  <c r="J178" i="42" s="1"/>
  <c r="AA138" i="42"/>
  <c r="AA178" i="42" s="1"/>
  <c r="AE101" i="42"/>
  <c r="AE155" i="42" s="1"/>
  <c r="Z140" i="42"/>
  <c r="Z180" i="42" s="1"/>
  <c r="U136" i="42"/>
  <c r="U176" i="42" s="1"/>
  <c r="Y136" i="42"/>
  <c r="Y176" i="42" s="1"/>
  <c r="W141" i="42"/>
  <c r="W181" i="42" s="1"/>
  <c r="Z141" i="42"/>
  <c r="Z181" i="42" s="1"/>
  <c r="S122" i="42"/>
  <c r="S161" i="42" s="1"/>
  <c r="AC105" i="42"/>
  <c r="AC158" i="42" s="1"/>
  <c r="AD58" i="48" s="1"/>
  <c r="W105" i="42"/>
  <c r="W158" i="42" s="1"/>
  <c r="N135" i="42"/>
  <c r="N175" i="42" s="1"/>
  <c r="AA106" i="42"/>
  <c r="H106" i="42"/>
  <c r="AE106" i="42"/>
  <c r="AD106" i="42"/>
  <c r="AG121" i="42"/>
  <c r="AG167" i="42" s="1"/>
  <c r="AH67" i="48" s="1"/>
  <c r="AA121" i="42"/>
  <c r="AA167" i="42" s="1"/>
  <c r="AB67" i="48" s="1"/>
  <c r="AD103" i="42"/>
  <c r="AD156" i="42" s="1"/>
  <c r="AF117" i="42"/>
  <c r="AD100" i="42"/>
  <c r="AD154" i="42" s="1"/>
  <c r="Y138" i="42"/>
  <c r="Y178" i="42" s="1"/>
  <c r="N138" i="42"/>
  <c r="N178" i="42" s="1"/>
  <c r="V136" i="42"/>
  <c r="V176" i="42" s="1"/>
  <c r="Z136" i="42"/>
  <c r="Z176" i="42" s="1"/>
  <c r="W136" i="42"/>
  <c r="W176" i="42" s="1"/>
  <c r="M119" i="42"/>
  <c r="M165" i="42" s="1"/>
  <c r="N65" i="48" s="1"/>
  <c r="S141" i="42"/>
  <c r="S181" i="42" s="1"/>
  <c r="S105" i="42"/>
  <c r="S158" i="42" s="1"/>
  <c r="J38" i="17"/>
  <c r="AB26" i="17"/>
  <c r="V49" i="4"/>
  <c r="V50" i="4" s="1"/>
  <c r="R135" i="42"/>
  <c r="R175" i="42" s="1"/>
  <c r="L31" i="17"/>
  <c r="AB28" i="17"/>
  <c r="L141" i="42"/>
  <c r="L181" i="42" s="1"/>
  <c r="P113" i="42"/>
  <c r="P162" i="42" s="1"/>
  <c r="Q62" i="48" s="1"/>
  <c r="P97" i="42"/>
  <c r="P151" i="42" s="1"/>
  <c r="R97" i="42"/>
  <c r="R151" i="42" s="1"/>
  <c r="AC28" i="17"/>
  <c r="K36" i="17"/>
  <c r="Y29" i="17"/>
  <c r="AG38" i="17"/>
  <c r="AH32" i="17"/>
  <c r="T31" i="17"/>
  <c r="M32" i="17"/>
  <c r="Y28" i="17"/>
  <c r="AB29" i="17"/>
  <c r="M38" i="17"/>
  <c r="U32" i="17"/>
  <c r="AG24" i="17"/>
  <c r="AG23" i="17" s="1"/>
  <c r="AC24" i="17"/>
  <c r="AC23" i="17" s="1"/>
  <c r="O30" i="17"/>
  <c r="K31" i="17"/>
  <c r="R30" i="17"/>
  <c r="T38" i="17"/>
  <c r="Q30" i="17"/>
  <c r="AB32" i="17"/>
  <c r="Y38" i="17"/>
  <c r="Q38" i="17"/>
  <c r="P36" i="17"/>
  <c r="L24" i="17"/>
  <c r="L23" i="17" s="1"/>
  <c r="L29" i="17"/>
  <c r="AE26" i="17"/>
  <c r="M31" i="17"/>
  <c r="M29" i="17"/>
  <c r="P29" i="17"/>
  <c r="AE30" i="17"/>
  <c r="Z29" i="17"/>
  <c r="L38" i="17"/>
  <c r="R26" i="17"/>
  <c r="AD129" i="42"/>
  <c r="AD170" i="42" s="1"/>
  <c r="M97" i="42"/>
  <c r="M151" i="42" s="1"/>
  <c r="X97" i="42"/>
  <c r="X151" i="42" s="1"/>
  <c r="X115" i="42"/>
  <c r="X163" i="42" s="1"/>
  <c r="Y63" i="48" s="1"/>
  <c r="N115" i="42"/>
  <c r="N163" i="42" s="1"/>
  <c r="O63" i="48" s="1"/>
  <c r="AB115" i="42"/>
  <c r="AB163" i="42" s="1"/>
  <c r="AC63" i="48" s="1"/>
  <c r="M107" i="42"/>
  <c r="R107" i="42"/>
  <c r="AG113" i="42"/>
  <c r="AG162" i="42" s="1"/>
  <c r="AH62" i="48" s="1"/>
  <c r="AH107" i="42"/>
  <c r="I107" i="42"/>
  <c r="J107" i="42"/>
  <c r="AB132" i="42"/>
  <c r="AB172" i="42" s="1"/>
  <c r="L99" i="42"/>
  <c r="L152" i="42" s="1"/>
  <c r="AD99" i="42"/>
  <c r="AD152" i="42" s="1"/>
  <c r="Y99" i="42"/>
  <c r="Y152" i="42" s="1"/>
  <c r="J110" i="42"/>
  <c r="J160" i="42" s="1"/>
  <c r="AG142" i="42"/>
  <c r="AG182" i="42" s="1"/>
  <c r="I142" i="42"/>
  <c r="I182" i="42" s="1"/>
  <c r="AH142" i="42"/>
  <c r="AH182" i="42" s="1"/>
  <c r="Q31" i="17"/>
  <c r="Z24" i="17"/>
  <c r="Z23" i="17" s="1"/>
  <c r="AH24" i="17"/>
  <c r="AH23" i="17" s="1"/>
  <c r="K28" i="17"/>
  <c r="R32" i="17"/>
  <c r="AA38" i="17"/>
  <c r="R24" i="17"/>
  <c r="R23" i="17" s="1"/>
  <c r="AA32" i="17"/>
  <c r="AA30" i="17"/>
  <c r="N36" i="17"/>
  <c r="AA24" i="17"/>
  <c r="AA23" i="17" s="1"/>
  <c r="AE36" i="17"/>
  <c r="N38" i="17"/>
  <c r="T29" i="17"/>
  <c r="S30" i="17"/>
  <c r="R36" i="17"/>
  <c r="AH36" i="17"/>
  <c r="AD38" i="17"/>
  <c r="U28" i="17"/>
  <c r="K30" i="17"/>
  <c r="AC31" i="17"/>
  <c r="AI38" i="17"/>
  <c r="AE29" i="17"/>
  <c r="L30" i="17"/>
  <c r="AI31" i="17"/>
  <c r="V38" i="17"/>
  <c r="AA28" i="17"/>
  <c r="I38" i="17"/>
  <c r="J28" i="17"/>
  <c r="AG129" i="42"/>
  <c r="AG130" i="42" s="1"/>
  <c r="T129" i="42"/>
  <c r="T130" i="42" s="1"/>
  <c r="O97" i="42"/>
  <c r="O151" i="42" s="1"/>
  <c r="Z97" i="42"/>
  <c r="Z151" i="42" s="1"/>
  <c r="I115" i="42"/>
  <c r="I163" i="42" s="1"/>
  <c r="J63" i="48" s="1"/>
  <c r="K115" i="42"/>
  <c r="K163" i="42" s="1"/>
  <c r="L63" i="48" s="1"/>
  <c r="AD107" i="42"/>
  <c r="L107" i="42"/>
  <c r="S107" i="42"/>
  <c r="N99" i="42"/>
  <c r="N152" i="42" s="1"/>
  <c r="X99" i="42"/>
  <c r="X152" i="42" s="1"/>
  <c r="AI142" i="42"/>
  <c r="AI182" i="42" s="1"/>
  <c r="Y142" i="42"/>
  <c r="Y182" i="42" s="1"/>
  <c r="P24" i="17"/>
  <c r="P23" i="17" s="1"/>
  <c r="T24" i="17"/>
  <c r="T23" i="17" s="1"/>
  <c r="J26" i="17"/>
  <c r="J29" i="17"/>
  <c r="Z38" i="17"/>
  <c r="W31" i="17"/>
  <c r="W28" i="17"/>
  <c r="U36" i="17"/>
  <c r="Z31" i="17"/>
  <c r="X24" i="17"/>
  <c r="X23" i="17" s="1"/>
  <c r="Y30" i="17"/>
  <c r="O28" i="17"/>
  <c r="AJ38" i="17"/>
  <c r="S36" i="17"/>
  <c r="AJ28" i="17"/>
  <c r="K32" i="17"/>
  <c r="AF32" i="17"/>
  <c r="Q36" i="17"/>
  <c r="L32" i="17"/>
  <c r="M26" i="17"/>
  <c r="Y36" i="17"/>
  <c r="AE32" i="17"/>
  <c r="Y32" i="17"/>
  <c r="R29" i="17"/>
  <c r="AI129" i="42"/>
  <c r="AI130" i="42" s="1"/>
  <c r="AH129" i="42"/>
  <c r="AH130" i="42" s="1"/>
  <c r="Y97" i="42"/>
  <c r="Y151" i="42" s="1"/>
  <c r="AH97" i="42"/>
  <c r="AH151" i="42" s="1"/>
  <c r="AE113" i="42"/>
  <c r="AE162" i="42" s="1"/>
  <c r="AF62" i="48" s="1"/>
  <c r="Y115" i="42"/>
  <c r="Y163" i="42" s="1"/>
  <c r="Z63" i="48" s="1"/>
  <c r="J125" i="42"/>
  <c r="J168" i="42" s="1"/>
  <c r="AG115" i="42"/>
  <c r="AG163" i="42" s="1"/>
  <c r="AH63" i="48" s="1"/>
  <c r="O107" i="42"/>
  <c r="I99" i="42"/>
  <c r="I152" i="42" s="1"/>
  <c r="AA99" i="42"/>
  <c r="AA152" i="42" s="1"/>
  <c r="R99" i="42"/>
  <c r="R152" i="42" s="1"/>
  <c r="P142" i="42"/>
  <c r="P182" i="42" s="1"/>
  <c r="L142" i="42"/>
  <c r="L182" i="42" s="1"/>
  <c r="AB142" i="42"/>
  <c r="AB182" i="42" s="1"/>
  <c r="AF24" i="17"/>
  <c r="AF23" i="17" s="1"/>
  <c r="N24" i="17"/>
  <c r="N23" i="17" s="1"/>
  <c r="Z26" i="17"/>
  <c r="AJ29" i="17"/>
  <c r="M28" i="17"/>
  <c r="Z36" i="17"/>
  <c r="S29" i="17"/>
  <c r="T26" i="17"/>
  <c r="AB36" i="17"/>
  <c r="AB31" i="17"/>
  <c r="AI28" i="17"/>
  <c r="AJ24" i="17"/>
  <c r="AJ23" i="17" s="1"/>
  <c r="S32" i="17"/>
  <c r="L26" i="17"/>
  <c r="M36" i="17"/>
  <c r="Q26" i="17"/>
  <c r="W32" i="17"/>
  <c r="AI24" i="17"/>
  <c r="AI23" i="17" s="1"/>
  <c r="AH28" i="17"/>
  <c r="X36" i="17"/>
  <c r="AC32" i="17"/>
  <c r="R28" i="17"/>
  <c r="U31" i="17"/>
  <c r="Z30" i="17"/>
  <c r="I127" i="42"/>
  <c r="I169" i="42" s="1"/>
  <c r="S134" i="42"/>
  <c r="S174" i="42" s="1"/>
  <c r="Y129" i="42"/>
  <c r="X129" i="42"/>
  <c r="X170" i="42" s="1"/>
  <c r="Y70" i="48" s="1"/>
  <c r="AA97" i="42"/>
  <c r="AA151" i="42" s="1"/>
  <c r="Q113" i="42"/>
  <c r="Q162" i="42" s="1"/>
  <c r="R62" i="48" s="1"/>
  <c r="Q115" i="42"/>
  <c r="Q163" i="42" s="1"/>
  <c r="R63" i="48" s="1"/>
  <c r="T107" i="42"/>
  <c r="AF125" i="42"/>
  <c r="AF168" i="42" s="1"/>
  <c r="AC107" i="42"/>
  <c r="AG107" i="42"/>
  <c r="J24" i="17"/>
  <c r="J23" i="17" s="1"/>
  <c r="AB24" i="17"/>
  <c r="AB23" i="17" s="1"/>
  <c r="S26" i="17"/>
  <c r="I36" i="17"/>
  <c r="O29" i="17"/>
  <c r="J30" i="17"/>
  <c r="AI36" i="17"/>
  <c r="AG36" i="17"/>
  <c r="Z28" i="17"/>
  <c r="AC38" i="17"/>
  <c r="Y26" i="17"/>
  <c r="O31" i="17"/>
  <c r="AJ31" i="17"/>
  <c r="T36" i="17"/>
  <c r="AG31" i="17"/>
  <c r="AG28" i="17"/>
  <c r="AF36" i="17"/>
  <c r="AH31" i="17"/>
  <c r="AG29" i="17"/>
  <c r="X38" i="17"/>
  <c r="U30" i="17"/>
  <c r="K24" i="17"/>
  <c r="K23" i="17" s="1"/>
  <c r="W26" i="17"/>
  <c r="Q29" i="17"/>
  <c r="AD36" i="17"/>
  <c r="AA123" i="42"/>
  <c r="AA129" i="42"/>
  <c r="AA170" i="42" s="1"/>
  <c r="J97" i="42"/>
  <c r="J151" i="42" s="1"/>
  <c r="I113" i="42"/>
  <c r="I162" i="42" s="1"/>
  <c r="J62" i="48" s="1"/>
  <c r="AH113" i="42"/>
  <c r="AH162" i="42" s="1"/>
  <c r="AI62" i="48" s="1"/>
  <c r="T115" i="42"/>
  <c r="T163" i="42" s="1"/>
  <c r="U63" i="48" s="1"/>
  <c r="J115" i="42"/>
  <c r="J163" i="42" s="1"/>
  <c r="K63" i="48" s="1"/>
  <c r="AE107" i="42"/>
  <c r="AF107" i="42"/>
  <c r="Q107" i="42"/>
  <c r="AB107" i="42"/>
  <c r="S24" i="17"/>
  <c r="S23" i="17" s="1"/>
  <c r="AH26" i="17"/>
  <c r="T28" i="17"/>
  <c r="U24" i="17"/>
  <c r="U23" i="17" s="1"/>
  <c r="AI32" i="17"/>
  <c r="AI30" i="17"/>
  <c r="AC36" i="17"/>
  <c r="AJ32" i="17"/>
  <c r="J32" i="17"/>
  <c r="S38" i="17"/>
  <c r="AF38" i="17"/>
  <c r="Q28" i="17"/>
  <c r="Y24" i="17"/>
  <c r="Y23" i="17" s="1"/>
  <c r="K29" i="17"/>
  <c r="AA26" i="17"/>
  <c r="AA36" i="17"/>
  <c r="Q32" i="17"/>
  <c r="U29" i="17"/>
  <c r="K26" i="17"/>
  <c r="L28" i="17"/>
  <c r="O32" i="17"/>
  <c r="J31" i="17"/>
  <c r="W29" i="17"/>
  <c r="Z32" i="17"/>
  <c r="M129" i="42"/>
  <c r="M130" i="42" s="1"/>
  <c r="AF113" i="42"/>
  <c r="AF162" i="42" s="1"/>
  <c r="AG62" i="48" s="1"/>
  <c r="S115" i="42"/>
  <c r="S163" i="42" s="1"/>
  <c r="T63" i="48" s="1"/>
  <c r="Q125" i="42"/>
  <c r="Q168" i="42" s="1"/>
  <c r="Z107" i="42"/>
  <c r="K107" i="42"/>
  <c r="AA107" i="42"/>
  <c r="AB125" i="42"/>
  <c r="AB168" i="42" s="1"/>
  <c r="J132" i="42"/>
  <c r="J172" i="42" s="1"/>
  <c r="AG99" i="42"/>
  <c r="AG152" i="42" s="1"/>
  <c r="V99" i="42"/>
  <c r="V152" i="42" s="1"/>
  <c r="T99" i="42"/>
  <c r="T152" i="42" s="1"/>
  <c r="AA142" i="42"/>
  <c r="AA182" i="42" s="1"/>
  <c r="S142" i="42"/>
  <c r="S182" i="42" s="1"/>
  <c r="U142" i="42"/>
  <c r="U182" i="42" s="1"/>
  <c r="M135" i="42"/>
  <c r="M175" i="42" s="1"/>
  <c r="S102" i="42"/>
  <c r="R31" i="17"/>
  <c r="AG26" i="17"/>
  <c r="AG30" i="17"/>
  <c r="AE31" i="17"/>
  <c r="AE28" i="17"/>
  <c r="AJ36" i="17"/>
  <c r="AJ26" i="17"/>
  <c r="AF31" i="17"/>
  <c r="AJ30" i="17"/>
  <c r="R38" i="17"/>
  <c r="L36" i="17"/>
  <c r="AH29" i="17"/>
  <c r="W30" i="17"/>
  <c r="AC29" i="17"/>
  <c r="AB30" i="17"/>
  <c r="K38" i="17"/>
  <c r="AG32" i="17"/>
  <c r="AH38" i="17"/>
  <c r="S31" i="17"/>
  <c r="T30" i="17"/>
  <c r="S28" i="17"/>
  <c r="AC30" i="17"/>
  <c r="X32" i="17"/>
  <c r="J36" i="17"/>
  <c r="AA31" i="17"/>
  <c r="AI26" i="17"/>
  <c r="M30" i="17"/>
  <c r="AH30" i="17"/>
  <c r="R123" i="42"/>
  <c r="Z134" i="42"/>
  <c r="Z174" i="42" s="1"/>
  <c r="N129" i="42"/>
  <c r="N170" i="42" s="1"/>
  <c r="AB97" i="42"/>
  <c r="AB151" i="42" s="1"/>
  <c r="AA113" i="42"/>
  <c r="AA162" i="42" s="1"/>
  <c r="AB62" i="48" s="1"/>
  <c r="S113" i="42"/>
  <c r="S162" i="42" s="1"/>
  <c r="T62" i="48" s="1"/>
  <c r="V125" i="42"/>
  <c r="V168" i="42" s="1"/>
  <c r="U107" i="42"/>
  <c r="Z113" i="42"/>
  <c r="Z162" i="42" s="1"/>
  <c r="AA62" i="48" s="1"/>
  <c r="Y107" i="42"/>
  <c r="W107" i="42"/>
  <c r="H49" i="4"/>
  <c r="P49" i="4"/>
  <c r="X49" i="4"/>
  <c r="AF49" i="4"/>
  <c r="AD49" i="4"/>
  <c r="N49" i="4"/>
  <c r="F49" i="4"/>
  <c r="AI29" i="17"/>
  <c r="U38" i="17"/>
  <c r="Z100" i="42"/>
  <c r="Z154" i="42" s="1"/>
  <c r="R100" i="42"/>
  <c r="R154" i="42" s="1"/>
  <c r="J100" i="42"/>
  <c r="J154" i="42" s="1"/>
  <c r="X131" i="42"/>
  <c r="X171" i="42" s="1"/>
  <c r="P131" i="42"/>
  <c r="P171" i="42" s="1"/>
  <c r="V28" i="17"/>
  <c r="AD30" i="17"/>
  <c r="H99" i="42"/>
  <c r="H152" i="42" s="1"/>
  <c r="AE125" i="42"/>
  <c r="AE168" i="42" s="1"/>
  <c r="O129" i="42"/>
  <c r="O130" i="42" s="1"/>
  <c r="AD24" i="17"/>
  <c r="AD23" i="17" s="1"/>
  <c r="AD142" i="42"/>
  <c r="AD182" i="42" s="1"/>
  <c r="V107" i="42"/>
  <c r="Y49" i="4"/>
  <c r="I49" i="4"/>
  <c r="AH104" i="42"/>
  <c r="Z120" i="42"/>
  <c r="R120" i="42"/>
  <c r="J139" i="42"/>
  <c r="J179" i="42" s="1"/>
  <c r="AF103" i="42"/>
  <c r="AF156" i="42" s="1"/>
  <c r="M49" i="4"/>
  <c r="O36" i="17"/>
  <c r="T136" i="42"/>
  <c r="T176" i="42" s="1"/>
  <c r="AH100" i="42"/>
  <c r="AH154" i="42" s="1"/>
  <c r="U97" i="42"/>
  <c r="U151" i="42" s="1"/>
  <c r="V36" i="17"/>
  <c r="P26" i="17"/>
  <c r="W98" i="42"/>
  <c r="AF28" i="17"/>
  <c r="AC99" i="42"/>
  <c r="AC152" i="42" s="1"/>
  <c r="U115" i="42"/>
  <c r="U163" i="42" s="1"/>
  <c r="V63" i="48" s="1"/>
  <c r="M99" i="42"/>
  <c r="M152" i="42" s="1"/>
  <c r="N113" i="42"/>
  <c r="N162" i="42" s="1"/>
  <c r="O62" i="48" s="1"/>
  <c r="I26" i="17"/>
  <c r="L97" i="42"/>
  <c r="L151" i="42" s="1"/>
  <c r="O135" i="42"/>
  <c r="O175" i="42" s="1"/>
  <c r="T49" i="4"/>
  <c r="AC129" i="42"/>
  <c r="AC130" i="42" s="1"/>
  <c r="O110" i="42"/>
  <c r="O160" i="42" s="1"/>
  <c r="M115" i="42"/>
  <c r="M163" i="42" s="1"/>
  <c r="N63" i="48" s="1"/>
  <c r="U129" i="42"/>
  <c r="U130" i="42" s="1"/>
  <c r="O115" i="42"/>
  <c r="O163" i="42" s="1"/>
  <c r="P63" i="48" s="1"/>
  <c r="U99" i="42"/>
  <c r="U152" i="42" s="1"/>
  <c r="H129" i="42"/>
  <c r="H170" i="42" s="1"/>
  <c r="AE38" i="17"/>
  <c r="V102" i="42"/>
  <c r="V118" i="42"/>
  <c r="N137" i="42"/>
  <c r="N177" i="42" s="1"/>
  <c r="X96" i="42"/>
  <c r="L106" i="42"/>
  <c r="AD118" i="42"/>
  <c r="L122" i="42"/>
  <c r="L161" i="42" s="1"/>
  <c r="L117" i="42"/>
  <c r="W36" i="17"/>
  <c r="L136" i="42"/>
  <c r="L176" i="42" s="1"/>
  <c r="AB122" i="42"/>
  <c r="AB161" i="42" s="1"/>
  <c r="O38" i="17"/>
  <c r="N118" i="42"/>
  <c r="AF96" i="42"/>
  <c r="T106" i="42"/>
  <c r="AD102" i="42"/>
  <c r="W38" i="17"/>
  <c r="AB117" i="42"/>
  <c r="AB136" i="42"/>
  <c r="AB176" i="42" s="1"/>
  <c r="AF131" i="42"/>
  <c r="AF171" i="42" s="1"/>
  <c r="P96" i="42"/>
  <c r="AB106" i="42"/>
  <c r="N107" i="42"/>
  <c r="K49" i="4"/>
  <c r="V142" i="42"/>
  <c r="V182" i="42" s="1"/>
  <c r="N142" i="42"/>
  <c r="N182" i="42" s="1"/>
  <c r="L140" i="42"/>
  <c r="L180" i="42" s="1"/>
  <c r="L105" i="42"/>
  <c r="L158" i="42" s="1"/>
  <c r="T121" i="42"/>
  <c r="T167" i="42" s="1"/>
  <c r="L121" i="42"/>
  <c r="L167" i="42" s="1"/>
  <c r="M67" i="48" s="1"/>
  <c r="AB121" i="42"/>
  <c r="AB167" i="42" s="1"/>
  <c r="AC67" i="48" s="1"/>
  <c r="AB140" i="42"/>
  <c r="AB180" i="42" s="1"/>
  <c r="Q49" i="4"/>
  <c r="AB105" i="42"/>
  <c r="AB158" i="42" s="1"/>
  <c r="T140" i="42"/>
  <c r="T180" i="42" s="1"/>
  <c r="H140" i="42"/>
  <c r="H180" i="42" s="1"/>
  <c r="H121" i="42"/>
  <c r="H167" i="42" s="1"/>
  <c r="I67" i="48" s="1"/>
  <c r="AH109" i="42"/>
  <c r="AH159" i="42" s="1"/>
  <c r="R104" i="42"/>
  <c r="R109" i="42"/>
  <c r="R159" i="42" s="1"/>
  <c r="S59" i="48" s="1"/>
  <c r="AH120" i="42"/>
  <c r="Z139" i="42"/>
  <c r="Z179" i="42" s="1"/>
  <c r="O49" i="4"/>
  <c r="R139" i="42"/>
  <c r="R179" i="42" s="1"/>
  <c r="Z104" i="42"/>
  <c r="J109" i="42"/>
  <c r="J159" i="42" s="1"/>
  <c r="J104" i="42"/>
  <c r="AF138" i="42"/>
  <c r="AF178" i="42" s="1"/>
  <c r="AC49" i="4"/>
  <c r="P138" i="42"/>
  <c r="P178" i="42" s="1"/>
  <c r="P119" i="42"/>
  <c r="P165" i="42" s="1"/>
  <c r="Q65" i="48" s="1"/>
  <c r="X138" i="42"/>
  <c r="X178" i="42" s="1"/>
  <c r="X119" i="42"/>
  <c r="X165" i="42" s="1"/>
  <c r="Y65" i="48" s="1"/>
  <c r="P103" i="42"/>
  <c r="P156" i="42" s="1"/>
  <c r="O114" i="42"/>
  <c r="P32" i="17"/>
  <c r="X29" i="17"/>
  <c r="X26" i="17"/>
  <c r="AF26" i="17"/>
  <c r="P30" i="17"/>
  <c r="X28" i="17"/>
  <c r="X31" i="17"/>
  <c r="X30" i="17"/>
  <c r="AF30" i="17"/>
  <c r="O98" i="42"/>
  <c r="AE98" i="42"/>
  <c r="W133" i="42"/>
  <c r="W173" i="42" s="1"/>
  <c r="AF29" i="17"/>
  <c r="P28" i="17"/>
  <c r="P31" i="17"/>
  <c r="W49" i="4"/>
  <c r="Z135" i="42"/>
  <c r="Z175" i="42" s="1"/>
  <c r="AE49" i="4"/>
  <c r="J135" i="42"/>
  <c r="J175" i="42" s="1"/>
  <c r="R116" i="42"/>
  <c r="H100" i="42"/>
  <c r="H154" i="42" s="1"/>
  <c r="AC114" i="42"/>
  <c r="U98" i="42"/>
  <c r="M114" i="42"/>
  <c r="V29" i="17"/>
  <c r="W99" i="42"/>
  <c r="AB49" i="4"/>
  <c r="W110" i="42"/>
  <c r="W160" i="42" s="1"/>
  <c r="O125" i="42"/>
  <c r="AE99" i="42"/>
  <c r="AE152" i="42" s="1"/>
  <c r="O99" i="42"/>
  <c r="O152" i="42" s="1"/>
  <c r="AE129" i="42"/>
  <c r="AE130" i="42" s="1"/>
  <c r="L49" i="4"/>
  <c r="H115" i="42"/>
  <c r="H163" i="42" s="1"/>
  <c r="I63" i="48" s="1"/>
  <c r="N32" i="17"/>
  <c r="J49" i="4"/>
  <c r="AD26" i="17"/>
  <c r="V31" i="17"/>
  <c r="M98" i="42"/>
  <c r="V30" i="17"/>
  <c r="N26" i="17"/>
  <c r="AD29" i="17"/>
  <c r="N30" i="17"/>
  <c r="N28" i="17"/>
  <c r="N29" i="17"/>
  <c r="AC98" i="42"/>
  <c r="AD28" i="17"/>
  <c r="AD32" i="17"/>
  <c r="N31" i="17"/>
  <c r="U114" i="42"/>
  <c r="AD31" i="17"/>
  <c r="V32" i="17"/>
  <c r="V26" i="17"/>
  <c r="G49" i="4"/>
  <c r="I31" i="17"/>
  <c r="I28" i="17"/>
  <c r="I30" i="17"/>
  <c r="H114" i="42"/>
  <c r="E49" i="4"/>
  <c r="I29" i="17"/>
  <c r="H98" i="42"/>
  <c r="I32" i="17"/>
  <c r="AA49" i="4"/>
  <c r="AD113" i="42"/>
  <c r="AD162" i="42" s="1"/>
  <c r="AE62" i="48" s="1"/>
  <c r="AE24" i="17"/>
  <c r="AE23" i="17" s="1"/>
  <c r="AD97" i="42"/>
  <c r="AD151" i="42" s="1"/>
  <c r="V113" i="42"/>
  <c r="S49" i="4"/>
  <c r="W24" i="17"/>
  <c r="W23" i="17" s="1"/>
  <c r="N97" i="42"/>
  <c r="N151" i="42" s="1"/>
  <c r="O24" i="17"/>
  <c r="O23" i="17" s="1"/>
  <c r="AH32" i="4"/>
  <c r="T159" i="42"/>
  <c r="U59" i="48" s="1"/>
  <c r="U87" i="48" s="1"/>
  <c r="AC132" i="42"/>
  <c r="AC172" i="42" s="1"/>
  <c r="AC113" i="42"/>
  <c r="AC162" i="42" s="1"/>
  <c r="AD62" i="48" s="1"/>
  <c r="R49" i="4"/>
  <c r="V24" i="17"/>
  <c r="V23" i="17" s="1"/>
  <c r="Z49" i="4"/>
  <c r="U113" i="42"/>
  <c r="U162" i="42" s="1"/>
  <c r="V62" i="48" s="1"/>
  <c r="M113" i="42"/>
  <c r="M162" i="42" s="1"/>
  <c r="N62" i="48" s="1"/>
  <c r="M24" i="17"/>
  <c r="M23" i="17" s="1"/>
  <c r="J113" i="42"/>
  <c r="J162" i="42" s="1"/>
  <c r="K62" i="48" s="1"/>
  <c r="L113" i="42"/>
  <c r="L162" i="42" s="1"/>
  <c r="M62" i="48" s="1"/>
  <c r="D111" i="55"/>
  <c r="C42" i="55"/>
  <c r="L14" i="56"/>
  <c r="L192" i="56" s="1"/>
  <c r="D107" i="55"/>
  <c r="C95" i="55"/>
  <c r="K28" i="56"/>
  <c r="B46" i="55" s="1"/>
  <c r="K90" i="56" s="1"/>
  <c r="C22" i="55"/>
  <c r="C115" i="55"/>
  <c r="A229" i="56"/>
  <c r="K15" i="56"/>
  <c r="K193" i="56" s="1"/>
  <c r="P16" i="56"/>
  <c r="B228" i="56"/>
  <c r="P14" i="56"/>
  <c r="D209" i="56"/>
  <c r="A184" i="56"/>
  <c r="D52" i="55"/>
  <c r="M31" i="56"/>
  <c r="D208" i="56"/>
  <c r="B141" i="55"/>
  <c r="K179" i="56" s="1"/>
  <c r="L34" i="56"/>
  <c r="C99" i="55"/>
  <c r="D194" i="56"/>
  <c r="E45" i="56"/>
  <c r="E223" i="56" s="1"/>
  <c r="A230" i="56"/>
  <c r="D36" i="55"/>
  <c r="B184" i="56"/>
  <c r="C18" i="55"/>
  <c r="P28" i="56"/>
  <c r="E25" i="56"/>
  <c r="K25" i="56" s="1"/>
  <c r="K203" i="56" s="1"/>
  <c r="C23" i="55"/>
  <c r="D121" i="55"/>
  <c r="K220" i="56"/>
  <c r="E14" i="56"/>
  <c r="E192" i="56" s="1"/>
  <c r="N8" i="56"/>
  <c r="D218" i="56"/>
  <c r="C32" i="55"/>
  <c r="B220" i="56"/>
  <c r="D110" i="55"/>
  <c r="N14" i="56"/>
  <c r="N28" i="56"/>
  <c r="E30" i="56"/>
  <c r="E208" i="56" s="1"/>
  <c r="D23" i="55"/>
  <c r="K36" i="56"/>
  <c r="B61" i="55" s="1"/>
  <c r="K105" i="56" s="1"/>
  <c r="L84" i="10"/>
  <c r="M6" i="56"/>
  <c r="M83" i="10"/>
  <c r="E217" i="56"/>
  <c r="K39" i="56"/>
  <c r="B136" i="55" s="1"/>
  <c r="K174" i="56" s="1"/>
  <c r="P15" i="56"/>
  <c r="D74" i="55"/>
  <c r="K37" i="56"/>
  <c r="M43" i="56"/>
  <c r="D142" i="55" s="1"/>
  <c r="C107" i="55"/>
  <c r="D128" i="55"/>
  <c r="E43" i="56"/>
  <c r="E221" i="56" s="1"/>
  <c r="M36" i="56"/>
  <c r="C90" i="55"/>
  <c r="C185" i="56"/>
  <c r="D130" i="55"/>
  <c r="B194" i="56"/>
  <c r="C98" i="55"/>
  <c r="C15" i="55"/>
  <c r="C200" i="56"/>
  <c r="P29" i="56"/>
  <c r="D66" i="55"/>
  <c r="D131" i="55"/>
  <c r="A199" i="56"/>
  <c r="M9" i="56"/>
  <c r="M35" i="56"/>
  <c r="N38" i="56"/>
  <c r="C37" i="55"/>
  <c r="P30" i="56"/>
  <c r="D135" i="55"/>
  <c r="K12" i="56"/>
  <c r="K225" i="56" s="1"/>
  <c r="A200" i="56"/>
  <c r="C52" i="55"/>
  <c r="L15" i="56"/>
  <c r="L35" i="56"/>
  <c r="C226" i="56"/>
  <c r="B200" i="56"/>
  <c r="D220" i="56"/>
  <c r="C89" i="55"/>
  <c r="C193" i="56"/>
  <c r="D61" i="55"/>
  <c r="C191" i="56"/>
  <c r="A201" i="56"/>
  <c r="C190" i="56"/>
  <c r="C192" i="56"/>
  <c r="C225" i="56"/>
  <c r="L26" i="56"/>
  <c r="C205" i="56"/>
  <c r="N10" i="56"/>
  <c r="E27" i="56"/>
  <c r="E21" i="56"/>
  <c r="E199" i="56" s="1"/>
  <c r="C33" i="55"/>
  <c r="L30" i="56"/>
  <c r="L27" i="56"/>
  <c r="L228" i="56" s="1"/>
  <c r="C184" i="56"/>
  <c r="L11" i="56"/>
  <c r="L189" i="56" s="1"/>
  <c r="E34" i="56"/>
  <c r="L38" i="56"/>
  <c r="L216" i="56" s="1"/>
  <c r="B73" i="55"/>
  <c r="K117" i="56" s="1"/>
  <c r="C204" i="56"/>
  <c r="N29" i="56"/>
  <c r="K10" i="56"/>
  <c r="K188" i="56" s="1"/>
  <c r="C84" i="55"/>
  <c r="R219" i="56"/>
  <c r="M34" i="56"/>
  <c r="C228" i="56"/>
  <c r="E22" i="56"/>
  <c r="E200" i="56" s="1"/>
  <c r="C67" i="55"/>
  <c r="C12" i="55"/>
  <c r="D184" i="56"/>
  <c r="B208" i="56"/>
  <c r="D73" i="55"/>
  <c r="C43" i="55"/>
  <c r="C8" i="55"/>
  <c r="C189" i="56"/>
  <c r="N15" i="56"/>
  <c r="M27" i="56"/>
  <c r="C40" i="55"/>
  <c r="D84" i="55"/>
  <c r="M56" i="10"/>
  <c r="P8" i="56"/>
  <c r="L8" i="56"/>
  <c r="A186" i="56"/>
  <c r="K8" i="56"/>
  <c r="E186" i="56"/>
  <c r="M32" i="56"/>
  <c r="L29" i="56"/>
  <c r="C120" i="55"/>
  <c r="C48" i="55"/>
  <c r="M67" i="10"/>
  <c r="D133" i="55"/>
  <c r="M37" i="56"/>
  <c r="D204" i="56"/>
  <c r="D55" i="55"/>
  <c r="N31" i="56"/>
  <c r="K31" i="56"/>
  <c r="E29" i="56"/>
  <c r="D120" i="55"/>
  <c r="D207" i="56"/>
  <c r="D14" i="55"/>
  <c r="L7" i="56"/>
  <c r="P9" i="56"/>
  <c r="L9" i="56"/>
  <c r="P33" i="56"/>
  <c r="L33" i="56"/>
  <c r="A218" i="56"/>
  <c r="L40" i="56"/>
  <c r="L32" i="56"/>
  <c r="P32" i="56"/>
  <c r="E225" i="56"/>
  <c r="M14" i="56"/>
  <c r="K6" i="56"/>
  <c r="L6" i="56"/>
  <c r="K9" i="56"/>
  <c r="B187" i="56"/>
  <c r="N23" i="56"/>
  <c r="B201" i="56"/>
  <c r="B218" i="56"/>
  <c r="K40" i="56"/>
  <c r="N21" i="56"/>
  <c r="N39" i="56"/>
  <c r="D48" i="55"/>
  <c r="L22" i="56"/>
  <c r="L10" i="56"/>
  <c r="P10" i="56"/>
  <c r="A188" i="56"/>
  <c r="R188" i="56" s="1"/>
  <c r="P24" i="56"/>
  <c r="L24" i="56"/>
  <c r="D94" i="55"/>
  <c r="M12" i="56"/>
  <c r="L37" i="56"/>
  <c r="C133" i="55"/>
  <c r="M25" i="56"/>
  <c r="A185" i="56"/>
  <c r="R185" i="56" s="1"/>
  <c r="D12" i="55"/>
  <c r="B185" i="56"/>
  <c r="E33" i="56"/>
  <c r="D22" i="55"/>
  <c r="C64" i="55"/>
  <c r="E41" i="56"/>
  <c r="D219" i="56"/>
  <c r="P12" i="56"/>
  <c r="L12" i="56"/>
  <c r="N35" i="56"/>
  <c r="L43" i="56"/>
  <c r="P43" i="56"/>
  <c r="R193" i="56"/>
  <c r="C135" i="55"/>
  <c r="C66" i="55"/>
  <c r="D191" i="56"/>
  <c r="D226" i="56"/>
  <c r="M226" i="56" s="1"/>
  <c r="E13" i="56"/>
  <c r="D95" i="55"/>
  <c r="M13" i="56"/>
  <c r="D21" i="55"/>
  <c r="E32" i="56"/>
  <c r="M8" i="56"/>
  <c r="L21" i="56"/>
  <c r="E26" i="56"/>
  <c r="K26" i="56" s="1"/>
  <c r="M26" i="56"/>
  <c r="D115" i="55"/>
  <c r="L31" i="56"/>
  <c r="D192" i="56"/>
  <c r="D42" i="55"/>
  <c r="A209" i="56"/>
  <c r="B190" i="56"/>
  <c r="B225" i="56"/>
  <c r="B227" i="56"/>
  <c r="B221" i="56"/>
  <c r="D185" i="56"/>
  <c r="D85" i="55"/>
  <c r="M7" i="56"/>
  <c r="C70" i="55"/>
  <c r="C218" i="56"/>
  <c r="K16" i="56"/>
  <c r="C110" i="55"/>
  <c r="D113" i="55"/>
  <c r="A187" i="56"/>
  <c r="A191" i="56"/>
  <c r="A226" i="56"/>
  <c r="L13" i="56"/>
  <c r="A223" i="56"/>
  <c r="S223" i="56" s="1"/>
  <c r="L45" i="56"/>
  <c r="P45" i="56"/>
  <c r="R204" i="56"/>
  <c r="M38" i="56"/>
  <c r="E38" i="56"/>
  <c r="C36" i="55"/>
  <c r="L39" i="56"/>
  <c r="D187" i="56"/>
  <c r="C220" i="56"/>
  <c r="L42" i="56"/>
  <c r="C141" i="55"/>
  <c r="D201" i="56"/>
  <c r="E23" i="56"/>
  <c r="R189" i="56"/>
  <c r="D87" i="55"/>
  <c r="D186" i="56"/>
  <c r="E203" i="56"/>
  <c r="E7" i="56"/>
  <c r="E185" i="56" s="1"/>
  <c r="D89" i="55"/>
  <c r="E11" i="56"/>
  <c r="D92" i="55"/>
  <c r="M11" i="56"/>
  <c r="D18" i="55"/>
  <c r="D189" i="56"/>
  <c r="C130" i="55"/>
  <c r="C60" i="55"/>
  <c r="D125" i="55"/>
  <c r="L23" i="56"/>
  <c r="D90" i="55"/>
  <c r="M10" i="56"/>
  <c r="D15" i="55"/>
  <c r="D188" i="56"/>
  <c r="D126" i="55"/>
  <c r="D37" i="55"/>
  <c r="E24" i="56"/>
  <c r="C229" i="56"/>
  <c r="C206" i="56"/>
  <c r="A225" i="56"/>
  <c r="N27" i="56"/>
  <c r="C136" i="55"/>
  <c r="C74" i="55"/>
  <c r="D116" i="55"/>
  <c r="E35" i="56"/>
  <c r="M21" i="56"/>
  <c r="L28" i="56"/>
  <c r="P11" i="56"/>
  <c r="B226" i="56"/>
  <c r="B223" i="56"/>
  <c r="B191" i="56"/>
  <c r="E229" i="56"/>
  <c r="E206" i="56"/>
  <c r="D70" i="55"/>
  <c r="C14" i="55"/>
  <c r="D228" i="56"/>
  <c r="M228" i="56" s="1"/>
  <c r="M95" i="55"/>
  <c r="T133" i="56" s="1"/>
  <c r="AL95" i="55"/>
  <c r="AS133" i="56" s="1"/>
  <c r="Q110" i="55"/>
  <c r="X148" i="56" s="1"/>
  <c r="R110" i="55"/>
  <c r="Y148" i="56" s="1"/>
  <c r="V110" i="55"/>
  <c r="AC148" i="56" s="1"/>
  <c r="W124" i="55"/>
  <c r="AD162" i="56" s="1"/>
  <c r="R124" i="55"/>
  <c r="Y162" i="56" s="1"/>
  <c r="Z124" i="55"/>
  <c r="AG162" i="56" s="1"/>
  <c r="Q95" i="55"/>
  <c r="X133" i="56" s="1"/>
  <c r="AF95" i="55"/>
  <c r="AM133" i="56" s="1"/>
  <c r="Y95" i="55"/>
  <c r="AF133" i="56" s="1"/>
  <c r="M124" i="55"/>
  <c r="T162" i="56" s="1"/>
  <c r="AA124" i="55"/>
  <c r="AH162" i="56" s="1"/>
  <c r="U124" i="55"/>
  <c r="AB162" i="56" s="1"/>
  <c r="X124" i="55"/>
  <c r="AE162" i="56" s="1"/>
  <c r="P95" i="55"/>
  <c r="W133" i="56" s="1"/>
  <c r="L95" i="55"/>
  <c r="S133" i="56" s="1"/>
  <c r="AA118" i="55"/>
  <c r="AH156" i="56" s="1"/>
  <c r="AF118" i="55"/>
  <c r="AM156" i="56" s="1"/>
  <c r="M118" i="55"/>
  <c r="T156" i="56" s="1"/>
  <c r="AI118" i="55"/>
  <c r="AP156" i="56" s="1"/>
  <c r="Y118" i="55"/>
  <c r="AF156" i="56" s="1"/>
  <c r="U118" i="55"/>
  <c r="AB156" i="56" s="1"/>
  <c r="V118" i="55"/>
  <c r="AC156" i="56" s="1"/>
  <c r="O118" i="55"/>
  <c r="V156" i="56" s="1"/>
  <c r="Y101" i="55"/>
  <c r="AF139" i="56" s="1"/>
  <c r="L101" i="55"/>
  <c r="S139" i="56" s="1"/>
  <c r="V101" i="55"/>
  <c r="AC139" i="56" s="1"/>
  <c r="R101" i="55"/>
  <c r="Y139" i="56" s="1"/>
  <c r="Q101" i="55"/>
  <c r="X139" i="56" s="1"/>
  <c r="AJ101" i="55"/>
  <c r="AQ139" i="56" s="1"/>
  <c r="AK101" i="55"/>
  <c r="AR139" i="56" s="1"/>
  <c r="M101" i="55"/>
  <c r="T139" i="56" s="1"/>
  <c r="AH101" i="55"/>
  <c r="AO139" i="56" s="1"/>
  <c r="U101" i="55"/>
  <c r="AB139" i="56" s="1"/>
  <c r="AF101" i="55"/>
  <c r="AM139" i="56" s="1"/>
  <c r="I134" i="55"/>
  <c r="I133" i="55"/>
  <c r="I132" i="55"/>
  <c r="I131" i="55"/>
  <c r="I130" i="55"/>
  <c r="I142" i="55"/>
  <c r="I143" i="55" s="1"/>
  <c r="I141" i="55"/>
  <c r="J85" i="42"/>
  <c r="AI64" i="55"/>
  <c r="AP108" i="56" s="1"/>
  <c r="P64" i="55"/>
  <c r="W108" i="56" s="1"/>
  <c r="Z64" i="55"/>
  <c r="AG108" i="56" s="1"/>
  <c r="Q64" i="55"/>
  <c r="X108" i="56" s="1"/>
  <c r="AH64" i="55"/>
  <c r="AO108" i="56" s="1"/>
  <c r="O64" i="55"/>
  <c r="V108" i="56" s="1"/>
  <c r="AG64" i="55"/>
  <c r="AN108" i="56" s="1"/>
  <c r="AJ64" i="55"/>
  <c r="AQ108" i="56" s="1"/>
  <c r="AC64" i="55"/>
  <c r="AJ108" i="56" s="1"/>
  <c r="AF64" i="55"/>
  <c r="AM108" i="56" s="1"/>
  <c r="X64" i="55"/>
  <c r="AE108" i="56" s="1"/>
  <c r="AD64" i="55"/>
  <c r="AK108" i="56" s="1"/>
  <c r="AA64" i="55"/>
  <c r="AH108" i="56" s="1"/>
  <c r="AE64" i="55"/>
  <c r="AL108" i="56" s="1"/>
  <c r="W64" i="55"/>
  <c r="AD108" i="56" s="1"/>
  <c r="M64" i="55"/>
  <c r="T108" i="56" s="1"/>
  <c r="U64" i="55"/>
  <c r="AB108" i="56" s="1"/>
  <c r="Y64" i="55"/>
  <c r="AF108" i="56" s="1"/>
  <c r="N64" i="55"/>
  <c r="U108" i="56" s="1"/>
  <c r="S64" i="55"/>
  <c r="Z108" i="56" s="1"/>
  <c r="V64" i="55"/>
  <c r="AC108" i="56" s="1"/>
  <c r="L64" i="55"/>
  <c r="S108" i="56" s="1"/>
  <c r="AK64" i="55"/>
  <c r="AR108" i="56" s="1"/>
  <c r="Y65" i="55"/>
  <c r="AF109" i="56" s="1"/>
  <c r="AI65" i="55"/>
  <c r="AP109" i="56" s="1"/>
  <c r="K60" i="55"/>
  <c r="R104" i="56" s="1"/>
  <c r="AL60" i="55"/>
  <c r="AS104" i="56" s="1"/>
  <c r="I62" i="55"/>
  <c r="N60" i="55"/>
  <c r="U104" i="56" s="1"/>
  <c r="U60" i="55"/>
  <c r="AB104" i="56" s="1"/>
  <c r="T60" i="55"/>
  <c r="AA104" i="56" s="1"/>
  <c r="L60" i="55"/>
  <c r="S104" i="56" s="1"/>
  <c r="R60" i="55"/>
  <c r="Y104" i="56" s="1"/>
  <c r="I63" i="55"/>
  <c r="R202" i="56"/>
  <c r="J74" i="49"/>
  <c r="J50" i="49"/>
  <c r="S204" i="56"/>
  <c r="R216" i="56"/>
  <c r="R220" i="56"/>
  <c r="R206" i="56"/>
  <c r="R207" i="56"/>
  <c r="S203" i="56"/>
  <c r="R217" i="56"/>
  <c r="R203" i="56"/>
  <c r="R200" i="56"/>
  <c r="S221" i="56"/>
  <c r="S219" i="56"/>
  <c r="S207" i="56"/>
  <c r="R221" i="56"/>
  <c r="R187" i="56"/>
  <c r="R192" i="56"/>
  <c r="S206" i="56"/>
  <c r="R205" i="56"/>
  <c r="S202" i="56"/>
  <c r="S205" i="56"/>
  <c r="S220" i="56"/>
  <c r="R194" i="56"/>
  <c r="S208" i="56"/>
  <c r="J116" i="49"/>
  <c r="M28" i="10"/>
  <c r="J99" i="49"/>
  <c r="J54" i="49"/>
  <c r="B81" i="48"/>
  <c r="B108" i="48" s="1"/>
  <c r="AA73" i="55"/>
  <c r="AH117" i="56" s="1"/>
  <c r="Z73" i="55"/>
  <c r="AG117" i="56" s="1"/>
  <c r="AG73" i="55"/>
  <c r="AN117" i="56" s="1"/>
  <c r="AF73" i="55"/>
  <c r="AM117" i="56" s="1"/>
  <c r="AE73" i="55"/>
  <c r="AL117" i="56" s="1"/>
  <c r="K73" i="55"/>
  <c r="R117" i="56" s="1"/>
  <c r="N73" i="55"/>
  <c r="U117" i="56" s="1"/>
  <c r="U73" i="55"/>
  <c r="AB117" i="56" s="1"/>
  <c r="AH72" i="55"/>
  <c r="AO116" i="56" s="1"/>
  <c r="N72" i="55"/>
  <c r="U116" i="56" s="1"/>
  <c r="U72" i="55"/>
  <c r="AB116" i="56" s="1"/>
  <c r="T72" i="55"/>
  <c r="AA116" i="56" s="1"/>
  <c r="M136" i="55"/>
  <c r="T174" i="56" s="1"/>
  <c r="AK136" i="55"/>
  <c r="AR174" i="56" s="1"/>
  <c r="U138" i="55"/>
  <c r="AB176" i="56" s="1"/>
  <c r="AI138" i="55"/>
  <c r="AP176" i="56" s="1"/>
  <c r="Q135" i="55"/>
  <c r="X173" i="56" s="1"/>
  <c r="AL135" i="55"/>
  <c r="AS173" i="56" s="1"/>
  <c r="O135" i="55"/>
  <c r="V173" i="56" s="1"/>
  <c r="AA136" i="55"/>
  <c r="AH174" i="56" s="1"/>
  <c r="AH136" i="55"/>
  <c r="AO174" i="56" s="1"/>
  <c r="L136" i="55"/>
  <c r="S174" i="56" s="1"/>
  <c r="R136" i="55"/>
  <c r="Y174" i="56" s="1"/>
  <c r="W136" i="55"/>
  <c r="AD174" i="56" s="1"/>
  <c r="AL136" i="55"/>
  <c r="AS174" i="56" s="1"/>
  <c r="K136" i="55"/>
  <c r="R174" i="56" s="1"/>
  <c r="Y136" i="55"/>
  <c r="AF174" i="56" s="1"/>
  <c r="V136" i="55"/>
  <c r="AC174" i="56" s="1"/>
  <c r="O136" i="55"/>
  <c r="V174" i="56" s="1"/>
  <c r="Q136" i="55"/>
  <c r="X174" i="56" s="1"/>
  <c r="AH135" i="55"/>
  <c r="AO173" i="56" s="1"/>
  <c r="AA135" i="55"/>
  <c r="AH173" i="56" s="1"/>
  <c r="P135" i="55"/>
  <c r="W173" i="56" s="1"/>
  <c r="X135" i="55"/>
  <c r="AE173" i="56" s="1"/>
  <c r="T135" i="55"/>
  <c r="AA173" i="56" s="1"/>
  <c r="M135" i="55"/>
  <c r="T173" i="56" s="1"/>
  <c r="AK135" i="55"/>
  <c r="AR173" i="56" s="1"/>
  <c r="Y135" i="55"/>
  <c r="AF173" i="56" s="1"/>
  <c r="L135" i="55"/>
  <c r="S173" i="56" s="1"/>
  <c r="AE135" i="55"/>
  <c r="AL173" i="56" s="1"/>
  <c r="W135" i="55"/>
  <c r="AD173" i="56" s="1"/>
  <c r="AG135" i="55"/>
  <c r="AN173" i="56" s="1"/>
  <c r="AI135" i="55"/>
  <c r="AP173" i="56" s="1"/>
  <c r="AI73" i="55"/>
  <c r="AP117" i="56" s="1"/>
  <c r="AH73" i="55"/>
  <c r="AO117" i="56" s="1"/>
  <c r="AJ73" i="55"/>
  <c r="AQ117" i="56" s="1"/>
  <c r="V73" i="55"/>
  <c r="AC117" i="56" s="1"/>
  <c r="V135" i="55"/>
  <c r="AC173" i="56" s="1"/>
  <c r="AL138" i="55"/>
  <c r="AS176" i="56" s="1"/>
  <c r="X138" i="55"/>
  <c r="AE176" i="56" s="1"/>
  <c r="O138" i="55"/>
  <c r="V176" i="56" s="1"/>
  <c r="Q138" i="55"/>
  <c r="X176" i="56" s="1"/>
  <c r="AK138" i="55"/>
  <c r="AR176" i="56" s="1"/>
  <c r="V138" i="55"/>
  <c r="AC176" i="56" s="1"/>
  <c r="R138" i="55"/>
  <c r="Y176" i="56" s="1"/>
  <c r="AB138" i="55"/>
  <c r="AI176" i="56" s="1"/>
  <c r="R32" i="48"/>
  <c r="P32" i="48"/>
  <c r="N32" i="48"/>
  <c r="L32" i="48"/>
  <c r="J9" i="49"/>
  <c r="AC8" i="55"/>
  <c r="AA132" i="48"/>
  <c r="T132" i="48"/>
  <c r="V8" i="55"/>
  <c r="N8" i="55"/>
  <c r="L132" i="48"/>
  <c r="E66" i="48"/>
  <c r="D23" i="49"/>
  <c r="D63" i="49" s="1"/>
  <c r="D64" i="48"/>
  <c r="D92" i="48" s="1"/>
  <c r="D119" i="48" s="1"/>
  <c r="C21" i="49"/>
  <c r="C61" i="49" s="1"/>
  <c r="AG32" i="48"/>
  <c r="W32" i="48"/>
  <c r="U32" i="48"/>
  <c r="M25" i="55"/>
  <c r="T69" i="56" s="1"/>
  <c r="M14" i="55"/>
  <c r="T58" i="56" s="1"/>
  <c r="M16" i="55"/>
  <c r="T60" i="56" s="1"/>
  <c r="M32" i="55"/>
  <c r="T76" i="56" s="1"/>
  <c r="M11" i="55"/>
  <c r="T55" i="56" s="1"/>
  <c r="K17" i="48"/>
  <c r="Q49" i="49" s="1"/>
  <c r="M21" i="55"/>
  <c r="T65" i="56" s="1"/>
  <c r="J25" i="49"/>
  <c r="J65" i="49" s="1"/>
  <c r="B96" i="48"/>
  <c r="B123" i="48" s="1"/>
  <c r="R21" i="55"/>
  <c r="Y65" i="56" s="1"/>
  <c r="AB21" i="55"/>
  <c r="AI65" i="56" s="1"/>
  <c r="AB11" i="55"/>
  <c r="AI55" i="56" s="1"/>
  <c r="AB27" i="55"/>
  <c r="AI71" i="56" s="1"/>
  <c r="AK16" i="55"/>
  <c r="AR60" i="56" s="1"/>
  <c r="AL8" i="55"/>
  <c r="AE20" i="55"/>
  <c r="AL64" i="56" s="1"/>
  <c r="K8" i="55"/>
  <c r="A101" i="49"/>
  <c r="A80" i="49"/>
  <c r="A87" i="49"/>
  <c r="A108" i="49"/>
  <c r="O132" i="48"/>
  <c r="X132" i="48"/>
  <c r="AE132" i="48"/>
  <c r="AG8" i="55"/>
  <c r="AD132" i="48"/>
  <c r="B78" i="49"/>
  <c r="B99" i="49"/>
  <c r="J19" i="49"/>
  <c r="J83" i="49" s="1"/>
  <c r="P8" i="55"/>
  <c r="B75" i="49"/>
  <c r="B13" i="49"/>
  <c r="B9" i="49"/>
  <c r="B49" i="49" s="1"/>
  <c r="B7" i="49"/>
  <c r="B47" i="49" s="1"/>
  <c r="D19" i="49"/>
  <c r="B72" i="49"/>
  <c r="D110" i="49"/>
  <c r="B12" i="49"/>
  <c r="B52" i="49" s="1"/>
  <c r="A68" i="49"/>
  <c r="A113" i="49" s="1"/>
  <c r="A124" i="49"/>
  <c r="E15" i="49"/>
  <c r="A126" i="49"/>
  <c r="A132" i="49"/>
  <c r="D20" i="49"/>
  <c r="B16" i="49"/>
  <c r="B56" i="49" s="1"/>
  <c r="D27" i="49"/>
  <c r="P24" i="48"/>
  <c r="I42" i="55"/>
  <c r="A129" i="49"/>
  <c r="L41" i="55"/>
  <c r="S85" i="56" s="1"/>
  <c r="AE41" i="55"/>
  <c r="AL85" i="56" s="1"/>
  <c r="M41" i="55"/>
  <c r="T85" i="56" s="1"/>
  <c r="U41" i="55"/>
  <c r="AB85" i="56" s="1"/>
  <c r="AA41" i="55"/>
  <c r="AH85" i="56" s="1"/>
  <c r="AC41" i="55"/>
  <c r="AJ85" i="56" s="1"/>
  <c r="AG41" i="55"/>
  <c r="AN85" i="56" s="1"/>
  <c r="AB41" i="55"/>
  <c r="AI85" i="56" s="1"/>
  <c r="T41" i="55"/>
  <c r="AA85" i="56" s="1"/>
  <c r="V41" i="55"/>
  <c r="AC85" i="56" s="1"/>
  <c r="AH41" i="55"/>
  <c r="AO85" i="56" s="1"/>
  <c r="AK41" i="55"/>
  <c r="AR85" i="56" s="1"/>
  <c r="AF41" i="55"/>
  <c r="AM85" i="56" s="1"/>
  <c r="X41" i="55"/>
  <c r="AE85" i="56" s="1"/>
  <c r="N41" i="55"/>
  <c r="U85" i="56" s="1"/>
  <c r="P41" i="55"/>
  <c r="W85" i="56" s="1"/>
  <c r="AD41" i="55"/>
  <c r="AK85" i="56" s="1"/>
  <c r="Z41" i="55"/>
  <c r="AG85" i="56" s="1"/>
  <c r="O41" i="55"/>
  <c r="V85" i="56" s="1"/>
  <c r="R41" i="55"/>
  <c r="Y85" i="56" s="1"/>
  <c r="K41" i="55"/>
  <c r="R85" i="56" s="1"/>
  <c r="W41" i="55"/>
  <c r="AD85" i="56" s="1"/>
  <c r="Y41" i="55"/>
  <c r="AF85" i="56" s="1"/>
  <c r="AL41" i="55"/>
  <c r="AS85" i="56" s="1"/>
  <c r="AJ41" i="55"/>
  <c r="AQ85" i="56" s="1"/>
  <c r="Q41" i="55"/>
  <c r="X85" i="56" s="1"/>
  <c r="S41" i="55"/>
  <c r="Z85" i="56" s="1"/>
  <c r="AI41" i="55"/>
  <c r="AP85" i="56" s="1"/>
  <c r="D8" i="49"/>
  <c r="K8" i="49" s="1"/>
  <c r="E51" i="48"/>
  <c r="J35" i="55"/>
  <c r="J34" i="55"/>
  <c r="I34" i="55" s="1"/>
  <c r="I35" i="55"/>
  <c r="I33" i="55"/>
  <c r="C92" i="49"/>
  <c r="C71" i="49"/>
  <c r="C26" i="49"/>
  <c r="C66" i="49" s="1"/>
  <c r="C111" i="49" s="1"/>
  <c r="Q34" i="48"/>
  <c r="AH34" i="48"/>
  <c r="T34" i="48"/>
  <c r="I54" i="55"/>
  <c r="I71" i="55" s="1"/>
  <c r="AG34" i="48"/>
  <c r="K34" i="48"/>
  <c r="AJ34" i="48"/>
  <c r="O34" i="48"/>
  <c r="V34" i="48"/>
  <c r="S34" i="48"/>
  <c r="N34" i="48"/>
  <c r="C73" i="49"/>
  <c r="W34" i="48"/>
  <c r="X34" i="48"/>
  <c r="AA34" i="48"/>
  <c r="M34" i="48"/>
  <c r="AE34" i="48"/>
  <c r="J34" i="48"/>
  <c r="AI34" i="48"/>
  <c r="U34" i="48"/>
  <c r="AA66" i="49" s="1"/>
  <c r="C10" i="49"/>
  <c r="C50" i="49" s="1"/>
  <c r="C95" i="49" s="1"/>
  <c r="R34" i="48"/>
  <c r="AF34" i="48"/>
  <c r="J45" i="48"/>
  <c r="AD8" i="42"/>
  <c r="AD96" i="42"/>
  <c r="M96" i="42"/>
  <c r="AF8" i="42"/>
  <c r="AC127" i="42"/>
  <c r="X113" i="42"/>
  <c r="X162" i="42" s="1"/>
  <c r="Y62" i="48" s="1"/>
  <c r="V127" i="42"/>
  <c r="AD127" i="42"/>
  <c r="W127" i="42"/>
  <c r="AH123" i="42"/>
  <c r="AC125" i="42"/>
  <c r="T97" i="42"/>
  <c r="K97" i="42"/>
  <c r="AF129" i="42"/>
  <c r="Z129" i="42"/>
  <c r="L129" i="42"/>
  <c r="AG97" i="42"/>
  <c r="AI97" i="42"/>
  <c r="Q97" i="42"/>
  <c r="K129" i="42"/>
  <c r="AB129" i="42"/>
  <c r="J129" i="42"/>
  <c r="AC134" i="42"/>
  <c r="AG123" i="42"/>
  <c r="M125" i="42"/>
  <c r="AF97" i="42"/>
  <c r="AC97" i="42"/>
  <c r="I97" i="42"/>
  <c r="Q129" i="42"/>
  <c r="R129" i="42"/>
  <c r="Z127" i="42"/>
  <c r="I129" i="42"/>
  <c r="V129" i="42"/>
  <c r="W129" i="42"/>
  <c r="P129" i="42"/>
  <c r="U49" i="42"/>
  <c r="W51" i="42"/>
  <c r="AH50" i="42"/>
  <c r="J104" i="49"/>
  <c r="AI52" i="42"/>
  <c r="M53" i="42"/>
  <c r="T54" i="42"/>
  <c r="S53" i="42"/>
  <c r="C107" i="49"/>
  <c r="C86" i="49"/>
  <c r="A83" i="49"/>
  <c r="A104" i="49"/>
  <c r="A51" i="49"/>
  <c r="C94" i="48"/>
  <c r="L23" i="49"/>
  <c r="L19" i="49"/>
  <c r="C90" i="48"/>
  <c r="V97" i="42"/>
  <c r="S97" i="42"/>
  <c r="AE97" i="42"/>
  <c r="AE49" i="42"/>
  <c r="E53" i="48"/>
  <c r="D10" i="49"/>
  <c r="K32" i="49"/>
  <c r="K125" i="49" s="1"/>
  <c r="E32" i="49"/>
  <c r="K37" i="49"/>
  <c r="K130" i="49" s="1"/>
  <c r="E37" i="49"/>
  <c r="A77" i="49"/>
  <c r="A98" i="49"/>
  <c r="C61" i="48"/>
  <c r="B21" i="49"/>
  <c r="B61" i="49" s="1"/>
  <c r="B20" i="49"/>
  <c r="B60" i="49" s="1"/>
  <c r="B18" i="49"/>
  <c r="B58" i="49" s="1"/>
  <c r="B23" i="49"/>
  <c r="B63" i="49" s="1"/>
  <c r="B19" i="49"/>
  <c r="B59" i="49" s="1"/>
  <c r="B22" i="49"/>
  <c r="B62" i="49" s="1"/>
  <c r="D49" i="48"/>
  <c r="C6" i="49"/>
  <c r="C46" i="49" s="1"/>
  <c r="D49" i="49"/>
  <c r="E9" i="49"/>
  <c r="K9" i="49"/>
  <c r="E55" i="48"/>
  <c r="D12" i="49"/>
  <c r="E57" i="48"/>
  <c r="D14" i="49"/>
  <c r="E60" i="48"/>
  <c r="D17" i="49"/>
  <c r="E64" i="48"/>
  <c r="D21" i="49"/>
  <c r="K35" i="49"/>
  <c r="K128" i="49" s="1"/>
  <c r="E35" i="49"/>
  <c r="J95" i="49"/>
  <c r="J82" i="49"/>
  <c r="A86" i="49"/>
  <c r="A107" i="49"/>
  <c r="A46" i="49"/>
  <c r="I6" i="49"/>
  <c r="L20" i="49"/>
  <c r="C91" i="48"/>
  <c r="C79" i="49"/>
  <c r="D55" i="48"/>
  <c r="C12" i="49"/>
  <c r="C52" i="49" s="1"/>
  <c r="D59" i="48"/>
  <c r="D87" i="48" s="1"/>
  <c r="D114" i="48" s="1"/>
  <c r="C16" i="49"/>
  <c r="C56" i="49" s="1"/>
  <c r="M24" i="10"/>
  <c r="J115" i="49"/>
  <c r="M38" i="10"/>
  <c r="J109" i="49"/>
  <c r="J88" i="49"/>
  <c r="J64" i="49"/>
  <c r="A78" i="49"/>
  <c r="A99" i="49"/>
  <c r="C50" i="48"/>
  <c r="U66" i="49"/>
  <c r="AJ66" i="49"/>
  <c r="C95" i="48"/>
  <c r="L24" i="49"/>
  <c r="L22" i="49"/>
  <c r="C93" i="48"/>
  <c r="E52" i="48"/>
  <c r="C96" i="49"/>
  <c r="E28" i="49"/>
  <c r="K28" i="49"/>
  <c r="K121" i="49" s="1"/>
  <c r="J84" i="49"/>
  <c r="J60" i="49"/>
  <c r="M34" i="10"/>
  <c r="C84" i="49"/>
  <c r="C105" i="49"/>
  <c r="A71" i="49"/>
  <c r="A92" i="49"/>
  <c r="A72" i="49"/>
  <c r="E54" i="48"/>
  <c r="D11" i="49"/>
  <c r="J112" i="49"/>
  <c r="A94" i="49"/>
  <c r="A73" i="49"/>
  <c r="C88" i="48"/>
  <c r="C115" i="48" s="1"/>
  <c r="L17" i="49"/>
  <c r="C68" i="48"/>
  <c r="B25" i="49"/>
  <c r="B65" i="49" s="1"/>
  <c r="E39" i="49"/>
  <c r="E31" i="49"/>
  <c r="K31" i="49"/>
  <c r="K124" i="49" s="1"/>
  <c r="K34" i="49"/>
  <c r="K127" i="49" s="1"/>
  <c r="B109" i="49"/>
  <c r="B88" i="49"/>
  <c r="A103" i="49"/>
  <c r="A82" i="49"/>
  <c r="D66" i="48"/>
  <c r="C23" i="49"/>
  <c r="C63" i="49" s="1"/>
  <c r="C92" i="48"/>
  <c r="C119" i="48" s="1"/>
  <c r="L21" i="49"/>
  <c r="D79" i="48"/>
  <c r="D106" i="48" s="1"/>
  <c r="J8" i="49"/>
  <c r="D56" i="48"/>
  <c r="C13" i="49"/>
  <c r="C53" i="49" s="1"/>
  <c r="K29" i="49"/>
  <c r="K122" i="49" s="1"/>
  <c r="E29" i="49"/>
  <c r="C17" i="49"/>
  <c r="C57" i="49" s="1"/>
  <c r="I8" i="42"/>
  <c r="AA8" i="42"/>
  <c r="R8" i="42"/>
  <c r="AH8" i="42"/>
  <c r="K8" i="42"/>
  <c r="U8" i="42"/>
  <c r="L8" i="42"/>
  <c r="H8" i="42"/>
  <c r="X8" i="42"/>
  <c r="AE8" i="42"/>
  <c r="T8" i="42"/>
  <c r="AC8" i="42"/>
  <c r="J8" i="42"/>
  <c r="AG8" i="42"/>
  <c r="P8" i="42"/>
  <c r="S8" i="42"/>
  <c r="L19" i="42" l="1"/>
  <c r="AH132" i="56"/>
  <c r="AA103" i="55"/>
  <c r="AH141" i="56" s="1"/>
  <c r="AA104" i="55"/>
  <c r="AH142" i="56" s="1"/>
  <c r="AA105" i="55"/>
  <c r="AH143" i="56" s="1"/>
  <c r="AA106" i="55"/>
  <c r="AH144" i="56" s="1"/>
  <c r="AM132" i="56"/>
  <c r="AF103" i="55"/>
  <c r="AM141" i="56" s="1"/>
  <c r="AF104" i="55"/>
  <c r="AM142" i="56" s="1"/>
  <c r="AF105" i="55"/>
  <c r="AM143" i="56" s="1"/>
  <c r="AF106" i="55"/>
  <c r="AM144" i="56" s="1"/>
  <c r="S132" i="56"/>
  <c r="L103" i="55"/>
  <c r="S141" i="56" s="1"/>
  <c r="L104" i="55"/>
  <c r="S142" i="56" s="1"/>
  <c r="L105" i="55"/>
  <c r="S143" i="56" s="1"/>
  <c r="L106" i="55"/>
  <c r="S144" i="56" s="1"/>
  <c r="AD132" i="56"/>
  <c r="W103" i="55"/>
  <c r="AD141" i="56" s="1"/>
  <c r="W104" i="55"/>
  <c r="AD142" i="56" s="1"/>
  <c r="W105" i="55"/>
  <c r="AD143" i="56" s="1"/>
  <c r="W106" i="55"/>
  <c r="AD144" i="56" s="1"/>
  <c r="R132" i="56"/>
  <c r="K104" i="55"/>
  <c r="R142" i="56" s="1"/>
  <c r="K105" i="55"/>
  <c r="R143" i="56" s="1"/>
  <c r="K106" i="55"/>
  <c r="R144" i="56" s="1"/>
  <c r="K103" i="55"/>
  <c r="R141" i="56" s="1"/>
  <c r="AP132" i="56"/>
  <c r="AI103" i="55"/>
  <c r="AP141" i="56" s="1"/>
  <c r="AI104" i="55"/>
  <c r="AP142" i="56" s="1"/>
  <c r="AI105" i="55"/>
  <c r="AP143" i="56" s="1"/>
  <c r="AI106" i="55"/>
  <c r="AP144" i="56" s="1"/>
  <c r="AG65" i="48"/>
  <c r="AB65" i="48"/>
  <c r="Z65" i="48"/>
  <c r="K143" i="55"/>
  <c r="R181" i="56" s="1"/>
  <c r="L143" i="55"/>
  <c r="S181" i="56" s="1"/>
  <c r="M143" i="55"/>
  <c r="T181" i="56" s="1"/>
  <c r="N143" i="55"/>
  <c r="U181" i="56" s="1"/>
  <c r="O143" i="55"/>
  <c r="V181" i="56" s="1"/>
  <c r="P143" i="55"/>
  <c r="W181" i="56" s="1"/>
  <c r="Q143" i="55"/>
  <c r="X181" i="56" s="1"/>
  <c r="R143" i="55"/>
  <c r="Y181" i="56" s="1"/>
  <c r="S143" i="55"/>
  <c r="Z181" i="56" s="1"/>
  <c r="T143" i="55"/>
  <c r="AA181" i="56" s="1"/>
  <c r="U143" i="55"/>
  <c r="AB181" i="56" s="1"/>
  <c r="V143" i="55"/>
  <c r="AC181" i="56" s="1"/>
  <c r="W143" i="55"/>
  <c r="AD181" i="56" s="1"/>
  <c r="X143" i="55"/>
  <c r="AE181" i="56" s="1"/>
  <c r="Y143" i="55"/>
  <c r="AF181" i="56" s="1"/>
  <c r="Z143" i="55"/>
  <c r="AG181" i="56" s="1"/>
  <c r="AA143" i="55"/>
  <c r="AH181" i="56" s="1"/>
  <c r="AB143" i="55"/>
  <c r="AI181" i="56" s="1"/>
  <c r="AC143" i="55"/>
  <c r="AJ181" i="56" s="1"/>
  <c r="AD143" i="55"/>
  <c r="AK181" i="56" s="1"/>
  <c r="AE143" i="55"/>
  <c r="AL181" i="56" s="1"/>
  <c r="AF143" i="55"/>
  <c r="AM181" i="56" s="1"/>
  <c r="AG143" i="55"/>
  <c r="AN181" i="56" s="1"/>
  <c r="AH143" i="55"/>
  <c r="AO181" i="56" s="1"/>
  <c r="AI143" i="55"/>
  <c r="AP181" i="56" s="1"/>
  <c r="AJ143" i="55"/>
  <c r="AQ181" i="56" s="1"/>
  <c r="AK143" i="55"/>
  <c r="AR181" i="56" s="1"/>
  <c r="AL143" i="55"/>
  <c r="AS181" i="56" s="1"/>
  <c r="T183" i="56"/>
  <c r="S222" i="56"/>
  <c r="P96" i="55"/>
  <c r="W134" i="56" s="1"/>
  <c r="AF90" i="55"/>
  <c r="AM128" i="56" s="1"/>
  <c r="Q114" i="55"/>
  <c r="X152" i="56" s="1"/>
  <c r="R112" i="55"/>
  <c r="Y150" i="56" s="1"/>
  <c r="W96" i="55"/>
  <c r="AD134" i="56" s="1"/>
  <c r="P136" i="55"/>
  <c r="W174" i="56" s="1"/>
  <c r="AH94" i="55"/>
  <c r="W110" i="55"/>
  <c r="AD148" i="56" s="1"/>
  <c r="P99" i="55"/>
  <c r="W137" i="56" s="1"/>
  <c r="AB113" i="55"/>
  <c r="AI151" i="56" s="1"/>
  <c r="N88" i="55"/>
  <c r="U126" i="56" s="1"/>
  <c r="AB87" i="55"/>
  <c r="AI125" i="56" s="1"/>
  <c r="W99" i="55"/>
  <c r="AD137" i="56" s="1"/>
  <c r="L137" i="55"/>
  <c r="S175" i="56" s="1"/>
  <c r="L108" i="55"/>
  <c r="S146" i="56" s="1"/>
  <c r="AG86" i="55"/>
  <c r="AN124" i="56" s="1"/>
  <c r="R86" i="55"/>
  <c r="Y124" i="56" s="1"/>
  <c r="W138" i="55"/>
  <c r="AD176" i="56" s="1"/>
  <c r="P92" i="55"/>
  <c r="W130" i="56" s="1"/>
  <c r="W92" i="55"/>
  <c r="AD130" i="56" s="1"/>
  <c r="P101" i="55"/>
  <c r="W139" i="56" s="1"/>
  <c r="R85" i="55"/>
  <c r="Y123" i="56" s="1"/>
  <c r="W112" i="55"/>
  <c r="AD150" i="56" s="1"/>
  <c r="W137" i="55"/>
  <c r="AD175" i="56" s="1"/>
  <c r="P86" i="55"/>
  <c r="W124" i="56" s="1"/>
  <c r="P84" i="55"/>
  <c r="W122" i="56" s="1"/>
  <c r="AF108" i="55"/>
  <c r="AM146" i="56" s="1"/>
  <c r="AF112" i="55"/>
  <c r="AM150" i="56" s="1"/>
  <c r="R90" i="55"/>
  <c r="Y128" i="56" s="1"/>
  <c r="P98" i="55"/>
  <c r="W136" i="56" s="1"/>
  <c r="W120" i="55"/>
  <c r="AD158" i="56" s="1"/>
  <c r="P123" i="55"/>
  <c r="W161" i="56" s="1"/>
  <c r="Q117" i="55"/>
  <c r="X155" i="56" s="1"/>
  <c r="Y109" i="55"/>
  <c r="AF147" i="56" s="1"/>
  <c r="M96" i="55"/>
  <c r="T134" i="56" s="1"/>
  <c r="AG114" i="55"/>
  <c r="AN152" i="56" s="1"/>
  <c r="P115" i="55"/>
  <c r="W153" i="56" s="1"/>
  <c r="R96" i="55"/>
  <c r="Y134" i="56" s="1"/>
  <c r="P90" i="55"/>
  <c r="W128" i="56" s="1"/>
  <c r="W117" i="55"/>
  <c r="AD155" i="56" s="1"/>
  <c r="P111" i="55"/>
  <c r="W149" i="56" s="1"/>
  <c r="P122" i="55"/>
  <c r="W160" i="56" s="1"/>
  <c r="U109" i="55"/>
  <c r="AB147" i="56" s="1"/>
  <c r="P140" i="55"/>
  <c r="W178" i="56" s="1"/>
  <c r="P114" i="55"/>
  <c r="W152" i="56" s="1"/>
  <c r="W88" i="55"/>
  <c r="AD126" i="56" s="1"/>
  <c r="P94" i="55"/>
  <c r="P108" i="55"/>
  <c r="W146" i="56" s="1"/>
  <c r="U96" i="55"/>
  <c r="AB134" i="56" s="1"/>
  <c r="S138" i="55"/>
  <c r="Z176" i="56" s="1"/>
  <c r="AD136" i="55"/>
  <c r="AK174" i="56" s="1"/>
  <c r="Z101" i="55"/>
  <c r="AG139" i="56" s="1"/>
  <c r="S101" i="55"/>
  <c r="Z139" i="56" s="1"/>
  <c r="N118" i="55"/>
  <c r="U156" i="56" s="1"/>
  <c r="AJ124" i="55"/>
  <c r="AQ162" i="56" s="1"/>
  <c r="AD110" i="55"/>
  <c r="AK148" i="56" s="1"/>
  <c r="AD107" i="55"/>
  <c r="AK145" i="56" s="1"/>
  <c r="U107" i="55"/>
  <c r="AB145" i="56" s="1"/>
  <c r="N110" i="55"/>
  <c r="U148" i="56" s="1"/>
  <c r="Z118" i="55"/>
  <c r="AG156" i="56" s="1"/>
  <c r="K101" i="55"/>
  <c r="R139" i="56" s="1"/>
  <c r="AB121" i="55"/>
  <c r="AI159" i="56" s="1"/>
  <c r="AD84" i="55"/>
  <c r="AK122" i="56" s="1"/>
  <c r="AE113" i="55"/>
  <c r="AL151" i="56" s="1"/>
  <c r="N89" i="55"/>
  <c r="U127" i="56" s="1"/>
  <c r="U97" i="55"/>
  <c r="AB135" i="56" s="1"/>
  <c r="K121" i="55"/>
  <c r="R159" i="56" s="1"/>
  <c r="K109" i="55"/>
  <c r="R147" i="56" s="1"/>
  <c r="K102" i="55"/>
  <c r="R140" i="56" s="1"/>
  <c r="Z96" i="55"/>
  <c r="AG134" i="56" s="1"/>
  <c r="Z92" i="55"/>
  <c r="AG130" i="56" s="1"/>
  <c r="AB94" i="55"/>
  <c r="S97" i="55"/>
  <c r="Z135" i="56" s="1"/>
  <c r="S99" i="55"/>
  <c r="Z137" i="56" s="1"/>
  <c r="AE115" i="55"/>
  <c r="AL153" i="56" s="1"/>
  <c r="K116" i="55"/>
  <c r="R154" i="56" s="1"/>
  <c r="AC109" i="55"/>
  <c r="AJ147" i="56" s="1"/>
  <c r="AC112" i="55"/>
  <c r="AJ150" i="56" s="1"/>
  <c r="AB112" i="55"/>
  <c r="AI150" i="56" s="1"/>
  <c r="AB91" i="55"/>
  <c r="AI129" i="56" s="1"/>
  <c r="N99" i="55"/>
  <c r="U137" i="56" s="1"/>
  <c r="U94" i="55"/>
  <c r="AE116" i="55"/>
  <c r="AL154" i="56" s="1"/>
  <c r="AC139" i="55"/>
  <c r="AJ177" i="56" s="1"/>
  <c r="Z122" i="55"/>
  <c r="AG160" i="56" s="1"/>
  <c r="Z87" i="55"/>
  <c r="AG125" i="56" s="1"/>
  <c r="AE95" i="55"/>
  <c r="AL133" i="56" s="1"/>
  <c r="AD97" i="55"/>
  <c r="AK135" i="56" s="1"/>
  <c r="AE122" i="55"/>
  <c r="AL160" i="56" s="1"/>
  <c r="U113" i="55"/>
  <c r="AB151" i="56" s="1"/>
  <c r="Z110" i="55"/>
  <c r="AG148" i="56" s="1"/>
  <c r="AJ135" i="55"/>
  <c r="AQ173" i="56" s="1"/>
  <c r="AC91" i="55"/>
  <c r="AJ129" i="56" s="1"/>
  <c r="S107" i="55"/>
  <c r="Z145" i="56" s="1"/>
  <c r="N97" i="55"/>
  <c r="U135" i="56" s="1"/>
  <c r="N121" i="55"/>
  <c r="U159" i="56" s="1"/>
  <c r="K100" i="55"/>
  <c r="R138" i="56" s="1"/>
  <c r="K108" i="55"/>
  <c r="R146" i="56" s="1"/>
  <c r="Z139" i="55"/>
  <c r="AG177" i="56" s="1"/>
  <c r="K139" i="55"/>
  <c r="R177" i="56" s="1"/>
  <c r="AB102" i="55"/>
  <c r="AI140" i="56" s="1"/>
  <c r="S120" i="55"/>
  <c r="Z158" i="56" s="1"/>
  <c r="S117" i="55"/>
  <c r="Z155" i="56" s="1"/>
  <c r="AB88" i="55"/>
  <c r="AI126" i="56" s="1"/>
  <c r="K90" i="55"/>
  <c r="R128" i="56" s="1"/>
  <c r="AC102" i="55"/>
  <c r="AJ140" i="56" s="1"/>
  <c r="AE94" i="55"/>
  <c r="AC118" i="55"/>
  <c r="AJ156" i="56" s="1"/>
  <c r="AC100" i="55"/>
  <c r="AJ138" i="56" s="1"/>
  <c r="K111" i="55"/>
  <c r="R149" i="56" s="1"/>
  <c r="AB114" i="55"/>
  <c r="AI152" i="56" s="1"/>
  <c r="AB92" i="55"/>
  <c r="AI130" i="56" s="1"/>
  <c r="Q99" i="55"/>
  <c r="X137" i="56" s="1"/>
  <c r="N112" i="55"/>
  <c r="U150" i="56" s="1"/>
  <c r="Z94" i="55"/>
  <c r="AC119" i="55"/>
  <c r="AJ157" i="56" s="1"/>
  <c r="U86" i="55"/>
  <c r="AB124" i="56" s="1"/>
  <c r="T92" i="55"/>
  <c r="AA130" i="56" s="1"/>
  <c r="AJ139" i="55"/>
  <c r="AQ177" i="56" s="1"/>
  <c r="AE91" i="55"/>
  <c r="AL129" i="56" s="1"/>
  <c r="AC123" i="55"/>
  <c r="AJ161" i="56" s="1"/>
  <c r="Z116" i="55"/>
  <c r="AG154" i="56" s="1"/>
  <c r="Z140" i="55"/>
  <c r="AG178" i="56" s="1"/>
  <c r="AB136" i="55"/>
  <c r="AI174" i="56" s="1"/>
  <c r="AE136" i="55"/>
  <c r="AL174" i="56" s="1"/>
  <c r="N95" i="55"/>
  <c r="U133" i="56" s="1"/>
  <c r="Z138" i="55"/>
  <c r="AG176" i="56" s="1"/>
  <c r="AC138" i="55"/>
  <c r="AJ176" i="56" s="1"/>
  <c r="Z135" i="55"/>
  <c r="AG173" i="56" s="1"/>
  <c r="AC101" i="55"/>
  <c r="AJ139" i="56" s="1"/>
  <c r="AJ95" i="55"/>
  <c r="AQ133" i="56" s="1"/>
  <c r="U95" i="55"/>
  <c r="AB133" i="56" s="1"/>
  <c r="S84" i="55"/>
  <c r="Z122" i="56" s="1"/>
  <c r="Z123" i="55"/>
  <c r="AG161" i="56" s="1"/>
  <c r="AJ123" i="55"/>
  <c r="AQ161" i="56" s="1"/>
  <c r="AJ107" i="55"/>
  <c r="AQ145" i="56" s="1"/>
  <c r="S137" i="55"/>
  <c r="Z175" i="56" s="1"/>
  <c r="AD113" i="55"/>
  <c r="AK151" i="56" s="1"/>
  <c r="AE110" i="55"/>
  <c r="AL148" i="56" s="1"/>
  <c r="AE89" i="55"/>
  <c r="AL127" i="56" s="1"/>
  <c r="AC97" i="55"/>
  <c r="AJ135" i="56" s="1"/>
  <c r="AB84" i="55"/>
  <c r="AI122" i="56" s="1"/>
  <c r="AD118" i="55"/>
  <c r="AK156" i="56" s="1"/>
  <c r="AC121" i="55"/>
  <c r="AJ159" i="56" s="1"/>
  <c r="S88" i="55"/>
  <c r="Z126" i="56" s="1"/>
  <c r="S89" i="55"/>
  <c r="Z127" i="56" s="1"/>
  <c r="K91" i="55"/>
  <c r="R129" i="56" s="1"/>
  <c r="K120" i="55"/>
  <c r="R158" i="56" s="1"/>
  <c r="Z91" i="55"/>
  <c r="AG129" i="56" s="1"/>
  <c r="Z120" i="55"/>
  <c r="AG158" i="56" s="1"/>
  <c r="K122" i="55"/>
  <c r="R160" i="56" s="1"/>
  <c r="S123" i="55"/>
  <c r="Z161" i="56" s="1"/>
  <c r="AE123" i="55"/>
  <c r="AL161" i="56" s="1"/>
  <c r="AC88" i="55"/>
  <c r="AJ126" i="56" s="1"/>
  <c r="AC94" i="55"/>
  <c r="AC140" i="55"/>
  <c r="AJ178" i="56" s="1"/>
  <c r="AB99" i="55"/>
  <c r="AI137" i="56" s="1"/>
  <c r="Z137" i="55"/>
  <c r="AG175" i="56" s="1"/>
  <c r="AJ122" i="55"/>
  <c r="AQ160" i="56" s="1"/>
  <c r="AE86" i="55"/>
  <c r="AL124" i="56" s="1"/>
  <c r="AE119" i="55"/>
  <c r="AL157" i="56" s="1"/>
  <c r="AC113" i="55"/>
  <c r="AJ151" i="56" s="1"/>
  <c r="Z108" i="55"/>
  <c r="AG146" i="56" s="1"/>
  <c r="AJ138" i="55"/>
  <c r="AQ176" i="56" s="1"/>
  <c r="N136" i="55"/>
  <c r="U174" i="56" s="1"/>
  <c r="AD101" i="55"/>
  <c r="AK139" i="56" s="1"/>
  <c r="AE101" i="55"/>
  <c r="AL139" i="56" s="1"/>
  <c r="AJ118" i="55"/>
  <c r="AQ156" i="56" s="1"/>
  <c r="Z95" i="55"/>
  <c r="AG133" i="56" s="1"/>
  <c r="AD124" i="55"/>
  <c r="AK162" i="56" s="1"/>
  <c r="N113" i="55"/>
  <c r="U151" i="56" s="1"/>
  <c r="AC107" i="55"/>
  <c r="AJ145" i="56" s="1"/>
  <c r="AJ84" i="55"/>
  <c r="AQ122" i="56" s="1"/>
  <c r="U89" i="55"/>
  <c r="AB127" i="56" s="1"/>
  <c r="AC122" i="55"/>
  <c r="AJ160" i="56" s="1"/>
  <c r="S121" i="55"/>
  <c r="Z159" i="56" s="1"/>
  <c r="K86" i="55"/>
  <c r="R124" i="56" s="1"/>
  <c r="K98" i="55"/>
  <c r="R136" i="56" s="1"/>
  <c r="K97" i="55"/>
  <c r="R135" i="56" s="1"/>
  <c r="Z109" i="55"/>
  <c r="AG147" i="56" s="1"/>
  <c r="Z99" i="55"/>
  <c r="AG137" i="56" s="1"/>
  <c r="AB116" i="55"/>
  <c r="AI154" i="56" s="1"/>
  <c r="S92" i="55"/>
  <c r="Z130" i="56" s="1"/>
  <c r="AB120" i="55"/>
  <c r="AI158" i="56" s="1"/>
  <c r="K124" i="55"/>
  <c r="R162" i="56" s="1"/>
  <c r="K110" i="55"/>
  <c r="R148" i="56" s="1"/>
  <c r="AC98" i="55"/>
  <c r="AJ136" i="56" s="1"/>
  <c r="AE100" i="55"/>
  <c r="AL138" i="56" s="1"/>
  <c r="AC90" i="55"/>
  <c r="AJ128" i="56" s="1"/>
  <c r="AC137" i="55"/>
  <c r="AJ175" i="56" s="1"/>
  <c r="AC89" i="55"/>
  <c r="AJ127" i="56" s="1"/>
  <c r="Z89" i="55"/>
  <c r="AG127" i="56" s="1"/>
  <c r="AC116" i="55"/>
  <c r="AJ154" i="56" s="1"/>
  <c r="AB93" i="55"/>
  <c r="AI131" i="56" s="1"/>
  <c r="AB115" i="55"/>
  <c r="AI153" i="56" s="1"/>
  <c r="AC108" i="55"/>
  <c r="AJ146" i="56" s="1"/>
  <c r="AJ90" i="55"/>
  <c r="AQ128" i="56" s="1"/>
  <c r="AE137" i="55"/>
  <c r="AL175" i="56" s="1"/>
  <c r="AE139" i="55"/>
  <c r="AL177" i="56" s="1"/>
  <c r="Z136" i="55"/>
  <c r="AG174" i="56" s="1"/>
  <c r="Z111" i="55"/>
  <c r="AG149" i="56" s="1"/>
  <c r="AE138" i="55"/>
  <c r="AL176" i="56" s="1"/>
  <c r="S135" i="55"/>
  <c r="Z173" i="56" s="1"/>
  <c r="N135" i="55"/>
  <c r="U173" i="56" s="1"/>
  <c r="AB101" i="55"/>
  <c r="AI139" i="56" s="1"/>
  <c r="N101" i="55"/>
  <c r="U139" i="56" s="1"/>
  <c r="S95" i="55"/>
  <c r="Z133" i="56" s="1"/>
  <c r="AC95" i="55"/>
  <c r="AJ133" i="56" s="1"/>
  <c r="AB123" i="55"/>
  <c r="AI161" i="56" s="1"/>
  <c r="AE84" i="55"/>
  <c r="AL122" i="56" s="1"/>
  <c r="K135" i="55"/>
  <c r="R173" i="56" s="1"/>
  <c r="AJ121" i="55"/>
  <c r="AQ159" i="56" s="1"/>
  <c r="AD89" i="55"/>
  <c r="AK127" i="56" s="1"/>
  <c r="K118" i="55"/>
  <c r="R156" i="56" s="1"/>
  <c r="AD122" i="55"/>
  <c r="AK160" i="56" s="1"/>
  <c r="AJ91" i="55"/>
  <c r="AQ129" i="56" s="1"/>
  <c r="K113" i="55"/>
  <c r="R151" i="56" s="1"/>
  <c r="K123" i="55"/>
  <c r="R161" i="56" s="1"/>
  <c r="AE107" i="55"/>
  <c r="AL145" i="56" s="1"/>
  <c r="Z100" i="55"/>
  <c r="AG138" i="56" s="1"/>
  <c r="Z112" i="55"/>
  <c r="AG150" i="56" s="1"/>
  <c r="S122" i="55"/>
  <c r="Z160" i="56" s="1"/>
  <c r="K92" i="55"/>
  <c r="R130" i="56" s="1"/>
  <c r="K87" i="55"/>
  <c r="R125" i="56" s="1"/>
  <c r="K137" i="55"/>
  <c r="R175" i="56" s="1"/>
  <c r="AC87" i="55"/>
  <c r="AJ125" i="56" s="1"/>
  <c r="AE97" i="55"/>
  <c r="AL135" i="56" s="1"/>
  <c r="AB119" i="55"/>
  <c r="AI157" i="56" s="1"/>
  <c r="AC111" i="55"/>
  <c r="AJ149" i="56" s="1"/>
  <c r="AC84" i="55"/>
  <c r="AJ122" i="56" s="1"/>
  <c r="AE85" i="55"/>
  <c r="AL123" i="56" s="1"/>
  <c r="AB111" i="55"/>
  <c r="AI149" i="56" s="1"/>
  <c r="AB122" i="55"/>
  <c r="AI160" i="56" s="1"/>
  <c r="AE90" i="55"/>
  <c r="AL128" i="56" s="1"/>
  <c r="Y110" i="55"/>
  <c r="AF148" i="56" s="1"/>
  <c r="T90" i="55"/>
  <c r="AA128" i="56" s="1"/>
  <c r="AJ97" i="55"/>
  <c r="AQ135" i="56" s="1"/>
  <c r="AE118" i="55"/>
  <c r="AL156" i="56" s="1"/>
  <c r="AE114" i="55"/>
  <c r="AL152" i="56" s="1"/>
  <c r="AE108" i="55"/>
  <c r="AL146" i="56" s="1"/>
  <c r="R87" i="55"/>
  <c r="Y125" i="56" s="1"/>
  <c r="Z119" i="55"/>
  <c r="AG157" i="56" s="1"/>
  <c r="Z98" i="55"/>
  <c r="AG136" i="56" s="1"/>
  <c r="K138" i="55"/>
  <c r="R176" i="56" s="1"/>
  <c r="U135" i="55"/>
  <c r="AB173" i="56" s="1"/>
  <c r="AD138" i="55"/>
  <c r="AK176" i="56" s="1"/>
  <c r="AB118" i="55"/>
  <c r="AI156" i="56" s="1"/>
  <c r="S118" i="55"/>
  <c r="Z156" i="56" s="1"/>
  <c r="N138" i="55"/>
  <c r="U176" i="56" s="1"/>
  <c r="AD123" i="55"/>
  <c r="AK161" i="56" s="1"/>
  <c r="K107" i="55"/>
  <c r="R145" i="56" s="1"/>
  <c r="S139" i="55"/>
  <c r="Z177" i="56" s="1"/>
  <c r="AB95" i="55"/>
  <c r="AI133" i="56" s="1"/>
  <c r="S113" i="55"/>
  <c r="Z151" i="56" s="1"/>
  <c r="AC110" i="55"/>
  <c r="AJ148" i="56" s="1"/>
  <c r="U110" i="55"/>
  <c r="AB148" i="56" s="1"/>
  <c r="AD135" i="55"/>
  <c r="AK173" i="56" s="1"/>
  <c r="AJ110" i="55"/>
  <c r="AQ148" i="56" s="1"/>
  <c r="K85" i="55"/>
  <c r="R123" i="56" s="1"/>
  <c r="K99" i="55"/>
  <c r="R137" i="56" s="1"/>
  <c r="Z97" i="55"/>
  <c r="AG135" i="56" s="1"/>
  <c r="Z90" i="55"/>
  <c r="AG128" i="56" s="1"/>
  <c r="AB140" i="55"/>
  <c r="AI178" i="56" s="1"/>
  <c r="K95" i="55"/>
  <c r="R133" i="56" s="1"/>
  <c r="AB108" i="55"/>
  <c r="AI146" i="56" s="1"/>
  <c r="AE124" i="55"/>
  <c r="AL162" i="56" s="1"/>
  <c r="AE87" i="55"/>
  <c r="AL125" i="56" s="1"/>
  <c r="AE88" i="55"/>
  <c r="AL126" i="56" s="1"/>
  <c r="AC136" i="55"/>
  <c r="AJ174" i="56" s="1"/>
  <c r="AC86" i="55"/>
  <c r="AJ124" i="56" s="1"/>
  <c r="AB96" i="55"/>
  <c r="AI134" i="56" s="1"/>
  <c r="AB124" i="55"/>
  <c r="AI162" i="56" s="1"/>
  <c r="N86" i="55"/>
  <c r="U124" i="56" s="1"/>
  <c r="AE92" i="55"/>
  <c r="AL130" i="56" s="1"/>
  <c r="U85" i="55"/>
  <c r="AB123" i="56" s="1"/>
  <c r="AJ99" i="55"/>
  <c r="AQ137" i="56" s="1"/>
  <c r="AE112" i="55"/>
  <c r="AL150" i="56" s="1"/>
  <c r="AE102" i="55"/>
  <c r="AL140" i="56" s="1"/>
  <c r="Z86" i="55"/>
  <c r="AG124" i="56" s="1"/>
  <c r="Q37" i="17"/>
  <c r="Y37" i="17"/>
  <c r="I27" i="17"/>
  <c r="V37" i="17"/>
  <c r="V41" i="42"/>
  <c r="I133" i="42"/>
  <c r="I173" i="42" s="1"/>
  <c r="S90" i="42"/>
  <c r="M133" i="42"/>
  <c r="M173" i="42" s="1"/>
  <c r="AI133" i="42"/>
  <c r="AI173" i="42" s="1"/>
  <c r="S62" i="42"/>
  <c r="I62" i="42"/>
  <c r="S123" i="42"/>
  <c r="U90" i="42"/>
  <c r="V122" i="42"/>
  <c r="V161" i="42" s="1"/>
  <c r="J19" i="42"/>
  <c r="Y157" i="42"/>
  <c r="Z57" i="48" s="1"/>
  <c r="Z85" i="48" s="1"/>
  <c r="AD83" i="42"/>
  <c r="Y123" i="42"/>
  <c r="L133" i="42"/>
  <c r="L173" i="42" s="1"/>
  <c r="AD157" i="42"/>
  <c r="AE57" i="48" s="1"/>
  <c r="AE85" i="48" s="1"/>
  <c r="J126" i="42"/>
  <c r="O48" i="42"/>
  <c r="R83" i="42"/>
  <c r="P19" i="42"/>
  <c r="V133" i="42"/>
  <c r="V173" i="42" s="1"/>
  <c r="J90" i="42"/>
  <c r="V90" i="42"/>
  <c r="J133" i="42"/>
  <c r="J173" i="42" s="1"/>
  <c r="Z90" i="42"/>
  <c r="H90" i="42"/>
  <c r="O8" i="42"/>
  <c r="O112" i="42" s="1"/>
  <c r="S133" i="42"/>
  <c r="S173" i="42" s="1"/>
  <c r="AD48" i="42"/>
  <c r="S34" i="42"/>
  <c r="AI12" i="42"/>
  <c r="O41" i="42"/>
  <c r="AC62" i="42"/>
  <c r="AD90" i="42"/>
  <c r="M76" i="42"/>
  <c r="AF62" i="42"/>
  <c r="N76" i="42"/>
  <c r="K48" i="42"/>
  <c r="Q132" i="42"/>
  <c r="Q172" i="42" s="1"/>
  <c r="X90" i="42"/>
  <c r="AC34" i="42"/>
  <c r="Z76" i="42"/>
  <c r="M12" i="42"/>
  <c r="V12" i="42"/>
  <c r="W26" i="42"/>
  <c r="H69" i="42"/>
  <c r="J76" i="42"/>
  <c r="K133" i="42"/>
  <c r="K173" i="42" s="1"/>
  <c r="AE90" i="42"/>
  <c r="M90" i="42"/>
  <c r="W48" i="42"/>
  <c r="AG62" i="42"/>
  <c r="AE119" i="42"/>
  <c r="AE165" i="42" s="1"/>
  <c r="AF65" i="48" s="1"/>
  <c r="AF93" i="48" s="1"/>
  <c r="Z133" i="42"/>
  <c r="Z173" i="42" s="1"/>
  <c r="AD133" i="42"/>
  <c r="AD173" i="42" s="1"/>
  <c r="K55" i="42"/>
  <c r="J83" i="42"/>
  <c r="J48" i="42"/>
  <c r="Z83" i="42"/>
  <c r="AB19" i="42"/>
  <c r="Z34" i="42"/>
  <c r="R133" i="42"/>
  <c r="R173" i="42" s="1"/>
  <c r="Z48" i="42"/>
  <c r="AE41" i="42"/>
  <c r="V69" i="42"/>
  <c r="O83" i="42"/>
  <c r="AC90" i="42"/>
  <c r="AG116" i="42"/>
  <c r="S48" i="42"/>
  <c r="U76" i="42"/>
  <c r="M41" i="42"/>
  <c r="L41" i="42"/>
  <c r="AA62" i="42"/>
  <c r="M123" i="42"/>
  <c r="W34" i="42"/>
  <c r="X76" i="42"/>
  <c r="AG166" i="42"/>
  <c r="AH66" i="48" s="1"/>
  <c r="AH94" i="48" s="1"/>
  <c r="AI19" i="42"/>
  <c r="P83" i="42"/>
  <c r="AI26" i="42"/>
  <c r="AI55" i="42"/>
  <c r="Y12" i="42"/>
  <c r="AI76" i="42"/>
  <c r="N41" i="42"/>
  <c r="M83" i="42"/>
  <c r="N90" i="42"/>
  <c r="L69" i="42"/>
  <c r="AE19" i="42"/>
  <c r="K62" i="42"/>
  <c r="L18" i="55"/>
  <c r="S62" i="56" s="1"/>
  <c r="U18" i="55"/>
  <c r="AB62" i="56" s="1"/>
  <c r="AH18" i="55"/>
  <c r="AO62" i="56" s="1"/>
  <c r="U24" i="55"/>
  <c r="AB68" i="56" s="1"/>
  <c r="AE24" i="55"/>
  <c r="AL68" i="56" s="1"/>
  <c r="T24" i="55"/>
  <c r="AA68" i="56" s="1"/>
  <c r="W24" i="55"/>
  <c r="AD68" i="56" s="1"/>
  <c r="L24" i="55"/>
  <c r="S68" i="56" s="1"/>
  <c r="R24" i="55"/>
  <c r="Y68" i="56" s="1"/>
  <c r="Y24" i="55"/>
  <c r="AF68" i="56" s="1"/>
  <c r="AH24" i="55"/>
  <c r="AO68" i="56" s="1"/>
  <c r="M24" i="55"/>
  <c r="T68" i="56" s="1"/>
  <c r="S17" i="55"/>
  <c r="Z61" i="56" s="1"/>
  <c r="O17" i="55"/>
  <c r="V61" i="56" s="1"/>
  <c r="T17" i="55"/>
  <c r="AA61" i="56" s="1"/>
  <c r="AJ17" i="55"/>
  <c r="AQ61" i="56" s="1"/>
  <c r="L17" i="55"/>
  <c r="S61" i="56" s="1"/>
  <c r="W17" i="55"/>
  <c r="AD61" i="56" s="1"/>
  <c r="AH17" i="55"/>
  <c r="AO61" i="56" s="1"/>
  <c r="U17" i="55"/>
  <c r="AB61" i="56" s="1"/>
  <c r="AK17" i="55"/>
  <c r="AR61" i="56" s="1"/>
  <c r="Z66" i="49"/>
  <c r="I15" i="49"/>
  <c r="L26" i="55"/>
  <c r="S70" i="56" s="1"/>
  <c r="AA26" i="55"/>
  <c r="AH70" i="56" s="1"/>
  <c r="J89" i="49"/>
  <c r="AF66" i="49"/>
  <c r="Y66" i="49"/>
  <c r="K15" i="49"/>
  <c r="R12" i="55"/>
  <c r="Y56" i="56" s="1"/>
  <c r="D58" i="49"/>
  <c r="S9" i="55"/>
  <c r="Z53" i="56" s="1"/>
  <c r="AO66" i="49"/>
  <c r="J67" i="49"/>
  <c r="AE66" i="49"/>
  <c r="AB66" i="49"/>
  <c r="W66" i="49"/>
  <c r="L27" i="55"/>
  <c r="S71" i="56" s="1"/>
  <c r="M26" i="55"/>
  <c r="T70" i="56" s="1"/>
  <c r="AH66" i="49"/>
  <c r="AA81" i="49"/>
  <c r="R15" i="55"/>
  <c r="Y59" i="56" s="1"/>
  <c r="Z15" i="55"/>
  <c r="AG59" i="56" s="1"/>
  <c r="AJ15" i="55"/>
  <c r="AQ59" i="56" s="1"/>
  <c r="L15" i="55"/>
  <c r="S59" i="56" s="1"/>
  <c r="AI15" i="55"/>
  <c r="AP59" i="56" s="1"/>
  <c r="R66" i="49"/>
  <c r="T66" i="49"/>
  <c r="AI66" i="49"/>
  <c r="I22" i="49"/>
  <c r="A79" i="49"/>
  <c r="AG66" i="49"/>
  <c r="R26" i="55"/>
  <c r="Y70" i="56" s="1"/>
  <c r="J121" i="49"/>
  <c r="W81" i="49"/>
  <c r="M9" i="55"/>
  <c r="T53" i="56" s="1"/>
  <c r="M10" i="55"/>
  <c r="T54" i="56" s="1"/>
  <c r="S10" i="55"/>
  <c r="Z54" i="56" s="1"/>
  <c r="Z10" i="55"/>
  <c r="AG54" i="56" s="1"/>
  <c r="S66" i="49"/>
  <c r="AP66" i="49"/>
  <c r="AK66" i="49"/>
  <c r="X66" i="49"/>
  <c r="AD66" i="49"/>
  <c r="Q66" i="49"/>
  <c r="R64" i="55"/>
  <c r="Y108" i="56" s="1"/>
  <c r="V66" i="49"/>
  <c r="Y67" i="49"/>
  <c r="AG81" i="49"/>
  <c r="AH27" i="55"/>
  <c r="AO71" i="56" s="1"/>
  <c r="AH14" i="55"/>
  <c r="AO58" i="56" s="1"/>
  <c r="M12" i="55"/>
  <c r="T56" i="56" s="1"/>
  <c r="O9" i="55"/>
  <c r="V53" i="56" s="1"/>
  <c r="AN66" i="49"/>
  <c r="AL66" i="49"/>
  <c r="O66" i="49"/>
  <c r="AC66" i="49"/>
  <c r="AM66" i="49"/>
  <c r="C109" i="49"/>
  <c r="L12" i="55"/>
  <c r="S56" i="56" s="1"/>
  <c r="C89" i="49"/>
  <c r="Y15" i="55"/>
  <c r="AF59" i="56" s="1"/>
  <c r="X157" i="42"/>
  <c r="Y57" i="48" s="1"/>
  <c r="Y85" i="48" s="1"/>
  <c r="J59" i="49"/>
  <c r="AA76" i="42"/>
  <c r="V81" i="49"/>
  <c r="AD61" i="55"/>
  <c r="AK105" i="56" s="1"/>
  <c r="O34" i="42"/>
  <c r="X133" i="42"/>
  <c r="X173" i="42" s="1"/>
  <c r="Q131" i="42"/>
  <c r="Q171" i="42" s="1"/>
  <c r="AL67" i="49"/>
  <c r="Z67" i="49"/>
  <c r="AK81" i="49"/>
  <c r="AO81" i="49"/>
  <c r="V76" i="42"/>
  <c r="S65" i="55"/>
  <c r="Z109" i="56" s="1"/>
  <c r="W65" i="55"/>
  <c r="AD109" i="56" s="1"/>
  <c r="AF81" i="49"/>
  <c r="U81" i="49"/>
  <c r="Y81" i="49"/>
  <c r="W67" i="49"/>
  <c r="B89" i="49"/>
  <c r="M33" i="10"/>
  <c r="K59" i="48"/>
  <c r="K87" i="48" s="1"/>
  <c r="AI59" i="48"/>
  <c r="AI87" i="48" s="1"/>
  <c r="O70" i="48"/>
  <c r="L11" i="50" s="1"/>
  <c r="I153" i="42"/>
  <c r="J53" i="48" s="1"/>
  <c r="J81" i="48" s="1"/>
  <c r="AB59" i="48"/>
  <c r="AB87" i="48" s="1"/>
  <c r="L59" i="48"/>
  <c r="L87" i="48" s="1"/>
  <c r="Y59" i="48"/>
  <c r="Y87" i="48" s="1"/>
  <c r="AH59" i="48"/>
  <c r="AH87" i="48" s="1"/>
  <c r="AP67" i="49"/>
  <c r="AG67" i="49"/>
  <c r="T81" i="49"/>
  <c r="AJ81" i="49"/>
  <c r="Q67" i="49"/>
  <c r="AA67" i="49"/>
  <c r="Z62" i="42"/>
  <c r="L6" i="49"/>
  <c r="C77" i="48"/>
  <c r="C104" i="48" s="1"/>
  <c r="S26" i="42"/>
  <c r="AH81" i="49"/>
  <c r="S55" i="42"/>
  <c r="AA64" i="49"/>
  <c r="AG61" i="55"/>
  <c r="AN105" i="56" s="1"/>
  <c r="K61" i="55"/>
  <c r="R105" i="56" s="1"/>
  <c r="O61" i="55"/>
  <c r="V105" i="56" s="1"/>
  <c r="L34" i="42"/>
  <c r="K30" i="56"/>
  <c r="B49" i="55" s="1"/>
  <c r="K93" i="56" s="1"/>
  <c r="AI170" i="42"/>
  <c r="AJ70" i="48" s="1"/>
  <c r="AJ98" i="48" s="1"/>
  <c r="I70" i="48"/>
  <c r="I98" i="48" s="1"/>
  <c r="Z69" i="48"/>
  <c r="Z97" i="48" s="1"/>
  <c r="S153" i="42"/>
  <c r="T53" i="48" s="1"/>
  <c r="T81" i="48" s="1"/>
  <c r="AB166" i="42"/>
  <c r="AC66" i="48" s="1"/>
  <c r="M59" i="48"/>
  <c r="M87" i="48" s="1"/>
  <c r="T59" i="48"/>
  <c r="T87" i="48" s="1"/>
  <c r="P133" i="42"/>
  <c r="P173" i="42" s="1"/>
  <c r="N59" i="48"/>
  <c r="N87" i="48" s="1"/>
  <c r="Q103" i="42"/>
  <c r="Q156" i="42" s="1"/>
  <c r="R56" i="48" s="1"/>
  <c r="R84" i="48" s="1"/>
  <c r="O59" i="48"/>
  <c r="O87" i="48" s="1"/>
  <c r="J7" i="49"/>
  <c r="AE67" i="49"/>
  <c r="AI67" i="49"/>
  <c r="AC81" i="49"/>
  <c r="R81" i="49"/>
  <c r="O81" i="49"/>
  <c r="U48" i="42"/>
  <c r="J62" i="42"/>
  <c r="AB65" i="55"/>
  <c r="AI109" i="56" s="1"/>
  <c r="D91" i="49"/>
  <c r="E46" i="49"/>
  <c r="Q81" i="49"/>
  <c r="R64" i="49"/>
  <c r="Z61" i="55"/>
  <c r="AG105" i="56" s="1"/>
  <c r="J57" i="49"/>
  <c r="J81" i="49"/>
  <c r="C82" i="49"/>
  <c r="L27" i="49"/>
  <c r="J110" i="49"/>
  <c r="X64" i="49"/>
  <c r="N61" i="55"/>
  <c r="U105" i="56" s="1"/>
  <c r="AE70" i="48"/>
  <c r="AE98" i="48" s="1"/>
  <c r="AH133" i="42"/>
  <c r="AH173" i="42" s="1"/>
  <c r="AA59" i="48"/>
  <c r="AA87" i="48" s="1"/>
  <c r="AB90" i="42"/>
  <c r="S19" i="42"/>
  <c r="AA19" i="42"/>
  <c r="AD67" i="49"/>
  <c r="X67" i="49"/>
  <c r="P81" i="49"/>
  <c r="X81" i="49"/>
  <c r="Z81" i="49"/>
  <c r="R41" i="42"/>
  <c r="Z65" i="55"/>
  <c r="AG109" i="56" s="1"/>
  <c r="AH26" i="42"/>
  <c r="T64" i="49"/>
  <c r="L61" i="55"/>
  <c r="S105" i="56" s="1"/>
  <c r="AH55" i="42"/>
  <c r="AC64" i="49"/>
  <c r="AE123" i="42"/>
  <c r="AM64" i="49"/>
  <c r="AB61" i="55"/>
  <c r="AI105" i="56" s="1"/>
  <c r="AB70" i="48"/>
  <c r="AB98" i="48" s="1"/>
  <c r="M150" i="42"/>
  <c r="N49" i="48" s="1"/>
  <c r="N77" i="48" s="1"/>
  <c r="W59" i="48"/>
  <c r="W87" i="48" s="1"/>
  <c r="AH67" i="49"/>
  <c r="AK67" i="49"/>
  <c r="S81" i="49"/>
  <c r="AE81" i="49"/>
  <c r="AD81" i="49"/>
  <c r="AL65" i="55"/>
  <c r="AS109" i="56" s="1"/>
  <c r="B70" i="49"/>
  <c r="T70" i="49" s="1"/>
  <c r="B91" i="49"/>
  <c r="U64" i="49"/>
  <c r="V67" i="49"/>
  <c r="T61" i="55"/>
  <c r="AA105" i="56" s="1"/>
  <c r="B112" i="49"/>
  <c r="J102" i="49"/>
  <c r="R61" i="55"/>
  <c r="Y105" i="56" s="1"/>
  <c r="C83" i="49"/>
  <c r="C99" i="49"/>
  <c r="AE61" i="55"/>
  <c r="AL105" i="56" s="1"/>
  <c r="X59" i="48"/>
  <c r="X87" i="48" s="1"/>
  <c r="Z59" i="48"/>
  <c r="Z87" i="48" s="1"/>
  <c r="I59" i="48"/>
  <c r="I87" i="48" s="1"/>
  <c r="N105" i="42"/>
  <c r="N158" i="42" s="1"/>
  <c r="O58" i="48" s="1"/>
  <c r="O86" i="48" s="1"/>
  <c r="AJ59" i="48"/>
  <c r="AJ87" i="48" s="1"/>
  <c r="Z105" i="42"/>
  <c r="Z158" i="42" s="1"/>
  <c r="AA58" i="48" s="1"/>
  <c r="AA86" i="48" s="1"/>
  <c r="AO67" i="49"/>
  <c r="R67" i="49"/>
  <c r="Z12" i="42"/>
  <c r="AM81" i="49"/>
  <c r="AN81" i="49"/>
  <c r="AF65" i="55"/>
  <c r="AM109" i="56" s="1"/>
  <c r="AP81" i="49"/>
  <c r="AB81" i="49"/>
  <c r="AL81" i="49"/>
  <c r="AA10" i="55"/>
  <c r="AH54" i="56" s="1"/>
  <c r="AA18" i="55"/>
  <c r="AH62" i="56" s="1"/>
  <c r="AA32" i="55"/>
  <c r="AH76" i="56" s="1"/>
  <c r="AA15" i="55"/>
  <c r="AH59" i="56" s="1"/>
  <c r="AA20" i="55"/>
  <c r="AH64" i="56" s="1"/>
  <c r="AA17" i="55"/>
  <c r="AH61" i="56" s="1"/>
  <c r="AA8" i="55"/>
  <c r="AH52" i="56" s="1"/>
  <c r="AF87" i="48"/>
  <c r="AA9" i="55"/>
  <c r="AH53" i="56" s="1"/>
  <c r="AA13" i="55"/>
  <c r="AH57" i="56" s="1"/>
  <c r="V87" i="48"/>
  <c r="AA11" i="55"/>
  <c r="AH55" i="56" s="1"/>
  <c r="AA24" i="55"/>
  <c r="AH68" i="56" s="1"/>
  <c r="AA25" i="55"/>
  <c r="AH69" i="56" s="1"/>
  <c r="Y17" i="48"/>
  <c r="AE49" i="49" s="1"/>
  <c r="AA27" i="55"/>
  <c r="AH71" i="56" s="1"/>
  <c r="AA12" i="55"/>
  <c r="AH56" i="56" s="1"/>
  <c r="AA21" i="55"/>
  <c r="AH65" i="56" s="1"/>
  <c r="AE95" i="48"/>
  <c r="Q70" i="49"/>
  <c r="S87" i="48"/>
  <c r="K147" i="48"/>
  <c r="Q120" i="49" s="1"/>
  <c r="J157" i="42"/>
  <c r="K57" i="48" s="1"/>
  <c r="K85" i="48" s="1"/>
  <c r="Z150" i="42"/>
  <c r="AA49" i="48" s="1"/>
  <c r="I166" i="42"/>
  <c r="J66" i="48" s="1"/>
  <c r="J94" i="48" s="1"/>
  <c r="AL122" i="55"/>
  <c r="AS160" i="56" s="1"/>
  <c r="AL118" i="55"/>
  <c r="AS156" i="56" s="1"/>
  <c r="AH107" i="55"/>
  <c r="AO145" i="56" s="1"/>
  <c r="AL97" i="55"/>
  <c r="AS135" i="56" s="1"/>
  <c r="Y89" i="55"/>
  <c r="AF127" i="56" s="1"/>
  <c r="AF121" i="55"/>
  <c r="AM159" i="56" s="1"/>
  <c r="AG90" i="55"/>
  <c r="AN128" i="56" s="1"/>
  <c r="AG124" i="55"/>
  <c r="AN162" i="56" s="1"/>
  <c r="AH119" i="55"/>
  <c r="AO157" i="56" s="1"/>
  <c r="Y140" i="55"/>
  <c r="AF178" i="56" s="1"/>
  <c r="AH121" i="55"/>
  <c r="AO159" i="56" s="1"/>
  <c r="O88" i="55"/>
  <c r="V126" i="56" s="1"/>
  <c r="AK139" i="55"/>
  <c r="AR177" i="56" s="1"/>
  <c r="P139" i="55"/>
  <c r="W177" i="56" s="1"/>
  <c r="Q111" i="55"/>
  <c r="X149" i="56" s="1"/>
  <c r="N124" i="55"/>
  <c r="U162" i="56" s="1"/>
  <c r="V100" i="55"/>
  <c r="AC138" i="56" s="1"/>
  <c r="AL99" i="55"/>
  <c r="AS137" i="56" s="1"/>
  <c r="AG119" i="55"/>
  <c r="AN157" i="56" s="1"/>
  <c r="Q87" i="55"/>
  <c r="X125" i="56" s="1"/>
  <c r="Y108" i="55"/>
  <c r="AF146" i="56" s="1"/>
  <c r="U123" i="55"/>
  <c r="AB161" i="56" s="1"/>
  <c r="AK85" i="55"/>
  <c r="AR123" i="56" s="1"/>
  <c r="AK117" i="55"/>
  <c r="AR155" i="56" s="1"/>
  <c r="AK92" i="55"/>
  <c r="AR130" i="56" s="1"/>
  <c r="AJ140" i="55"/>
  <c r="AQ178" i="56" s="1"/>
  <c r="M140" i="55"/>
  <c r="T178" i="56" s="1"/>
  <c r="AL124" i="55"/>
  <c r="AS162" i="56" s="1"/>
  <c r="AG84" i="55"/>
  <c r="AN122" i="56" s="1"/>
  <c r="AK118" i="55"/>
  <c r="AR156" i="56" s="1"/>
  <c r="AD91" i="55"/>
  <c r="AK129" i="56" s="1"/>
  <c r="Y96" i="55"/>
  <c r="AF134" i="56" s="1"/>
  <c r="AF111" i="55"/>
  <c r="AM149" i="56" s="1"/>
  <c r="AH93" i="55"/>
  <c r="AO131" i="56" s="1"/>
  <c r="AF98" i="55"/>
  <c r="AM136" i="56" s="1"/>
  <c r="X111" i="55"/>
  <c r="AE149" i="56" s="1"/>
  <c r="AF123" i="55"/>
  <c r="AM161" i="56" s="1"/>
  <c r="AF135" i="55"/>
  <c r="AM173" i="56" s="1"/>
  <c r="Y93" i="55"/>
  <c r="AF131" i="56" s="1"/>
  <c r="AH118" i="55"/>
  <c r="AO156" i="56" s="1"/>
  <c r="O115" i="55"/>
  <c r="V153" i="56" s="1"/>
  <c r="Y94" i="55"/>
  <c r="Q140" i="55"/>
  <c r="X178" i="56" s="1"/>
  <c r="Q108" i="55"/>
  <c r="X146" i="56" s="1"/>
  <c r="AD86" i="55"/>
  <c r="AK124" i="56" s="1"/>
  <c r="AL91" i="55"/>
  <c r="AS129" i="56" s="1"/>
  <c r="O117" i="55"/>
  <c r="V155" i="56" s="1"/>
  <c r="Y137" i="55"/>
  <c r="AF175" i="56" s="1"/>
  <c r="Y115" i="55"/>
  <c r="AF153" i="56" s="1"/>
  <c r="U93" i="55"/>
  <c r="AB131" i="56" s="1"/>
  <c r="AK96" i="55"/>
  <c r="AR134" i="56" s="1"/>
  <c r="AK107" i="55"/>
  <c r="AR145" i="56" s="1"/>
  <c r="AK90" i="55"/>
  <c r="AR128" i="56" s="1"/>
  <c r="T116" i="55"/>
  <c r="AA154" i="56" s="1"/>
  <c r="AJ112" i="55"/>
  <c r="AQ150" i="56" s="1"/>
  <c r="AJ136" i="55"/>
  <c r="AQ174" i="56" s="1"/>
  <c r="M110" i="55"/>
  <c r="T148" i="56" s="1"/>
  <c r="AH85" i="55"/>
  <c r="AO123" i="56" s="1"/>
  <c r="AL110" i="55"/>
  <c r="AS148" i="56" s="1"/>
  <c r="O101" i="55"/>
  <c r="V139" i="56" s="1"/>
  <c r="AL112" i="55"/>
  <c r="AS150" i="56" s="1"/>
  <c r="O102" i="55"/>
  <c r="V140" i="56" s="1"/>
  <c r="AF92" i="55"/>
  <c r="AM130" i="56" s="1"/>
  <c r="AF84" i="55"/>
  <c r="AM122" i="56" s="1"/>
  <c r="AH111" i="55"/>
  <c r="AO149" i="56" s="1"/>
  <c r="AH123" i="55"/>
  <c r="AO161" i="56" s="1"/>
  <c r="O139" i="55"/>
  <c r="V177" i="56" s="1"/>
  <c r="Q112" i="55"/>
  <c r="X150" i="56" s="1"/>
  <c r="AD120" i="55"/>
  <c r="AK158" i="56" s="1"/>
  <c r="AL100" i="55"/>
  <c r="AS138" i="56" s="1"/>
  <c r="Y86" i="55"/>
  <c r="AF124" i="56" s="1"/>
  <c r="Y97" i="55"/>
  <c r="AF135" i="56" s="1"/>
  <c r="U90" i="55"/>
  <c r="AB128" i="56" s="1"/>
  <c r="AK102" i="55"/>
  <c r="AR140" i="56" s="1"/>
  <c r="AK116" i="55"/>
  <c r="AR154" i="56" s="1"/>
  <c r="AK108" i="55"/>
  <c r="AR146" i="56" s="1"/>
  <c r="AJ108" i="55"/>
  <c r="AQ146" i="56" s="1"/>
  <c r="AJ137" i="55"/>
  <c r="AQ175" i="56" s="1"/>
  <c r="M99" i="55"/>
  <c r="T137" i="56" s="1"/>
  <c r="AH98" i="55"/>
  <c r="AO136" i="56" s="1"/>
  <c r="AH122" i="55"/>
  <c r="AO160" i="56" s="1"/>
  <c r="AG110" i="55"/>
  <c r="AN148" i="56" s="1"/>
  <c r="Y114" i="55"/>
  <c r="AF152" i="56" s="1"/>
  <c r="AH88" i="55"/>
  <c r="AO126" i="56" s="1"/>
  <c r="O91" i="55"/>
  <c r="V129" i="56" s="1"/>
  <c r="AD119" i="55"/>
  <c r="AK157" i="56" s="1"/>
  <c r="AL117" i="55"/>
  <c r="AS155" i="56" s="1"/>
  <c r="O94" i="55"/>
  <c r="Y99" i="55"/>
  <c r="AF137" i="56" s="1"/>
  <c r="Y124" i="55"/>
  <c r="AF162" i="56" s="1"/>
  <c r="AK99" i="55"/>
  <c r="AR137" i="56" s="1"/>
  <c r="AK120" i="55"/>
  <c r="AR158" i="56" s="1"/>
  <c r="AK94" i="55"/>
  <c r="O87" i="55"/>
  <c r="V125" i="56" s="1"/>
  <c r="AH92" i="55"/>
  <c r="AO130" i="56" s="1"/>
  <c r="AG101" i="55"/>
  <c r="AN139" i="56" s="1"/>
  <c r="O95" i="55"/>
  <c r="V133" i="56" s="1"/>
  <c r="O84" i="55"/>
  <c r="V122" i="56" s="1"/>
  <c r="AG95" i="55"/>
  <c r="AN133" i="56" s="1"/>
  <c r="AL113" i="55"/>
  <c r="AS151" i="56" s="1"/>
  <c r="AL101" i="55"/>
  <c r="AS139" i="56" s="1"/>
  <c r="Y119" i="55"/>
  <c r="AF157" i="56" s="1"/>
  <c r="AF100" i="55"/>
  <c r="AM138" i="56" s="1"/>
  <c r="O93" i="55"/>
  <c r="V131" i="56" s="1"/>
  <c r="AF86" i="55"/>
  <c r="AM124" i="56" s="1"/>
  <c r="AF109" i="55"/>
  <c r="AM147" i="56" s="1"/>
  <c r="AG123" i="55"/>
  <c r="AN161" i="56" s="1"/>
  <c r="AF114" i="55"/>
  <c r="AM152" i="56" s="1"/>
  <c r="AH100" i="55"/>
  <c r="AO138" i="56" s="1"/>
  <c r="O120" i="55"/>
  <c r="V158" i="56" s="1"/>
  <c r="Q92" i="55"/>
  <c r="X130" i="56" s="1"/>
  <c r="AD88" i="55"/>
  <c r="AK126" i="56" s="1"/>
  <c r="AL88" i="55"/>
  <c r="AS126" i="56" s="1"/>
  <c r="Y116" i="55"/>
  <c r="AF154" i="56" s="1"/>
  <c r="Y123" i="55"/>
  <c r="AF161" i="56" s="1"/>
  <c r="Y139" i="55"/>
  <c r="AF177" i="56" s="1"/>
  <c r="U115" i="55"/>
  <c r="AB153" i="56" s="1"/>
  <c r="AK140" i="55"/>
  <c r="AR178" i="56" s="1"/>
  <c r="AK124" i="55"/>
  <c r="AR162" i="56" s="1"/>
  <c r="AK109" i="55"/>
  <c r="AR147" i="56" s="1"/>
  <c r="AJ85" i="55"/>
  <c r="AQ123" i="56" s="1"/>
  <c r="AJ111" i="55"/>
  <c r="AQ149" i="56" s="1"/>
  <c r="AH102" i="55"/>
  <c r="AO140" i="56" s="1"/>
  <c r="AH89" i="55"/>
  <c r="AO127" i="56" s="1"/>
  <c r="AL89" i="55"/>
  <c r="AS127" i="56" s="1"/>
  <c r="O123" i="55"/>
  <c r="V161" i="56" s="1"/>
  <c r="AG117" i="55"/>
  <c r="AN155" i="56" s="1"/>
  <c r="AG102" i="55"/>
  <c r="AN140" i="56" s="1"/>
  <c r="AH117" i="55"/>
  <c r="AO155" i="56" s="1"/>
  <c r="AH108" i="55"/>
  <c r="AO146" i="56" s="1"/>
  <c r="O109" i="55"/>
  <c r="V147" i="56" s="1"/>
  <c r="AL111" i="55"/>
  <c r="AS149" i="56" s="1"/>
  <c r="Y111" i="55"/>
  <c r="AF149" i="56" s="1"/>
  <c r="Y138" i="55"/>
  <c r="AF176" i="56" s="1"/>
  <c r="AK93" i="55"/>
  <c r="AR131" i="56" s="1"/>
  <c r="AK112" i="55"/>
  <c r="AR150" i="56" s="1"/>
  <c r="AK113" i="55"/>
  <c r="AR151" i="56" s="1"/>
  <c r="AG118" i="55"/>
  <c r="AN156" i="56" s="1"/>
  <c r="AH124" i="55"/>
  <c r="AO162" i="56" s="1"/>
  <c r="AH96" i="55"/>
  <c r="AO134" i="56" s="1"/>
  <c r="AL139" i="55"/>
  <c r="AS177" i="56" s="1"/>
  <c r="O108" i="55"/>
  <c r="V146" i="56" s="1"/>
  <c r="AG111" i="55"/>
  <c r="AN149" i="56" s="1"/>
  <c r="O112" i="55"/>
  <c r="V150" i="56" s="1"/>
  <c r="O122" i="55"/>
  <c r="V160" i="56" s="1"/>
  <c r="AG122" i="55"/>
  <c r="AN160" i="56" s="1"/>
  <c r="AG137" i="55"/>
  <c r="AN175" i="56" s="1"/>
  <c r="AG136" i="55"/>
  <c r="AN174" i="56" s="1"/>
  <c r="AG89" i="55"/>
  <c r="AN127" i="56" s="1"/>
  <c r="AG113" i="55"/>
  <c r="AN151" i="56" s="1"/>
  <c r="W102" i="55"/>
  <c r="AD140" i="56" s="1"/>
  <c r="W116" i="55"/>
  <c r="AD154" i="56" s="1"/>
  <c r="O90" i="55"/>
  <c r="V128" i="56" s="1"/>
  <c r="R98" i="55"/>
  <c r="Y136" i="56" s="1"/>
  <c r="R109" i="55"/>
  <c r="Y147" i="56" s="1"/>
  <c r="AH116" i="55"/>
  <c r="AO154" i="56" s="1"/>
  <c r="AH115" i="55"/>
  <c r="AO153" i="56" s="1"/>
  <c r="AE111" i="55"/>
  <c r="AL149" i="56" s="1"/>
  <c r="AE140" i="55"/>
  <c r="AL178" i="56" s="1"/>
  <c r="AG97" i="55"/>
  <c r="AN135" i="56" s="1"/>
  <c r="AG138" i="55"/>
  <c r="AN176" i="56" s="1"/>
  <c r="AG112" i="55"/>
  <c r="AN150" i="56" s="1"/>
  <c r="R111" i="55"/>
  <c r="Y149" i="56" s="1"/>
  <c r="R115" i="55"/>
  <c r="Y153" i="56" s="1"/>
  <c r="O97" i="55"/>
  <c r="V135" i="56" s="1"/>
  <c r="O114" i="55"/>
  <c r="V152" i="56" s="1"/>
  <c r="AH99" i="55"/>
  <c r="AO137" i="56" s="1"/>
  <c r="O92" i="55"/>
  <c r="V130" i="56" s="1"/>
  <c r="O111" i="55"/>
  <c r="V149" i="56" s="1"/>
  <c r="W91" i="55"/>
  <c r="AD129" i="56" s="1"/>
  <c r="Q115" i="55"/>
  <c r="X153" i="56" s="1"/>
  <c r="V124" i="55"/>
  <c r="AC162" i="56" s="1"/>
  <c r="AD109" i="55"/>
  <c r="AK147" i="56" s="1"/>
  <c r="AL109" i="55"/>
  <c r="AS147" i="56" s="1"/>
  <c r="AL94" i="55"/>
  <c r="AH139" i="55"/>
  <c r="AO177" i="56" s="1"/>
  <c r="U117" i="55"/>
  <c r="AB155" i="56" s="1"/>
  <c r="U99" i="55"/>
  <c r="AB137" i="56" s="1"/>
  <c r="T109" i="55"/>
  <c r="AA147" i="56" s="1"/>
  <c r="T136" i="55"/>
  <c r="AA174" i="56" s="1"/>
  <c r="T115" i="55"/>
  <c r="AA153" i="56" s="1"/>
  <c r="AJ100" i="55"/>
  <c r="AQ138" i="56" s="1"/>
  <c r="AJ98" i="55"/>
  <c r="AQ136" i="56" s="1"/>
  <c r="AJ96" i="55"/>
  <c r="AQ134" i="56" s="1"/>
  <c r="M87" i="55"/>
  <c r="T125" i="56" s="1"/>
  <c r="M115" i="55"/>
  <c r="T153" i="56" s="1"/>
  <c r="O98" i="55"/>
  <c r="V136" i="56" s="1"/>
  <c r="R93" i="55"/>
  <c r="Y131" i="56" s="1"/>
  <c r="R108" i="55"/>
  <c r="Y146" i="56" s="1"/>
  <c r="R116" i="55"/>
  <c r="Y154" i="56" s="1"/>
  <c r="W109" i="55"/>
  <c r="AD147" i="56" s="1"/>
  <c r="AH120" i="55"/>
  <c r="AO158" i="56" s="1"/>
  <c r="AH112" i="55"/>
  <c r="AO150" i="56" s="1"/>
  <c r="AG88" i="55"/>
  <c r="AN126" i="56" s="1"/>
  <c r="AG121" i="55"/>
  <c r="AN159" i="56" s="1"/>
  <c r="AG91" i="55"/>
  <c r="AN129" i="56" s="1"/>
  <c r="O96" i="55"/>
  <c r="V134" i="56" s="1"/>
  <c r="O121" i="55"/>
  <c r="V159" i="56" s="1"/>
  <c r="W121" i="55"/>
  <c r="AD159" i="56" s="1"/>
  <c r="V112" i="55"/>
  <c r="AC150" i="56" s="1"/>
  <c r="AD100" i="55"/>
  <c r="AK138" i="56" s="1"/>
  <c r="AL92" i="55"/>
  <c r="AS130" i="56" s="1"/>
  <c r="AL120" i="55"/>
  <c r="AS158" i="56" s="1"/>
  <c r="U92" i="55"/>
  <c r="AB130" i="56" s="1"/>
  <c r="U122" i="55"/>
  <c r="AB160" i="56" s="1"/>
  <c r="T140" i="55"/>
  <c r="AA178" i="56" s="1"/>
  <c r="T114" i="55"/>
  <c r="AA152" i="56" s="1"/>
  <c r="T88" i="55"/>
  <c r="AA126" i="56" s="1"/>
  <c r="AJ115" i="55"/>
  <c r="AQ153" i="56" s="1"/>
  <c r="AJ87" i="55"/>
  <c r="AQ125" i="56" s="1"/>
  <c r="AJ120" i="55"/>
  <c r="AQ158" i="56" s="1"/>
  <c r="M102" i="55"/>
  <c r="T140" i="56" s="1"/>
  <c r="R114" i="55"/>
  <c r="Y152" i="56" s="1"/>
  <c r="O140" i="55"/>
  <c r="V178" i="56" s="1"/>
  <c r="W119" i="55"/>
  <c r="AD157" i="56" s="1"/>
  <c r="W98" i="55"/>
  <c r="AD136" i="56" s="1"/>
  <c r="R137" i="55"/>
  <c r="Y175" i="56" s="1"/>
  <c r="R88" i="55"/>
  <c r="Y126" i="56" s="1"/>
  <c r="AH90" i="55"/>
  <c r="AO128" i="56" s="1"/>
  <c r="R119" i="55"/>
  <c r="Y157" i="56" s="1"/>
  <c r="T119" i="55"/>
  <c r="AA157" i="56" s="1"/>
  <c r="T120" i="55"/>
  <c r="AA158" i="56" s="1"/>
  <c r="T100" i="55"/>
  <c r="AA138" i="56" s="1"/>
  <c r="AJ102" i="55"/>
  <c r="AQ140" i="56" s="1"/>
  <c r="AJ119" i="55"/>
  <c r="AQ157" i="56" s="1"/>
  <c r="AJ88" i="55"/>
  <c r="AQ126" i="56" s="1"/>
  <c r="W140" i="55"/>
  <c r="AD178" i="56" s="1"/>
  <c r="O85" i="55"/>
  <c r="V123" i="56" s="1"/>
  <c r="R94" i="55"/>
  <c r="AH140" i="55"/>
  <c r="AO178" i="56" s="1"/>
  <c r="R123" i="55"/>
  <c r="Y161" i="56" s="1"/>
  <c r="AG109" i="55"/>
  <c r="AN147" i="56" s="1"/>
  <c r="AG108" i="55"/>
  <c r="AN146" i="56" s="1"/>
  <c r="AG87" i="55"/>
  <c r="AN125" i="56" s="1"/>
  <c r="V92" i="55"/>
  <c r="AC130" i="56" s="1"/>
  <c r="T108" i="55"/>
  <c r="AA146" i="56" s="1"/>
  <c r="T117" i="55"/>
  <c r="AA155" i="56" s="1"/>
  <c r="T94" i="55"/>
  <c r="R92" i="55"/>
  <c r="Y130" i="56" s="1"/>
  <c r="R102" i="55"/>
  <c r="Y140" i="56" s="1"/>
  <c r="W108" i="55"/>
  <c r="AD146" i="56" s="1"/>
  <c r="AH114" i="55"/>
  <c r="AO152" i="56" s="1"/>
  <c r="AG94" i="55"/>
  <c r="AG139" i="55"/>
  <c r="AN177" i="56" s="1"/>
  <c r="AH91" i="55"/>
  <c r="AO129" i="56" s="1"/>
  <c r="AH137" i="55"/>
  <c r="AO175" i="56" s="1"/>
  <c r="O86" i="55"/>
  <c r="V124" i="56" s="1"/>
  <c r="W115" i="55"/>
  <c r="AD153" i="56" s="1"/>
  <c r="W86" i="55"/>
  <c r="AD124" i="56" s="1"/>
  <c r="Q100" i="55"/>
  <c r="X138" i="56" s="1"/>
  <c r="V95" i="55"/>
  <c r="AC133" i="56" s="1"/>
  <c r="U116" i="55"/>
  <c r="AB154" i="56" s="1"/>
  <c r="U121" i="55"/>
  <c r="AB159" i="56" s="1"/>
  <c r="T85" i="55"/>
  <c r="AA123" i="56" s="1"/>
  <c r="T121" i="55"/>
  <c r="AA159" i="56" s="1"/>
  <c r="T138" i="55"/>
  <c r="AA176" i="56" s="1"/>
  <c r="T99" i="55"/>
  <c r="AA137" i="56" s="1"/>
  <c r="AJ116" i="55"/>
  <c r="AQ154" i="56" s="1"/>
  <c r="AJ94" i="55"/>
  <c r="AJ86" i="55"/>
  <c r="AQ124" i="56" s="1"/>
  <c r="M137" i="55"/>
  <c r="T175" i="56" s="1"/>
  <c r="O124" i="55"/>
  <c r="V162" i="56" s="1"/>
  <c r="O100" i="55"/>
  <c r="V138" i="56" s="1"/>
  <c r="AF120" i="55"/>
  <c r="AM158" i="56" s="1"/>
  <c r="U136" i="55"/>
  <c r="AB174" i="56" s="1"/>
  <c r="U87" i="55"/>
  <c r="AB125" i="56" s="1"/>
  <c r="U139" i="55"/>
  <c r="AB177" i="56" s="1"/>
  <c r="U108" i="55"/>
  <c r="AB146" i="56" s="1"/>
  <c r="M93" i="55"/>
  <c r="T131" i="56" s="1"/>
  <c r="M86" i="55"/>
  <c r="T124" i="56" s="1"/>
  <c r="M100" i="55"/>
  <c r="T138" i="56" s="1"/>
  <c r="M113" i="55"/>
  <c r="T151" i="56" s="1"/>
  <c r="M117" i="55"/>
  <c r="T155" i="56" s="1"/>
  <c r="M109" i="55"/>
  <c r="T147" i="56" s="1"/>
  <c r="AF116" i="55"/>
  <c r="AM154" i="56" s="1"/>
  <c r="AF117" i="55"/>
  <c r="AM155" i="56" s="1"/>
  <c r="AF124" i="55"/>
  <c r="AM162" i="56" s="1"/>
  <c r="Q139" i="55"/>
  <c r="X177" i="56" s="1"/>
  <c r="Q123" i="55"/>
  <c r="X161" i="56" s="1"/>
  <c r="V109" i="55"/>
  <c r="AC147" i="56" s="1"/>
  <c r="U111" i="55"/>
  <c r="AB149" i="56" s="1"/>
  <c r="U102" i="55"/>
  <c r="AB140" i="56" s="1"/>
  <c r="U88" i="55"/>
  <c r="AB126" i="56" s="1"/>
  <c r="M98" i="55"/>
  <c r="T136" i="56" s="1"/>
  <c r="M97" i="55"/>
  <c r="T135" i="56" s="1"/>
  <c r="M123" i="55"/>
  <c r="T161" i="56" s="1"/>
  <c r="Q86" i="55"/>
  <c r="X124" i="56" s="1"/>
  <c r="V117" i="55"/>
  <c r="AC155" i="56" s="1"/>
  <c r="U119" i="55"/>
  <c r="AB157" i="56" s="1"/>
  <c r="U98" i="55"/>
  <c r="AB136" i="56" s="1"/>
  <c r="M114" i="55"/>
  <c r="T152" i="56" s="1"/>
  <c r="M108" i="55"/>
  <c r="T146" i="56" s="1"/>
  <c r="M139" i="55"/>
  <c r="T177" i="56" s="1"/>
  <c r="M120" i="55"/>
  <c r="T158" i="56" s="1"/>
  <c r="M116" i="55"/>
  <c r="T154" i="56" s="1"/>
  <c r="M119" i="55"/>
  <c r="T157" i="56" s="1"/>
  <c r="M90" i="55"/>
  <c r="T128" i="56" s="1"/>
  <c r="P124" i="55"/>
  <c r="W162" i="56" s="1"/>
  <c r="P100" i="55"/>
  <c r="W138" i="56" s="1"/>
  <c r="P88" i="55"/>
  <c r="W126" i="56" s="1"/>
  <c r="P93" i="55"/>
  <c r="W131" i="56" s="1"/>
  <c r="P85" i="55"/>
  <c r="W123" i="56" s="1"/>
  <c r="P138" i="55"/>
  <c r="W176" i="56" s="1"/>
  <c r="P117" i="55"/>
  <c r="W155" i="56" s="1"/>
  <c r="P87" i="55"/>
  <c r="W125" i="56" s="1"/>
  <c r="P116" i="55"/>
  <c r="W154" i="56" s="1"/>
  <c r="X94" i="55"/>
  <c r="X98" i="55"/>
  <c r="AE136" i="56" s="1"/>
  <c r="X140" i="55"/>
  <c r="AE178" i="56" s="1"/>
  <c r="X112" i="55"/>
  <c r="AE150" i="56" s="1"/>
  <c r="X91" i="55"/>
  <c r="AE129" i="56" s="1"/>
  <c r="X87" i="55"/>
  <c r="AE125" i="56" s="1"/>
  <c r="X85" i="55"/>
  <c r="AE123" i="56" s="1"/>
  <c r="X99" i="55"/>
  <c r="AE137" i="56" s="1"/>
  <c r="S109" i="55"/>
  <c r="Z147" i="56" s="1"/>
  <c r="S94" i="55"/>
  <c r="S108" i="55"/>
  <c r="Z146" i="56" s="1"/>
  <c r="S100" i="55"/>
  <c r="Z138" i="56" s="1"/>
  <c r="S114" i="55"/>
  <c r="Z152" i="56" s="1"/>
  <c r="S110" i="55"/>
  <c r="Z148" i="56" s="1"/>
  <c r="S90" i="55"/>
  <c r="Z128" i="56" s="1"/>
  <c r="S93" i="55"/>
  <c r="Z131" i="56" s="1"/>
  <c r="S115" i="55"/>
  <c r="Z153" i="56" s="1"/>
  <c r="S102" i="55"/>
  <c r="Z140" i="56" s="1"/>
  <c r="S87" i="55"/>
  <c r="Z125" i="56" s="1"/>
  <c r="S116" i="55"/>
  <c r="Z154" i="56" s="1"/>
  <c r="S98" i="55"/>
  <c r="Z136" i="56" s="1"/>
  <c r="S140" i="55"/>
  <c r="Z178" i="56" s="1"/>
  <c r="S91" i="55"/>
  <c r="Z129" i="56" s="1"/>
  <c r="S85" i="55"/>
  <c r="Z123" i="56" s="1"/>
  <c r="S96" i="55"/>
  <c r="Z134" i="56" s="1"/>
  <c r="S136" i="55"/>
  <c r="Z174" i="56" s="1"/>
  <c r="AF102" i="55"/>
  <c r="AM140" i="56" s="1"/>
  <c r="AF85" i="55"/>
  <c r="AM123" i="56" s="1"/>
  <c r="AF87" i="55"/>
  <c r="AM125" i="56" s="1"/>
  <c r="AF119" i="55"/>
  <c r="AM157" i="56" s="1"/>
  <c r="AF122" i="55"/>
  <c r="AM160" i="56" s="1"/>
  <c r="AF140" i="55"/>
  <c r="AM178" i="56" s="1"/>
  <c r="Q85" i="55"/>
  <c r="X123" i="56" s="1"/>
  <c r="Q102" i="55"/>
  <c r="X140" i="56" s="1"/>
  <c r="Q98" i="55"/>
  <c r="X136" i="56" s="1"/>
  <c r="Q119" i="55"/>
  <c r="X157" i="56" s="1"/>
  <c r="K114" i="55"/>
  <c r="R152" i="56" s="1"/>
  <c r="K140" i="55"/>
  <c r="R178" i="56" s="1"/>
  <c r="U114" i="55"/>
  <c r="AB152" i="56" s="1"/>
  <c r="U140" i="55"/>
  <c r="AB178" i="56" s="1"/>
  <c r="N116" i="55"/>
  <c r="U154" i="56" s="1"/>
  <c r="N115" i="55"/>
  <c r="U153" i="56" s="1"/>
  <c r="N123" i="55"/>
  <c r="U161" i="56" s="1"/>
  <c r="N117" i="55"/>
  <c r="U155" i="56" s="1"/>
  <c r="N111" i="55"/>
  <c r="U149" i="56" s="1"/>
  <c r="N119" i="55"/>
  <c r="U157" i="56" s="1"/>
  <c r="N85" i="55"/>
  <c r="U123" i="56" s="1"/>
  <c r="N102" i="55"/>
  <c r="U140" i="56" s="1"/>
  <c r="N87" i="55"/>
  <c r="U125" i="56" s="1"/>
  <c r="N114" i="55"/>
  <c r="U152" i="56" s="1"/>
  <c r="N140" i="55"/>
  <c r="U178" i="56" s="1"/>
  <c r="N109" i="55"/>
  <c r="U147" i="56" s="1"/>
  <c r="N92" i="55"/>
  <c r="U130" i="56" s="1"/>
  <c r="N91" i="55"/>
  <c r="U129" i="56" s="1"/>
  <c r="N96" i="55"/>
  <c r="U134" i="56" s="1"/>
  <c r="N108" i="55"/>
  <c r="U146" i="56" s="1"/>
  <c r="N93" i="55"/>
  <c r="U131" i="56" s="1"/>
  <c r="N139" i="55"/>
  <c r="U177" i="56" s="1"/>
  <c r="N90" i="55"/>
  <c r="U128" i="56" s="1"/>
  <c r="N98" i="55"/>
  <c r="U136" i="56" s="1"/>
  <c r="N100" i="55"/>
  <c r="U138" i="56" s="1"/>
  <c r="AG99" i="55"/>
  <c r="AN137" i="56" s="1"/>
  <c r="AG116" i="55"/>
  <c r="AN154" i="56" s="1"/>
  <c r="AG98" i="55"/>
  <c r="AN136" i="56" s="1"/>
  <c r="AG140" i="55"/>
  <c r="AN178" i="56" s="1"/>
  <c r="AG93" i="55"/>
  <c r="AN131" i="56" s="1"/>
  <c r="AG115" i="55"/>
  <c r="AN153" i="56" s="1"/>
  <c r="AG85" i="55"/>
  <c r="AN123" i="56" s="1"/>
  <c r="AG120" i="55"/>
  <c r="AN158" i="56" s="1"/>
  <c r="V90" i="55"/>
  <c r="AC128" i="56" s="1"/>
  <c r="V119" i="55"/>
  <c r="AC157" i="56" s="1"/>
  <c r="V87" i="55"/>
  <c r="AC125" i="56" s="1"/>
  <c r="V86" i="55"/>
  <c r="AC124" i="56" s="1"/>
  <c r="V88" i="55"/>
  <c r="AC126" i="56" s="1"/>
  <c r="V108" i="55"/>
  <c r="AC146" i="56" s="1"/>
  <c r="V93" i="55"/>
  <c r="AC131" i="56" s="1"/>
  <c r="V114" i="55"/>
  <c r="AC152" i="56" s="1"/>
  <c r="V140" i="55"/>
  <c r="AC178" i="56" s="1"/>
  <c r="V98" i="55"/>
  <c r="AC136" i="56" s="1"/>
  <c r="V96" i="55"/>
  <c r="AC134" i="56" s="1"/>
  <c r="V94" i="55"/>
  <c r="V85" i="55"/>
  <c r="AC123" i="56" s="1"/>
  <c r="V122" i="55"/>
  <c r="AC160" i="56" s="1"/>
  <c r="V102" i="55"/>
  <c r="AC140" i="56" s="1"/>
  <c r="V116" i="55"/>
  <c r="AC154" i="56" s="1"/>
  <c r="V99" i="55"/>
  <c r="AC137" i="56" s="1"/>
  <c r="AD93" i="55"/>
  <c r="AK131" i="56" s="1"/>
  <c r="AD112" i="55"/>
  <c r="AK150" i="56" s="1"/>
  <c r="AD108" i="55"/>
  <c r="AK146" i="56" s="1"/>
  <c r="AD116" i="55"/>
  <c r="AK154" i="56" s="1"/>
  <c r="AD99" i="55"/>
  <c r="AK137" i="56" s="1"/>
  <c r="AD102" i="55"/>
  <c r="AK140" i="56" s="1"/>
  <c r="AD114" i="55"/>
  <c r="AK152" i="56" s="1"/>
  <c r="AD111" i="55"/>
  <c r="AK149" i="56" s="1"/>
  <c r="AD90" i="55"/>
  <c r="AK128" i="56" s="1"/>
  <c r="AD140" i="55"/>
  <c r="AK178" i="56" s="1"/>
  <c r="AD87" i="55"/>
  <c r="AK125" i="56" s="1"/>
  <c r="AD98" i="55"/>
  <c r="AK136" i="56" s="1"/>
  <c r="AD115" i="55"/>
  <c r="AK153" i="56" s="1"/>
  <c r="AD117" i="55"/>
  <c r="AK155" i="56" s="1"/>
  <c r="AD92" i="55"/>
  <c r="AK130" i="56" s="1"/>
  <c r="AD121" i="55"/>
  <c r="AK159" i="56" s="1"/>
  <c r="AD137" i="55"/>
  <c r="AK175" i="56" s="1"/>
  <c r="AD85" i="55"/>
  <c r="AK123" i="56" s="1"/>
  <c r="AD94" i="55"/>
  <c r="AL86" i="55"/>
  <c r="AS124" i="56" s="1"/>
  <c r="AL96" i="55"/>
  <c r="AS134" i="56" s="1"/>
  <c r="AL137" i="55"/>
  <c r="AS175" i="56" s="1"/>
  <c r="AL87" i="55"/>
  <c r="AS125" i="56" s="1"/>
  <c r="AL90" i="55"/>
  <c r="AS128" i="56" s="1"/>
  <c r="AL121" i="55"/>
  <c r="AS159" i="56" s="1"/>
  <c r="AL140" i="55"/>
  <c r="AS178" i="56" s="1"/>
  <c r="AL119" i="55"/>
  <c r="AS157" i="56" s="1"/>
  <c r="AL98" i="55"/>
  <c r="AS136" i="56" s="1"/>
  <c r="AL114" i="55"/>
  <c r="AS152" i="56" s="1"/>
  <c r="AL123" i="55"/>
  <c r="AS161" i="56" s="1"/>
  <c r="AL108" i="55"/>
  <c r="AS146" i="56" s="1"/>
  <c r="AL102" i="55"/>
  <c r="AS140" i="56" s="1"/>
  <c r="AL116" i="55"/>
  <c r="AS154" i="56" s="1"/>
  <c r="AL85" i="55"/>
  <c r="AS123" i="56" s="1"/>
  <c r="AL93" i="55"/>
  <c r="AS131" i="56" s="1"/>
  <c r="AG96" i="55"/>
  <c r="AN134" i="56" s="1"/>
  <c r="AG92" i="55"/>
  <c r="AN130" i="56" s="1"/>
  <c r="Y100" i="55"/>
  <c r="AF138" i="56" s="1"/>
  <c r="P110" i="55"/>
  <c r="W148" i="56" s="1"/>
  <c r="P91" i="55"/>
  <c r="W129" i="56" s="1"/>
  <c r="Q94" i="55"/>
  <c r="Q88" i="55"/>
  <c r="X126" i="56" s="1"/>
  <c r="N94" i="55"/>
  <c r="K96" i="55"/>
  <c r="R134" i="56" s="1"/>
  <c r="P119" i="55"/>
  <c r="W157" i="56" s="1"/>
  <c r="Y91" i="55"/>
  <c r="AF129" i="56" s="1"/>
  <c r="Y92" i="55"/>
  <c r="AF130" i="56" s="1"/>
  <c r="U120" i="55"/>
  <c r="AB158" i="56" s="1"/>
  <c r="U91" i="55"/>
  <c r="AB129" i="56" s="1"/>
  <c r="U100" i="55"/>
  <c r="AB138" i="56" s="1"/>
  <c r="AK87" i="55"/>
  <c r="AR125" i="56" s="1"/>
  <c r="AK88" i="55"/>
  <c r="AR126" i="56" s="1"/>
  <c r="AK123" i="55"/>
  <c r="AR161" i="56" s="1"/>
  <c r="AK100" i="55"/>
  <c r="AR138" i="56" s="1"/>
  <c r="T87" i="55"/>
  <c r="AA125" i="56" s="1"/>
  <c r="T111" i="55"/>
  <c r="AA149" i="56" s="1"/>
  <c r="T124" i="55"/>
  <c r="AA162" i="56" s="1"/>
  <c r="AJ109" i="55"/>
  <c r="AQ147" i="56" s="1"/>
  <c r="AJ117" i="55"/>
  <c r="AQ155" i="56" s="1"/>
  <c r="AJ93" i="55"/>
  <c r="AQ131" i="56" s="1"/>
  <c r="M94" i="55"/>
  <c r="M85" i="55"/>
  <c r="T123" i="56" s="1"/>
  <c r="M111" i="55"/>
  <c r="T149" i="56" s="1"/>
  <c r="U37" i="17"/>
  <c r="AH166" i="42"/>
  <c r="AI66" i="48" s="1"/>
  <c r="AI94" i="48" s="1"/>
  <c r="W157" i="42"/>
  <c r="X57" i="48" s="1"/>
  <c r="X85" i="48" s="1"/>
  <c r="O147" i="48"/>
  <c r="U120" i="49" s="1"/>
  <c r="Y150" i="42"/>
  <c r="Z49" i="48" s="1"/>
  <c r="Z77" i="48" s="1"/>
  <c r="V166" i="42"/>
  <c r="W66" i="48" s="1"/>
  <c r="W94" i="48" s="1"/>
  <c r="P166" i="42"/>
  <c r="Q66" i="48" s="1"/>
  <c r="Q94" i="48" s="1"/>
  <c r="AD122" i="42"/>
  <c r="AD161" i="42" s="1"/>
  <c r="AE61" i="48" s="1"/>
  <c r="O90" i="42"/>
  <c r="AE166" i="42"/>
  <c r="AF66" i="48" s="1"/>
  <c r="AF94" i="48" s="1"/>
  <c r="S103" i="42"/>
  <c r="S156" i="42" s="1"/>
  <c r="T56" i="48" s="1"/>
  <c r="T84" i="48" s="1"/>
  <c r="AF90" i="42"/>
  <c r="I34" i="42"/>
  <c r="W8" i="42"/>
  <c r="W112" i="42" s="1"/>
  <c r="Q147" i="48"/>
  <c r="W120" i="49" s="1"/>
  <c r="R153" i="42"/>
  <c r="S53" i="48" s="1"/>
  <c r="S81" i="48" s="1"/>
  <c r="AB126" i="42"/>
  <c r="K157" i="42"/>
  <c r="L57" i="48" s="1"/>
  <c r="L85" i="48" s="1"/>
  <c r="O166" i="42"/>
  <c r="P66" i="48" s="1"/>
  <c r="P94" i="48" s="1"/>
  <c r="T147" i="48"/>
  <c r="Z120" i="49" s="1"/>
  <c r="U34" i="42"/>
  <c r="AG19" i="42"/>
  <c r="N157" i="42"/>
  <c r="O57" i="48" s="1"/>
  <c r="O85" i="48" s="1"/>
  <c r="R166" i="42"/>
  <c r="S66" i="48" s="1"/>
  <c r="S94" i="48" s="1"/>
  <c r="J69" i="48"/>
  <c r="J97" i="48" s="1"/>
  <c r="X153" i="42"/>
  <c r="Y53" i="48" s="1"/>
  <c r="Y81" i="48" s="1"/>
  <c r="W147" i="48"/>
  <c r="AC120" i="49" s="1"/>
  <c r="J166" i="42"/>
  <c r="K66" i="48" s="1"/>
  <c r="K94" i="48" s="1"/>
  <c r="S110" i="42"/>
  <c r="S160" i="42" s="1"/>
  <c r="T60" i="48" s="1"/>
  <c r="T88" i="48" s="1"/>
  <c r="P76" i="42"/>
  <c r="Y41" i="42"/>
  <c r="N62" i="42"/>
  <c r="K90" i="42"/>
  <c r="AA34" i="42"/>
  <c r="T150" i="42"/>
  <c r="U49" i="48" s="1"/>
  <c r="U77" i="48" s="1"/>
  <c r="O133" i="42"/>
  <c r="O173" i="42" s="1"/>
  <c r="W41" i="42"/>
  <c r="Q111" i="42"/>
  <c r="AD41" i="42"/>
  <c r="AI90" i="42"/>
  <c r="T123" i="42"/>
  <c r="U133" i="42"/>
  <c r="U173" i="42" s="1"/>
  <c r="R19" i="42"/>
  <c r="AH41" i="42"/>
  <c r="AC103" i="42"/>
  <c r="AC156" i="42" s="1"/>
  <c r="AD56" i="48" s="1"/>
  <c r="AD84" i="48" s="1"/>
  <c r="P141" i="42"/>
  <c r="P181" i="42" s="1"/>
  <c r="AE135" i="42"/>
  <c r="AE175" i="42" s="1"/>
  <c r="AA41" i="42"/>
  <c r="M26" i="42"/>
  <c r="I128" i="42"/>
  <c r="M141" i="42"/>
  <c r="M181" i="42" s="1"/>
  <c r="Q133" i="42"/>
  <c r="Q173" i="42" s="1"/>
  <c r="AD160" i="42"/>
  <c r="AE60" i="48" s="1"/>
  <c r="AE88" i="48" s="1"/>
  <c r="AD111" i="42"/>
  <c r="AA125" i="42"/>
  <c r="AA168" i="42" s="1"/>
  <c r="AB68" i="48" s="1"/>
  <c r="AB96" i="48" s="1"/>
  <c r="X34" i="42"/>
  <c r="P90" i="42"/>
  <c r="L90" i="42"/>
  <c r="M157" i="42"/>
  <c r="N57" i="48" s="1"/>
  <c r="N85" i="48" s="1"/>
  <c r="I168" i="42"/>
  <c r="J68" i="48" s="1"/>
  <c r="J96" i="48" s="1"/>
  <c r="Z166" i="42"/>
  <c r="AA66" i="48" s="1"/>
  <c r="AA94" i="48" s="1"/>
  <c r="V62" i="42"/>
  <c r="AF34" i="42"/>
  <c r="AB34" i="42"/>
  <c r="AC19" i="42"/>
  <c r="X126" i="42"/>
  <c r="J101" i="42"/>
  <c r="J155" i="42" s="1"/>
  <c r="K55" i="48" s="1"/>
  <c r="K83" i="48" s="1"/>
  <c r="J105" i="42"/>
  <c r="J158" i="42" s="1"/>
  <c r="K58" i="48" s="1"/>
  <c r="K86" i="48" s="1"/>
  <c r="L62" i="42"/>
  <c r="U62" i="42"/>
  <c r="Y133" i="42"/>
  <c r="Y173" i="42" s="1"/>
  <c r="Q48" i="42"/>
  <c r="AE133" i="42"/>
  <c r="AE173" i="42" s="1"/>
  <c r="AF133" i="42"/>
  <c r="AF173" i="42" s="1"/>
  <c r="AG71" i="48" s="1"/>
  <c r="AG99" i="48" s="1"/>
  <c r="Y122" i="42"/>
  <c r="Y161" i="42" s="1"/>
  <c r="Z61" i="48" s="1"/>
  <c r="I76" i="42"/>
  <c r="AI62" i="42"/>
  <c r="K19" i="42"/>
  <c r="H153" i="42"/>
  <c r="I53" i="48" s="1"/>
  <c r="I81" i="48" s="1"/>
  <c r="K160" i="42"/>
  <c r="L60" i="48" s="1"/>
  <c r="L88" i="48" s="1"/>
  <c r="K111" i="42"/>
  <c r="V34" i="42"/>
  <c r="Q34" i="42"/>
  <c r="U19" i="42"/>
  <c r="O69" i="42"/>
  <c r="K76" i="42"/>
  <c r="Y62" i="42"/>
  <c r="I48" i="42"/>
  <c r="Y135" i="42"/>
  <c r="Y175" i="42" s="1"/>
  <c r="L166" i="42"/>
  <c r="M66" i="48" s="1"/>
  <c r="M94" i="48" s="1"/>
  <c r="AF76" i="42"/>
  <c r="H76" i="42"/>
  <c r="V48" i="42"/>
  <c r="AA105" i="42"/>
  <c r="AA158" i="42" s="1"/>
  <c r="AB58" i="48" s="1"/>
  <c r="AB86" i="48" s="1"/>
  <c r="N103" i="42"/>
  <c r="N156" i="42" s="1"/>
  <c r="O56" i="48" s="1"/>
  <c r="O84" i="48" s="1"/>
  <c r="W153" i="42"/>
  <c r="X53" i="48" s="1"/>
  <c r="X81" i="48" s="1"/>
  <c r="Q76" i="42"/>
  <c r="L147" i="48"/>
  <c r="R120" i="49" s="1"/>
  <c r="AF127" i="42"/>
  <c r="AF128" i="42" s="1"/>
  <c r="AE26" i="42"/>
  <c r="M166" i="42"/>
  <c r="N66" i="48" s="1"/>
  <c r="N94" i="48" s="1"/>
  <c r="AD123" i="42"/>
  <c r="I90" i="42"/>
  <c r="K41" i="42"/>
  <c r="P48" i="42"/>
  <c r="AA26" i="42"/>
  <c r="U26" i="42"/>
  <c r="AC133" i="42"/>
  <c r="AC173" i="42" s="1"/>
  <c r="AI132" i="42"/>
  <c r="AI172" i="42" s="1"/>
  <c r="AB127" i="42"/>
  <c r="AB128" i="42" s="1"/>
  <c r="AG103" i="42"/>
  <c r="AG156" i="42" s="1"/>
  <c r="AH56" i="48" s="1"/>
  <c r="AH84" i="48" s="1"/>
  <c r="P62" i="42"/>
  <c r="H48" i="42"/>
  <c r="K150" i="42"/>
  <c r="L49" i="48" s="1"/>
  <c r="L77" i="48" s="1"/>
  <c r="AB123" i="42"/>
  <c r="AB124" i="42" s="1"/>
  <c r="M116" i="42"/>
  <c r="AD34" i="42"/>
  <c r="Y34" i="42"/>
  <c r="H19" i="42"/>
  <c r="N19" i="42"/>
  <c r="P69" i="42"/>
  <c r="Q153" i="42"/>
  <c r="R53" i="48" s="1"/>
  <c r="R81" i="48" s="1"/>
  <c r="J34" i="42"/>
  <c r="W19" i="42"/>
  <c r="AI48" i="42"/>
  <c r="K153" i="42"/>
  <c r="L53" i="48" s="1"/>
  <c r="L81" i="48" s="1"/>
  <c r="T83" i="42"/>
  <c r="AC48" i="42"/>
  <c r="AE83" i="42"/>
  <c r="AA166" i="42"/>
  <c r="AB66" i="48" s="1"/>
  <c r="AB94" i="48" s="1"/>
  <c r="N83" i="42"/>
  <c r="Q83" i="42"/>
  <c r="L153" i="42"/>
  <c r="M53" i="48" s="1"/>
  <c r="M81" i="48" s="1"/>
  <c r="AH62" i="42"/>
  <c r="Q90" i="42"/>
  <c r="T34" i="42"/>
  <c r="AH76" i="42"/>
  <c r="M48" i="42"/>
  <c r="AH34" i="42"/>
  <c r="I19" i="42"/>
  <c r="O76" i="42"/>
  <c r="H83" i="42"/>
  <c r="I83" i="42"/>
  <c r="P41" i="42"/>
  <c r="M69" i="42"/>
  <c r="X62" i="42"/>
  <c r="P37" i="17"/>
  <c r="W37" i="17"/>
  <c r="O12" i="55"/>
  <c r="V56" i="56" s="1"/>
  <c r="AI11" i="55"/>
  <c r="AP55" i="56" s="1"/>
  <c r="O24" i="55"/>
  <c r="V68" i="56" s="1"/>
  <c r="AF24" i="55"/>
  <c r="AM68" i="56" s="1"/>
  <c r="Z24" i="55"/>
  <c r="AG68" i="56" s="1"/>
  <c r="AD24" i="55"/>
  <c r="AK68" i="56" s="1"/>
  <c r="AI24" i="55"/>
  <c r="AP68" i="56" s="1"/>
  <c r="AB24" i="55"/>
  <c r="AI68" i="56" s="1"/>
  <c r="Q24" i="55"/>
  <c r="X68" i="56" s="1"/>
  <c r="S24" i="55"/>
  <c r="Z68" i="56" s="1"/>
  <c r="AJ24" i="55"/>
  <c r="AQ68" i="56" s="1"/>
  <c r="U61" i="55"/>
  <c r="AB105" i="56" s="1"/>
  <c r="L11" i="55"/>
  <c r="S55" i="56" s="1"/>
  <c r="AD13" i="55"/>
  <c r="AK57" i="56" s="1"/>
  <c r="AJ13" i="55"/>
  <c r="AQ57" i="56" s="1"/>
  <c r="T13" i="55"/>
  <c r="AA57" i="56" s="1"/>
  <c r="Q13" i="55"/>
  <c r="X57" i="56" s="1"/>
  <c r="AF13" i="55"/>
  <c r="AM57" i="56" s="1"/>
  <c r="O13" i="55"/>
  <c r="V57" i="56" s="1"/>
  <c r="AI13" i="55"/>
  <c r="AP57" i="56" s="1"/>
  <c r="Y13" i="55"/>
  <c r="AF57" i="56" s="1"/>
  <c r="Z13" i="55"/>
  <c r="AG57" i="56" s="1"/>
  <c r="S13" i="55"/>
  <c r="Z57" i="56" s="1"/>
  <c r="AJ11" i="55"/>
  <c r="AQ55" i="56" s="1"/>
  <c r="Q11" i="55"/>
  <c r="X55" i="56" s="1"/>
  <c r="Y11" i="55"/>
  <c r="AF55" i="56" s="1"/>
  <c r="AD11" i="55"/>
  <c r="AK55" i="56" s="1"/>
  <c r="AF11" i="55"/>
  <c r="AM55" i="56" s="1"/>
  <c r="S11" i="55"/>
  <c r="Z55" i="56" s="1"/>
  <c r="Z11" i="55"/>
  <c r="AG55" i="56" s="1"/>
  <c r="W11" i="55"/>
  <c r="AD55" i="56" s="1"/>
  <c r="M27" i="55"/>
  <c r="T71" i="56" s="1"/>
  <c r="AB64" i="55"/>
  <c r="AI108" i="56" s="1"/>
  <c r="T64" i="55"/>
  <c r="AA108" i="56" s="1"/>
  <c r="K64" i="55"/>
  <c r="R108" i="56" s="1"/>
  <c r="AB17" i="55"/>
  <c r="AI61" i="56" s="1"/>
  <c r="AI17" i="55"/>
  <c r="AP61" i="56" s="1"/>
  <c r="Z17" i="55"/>
  <c r="AG61" i="56" s="1"/>
  <c r="Y17" i="55"/>
  <c r="AF61" i="56" s="1"/>
  <c r="Q17" i="55"/>
  <c r="X61" i="56" s="1"/>
  <c r="M17" i="55"/>
  <c r="T61" i="56" s="1"/>
  <c r="AF17" i="55"/>
  <c r="AM61" i="56" s="1"/>
  <c r="R17" i="55"/>
  <c r="Y61" i="56" s="1"/>
  <c r="AD17" i="55"/>
  <c r="AK61" i="56" s="1"/>
  <c r="R11" i="55"/>
  <c r="Y55" i="56" s="1"/>
  <c r="AJ9" i="55"/>
  <c r="AQ53" i="56" s="1"/>
  <c r="Q9" i="55"/>
  <c r="X53" i="56" s="1"/>
  <c r="AD9" i="55"/>
  <c r="AK53" i="56" s="1"/>
  <c r="AB9" i="55"/>
  <c r="AI53" i="56" s="1"/>
  <c r="AF9" i="55"/>
  <c r="AM53" i="56" s="1"/>
  <c r="T9" i="55"/>
  <c r="AA53" i="56" s="1"/>
  <c r="Z9" i="55"/>
  <c r="AG53" i="56" s="1"/>
  <c r="Y9" i="55"/>
  <c r="AF53" i="56" s="1"/>
  <c r="AI9" i="55"/>
  <c r="AP53" i="56" s="1"/>
  <c r="AB12" i="55"/>
  <c r="AI56" i="56" s="1"/>
  <c r="Z12" i="55"/>
  <c r="AG56" i="56" s="1"/>
  <c r="T12" i="55"/>
  <c r="AA56" i="56" s="1"/>
  <c r="AI12" i="55"/>
  <c r="AP56" i="56" s="1"/>
  <c r="AJ12" i="55"/>
  <c r="AQ56" i="56" s="1"/>
  <c r="AD12" i="55"/>
  <c r="AK56" i="56" s="1"/>
  <c r="W12" i="55"/>
  <c r="AD56" i="56" s="1"/>
  <c r="AF12" i="55"/>
  <c r="AM56" i="56" s="1"/>
  <c r="Q12" i="55"/>
  <c r="X56" i="56" s="1"/>
  <c r="Y12" i="55"/>
  <c r="AF56" i="56" s="1"/>
  <c r="T19" i="55"/>
  <c r="AA63" i="56" s="1"/>
  <c r="AI19" i="55"/>
  <c r="AP63" i="56" s="1"/>
  <c r="AB19" i="55"/>
  <c r="AI63" i="56" s="1"/>
  <c r="AK19" i="55"/>
  <c r="AR63" i="56" s="1"/>
  <c r="AJ19" i="55"/>
  <c r="AQ63" i="56" s="1"/>
  <c r="O19" i="55"/>
  <c r="V63" i="56" s="1"/>
  <c r="AH19" i="55"/>
  <c r="AO63" i="56" s="1"/>
  <c r="AF19" i="55"/>
  <c r="AM63" i="56" s="1"/>
  <c r="Y19" i="55"/>
  <c r="AF63" i="56" s="1"/>
  <c r="W19" i="55"/>
  <c r="AD63" i="56" s="1"/>
  <c r="Z19" i="55"/>
  <c r="AG63" i="56" s="1"/>
  <c r="R19" i="55"/>
  <c r="Y63" i="56" s="1"/>
  <c r="S19" i="55"/>
  <c r="Z63" i="56" s="1"/>
  <c r="Q19" i="55"/>
  <c r="X63" i="56" s="1"/>
  <c r="AD19" i="55"/>
  <c r="AK63" i="56" s="1"/>
  <c r="L19" i="55"/>
  <c r="S63" i="56" s="1"/>
  <c r="AA19" i="55"/>
  <c r="AH63" i="56" s="1"/>
  <c r="M19" i="55"/>
  <c r="T63" i="56" s="1"/>
  <c r="U19" i="55"/>
  <c r="AB63" i="56" s="1"/>
  <c r="X37" i="55"/>
  <c r="AE81" i="56" s="1"/>
  <c r="T37" i="55"/>
  <c r="AA81" i="56" s="1"/>
  <c r="AF37" i="55"/>
  <c r="AM81" i="56" s="1"/>
  <c r="AL37" i="55"/>
  <c r="AS81" i="56" s="1"/>
  <c r="N37" i="55"/>
  <c r="U81" i="56" s="1"/>
  <c r="K37" i="55"/>
  <c r="R81" i="56" s="1"/>
  <c r="AB37" i="55"/>
  <c r="AI81" i="56" s="1"/>
  <c r="AH37" i="55"/>
  <c r="AO81" i="56" s="1"/>
  <c r="U37" i="55"/>
  <c r="AB81" i="56" s="1"/>
  <c r="R37" i="55"/>
  <c r="Y81" i="56" s="1"/>
  <c r="AA37" i="55"/>
  <c r="AH81" i="56" s="1"/>
  <c r="AK37" i="55"/>
  <c r="AR81" i="56" s="1"/>
  <c r="AE37" i="55"/>
  <c r="AL81" i="56" s="1"/>
  <c r="AI37" i="55"/>
  <c r="AP81" i="56" s="1"/>
  <c r="AG37" i="55"/>
  <c r="AN81" i="56" s="1"/>
  <c r="L37" i="55"/>
  <c r="S81" i="56" s="1"/>
  <c r="P37" i="55"/>
  <c r="W81" i="56" s="1"/>
  <c r="O37" i="55"/>
  <c r="V81" i="56" s="1"/>
  <c r="AJ37" i="55"/>
  <c r="AQ81" i="56" s="1"/>
  <c r="Q37" i="55"/>
  <c r="X81" i="56" s="1"/>
  <c r="S37" i="55"/>
  <c r="Z81" i="56" s="1"/>
  <c r="AD37" i="55"/>
  <c r="AK81" i="56" s="1"/>
  <c r="Y37" i="55"/>
  <c r="AF81" i="56" s="1"/>
  <c r="Z37" i="55"/>
  <c r="AG81" i="56" s="1"/>
  <c r="V37" i="55"/>
  <c r="AC81" i="56" s="1"/>
  <c r="AC37" i="55"/>
  <c r="AJ81" i="56" s="1"/>
  <c r="M37" i="55"/>
  <c r="T81" i="56" s="1"/>
  <c r="W37" i="55"/>
  <c r="AD81" i="56" s="1"/>
  <c r="R27" i="55"/>
  <c r="Y71" i="56" s="1"/>
  <c r="S27" i="55"/>
  <c r="Z71" i="56" s="1"/>
  <c r="T27" i="55"/>
  <c r="AA71" i="56" s="1"/>
  <c r="O27" i="55"/>
  <c r="V71" i="56" s="1"/>
  <c r="AI27" i="55"/>
  <c r="AP71" i="56" s="1"/>
  <c r="AF27" i="55"/>
  <c r="AM71" i="56" s="1"/>
  <c r="AK27" i="55"/>
  <c r="AR71" i="56" s="1"/>
  <c r="AJ27" i="55"/>
  <c r="AQ71" i="56" s="1"/>
  <c r="Y27" i="55"/>
  <c r="AF71" i="56" s="1"/>
  <c r="W27" i="55"/>
  <c r="AD71" i="56" s="1"/>
  <c r="Q27" i="55"/>
  <c r="X71" i="56" s="1"/>
  <c r="Z27" i="55"/>
  <c r="AG71" i="56" s="1"/>
  <c r="AD27" i="55"/>
  <c r="AK71" i="56" s="1"/>
  <c r="W26" i="55"/>
  <c r="AD70" i="56" s="1"/>
  <c r="S26" i="55"/>
  <c r="Z70" i="56" s="1"/>
  <c r="O26" i="55"/>
  <c r="V70" i="56" s="1"/>
  <c r="AI26" i="55"/>
  <c r="AP70" i="56" s="1"/>
  <c r="T26" i="55"/>
  <c r="AA70" i="56" s="1"/>
  <c r="Q26" i="55"/>
  <c r="X70" i="56" s="1"/>
  <c r="AD26" i="55"/>
  <c r="AK70" i="56" s="1"/>
  <c r="AJ26" i="55"/>
  <c r="AQ70" i="56" s="1"/>
  <c r="AB26" i="55"/>
  <c r="AI70" i="56" s="1"/>
  <c r="AK26" i="55"/>
  <c r="AR70" i="56" s="1"/>
  <c r="AF26" i="55"/>
  <c r="AM70" i="56" s="1"/>
  <c r="U26" i="55"/>
  <c r="AB70" i="56" s="1"/>
  <c r="Y26" i="55"/>
  <c r="AF70" i="56" s="1"/>
  <c r="Z26" i="55"/>
  <c r="AG70" i="56" s="1"/>
  <c r="M39" i="10"/>
  <c r="AA77" i="48"/>
  <c r="AA14" i="55"/>
  <c r="AH58" i="56" s="1"/>
  <c r="AA16" i="55"/>
  <c r="AH60" i="56" s="1"/>
  <c r="I9" i="49"/>
  <c r="AI17" i="48"/>
  <c r="AO49" i="49" s="1"/>
  <c r="AK12" i="55"/>
  <c r="AR56" i="56" s="1"/>
  <c r="AK15" i="55"/>
  <c r="AR59" i="56" s="1"/>
  <c r="AK24" i="55"/>
  <c r="AR68" i="56" s="1"/>
  <c r="AK13" i="55"/>
  <c r="AR57" i="56" s="1"/>
  <c r="AK20" i="55"/>
  <c r="AR64" i="56" s="1"/>
  <c r="AK10" i="55"/>
  <c r="AR54" i="56" s="1"/>
  <c r="AK21" i="55"/>
  <c r="AR65" i="56" s="1"/>
  <c r="AK11" i="55"/>
  <c r="AR55" i="56" s="1"/>
  <c r="AK32" i="55"/>
  <c r="AR76" i="56" s="1"/>
  <c r="AK9" i="55"/>
  <c r="AR53" i="56" s="1"/>
  <c r="O25" i="55"/>
  <c r="V69" i="56" s="1"/>
  <c r="AB25" i="55"/>
  <c r="AI69" i="56" s="1"/>
  <c r="R25" i="55"/>
  <c r="Y69" i="56" s="1"/>
  <c r="AD25" i="55"/>
  <c r="AK69" i="56" s="1"/>
  <c r="Y25" i="55"/>
  <c r="AF69" i="56" s="1"/>
  <c r="S25" i="55"/>
  <c r="Z69" i="56" s="1"/>
  <c r="AI25" i="55"/>
  <c r="AP69" i="56" s="1"/>
  <c r="AJ25" i="55"/>
  <c r="AQ69" i="56" s="1"/>
  <c r="Q25" i="55"/>
  <c r="X69" i="56" s="1"/>
  <c r="Z25" i="55"/>
  <c r="AG69" i="56" s="1"/>
  <c r="AH25" i="55"/>
  <c r="AO69" i="56" s="1"/>
  <c r="AF25" i="55"/>
  <c r="AM69" i="56" s="1"/>
  <c r="T25" i="55"/>
  <c r="AA69" i="56" s="1"/>
  <c r="W25" i="55"/>
  <c r="AD69" i="56" s="1"/>
  <c r="AK25" i="55"/>
  <c r="AR69" i="56" s="1"/>
  <c r="AK14" i="55"/>
  <c r="AR58" i="56" s="1"/>
  <c r="W14" i="55"/>
  <c r="AD58" i="56" s="1"/>
  <c r="R14" i="55"/>
  <c r="Y58" i="56" s="1"/>
  <c r="S14" i="55"/>
  <c r="Z58" i="56" s="1"/>
  <c r="AB14" i="55"/>
  <c r="AI58" i="56" s="1"/>
  <c r="AI14" i="55"/>
  <c r="AP58" i="56" s="1"/>
  <c r="AD14" i="55"/>
  <c r="AK58" i="56" s="1"/>
  <c r="AJ14" i="55"/>
  <c r="AQ58" i="56" s="1"/>
  <c r="Z14" i="55"/>
  <c r="AG58" i="56" s="1"/>
  <c r="O14" i="55"/>
  <c r="V58" i="56" s="1"/>
  <c r="Q14" i="55"/>
  <c r="X58" i="56" s="1"/>
  <c r="U14" i="55"/>
  <c r="AB58" i="56" s="1"/>
  <c r="T14" i="55"/>
  <c r="AA58" i="56" s="1"/>
  <c r="Y14" i="55"/>
  <c r="AF58" i="56" s="1"/>
  <c r="AF14" i="55"/>
  <c r="AM58" i="56" s="1"/>
  <c r="AK18" i="55"/>
  <c r="AR62" i="56" s="1"/>
  <c r="O18" i="55"/>
  <c r="V62" i="56" s="1"/>
  <c r="AB18" i="55"/>
  <c r="AI62" i="56" s="1"/>
  <c r="R18" i="55"/>
  <c r="Y62" i="56" s="1"/>
  <c r="Q18" i="55"/>
  <c r="X62" i="56" s="1"/>
  <c r="W18" i="55"/>
  <c r="AD62" i="56" s="1"/>
  <c r="AJ18" i="55"/>
  <c r="AQ62" i="56" s="1"/>
  <c r="AF18" i="55"/>
  <c r="AM62" i="56" s="1"/>
  <c r="T18" i="55"/>
  <c r="AA62" i="56" s="1"/>
  <c r="S18" i="55"/>
  <c r="Z62" i="56" s="1"/>
  <c r="M18" i="55"/>
  <c r="T62" i="56" s="1"/>
  <c r="AI18" i="55"/>
  <c r="AP62" i="56" s="1"/>
  <c r="Z18" i="55"/>
  <c r="AG62" i="56" s="1"/>
  <c r="AD18" i="55"/>
  <c r="AK62" i="56" s="1"/>
  <c r="Y18" i="55"/>
  <c r="AF62" i="56" s="1"/>
  <c r="J23" i="55"/>
  <c r="I23" i="55" s="1"/>
  <c r="AE23" i="55" s="1"/>
  <c r="AL67" i="56" s="1"/>
  <c r="I22" i="55"/>
  <c r="X22" i="55" s="1"/>
  <c r="AE66" i="56" s="1"/>
  <c r="X141" i="42"/>
  <c r="X181" i="42" s="1"/>
  <c r="Y58" i="48"/>
  <c r="Y86" i="48" s="1"/>
  <c r="X101" i="42"/>
  <c r="X155" i="42" s="1"/>
  <c r="Y55" i="48" s="1"/>
  <c r="Y83" i="48" s="1"/>
  <c r="V105" i="42"/>
  <c r="V158" i="42" s="1"/>
  <c r="W58" i="48" s="1"/>
  <c r="W86" i="48" s="1"/>
  <c r="AG58" i="48"/>
  <c r="AG86" i="48" s="1"/>
  <c r="Z116" i="42"/>
  <c r="AG153" i="42"/>
  <c r="AH53" i="48" s="1"/>
  <c r="AH81" i="48" s="1"/>
  <c r="AC41" i="42"/>
  <c r="X41" i="42"/>
  <c r="AB41" i="42"/>
  <c r="AA48" i="42"/>
  <c r="Y69" i="42"/>
  <c r="AC69" i="42"/>
  <c r="AC10" i="42"/>
  <c r="AC12" i="42" s="1"/>
  <c r="I69" i="42"/>
  <c r="AB62" i="42"/>
  <c r="R48" i="42"/>
  <c r="AF69" i="42"/>
  <c r="I24" i="49"/>
  <c r="C74" i="49"/>
  <c r="M55" i="42"/>
  <c r="J127" i="42"/>
  <c r="J128" i="42" s="1"/>
  <c r="X103" i="42"/>
  <c r="X156" i="42" s="1"/>
  <c r="Y56" i="48" s="1"/>
  <c r="Y84" i="48" s="1"/>
  <c r="M58" i="48"/>
  <c r="M86" i="48" s="1"/>
  <c r="R58" i="48"/>
  <c r="R86" i="48" s="1"/>
  <c r="R122" i="42"/>
  <c r="R161" i="42" s="1"/>
  <c r="S61" i="48" s="1"/>
  <c r="Q58" i="48"/>
  <c r="Q86" i="48" s="1"/>
  <c r="V58" i="48"/>
  <c r="V86" i="48" s="1"/>
  <c r="R132" i="42"/>
  <c r="R172" i="42" s="1"/>
  <c r="M34" i="42"/>
  <c r="K34" i="42"/>
  <c r="Q146" i="48"/>
  <c r="W116" i="49" s="1"/>
  <c r="Q101" i="42"/>
  <c r="Q155" i="42" s="1"/>
  <c r="R55" i="48" s="1"/>
  <c r="R83" i="48" s="1"/>
  <c r="K103" i="42"/>
  <c r="K156" i="42" s="1"/>
  <c r="L56" i="48" s="1"/>
  <c r="L84" i="48" s="1"/>
  <c r="AC101" i="42"/>
  <c r="AC155" i="42" s="1"/>
  <c r="AD55" i="48" s="1"/>
  <c r="AD83" i="48" s="1"/>
  <c r="AG133" i="42"/>
  <c r="AG173" i="42" s="1"/>
  <c r="AE58" i="48"/>
  <c r="AE86" i="48" s="1"/>
  <c r="Y19" i="42"/>
  <c r="D109" i="49"/>
  <c r="AJ64" i="49"/>
  <c r="W64" i="49"/>
  <c r="Y64" i="49"/>
  <c r="D88" i="49"/>
  <c r="AN64" i="49"/>
  <c r="E64" i="49"/>
  <c r="AP64" i="49"/>
  <c r="AD64" i="49"/>
  <c r="AI64" i="49"/>
  <c r="AB64" i="49"/>
  <c r="AO64" i="49"/>
  <c r="AG64" i="49"/>
  <c r="AF64" i="49"/>
  <c r="Q64" i="49"/>
  <c r="AK64" i="49"/>
  <c r="Z64" i="49"/>
  <c r="AL64" i="49"/>
  <c r="O64" i="49"/>
  <c r="AE64" i="49"/>
  <c r="P64" i="49"/>
  <c r="D66" i="49"/>
  <c r="E26" i="49"/>
  <c r="I26" i="49" s="1"/>
  <c r="K26" i="49"/>
  <c r="L48" i="42"/>
  <c r="AB48" i="42"/>
  <c r="R62" i="42"/>
  <c r="AF48" i="42"/>
  <c r="J51" i="49"/>
  <c r="H133" i="42"/>
  <c r="H143" i="42" s="1"/>
  <c r="AC58" i="48"/>
  <c r="AC86" i="48" s="1"/>
  <c r="H105" i="42"/>
  <c r="H158" i="42" s="1"/>
  <c r="I58" i="48" s="1"/>
  <c r="I86" i="48" s="1"/>
  <c r="T125" i="42"/>
  <c r="T168" i="42" s="1"/>
  <c r="U68" i="48" s="1"/>
  <c r="U96" i="48" s="1"/>
  <c r="X58" i="48"/>
  <c r="X86" i="48" s="1"/>
  <c r="AI58" i="48"/>
  <c r="AI86" i="48" s="1"/>
  <c r="U122" i="42"/>
  <c r="U161" i="42" s="1"/>
  <c r="V61" i="48" s="1"/>
  <c r="I116" i="42"/>
  <c r="W90" i="42"/>
  <c r="AI34" i="42"/>
  <c r="H34" i="42"/>
  <c r="X19" i="42"/>
  <c r="L76" i="42"/>
  <c r="AG76" i="42"/>
  <c r="AE10" i="42"/>
  <c r="AE12" i="42" s="1"/>
  <c r="AE69" i="42"/>
  <c r="K83" i="42"/>
  <c r="AB83" i="42"/>
  <c r="S41" i="42"/>
  <c r="Y48" i="42"/>
  <c r="M62" i="42"/>
  <c r="N69" i="42"/>
  <c r="AA54" i="42"/>
  <c r="AA137" i="42" s="1"/>
  <c r="AA143" i="42" s="1"/>
  <c r="AF111" i="42"/>
  <c r="AD126" i="42"/>
  <c r="X147" i="48"/>
  <c r="AD120" i="49" s="1"/>
  <c r="T58" i="48"/>
  <c r="T86" i="48" s="1"/>
  <c r="J58" i="48"/>
  <c r="J86" i="48" s="1"/>
  <c r="Y147" i="48"/>
  <c r="AE120" i="49" s="1"/>
  <c r="I110" i="42"/>
  <c r="AB157" i="42"/>
  <c r="AC57" i="48" s="1"/>
  <c r="AC85" i="48" s="1"/>
  <c r="Z58" i="48"/>
  <c r="Z86" i="48" s="1"/>
  <c r="P58" i="48"/>
  <c r="P86" i="48" s="1"/>
  <c r="O19" i="42"/>
  <c r="O26" i="42"/>
  <c r="N48" i="42"/>
  <c r="H41" i="42"/>
  <c r="T62" i="42"/>
  <c r="X9" i="42"/>
  <c r="X12" i="42" s="1"/>
  <c r="X69" i="42"/>
  <c r="AB69" i="42"/>
  <c r="AB9" i="42"/>
  <c r="AB12" i="42" s="1"/>
  <c r="J66" i="49"/>
  <c r="Q126" i="42"/>
  <c r="U58" i="48"/>
  <c r="U86" i="48" s="1"/>
  <c r="N58" i="48"/>
  <c r="N86" i="48" s="1"/>
  <c r="K135" i="42"/>
  <c r="K175" i="42" s="1"/>
  <c r="AB153" i="42"/>
  <c r="AC53" i="48" s="1"/>
  <c r="AC81" i="48" s="1"/>
  <c r="AF58" i="48"/>
  <c r="AF86" i="48" s="1"/>
  <c r="AH19" i="42"/>
  <c r="O55" i="42"/>
  <c r="Q69" i="42"/>
  <c r="AC67" i="49"/>
  <c r="AM67" i="49"/>
  <c r="T67" i="49"/>
  <c r="AB67" i="49"/>
  <c r="AF67" i="49"/>
  <c r="AJ67" i="49"/>
  <c r="U67" i="49"/>
  <c r="P67" i="49"/>
  <c r="U41" i="42"/>
  <c r="T41" i="42"/>
  <c r="AG48" i="42"/>
  <c r="J41" i="42"/>
  <c r="N8" i="42"/>
  <c r="N112" i="42" s="1"/>
  <c r="N164" i="42" s="1"/>
  <c r="O64" i="48" s="1"/>
  <c r="O92" i="48" s="1"/>
  <c r="M40" i="10"/>
  <c r="AH58" i="48"/>
  <c r="AH86" i="48" s="1"/>
  <c r="AJ58" i="48"/>
  <c r="AJ86" i="48" s="1"/>
  <c r="V153" i="42"/>
  <c r="W53" i="48" s="1"/>
  <c r="W81" i="48" s="1"/>
  <c r="L58" i="48"/>
  <c r="L86" i="48" s="1"/>
  <c r="I147" i="48"/>
  <c r="O120" i="49" s="1"/>
  <c r="Y112" i="42"/>
  <c r="Y164" i="42" s="1"/>
  <c r="Z64" i="48" s="1"/>
  <c r="Z92" i="48" s="1"/>
  <c r="L103" i="42"/>
  <c r="L156" i="42" s="1"/>
  <c r="M56" i="48" s="1"/>
  <c r="M84" i="48" s="1"/>
  <c r="R34" i="42"/>
  <c r="T19" i="42"/>
  <c r="AD19" i="42"/>
  <c r="A74" i="49"/>
  <c r="A95" i="49"/>
  <c r="T48" i="42"/>
  <c r="AI41" i="42"/>
  <c r="AF41" i="42"/>
  <c r="W62" i="42"/>
  <c r="S9" i="42"/>
  <c r="S12" i="42" s="1"/>
  <c r="S69" i="42"/>
  <c r="J69" i="42"/>
  <c r="P66" i="49"/>
  <c r="AE26" i="55"/>
  <c r="AL70" i="56" s="1"/>
  <c r="AE21" i="55"/>
  <c r="AL65" i="56" s="1"/>
  <c r="AE11" i="55"/>
  <c r="AL55" i="56" s="1"/>
  <c r="AE16" i="55"/>
  <c r="AL60" i="56" s="1"/>
  <c r="AE22" i="55"/>
  <c r="AL66" i="56" s="1"/>
  <c r="AE19" i="55"/>
  <c r="AL63" i="56" s="1"/>
  <c r="AE14" i="55"/>
  <c r="AL58" i="56" s="1"/>
  <c r="AE17" i="55"/>
  <c r="AL61" i="56" s="1"/>
  <c r="AE12" i="55"/>
  <c r="AL56" i="56" s="1"/>
  <c r="AE10" i="55"/>
  <c r="AL54" i="56" s="1"/>
  <c r="AE32" i="55"/>
  <c r="AL76" i="56" s="1"/>
  <c r="AE9" i="55"/>
  <c r="AL53" i="56" s="1"/>
  <c r="AE15" i="55"/>
  <c r="AL59" i="56" s="1"/>
  <c r="AL52" i="56"/>
  <c r="AE18" i="55"/>
  <c r="AL62" i="56" s="1"/>
  <c r="AE27" i="55"/>
  <c r="AL71" i="56" s="1"/>
  <c r="AE25" i="55"/>
  <c r="AL69" i="56" s="1"/>
  <c r="AC17" i="48"/>
  <c r="AI49" i="49" s="1"/>
  <c r="AE13" i="55"/>
  <c r="AL57" i="56" s="1"/>
  <c r="X15" i="55"/>
  <c r="AE59" i="56" s="1"/>
  <c r="X27" i="55"/>
  <c r="AE71" i="56" s="1"/>
  <c r="X10" i="55"/>
  <c r="AE54" i="56" s="1"/>
  <c r="X11" i="55"/>
  <c r="AE55" i="56" s="1"/>
  <c r="X23" i="55"/>
  <c r="AE67" i="56" s="1"/>
  <c r="X32" i="55"/>
  <c r="AE76" i="56" s="1"/>
  <c r="X26" i="55"/>
  <c r="AE70" i="56" s="1"/>
  <c r="X20" i="55"/>
  <c r="AE64" i="56" s="1"/>
  <c r="X21" i="55"/>
  <c r="AE65" i="56" s="1"/>
  <c r="X14" i="55"/>
  <c r="AE58" i="56" s="1"/>
  <c r="X17" i="55"/>
  <c r="AE61" i="56" s="1"/>
  <c r="X19" i="55"/>
  <c r="AE63" i="56" s="1"/>
  <c r="X12" i="55"/>
  <c r="AE56" i="56" s="1"/>
  <c r="AE52" i="56"/>
  <c r="X24" i="55"/>
  <c r="AE68" i="56" s="1"/>
  <c r="X25" i="55"/>
  <c r="AE69" i="56" s="1"/>
  <c r="V17" i="48"/>
  <c r="AB49" i="49" s="1"/>
  <c r="X18" i="55"/>
  <c r="AE62" i="56" s="1"/>
  <c r="X13" i="55"/>
  <c r="AE57" i="56" s="1"/>
  <c r="X9" i="55"/>
  <c r="AE53" i="56" s="1"/>
  <c r="X16" i="55"/>
  <c r="AE60" i="56" s="1"/>
  <c r="S200" i="56"/>
  <c r="V147" i="48"/>
  <c r="AB120" i="49" s="1"/>
  <c r="Z164" i="42"/>
  <c r="AA64" i="48" s="1"/>
  <c r="AA92" i="48" s="1"/>
  <c r="U153" i="42"/>
  <c r="V53" i="48" s="1"/>
  <c r="V81" i="48" s="1"/>
  <c r="S166" i="42"/>
  <c r="T66" i="48" s="1"/>
  <c r="T94" i="48" s="1"/>
  <c r="P150" i="42"/>
  <c r="Q49" i="48" s="1"/>
  <c r="Q77" i="48" s="1"/>
  <c r="P147" i="48"/>
  <c r="V120" i="49" s="1"/>
  <c r="AF147" i="48"/>
  <c r="AL120" i="49" s="1"/>
  <c r="S170" i="42"/>
  <c r="T70" i="48" s="1"/>
  <c r="T98" i="48" s="1"/>
  <c r="AH150" i="42"/>
  <c r="AI49" i="48" s="1"/>
  <c r="AI77" i="48" s="1"/>
  <c r="AH147" i="48"/>
  <c r="AN120" i="49" s="1"/>
  <c r="P52" i="42"/>
  <c r="P55" i="42" s="1"/>
  <c r="P26" i="42"/>
  <c r="I56" i="48"/>
  <c r="I84" i="48" s="1"/>
  <c r="B40" i="55"/>
  <c r="K84" i="56" s="1"/>
  <c r="M74" i="10"/>
  <c r="L210" i="56"/>
  <c r="AG126" i="42"/>
  <c r="AH170" i="42"/>
  <c r="AI70" i="48" s="1"/>
  <c r="AF11" i="50" s="1"/>
  <c r="AD166" i="42"/>
  <c r="AE66" i="48" s="1"/>
  <c r="AE94" i="48" s="1"/>
  <c r="R134" i="42"/>
  <c r="R174" i="42" s="1"/>
  <c r="Y110" i="42"/>
  <c r="J150" i="42"/>
  <c r="K49" i="48" s="1"/>
  <c r="K77" i="48" s="1"/>
  <c r="AA56" i="48"/>
  <c r="AA84" i="48" s="1"/>
  <c r="AI56" i="48"/>
  <c r="AI84" i="48" s="1"/>
  <c r="M112" i="42"/>
  <c r="N145" i="48" s="1"/>
  <c r="AJ56" i="48"/>
  <c r="AJ84" i="48" s="1"/>
  <c r="P34" i="42"/>
  <c r="Z26" i="42"/>
  <c r="I26" i="42"/>
  <c r="J58" i="49"/>
  <c r="U150" i="42"/>
  <c r="V49" i="48" s="1"/>
  <c r="V77" i="48" s="1"/>
  <c r="AA169" i="42"/>
  <c r="AB69" i="48" s="1"/>
  <c r="AB97" i="48" s="1"/>
  <c r="AG111" i="42"/>
  <c r="L157" i="42"/>
  <c r="M57" i="48" s="1"/>
  <c r="M85" i="48" s="1"/>
  <c r="X56" i="48"/>
  <c r="X84" i="48" s="1"/>
  <c r="AH157" i="42"/>
  <c r="AI57" i="48" s="1"/>
  <c r="AI85" i="48" s="1"/>
  <c r="K56" i="48"/>
  <c r="K84" i="48" s="1"/>
  <c r="AI74" i="49"/>
  <c r="S74" i="49"/>
  <c r="P74" i="49"/>
  <c r="AF74" i="49"/>
  <c r="AO74" i="49"/>
  <c r="X74" i="49"/>
  <c r="Y74" i="49"/>
  <c r="AA74" i="49"/>
  <c r="AN74" i="49"/>
  <c r="AH74" i="49"/>
  <c r="AL74" i="49"/>
  <c r="AP74" i="49"/>
  <c r="AE74" i="49"/>
  <c r="V74" i="49"/>
  <c r="T74" i="49"/>
  <c r="W74" i="49"/>
  <c r="AM74" i="49"/>
  <c r="Q74" i="49"/>
  <c r="AC74" i="49"/>
  <c r="AB74" i="49"/>
  <c r="Y52" i="42"/>
  <c r="Y55" i="42" s="1"/>
  <c r="Y26" i="42"/>
  <c r="H52" i="42"/>
  <c r="H55" i="42" s="1"/>
  <c r="H26" i="42"/>
  <c r="X52" i="42"/>
  <c r="X55" i="42" s="1"/>
  <c r="X26" i="42"/>
  <c r="Z55" i="42"/>
  <c r="I55" i="42"/>
  <c r="J75" i="49"/>
  <c r="J96" i="49"/>
  <c r="T76" i="42"/>
  <c r="U10" i="42"/>
  <c r="U12" i="42" s="1"/>
  <c r="U69" i="42"/>
  <c r="R69" i="42"/>
  <c r="AG69" i="42"/>
  <c r="N34" i="42"/>
  <c r="L214" i="56"/>
  <c r="M78" i="10"/>
  <c r="T26" i="42"/>
  <c r="Z123" i="42"/>
  <c r="M75" i="10"/>
  <c r="L211" i="56"/>
  <c r="M77" i="10"/>
  <c r="L213" i="56"/>
  <c r="AH37" i="17"/>
  <c r="H123" i="42"/>
  <c r="H150" i="42"/>
  <c r="I49" i="48" s="1"/>
  <c r="I77" i="48" s="1"/>
  <c r="AG34" i="42"/>
  <c r="AB26" i="42"/>
  <c r="AB52" i="42"/>
  <c r="AB55" i="42" s="1"/>
  <c r="R52" i="42"/>
  <c r="R55" i="42" s="1"/>
  <c r="R26" i="42"/>
  <c r="B123" i="49"/>
  <c r="B125" i="49"/>
  <c r="AI125" i="49" s="1"/>
  <c r="B130" i="49"/>
  <c r="B121" i="49"/>
  <c r="B122" i="49"/>
  <c r="B68" i="49"/>
  <c r="B129" i="49"/>
  <c r="B131" i="49"/>
  <c r="B124" i="49"/>
  <c r="AI124" i="49" s="1"/>
  <c r="B128" i="49"/>
  <c r="B126" i="49"/>
  <c r="B132" i="49"/>
  <c r="B127" i="49"/>
  <c r="AG26" i="42"/>
  <c r="AI69" i="42"/>
  <c r="J52" i="42"/>
  <c r="J55" i="42" s="1"/>
  <c r="J26" i="42"/>
  <c r="K16" i="49"/>
  <c r="D117" i="49"/>
  <c r="K117" i="49" s="1"/>
  <c r="T10" i="42"/>
  <c r="T12" i="42" s="1"/>
  <c r="T69" i="42"/>
  <c r="M32" i="10"/>
  <c r="AF123" i="42"/>
  <c r="AE150" i="42"/>
  <c r="AF49" i="48" s="1"/>
  <c r="AF77" i="48" s="1"/>
  <c r="V56" i="48"/>
  <c r="V84" i="48" s="1"/>
  <c r="P56" i="48"/>
  <c r="P84" i="48" s="1"/>
  <c r="T153" i="42"/>
  <c r="U53" i="48" s="1"/>
  <c r="U81" i="48" s="1"/>
  <c r="Z56" i="48"/>
  <c r="Z84" i="48" s="1"/>
  <c r="AI150" i="42"/>
  <c r="AJ49" i="48" s="1"/>
  <c r="AJ77" i="48" s="1"/>
  <c r="AI110" i="42"/>
  <c r="AI160" i="42" s="1"/>
  <c r="AJ60" i="48" s="1"/>
  <c r="AJ88" i="48" s="1"/>
  <c r="N56" i="48"/>
  <c r="N84" i="48" s="1"/>
  <c r="V52" i="42"/>
  <c r="V55" i="42" s="1"/>
  <c r="V26" i="42"/>
  <c r="V19" i="42"/>
  <c r="C99" i="48"/>
  <c r="L28" i="49"/>
  <c r="I28" i="49" s="1"/>
  <c r="AG55" i="42"/>
  <c r="N26" i="42"/>
  <c r="K32" i="56"/>
  <c r="K210" i="56" s="1"/>
  <c r="E210" i="56"/>
  <c r="K34" i="56"/>
  <c r="E212" i="56"/>
  <c r="D56" i="49"/>
  <c r="D80" i="49" s="1"/>
  <c r="K45" i="56"/>
  <c r="B76" i="55" s="1"/>
  <c r="K120" i="56" s="1"/>
  <c r="K23" i="49"/>
  <c r="J21" i="49"/>
  <c r="J61" i="49" s="1"/>
  <c r="M58" i="10"/>
  <c r="M76" i="10"/>
  <c r="L212" i="56"/>
  <c r="O157" i="42"/>
  <c r="P57" i="48" s="1"/>
  <c r="P85" i="48" s="1"/>
  <c r="AA130" i="42"/>
  <c r="W56" i="48"/>
  <c r="W84" i="48" s="1"/>
  <c r="AF56" i="48"/>
  <c r="AF84" i="48" s="1"/>
  <c r="S56" i="48"/>
  <c r="S84" i="48" s="1"/>
  <c r="J56" i="48"/>
  <c r="J84" i="48" s="1"/>
  <c r="E62" i="49"/>
  <c r="D86" i="49"/>
  <c r="AE34" i="42"/>
  <c r="M19" i="42"/>
  <c r="D98" i="49"/>
  <c r="E53" i="49"/>
  <c r="D77" i="49"/>
  <c r="K26" i="42"/>
  <c r="D82" i="49"/>
  <c r="E58" i="49"/>
  <c r="D103" i="49"/>
  <c r="AD69" i="42"/>
  <c r="N55" i="42"/>
  <c r="K33" i="56"/>
  <c r="K211" i="56" s="1"/>
  <c r="E211" i="56"/>
  <c r="M79" i="10"/>
  <c r="L215" i="56"/>
  <c r="B133" i="55"/>
  <c r="K171" i="56" s="1"/>
  <c r="K215" i="56"/>
  <c r="L78" i="10"/>
  <c r="K214" i="56"/>
  <c r="AF153" i="42"/>
  <c r="AG53" i="48" s="1"/>
  <c r="AG81" i="48" s="1"/>
  <c r="AG56" i="48"/>
  <c r="AG84" i="48" s="1"/>
  <c r="R147" i="48"/>
  <c r="X120" i="49" s="1"/>
  <c r="AE56" i="48"/>
  <c r="AE84" i="48" s="1"/>
  <c r="AC56" i="48"/>
  <c r="AC84" i="48" s="1"/>
  <c r="AN46" i="49"/>
  <c r="R46" i="49"/>
  <c r="V46" i="49"/>
  <c r="Z46" i="49"/>
  <c r="Y46" i="49"/>
  <c r="AD46" i="49"/>
  <c r="AH46" i="49"/>
  <c r="AG46" i="49"/>
  <c r="S46" i="49"/>
  <c r="AL46" i="49"/>
  <c r="W46" i="49"/>
  <c r="AP46" i="49"/>
  <c r="AF46" i="49"/>
  <c r="AA46" i="49"/>
  <c r="AE46" i="49"/>
  <c r="AI46" i="49"/>
  <c r="U46" i="49"/>
  <c r="AM46" i="49"/>
  <c r="AC46" i="49"/>
  <c r="AK46" i="49"/>
  <c r="AO46" i="49"/>
  <c r="T46" i="49"/>
  <c r="Q46" i="49"/>
  <c r="AB46" i="49"/>
  <c r="P46" i="49"/>
  <c r="X46" i="49"/>
  <c r="O46" i="49"/>
  <c r="AJ46" i="49"/>
  <c r="M21" i="10"/>
  <c r="J47" i="49"/>
  <c r="J71" i="49"/>
  <c r="J92" i="49"/>
  <c r="AD52" i="42"/>
  <c r="AD55" i="42" s="1"/>
  <c r="AD26" i="42"/>
  <c r="AF79" i="49"/>
  <c r="W79" i="49"/>
  <c r="P79" i="49"/>
  <c r="AL79" i="49"/>
  <c r="AH79" i="49"/>
  <c r="Q79" i="49"/>
  <c r="X79" i="49"/>
  <c r="AM79" i="49"/>
  <c r="AO79" i="49"/>
  <c r="AC79" i="49"/>
  <c r="AB79" i="49"/>
  <c r="AI79" i="49"/>
  <c r="V79" i="49"/>
  <c r="AN79" i="49"/>
  <c r="Y79" i="49"/>
  <c r="T79" i="49"/>
  <c r="AA79" i="49"/>
  <c r="AP79" i="49"/>
  <c r="S79" i="49"/>
  <c r="AE79" i="49"/>
  <c r="L26" i="42"/>
  <c r="Q26" i="42"/>
  <c r="Z69" i="42"/>
  <c r="E16" i="49"/>
  <c r="I16" i="49" s="1"/>
  <c r="L30" i="10" s="1"/>
  <c r="J15" i="49"/>
  <c r="K35" i="56"/>
  <c r="K213" i="56" s="1"/>
  <c r="E213" i="56"/>
  <c r="B131" i="55"/>
  <c r="K169" i="56" s="1"/>
  <c r="Q56" i="48"/>
  <c r="Q84" i="48" s="1"/>
  <c r="K126" i="42"/>
  <c r="AG147" i="48"/>
  <c r="AM120" i="49" s="1"/>
  <c r="T157" i="42"/>
  <c r="U57" i="48" s="1"/>
  <c r="U85" i="48" s="1"/>
  <c r="Y153" i="42"/>
  <c r="Z53" i="48" s="1"/>
  <c r="Z81" i="48" s="1"/>
  <c r="P157" i="42"/>
  <c r="Q57" i="48" s="1"/>
  <c r="Q85" i="48" s="1"/>
  <c r="U56" i="48"/>
  <c r="U84" i="48" s="1"/>
  <c r="AA157" i="42"/>
  <c r="AB57" i="48" s="1"/>
  <c r="AB85" i="48" s="1"/>
  <c r="S150" i="42"/>
  <c r="T49" i="48" s="1"/>
  <c r="T77" i="48" s="1"/>
  <c r="AI153" i="42"/>
  <c r="AJ53" i="48" s="1"/>
  <c r="AJ81" i="48" s="1"/>
  <c r="V164" i="42"/>
  <c r="W64" i="48" s="1"/>
  <c r="W92" i="48" s="1"/>
  <c r="AF26" i="42"/>
  <c r="AF52" i="42"/>
  <c r="AF55" i="42" s="1"/>
  <c r="AC52" i="42"/>
  <c r="AC55" i="42" s="1"/>
  <c r="AC26" i="42"/>
  <c r="AF19" i="42"/>
  <c r="J107" i="49"/>
  <c r="J86" i="49"/>
  <c r="J62" i="49"/>
  <c r="M36" i="10"/>
  <c r="J139" i="49"/>
  <c r="M42" i="10"/>
  <c r="J113" i="49"/>
  <c r="K7" i="49"/>
  <c r="D47" i="49"/>
  <c r="AM47" i="49" s="1"/>
  <c r="E7" i="49"/>
  <c r="I7" i="49" s="1"/>
  <c r="I92" i="49" s="1"/>
  <c r="L55" i="42"/>
  <c r="Y76" i="42"/>
  <c r="Q61" i="55"/>
  <c r="X105" i="56" s="1"/>
  <c r="W61" i="55"/>
  <c r="AD105" i="56" s="1"/>
  <c r="AC61" i="55"/>
  <c r="AJ105" i="56" s="1"/>
  <c r="AI61" i="55"/>
  <c r="AP105" i="56" s="1"/>
  <c r="Y61" i="55"/>
  <c r="AF105" i="56" s="1"/>
  <c r="AH61" i="55"/>
  <c r="AO105" i="56" s="1"/>
  <c r="AJ61" i="55"/>
  <c r="AQ105" i="56" s="1"/>
  <c r="S61" i="55"/>
  <c r="Z105" i="56" s="1"/>
  <c r="AA61" i="55"/>
  <c r="AH105" i="56" s="1"/>
  <c r="AL61" i="55"/>
  <c r="AS105" i="56" s="1"/>
  <c r="V61" i="55"/>
  <c r="AC105" i="56" s="1"/>
  <c r="M61" i="55"/>
  <c r="T105" i="56" s="1"/>
  <c r="X61" i="55"/>
  <c r="AE105" i="56" s="1"/>
  <c r="AK61" i="55"/>
  <c r="AR105" i="56" s="1"/>
  <c r="P61" i="55"/>
  <c r="W105" i="56" s="1"/>
  <c r="Q55" i="42"/>
  <c r="U166" i="42"/>
  <c r="V66" i="48" s="1"/>
  <c r="V94" i="48" s="1"/>
  <c r="W126" i="42"/>
  <c r="AD37" i="17"/>
  <c r="AI147" i="48"/>
  <c r="AO120" i="49" s="1"/>
  <c r="AC150" i="42"/>
  <c r="AD49" i="48" s="1"/>
  <c r="AD77" i="48" s="1"/>
  <c r="AE153" i="42"/>
  <c r="AF53" i="48" s="1"/>
  <c r="AF81" i="48" s="1"/>
  <c r="T111" i="42"/>
  <c r="AA153" i="42"/>
  <c r="AB53" i="48" s="1"/>
  <c r="AB81" i="48" s="1"/>
  <c r="R157" i="42"/>
  <c r="S57" i="48" s="1"/>
  <c r="S85" i="48" s="1"/>
  <c r="AC153" i="42"/>
  <c r="AD53" i="48" s="1"/>
  <c r="AD81" i="48" s="1"/>
  <c r="AF166" i="42"/>
  <c r="AG66" i="48" s="1"/>
  <c r="AG94" i="48" s="1"/>
  <c r="P153" i="42"/>
  <c r="Q53" i="48" s="1"/>
  <c r="Q81" i="48" s="1"/>
  <c r="AC166" i="42"/>
  <c r="AD66" i="48" s="1"/>
  <c r="AD94" i="48" s="1"/>
  <c r="N111" i="42"/>
  <c r="H166" i="42"/>
  <c r="I66" i="48" s="1"/>
  <c r="I94" i="48" s="1"/>
  <c r="V157" i="42"/>
  <c r="W57" i="48" s="1"/>
  <c r="W85" i="48" s="1"/>
  <c r="J37" i="17"/>
  <c r="AC37" i="17"/>
  <c r="P59" i="48"/>
  <c r="P87" i="48" s="1"/>
  <c r="AI164" i="42"/>
  <c r="AJ64" i="48" s="1"/>
  <c r="AJ92" i="48" s="1"/>
  <c r="AC146" i="48"/>
  <c r="AI116" i="49" s="1"/>
  <c r="AI166" i="42"/>
  <c r="AJ66" i="48" s="1"/>
  <c r="AJ94" i="48" s="1"/>
  <c r="AG150" i="42"/>
  <c r="AH49" i="48" s="1"/>
  <c r="AH77" i="48" s="1"/>
  <c r="S126" i="42"/>
  <c r="AD147" i="48"/>
  <c r="AJ120" i="49" s="1"/>
  <c r="AB37" i="17"/>
  <c r="R126" i="42"/>
  <c r="R169" i="42"/>
  <c r="S69" i="48" s="1"/>
  <c r="S97" i="48" s="1"/>
  <c r="S37" i="17"/>
  <c r="AA150" i="42"/>
  <c r="AB49" i="48" s="1"/>
  <c r="AB77" i="48" s="1"/>
  <c r="AG157" i="42"/>
  <c r="AH57" i="48" s="1"/>
  <c r="AH85" i="48" s="1"/>
  <c r="T166" i="42"/>
  <c r="U66" i="48" s="1"/>
  <c r="U94" i="48" s="1"/>
  <c r="Q166" i="42"/>
  <c r="R66" i="48" s="1"/>
  <c r="R94" i="48" s="1"/>
  <c r="AA147" i="48"/>
  <c r="AG120" i="49" s="1"/>
  <c r="AJ147" i="48"/>
  <c r="AP120" i="49" s="1"/>
  <c r="T27" i="17"/>
  <c r="R150" i="42"/>
  <c r="S49" i="48" s="1"/>
  <c r="S77" i="48" s="1"/>
  <c r="AI37" i="17"/>
  <c r="L126" i="42"/>
  <c r="O37" i="17"/>
  <c r="J153" i="42"/>
  <c r="K53" i="48" s="1"/>
  <c r="K81" i="48" s="1"/>
  <c r="AH153" i="42"/>
  <c r="AI53" i="48" s="1"/>
  <c r="AI81" i="48" s="1"/>
  <c r="AB111" i="42"/>
  <c r="AB147" i="48"/>
  <c r="AH120" i="49" s="1"/>
  <c r="AC145" i="48"/>
  <c r="AI118" i="49" s="1"/>
  <c r="AE126" i="42"/>
  <c r="W145" i="48"/>
  <c r="AC117" i="49" s="1"/>
  <c r="Z111" i="42"/>
  <c r="AC157" i="42"/>
  <c r="AD57" i="48" s="1"/>
  <c r="AD85" i="48" s="1"/>
  <c r="AF126" i="42"/>
  <c r="M147" i="48"/>
  <c r="S120" i="49" s="1"/>
  <c r="AG170" i="42"/>
  <c r="AH70" i="48" s="1"/>
  <c r="AE11" i="50" s="1"/>
  <c r="AF37" i="17"/>
  <c r="AD150" i="42"/>
  <c r="AE49" i="48" s="1"/>
  <c r="AE77" i="48" s="1"/>
  <c r="S157" i="42"/>
  <c r="T57" i="48" s="1"/>
  <c r="T85" i="48" s="1"/>
  <c r="AB164" i="42"/>
  <c r="AC64" i="48" s="1"/>
  <c r="AC92" i="48" s="1"/>
  <c r="X150" i="42"/>
  <c r="Y49" i="48" s="1"/>
  <c r="Y77" i="48" s="1"/>
  <c r="Z157" i="42"/>
  <c r="AA57" i="48" s="1"/>
  <c r="AA85" i="48" s="1"/>
  <c r="S147" i="48"/>
  <c r="Y120" i="49" s="1"/>
  <c r="Y50" i="4"/>
  <c r="V126" i="42"/>
  <c r="AD130" i="42"/>
  <c r="AB27" i="17"/>
  <c r="AJ27" i="17"/>
  <c r="AJ37" i="17"/>
  <c r="Z126" i="42"/>
  <c r="P126" i="42"/>
  <c r="AI126" i="42"/>
  <c r="AB150" i="42"/>
  <c r="AC49" i="48" s="1"/>
  <c r="AC77" i="48" s="1"/>
  <c r="AA37" i="17"/>
  <c r="H168" i="42"/>
  <c r="I68" i="48" s="1"/>
  <c r="I96" i="48" s="1"/>
  <c r="J147" i="48"/>
  <c r="P120" i="49" s="1"/>
  <c r="X166" i="42"/>
  <c r="Y66" i="48" s="1"/>
  <c r="Y94" i="48" s="1"/>
  <c r="AA146" i="48"/>
  <c r="AG119" i="49" s="1"/>
  <c r="K166" i="42"/>
  <c r="L66" i="48" s="1"/>
  <c r="L94" i="48" s="1"/>
  <c r="W150" i="42"/>
  <c r="X49" i="48" s="1"/>
  <c r="X77" i="48" s="1"/>
  <c r="AI157" i="42"/>
  <c r="AJ57" i="48" s="1"/>
  <c r="AJ85" i="48" s="1"/>
  <c r="AI27" i="17"/>
  <c r="AG27" i="17"/>
  <c r="Z27" i="17"/>
  <c r="Y27" i="17"/>
  <c r="Z37" i="17"/>
  <c r="AA27" i="17"/>
  <c r="M37" i="17"/>
  <c r="AG37" i="17"/>
  <c r="AE27" i="17"/>
  <c r="AH27" i="17"/>
  <c r="I150" i="42"/>
  <c r="J49" i="48" s="1"/>
  <c r="J77" i="48" s="1"/>
  <c r="AF157" i="42"/>
  <c r="AG57" i="48" s="1"/>
  <c r="AG85" i="48" s="1"/>
  <c r="AF150" i="42"/>
  <c r="AG49" i="48" s="1"/>
  <c r="AG77" i="48" s="1"/>
  <c r="T170" i="42"/>
  <c r="U70" i="48" s="1"/>
  <c r="R11" i="50" s="1"/>
  <c r="AH108" i="42"/>
  <c r="Q157" i="42"/>
  <c r="R57" i="48" s="1"/>
  <c r="R85" i="48" s="1"/>
  <c r="P169" i="42"/>
  <c r="Q69" i="48" s="1"/>
  <c r="Q97" i="48" s="1"/>
  <c r="V150" i="42"/>
  <c r="W49" i="48" s="1"/>
  <c r="W77" i="48" s="1"/>
  <c r="AC111" i="42"/>
  <c r="K37" i="17"/>
  <c r="Y166" i="42"/>
  <c r="Z66" i="48" s="1"/>
  <c r="Z94" i="48" s="1"/>
  <c r="R177" i="42"/>
  <c r="AE147" i="48"/>
  <c r="AK120" i="49" s="1"/>
  <c r="X111" i="42"/>
  <c r="V111" i="42"/>
  <c r="Y128" i="42"/>
  <c r="I157" i="42"/>
  <c r="J57" i="48" s="1"/>
  <c r="J85" i="48" s="1"/>
  <c r="AJ145" i="48"/>
  <c r="AS225" i="56" s="1"/>
  <c r="AE37" i="17"/>
  <c r="L111" i="42"/>
  <c r="AC27" i="17"/>
  <c r="U27" i="17"/>
  <c r="N37" i="17"/>
  <c r="AA111" i="42"/>
  <c r="J27" i="17"/>
  <c r="Q27" i="17"/>
  <c r="X37" i="17"/>
  <c r="W27" i="17"/>
  <c r="L27" i="17"/>
  <c r="O27" i="17"/>
  <c r="K27" i="17"/>
  <c r="P111" i="42"/>
  <c r="T169" i="42"/>
  <c r="U69" i="48" s="1"/>
  <c r="N126" i="42"/>
  <c r="O170" i="42"/>
  <c r="P70" i="48" s="1"/>
  <c r="M11" i="50" s="1"/>
  <c r="X130" i="42"/>
  <c r="T37" i="17"/>
  <c r="I37" i="17"/>
  <c r="M27" i="17"/>
  <c r="R27" i="17"/>
  <c r="U170" i="42"/>
  <c r="V70" i="48" s="1"/>
  <c r="S11" i="50" s="1"/>
  <c r="J111" i="42"/>
  <c r="S27" i="17"/>
  <c r="AC170" i="42"/>
  <c r="AD70" i="48" s="1"/>
  <c r="AD98" i="48" s="1"/>
  <c r="AD50" i="4"/>
  <c r="Y168" i="42"/>
  <c r="Z68" i="48" s="1"/>
  <c r="Z96" i="48" s="1"/>
  <c r="Y126" i="42"/>
  <c r="Y130" i="42"/>
  <c r="Y170" i="42"/>
  <c r="Z70" i="48" s="1"/>
  <c r="W11" i="50" s="1"/>
  <c r="AI124" i="42"/>
  <c r="Z50" i="4"/>
  <c r="O111" i="42"/>
  <c r="AB50" i="4"/>
  <c r="N130" i="42"/>
  <c r="Q150" i="42"/>
  <c r="R49" i="48" s="1"/>
  <c r="R77" i="48" s="1"/>
  <c r="O50" i="4"/>
  <c r="AF50" i="4"/>
  <c r="AC50" i="4"/>
  <c r="N147" i="48"/>
  <c r="T120" i="49" s="1"/>
  <c r="E50" i="4"/>
  <c r="W50" i="4"/>
  <c r="M170" i="42"/>
  <c r="N70" i="48" s="1"/>
  <c r="N98" i="48" s="1"/>
  <c r="AH126" i="42"/>
  <c r="S169" i="42"/>
  <c r="T69" i="48" s="1"/>
  <c r="T97" i="48" s="1"/>
  <c r="X50" i="4"/>
  <c r="K50" i="4"/>
  <c r="T50" i="4"/>
  <c r="J50" i="4"/>
  <c r="L50" i="4"/>
  <c r="O150" i="42"/>
  <c r="P49" i="48" s="1"/>
  <c r="P77" i="48" s="1"/>
  <c r="Q50" i="4"/>
  <c r="P50" i="4"/>
  <c r="Y108" i="42"/>
  <c r="AA50" i="4"/>
  <c r="AE50" i="4"/>
  <c r="N166" i="42"/>
  <c r="O66" i="48" s="1"/>
  <c r="O94" i="48" s="1"/>
  <c r="H50" i="4"/>
  <c r="AH169" i="42"/>
  <c r="AI69" i="48" s="1"/>
  <c r="AI97" i="48" s="1"/>
  <c r="AH128" i="42"/>
  <c r="R37" i="17"/>
  <c r="L37" i="17"/>
  <c r="N50" i="4"/>
  <c r="R50" i="4"/>
  <c r="I50" i="4"/>
  <c r="M50" i="4"/>
  <c r="Z147" i="48"/>
  <c r="AF120" i="49" s="1"/>
  <c r="N150" i="42"/>
  <c r="O49" i="48" s="1"/>
  <c r="O77" i="48" s="1"/>
  <c r="S50" i="4"/>
  <c r="G50" i="4"/>
  <c r="F50" i="4"/>
  <c r="U147" i="48"/>
  <c r="AA120" i="49" s="1"/>
  <c r="M111" i="42"/>
  <c r="AH111" i="42"/>
  <c r="L150" i="42"/>
  <c r="M49" i="48" s="1"/>
  <c r="M77" i="48" s="1"/>
  <c r="H130" i="42"/>
  <c r="AC147" i="48"/>
  <c r="AI120" i="49" s="1"/>
  <c r="AB108" i="42"/>
  <c r="U111" i="42"/>
  <c r="AA145" i="48"/>
  <c r="AJ228" i="56" s="1"/>
  <c r="U168" i="42"/>
  <c r="V68" i="48" s="1"/>
  <c r="V96" i="48" s="1"/>
  <c r="U126" i="42"/>
  <c r="AF51" i="48"/>
  <c r="AF79" i="48" s="1"/>
  <c r="O146" i="48"/>
  <c r="U116" i="49" s="1"/>
  <c r="AI132" i="49"/>
  <c r="Z153" i="42"/>
  <c r="AA53" i="48" s="1"/>
  <c r="AA81" i="48" s="1"/>
  <c r="AB143" i="42"/>
  <c r="R108" i="42"/>
  <c r="R111" i="42"/>
  <c r="P108" i="42"/>
  <c r="AD174" i="42"/>
  <c r="P27" i="17"/>
  <c r="W111" i="42"/>
  <c r="AE170" i="42"/>
  <c r="AF70" i="48" s="1"/>
  <c r="AC11" i="50" s="1"/>
  <c r="X27" i="17"/>
  <c r="AF27" i="17"/>
  <c r="W143" i="42"/>
  <c r="H111" i="42"/>
  <c r="I91" i="48"/>
  <c r="AE111" i="42"/>
  <c r="O168" i="42"/>
  <c r="P68" i="48" s="1"/>
  <c r="P96" i="48" s="1"/>
  <c r="O126" i="42"/>
  <c r="W108" i="42"/>
  <c r="W152" i="42"/>
  <c r="X52" i="48" s="1"/>
  <c r="X80" i="48" s="1"/>
  <c r="H157" i="42"/>
  <c r="I57" i="48" s="1"/>
  <c r="I85" i="48" s="1"/>
  <c r="X174" i="42"/>
  <c r="V27" i="17"/>
  <c r="AD27" i="17"/>
  <c r="N27" i="17"/>
  <c r="I174" i="42"/>
  <c r="V162" i="42"/>
  <c r="W62" i="48" s="1"/>
  <c r="W90" i="48" s="1"/>
  <c r="N172" i="42"/>
  <c r="N143" i="42"/>
  <c r="B99" i="55"/>
  <c r="K137" i="56" s="1"/>
  <c r="S191" i="56"/>
  <c r="K190" i="56"/>
  <c r="B67" i="55"/>
  <c r="K111" i="56" s="1"/>
  <c r="M53" i="10"/>
  <c r="L67" i="10"/>
  <c r="B121" i="55"/>
  <c r="K159" i="56" s="1"/>
  <c r="K43" i="56"/>
  <c r="B74" i="55" s="1"/>
  <c r="K118" i="56" s="1"/>
  <c r="T184" i="56"/>
  <c r="S201" i="56"/>
  <c r="B94" i="55"/>
  <c r="K132" i="56" s="1"/>
  <c r="R186" i="56"/>
  <c r="B113" i="55"/>
  <c r="K151" i="56" s="1"/>
  <c r="L72" i="10"/>
  <c r="R218" i="56"/>
  <c r="B23" i="55"/>
  <c r="K67" i="56" s="1"/>
  <c r="L57" i="10"/>
  <c r="R209" i="56"/>
  <c r="B20" i="55"/>
  <c r="K64" i="56" s="1"/>
  <c r="M80" i="10"/>
  <c r="L54" i="10"/>
  <c r="K206" i="56"/>
  <c r="K229" i="56"/>
  <c r="B118" i="55"/>
  <c r="K156" i="56" s="1"/>
  <c r="L70" i="10"/>
  <c r="K208" i="56"/>
  <c r="T209" i="56"/>
  <c r="R184" i="56"/>
  <c r="K22" i="56"/>
  <c r="K200" i="56" s="1"/>
  <c r="K14" i="56"/>
  <c r="L208" i="56"/>
  <c r="M72" i="10"/>
  <c r="L193" i="56"/>
  <c r="M57" i="10"/>
  <c r="K27" i="56"/>
  <c r="E205" i="56"/>
  <c r="E228" i="56"/>
  <c r="R201" i="56"/>
  <c r="T200" i="56"/>
  <c r="L81" i="10"/>
  <c r="T218" i="56"/>
  <c r="K217" i="56"/>
  <c r="M68" i="10"/>
  <c r="L204" i="56"/>
  <c r="L227" i="56"/>
  <c r="S209" i="56"/>
  <c r="K21" i="56"/>
  <c r="B107" i="55" s="1"/>
  <c r="K145" i="56" s="1"/>
  <c r="L79" i="10"/>
  <c r="B64" i="55"/>
  <c r="K108" i="56" s="1"/>
  <c r="L205" i="56"/>
  <c r="R199" i="56"/>
  <c r="L52" i="10"/>
  <c r="B15" i="55"/>
  <c r="K59" i="56" s="1"/>
  <c r="B90" i="55"/>
  <c r="K128" i="56" s="1"/>
  <c r="M69" i="10"/>
  <c r="B130" i="55"/>
  <c r="K168" i="56" s="1"/>
  <c r="B60" i="55"/>
  <c r="K104" i="56" s="1"/>
  <c r="M85" i="10"/>
  <c r="L221" i="56"/>
  <c r="M51" i="10"/>
  <c r="L187" i="56"/>
  <c r="E226" i="56"/>
  <c r="E191" i="56"/>
  <c r="K13" i="56"/>
  <c r="L209" i="56"/>
  <c r="M73" i="10"/>
  <c r="B70" i="55"/>
  <c r="K114" i="56" s="1"/>
  <c r="B138" i="55"/>
  <c r="K176" i="56" s="1"/>
  <c r="L82" i="10"/>
  <c r="K218" i="56"/>
  <c r="B54" i="55"/>
  <c r="K98" i="56" s="1"/>
  <c r="B125" i="55"/>
  <c r="K163" i="56" s="1"/>
  <c r="L74" i="10"/>
  <c r="M82" i="10"/>
  <c r="L218" i="56"/>
  <c r="K38" i="56"/>
  <c r="E216" i="56"/>
  <c r="M87" i="10"/>
  <c r="L223" i="56"/>
  <c r="S218" i="56"/>
  <c r="T223" i="56"/>
  <c r="R223" i="56"/>
  <c r="M49" i="10"/>
  <c r="L185" i="56"/>
  <c r="E204" i="56"/>
  <c r="E227" i="56"/>
  <c r="L190" i="56"/>
  <c r="M54" i="10"/>
  <c r="L225" i="56"/>
  <c r="B89" i="55"/>
  <c r="K127" i="56" s="1"/>
  <c r="K187" i="56"/>
  <c r="B14" i="55"/>
  <c r="K58" i="56" s="1"/>
  <c r="L51" i="10"/>
  <c r="K24" i="56"/>
  <c r="E202" i="56"/>
  <c r="L85" i="10"/>
  <c r="T185" i="56"/>
  <c r="M71" i="10"/>
  <c r="L207" i="56"/>
  <c r="E201" i="56"/>
  <c r="K23" i="56"/>
  <c r="M52" i="10"/>
  <c r="L188" i="56"/>
  <c r="B12" i="55"/>
  <c r="K56" i="56" s="1"/>
  <c r="B87" i="55"/>
  <c r="K125" i="56" s="1"/>
  <c r="K186" i="56"/>
  <c r="L50" i="10"/>
  <c r="T187" i="56"/>
  <c r="L201" i="56"/>
  <c r="M65" i="10"/>
  <c r="M55" i="10"/>
  <c r="L191" i="56"/>
  <c r="L226" i="56"/>
  <c r="K29" i="56"/>
  <c r="E207" i="56"/>
  <c r="K41" i="56"/>
  <c r="E219" i="56"/>
  <c r="K11" i="56"/>
  <c r="E189" i="56"/>
  <c r="L230" i="56"/>
  <c r="M84" i="10"/>
  <c r="L220" i="56"/>
  <c r="T188" i="56"/>
  <c r="L58" i="10"/>
  <c r="K194" i="56"/>
  <c r="B26" i="55"/>
  <c r="K70" i="56" s="1"/>
  <c r="B101" i="55"/>
  <c r="K139" i="56" s="1"/>
  <c r="M64" i="10"/>
  <c r="L200" i="56"/>
  <c r="B123" i="55"/>
  <c r="K161" i="56" s="1"/>
  <c r="K209" i="56"/>
  <c r="B52" i="55"/>
  <c r="K96" i="56" s="1"/>
  <c r="L73" i="10"/>
  <c r="T186" i="56"/>
  <c r="L68" i="10"/>
  <c r="K227" i="56"/>
  <c r="B42" i="55"/>
  <c r="K86" i="56" s="1"/>
  <c r="B115" i="55"/>
  <c r="K153" i="56" s="1"/>
  <c r="K204" i="56"/>
  <c r="L184" i="56"/>
  <c r="M48" i="10"/>
  <c r="R191" i="56"/>
  <c r="L48" i="10"/>
  <c r="K184" i="56"/>
  <c r="B8" i="55"/>
  <c r="B84" i="55"/>
  <c r="K122" i="56" s="1"/>
  <c r="M81" i="10"/>
  <c r="L217" i="56"/>
  <c r="L186" i="56"/>
  <c r="M50" i="10"/>
  <c r="M66" i="10"/>
  <c r="L202" i="56"/>
  <c r="M63" i="10"/>
  <c r="L199" i="56"/>
  <c r="L206" i="56"/>
  <c r="M70" i="10"/>
  <c r="L229" i="56"/>
  <c r="K7" i="56"/>
  <c r="L90" i="48"/>
  <c r="AG90" i="48"/>
  <c r="M90" i="48"/>
  <c r="Y90" i="48"/>
  <c r="AI141" i="55"/>
  <c r="AP179" i="56" s="1"/>
  <c r="AJ141" i="55"/>
  <c r="AQ179" i="56" s="1"/>
  <c r="K141" i="55"/>
  <c r="R179" i="56" s="1"/>
  <c r="AL141" i="55"/>
  <c r="AS179" i="56" s="1"/>
  <c r="AK141" i="55"/>
  <c r="AR179" i="56" s="1"/>
  <c r="AH141" i="55"/>
  <c r="AO179" i="56" s="1"/>
  <c r="AA141" i="55"/>
  <c r="AH179" i="56" s="1"/>
  <c r="N141" i="55"/>
  <c r="U179" i="56" s="1"/>
  <c r="R141" i="55"/>
  <c r="Y179" i="56" s="1"/>
  <c r="AC141" i="55"/>
  <c r="AJ179" i="56" s="1"/>
  <c r="U141" i="55"/>
  <c r="AB179" i="56" s="1"/>
  <c r="AE141" i="55"/>
  <c r="AL179" i="56" s="1"/>
  <c r="AF141" i="55"/>
  <c r="AM179" i="56" s="1"/>
  <c r="L141" i="55"/>
  <c r="S179" i="56" s="1"/>
  <c r="Y141" i="55"/>
  <c r="AF179" i="56" s="1"/>
  <c r="X141" i="55"/>
  <c r="AE179" i="56" s="1"/>
  <c r="W141" i="55"/>
  <c r="AD179" i="56" s="1"/>
  <c r="P141" i="55"/>
  <c r="W179" i="56" s="1"/>
  <c r="V141" i="55"/>
  <c r="AC179" i="56" s="1"/>
  <c r="Z141" i="55"/>
  <c r="AG179" i="56" s="1"/>
  <c r="M141" i="55"/>
  <c r="T179" i="56" s="1"/>
  <c r="AB141" i="55"/>
  <c r="AI179" i="56" s="1"/>
  <c r="Q141" i="55"/>
  <c r="X179" i="56" s="1"/>
  <c r="S141" i="55"/>
  <c r="Z179" i="56" s="1"/>
  <c r="T141" i="55"/>
  <c r="AA179" i="56" s="1"/>
  <c r="AG141" i="55"/>
  <c r="AN179" i="56" s="1"/>
  <c r="AD141" i="55"/>
  <c r="AK179" i="56" s="1"/>
  <c r="O141" i="55"/>
  <c r="V179" i="56" s="1"/>
  <c r="I144" i="55"/>
  <c r="AH142" i="55"/>
  <c r="AO180" i="56" s="1"/>
  <c r="AI142" i="55"/>
  <c r="AP180" i="56" s="1"/>
  <c r="AJ142" i="55"/>
  <c r="AQ180" i="56" s="1"/>
  <c r="AK142" i="55"/>
  <c r="AR180" i="56" s="1"/>
  <c r="AL142" i="55"/>
  <c r="AS180" i="56" s="1"/>
  <c r="K142" i="55"/>
  <c r="R180" i="56" s="1"/>
  <c r="X142" i="55"/>
  <c r="AE180" i="56" s="1"/>
  <c r="L142" i="55"/>
  <c r="S180" i="56" s="1"/>
  <c r="Y142" i="55"/>
  <c r="AF180" i="56" s="1"/>
  <c r="N142" i="55"/>
  <c r="U180" i="56" s="1"/>
  <c r="Z142" i="55"/>
  <c r="AG180" i="56" s="1"/>
  <c r="P142" i="55"/>
  <c r="W180" i="56" s="1"/>
  <c r="AA142" i="55"/>
  <c r="AH180" i="56" s="1"/>
  <c r="R142" i="55"/>
  <c r="Y180" i="56" s="1"/>
  <c r="AC142" i="55"/>
  <c r="AJ180" i="56" s="1"/>
  <c r="U142" i="55"/>
  <c r="AB180" i="56" s="1"/>
  <c r="AE142" i="55"/>
  <c r="AL180" i="56" s="1"/>
  <c r="V142" i="55"/>
  <c r="AC180" i="56" s="1"/>
  <c r="AF142" i="55"/>
  <c r="AM180" i="56" s="1"/>
  <c r="W142" i="55"/>
  <c r="AD180" i="56" s="1"/>
  <c r="M142" i="55"/>
  <c r="T180" i="56" s="1"/>
  <c r="O142" i="55"/>
  <c r="V180" i="56" s="1"/>
  <c r="AG142" i="55"/>
  <c r="AN180" i="56" s="1"/>
  <c r="Q142" i="55"/>
  <c r="X180" i="56" s="1"/>
  <c r="AB142" i="55"/>
  <c r="AI180" i="56" s="1"/>
  <c r="AD142" i="55"/>
  <c r="AK180" i="56" s="1"/>
  <c r="S142" i="55"/>
  <c r="Z180" i="56" s="1"/>
  <c r="T142" i="55"/>
  <c r="AA180" i="56" s="1"/>
  <c r="I125" i="55"/>
  <c r="K130" i="55"/>
  <c r="R168" i="56" s="1"/>
  <c r="AL130" i="55"/>
  <c r="AS168" i="56" s="1"/>
  <c r="AI130" i="55"/>
  <c r="AP168" i="56" s="1"/>
  <c r="AJ130" i="55"/>
  <c r="AQ168" i="56" s="1"/>
  <c r="AH130" i="55"/>
  <c r="AO168" i="56" s="1"/>
  <c r="AK130" i="55"/>
  <c r="AR168" i="56" s="1"/>
  <c r="N130" i="55"/>
  <c r="U168" i="56" s="1"/>
  <c r="X130" i="55"/>
  <c r="AE168" i="56" s="1"/>
  <c r="L130" i="55"/>
  <c r="S168" i="56" s="1"/>
  <c r="AA130" i="55"/>
  <c r="AH168" i="56" s="1"/>
  <c r="R130" i="55"/>
  <c r="Y168" i="56" s="1"/>
  <c r="AC130" i="55"/>
  <c r="AJ168" i="56" s="1"/>
  <c r="V130" i="55"/>
  <c r="AC168" i="56" s="1"/>
  <c r="Z130" i="55"/>
  <c r="AG168" i="56" s="1"/>
  <c r="Y130" i="55"/>
  <c r="AF168" i="56" s="1"/>
  <c r="AF130" i="55"/>
  <c r="AM168" i="56" s="1"/>
  <c r="W130" i="55"/>
  <c r="AD168" i="56" s="1"/>
  <c r="P130" i="55"/>
  <c r="W168" i="56" s="1"/>
  <c r="AE130" i="55"/>
  <c r="AL168" i="56" s="1"/>
  <c r="U130" i="55"/>
  <c r="AB168" i="56" s="1"/>
  <c r="S130" i="55"/>
  <c r="Z168" i="56" s="1"/>
  <c r="T130" i="55"/>
  <c r="AA168" i="56" s="1"/>
  <c r="AG130" i="55"/>
  <c r="AN168" i="56" s="1"/>
  <c r="Q130" i="55"/>
  <c r="X168" i="56" s="1"/>
  <c r="AB130" i="55"/>
  <c r="AI168" i="56" s="1"/>
  <c r="M130" i="55"/>
  <c r="T168" i="56" s="1"/>
  <c r="AD130" i="55"/>
  <c r="AK168" i="56" s="1"/>
  <c r="O130" i="55"/>
  <c r="V168" i="56" s="1"/>
  <c r="I126" i="55"/>
  <c r="K131" i="55"/>
  <c r="R169" i="56" s="1"/>
  <c r="AJ131" i="55"/>
  <c r="AQ169" i="56" s="1"/>
  <c r="AK131" i="55"/>
  <c r="AR169" i="56" s="1"/>
  <c r="AH131" i="55"/>
  <c r="AO169" i="56" s="1"/>
  <c r="AL131" i="55"/>
  <c r="AS169" i="56" s="1"/>
  <c r="AI131" i="55"/>
  <c r="AP169" i="56" s="1"/>
  <c r="P131" i="55"/>
  <c r="W169" i="56" s="1"/>
  <c r="V131" i="55"/>
  <c r="AC169" i="56" s="1"/>
  <c r="N131" i="55"/>
  <c r="U169" i="56" s="1"/>
  <c r="Z131" i="55"/>
  <c r="AG169" i="56" s="1"/>
  <c r="AA131" i="55"/>
  <c r="AH169" i="56" s="1"/>
  <c r="X131" i="55"/>
  <c r="AE169" i="56" s="1"/>
  <c r="Y131" i="55"/>
  <c r="AF169" i="56" s="1"/>
  <c r="AF131" i="55"/>
  <c r="AM169" i="56" s="1"/>
  <c r="U131" i="55"/>
  <c r="AB169" i="56" s="1"/>
  <c r="W131" i="55"/>
  <c r="AD169" i="56" s="1"/>
  <c r="L131" i="55"/>
  <c r="S169" i="56" s="1"/>
  <c r="R131" i="55"/>
  <c r="Y169" i="56" s="1"/>
  <c r="AC131" i="55"/>
  <c r="AJ169" i="56" s="1"/>
  <c r="AE131" i="55"/>
  <c r="AL169" i="56" s="1"/>
  <c r="S131" i="55"/>
  <c r="Z169" i="56" s="1"/>
  <c r="O131" i="55"/>
  <c r="V169" i="56" s="1"/>
  <c r="AG131" i="55"/>
  <c r="AN169" i="56" s="1"/>
  <c r="AB131" i="55"/>
  <c r="AI169" i="56" s="1"/>
  <c r="AD131" i="55"/>
  <c r="AK169" i="56" s="1"/>
  <c r="T131" i="55"/>
  <c r="AA169" i="56" s="1"/>
  <c r="M131" i="55"/>
  <c r="T169" i="56" s="1"/>
  <c r="Q131" i="55"/>
  <c r="X169" i="56" s="1"/>
  <c r="I127" i="55"/>
  <c r="K132" i="55"/>
  <c r="R170" i="56" s="1"/>
  <c r="AH132" i="55"/>
  <c r="AO170" i="56" s="1"/>
  <c r="AI132" i="55"/>
  <c r="AP170" i="56" s="1"/>
  <c r="AL132" i="55"/>
  <c r="AS170" i="56" s="1"/>
  <c r="AK132" i="55"/>
  <c r="AR170" i="56" s="1"/>
  <c r="AJ132" i="55"/>
  <c r="AQ170" i="56" s="1"/>
  <c r="P132" i="55"/>
  <c r="W170" i="56" s="1"/>
  <c r="L132" i="55"/>
  <c r="S170" i="56" s="1"/>
  <c r="AE132" i="55"/>
  <c r="AL170" i="56" s="1"/>
  <c r="U132" i="55"/>
  <c r="AB170" i="56" s="1"/>
  <c r="X132" i="55"/>
  <c r="AE170" i="56" s="1"/>
  <c r="Z132" i="55"/>
  <c r="AG170" i="56" s="1"/>
  <c r="AA132" i="55"/>
  <c r="AH170" i="56" s="1"/>
  <c r="AC132" i="55"/>
  <c r="AJ170" i="56" s="1"/>
  <c r="R132" i="55"/>
  <c r="Y170" i="56" s="1"/>
  <c r="W132" i="55"/>
  <c r="AD170" i="56" s="1"/>
  <c r="N132" i="55"/>
  <c r="U170" i="56" s="1"/>
  <c r="AF132" i="55"/>
  <c r="AM170" i="56" s="1"/>
  <c r="V132" i="55"/>
  <c r="AC170" i="56" s="1"/>
  <c r="Y132" i="55"/>
  <c r="AF170" i="56" s="1"/>
  <c r="AD132" i="55"/>
  <c r="AK170" i="56" s="1"/>
  <c r="Q132" i="55"/>
  <c r="X170" i="56" s="1"/>
  <c r="O132" i="55"/>
  <c r="V170" i="56" s="1"/>
  <c r="AG132" i="55"/>
  <c r="AN170" i="56" s="1"/>
  <c r="S132" i="55"/>
  <c r="Z170" i="56" s="1"/>
  <c r="T132" i="55"/>
  <c r="AA170" i="56" s="1"/>
  <c r="AB132" i="55"/>
  <c r="AI170" i="56" s="1"/>
  <c r="M132" i="55"/>
  <c r="T170" i="56" s="1"/>
  <c r="I128" i="55"/>
  <c r="K133" i="55"/>
  <c r="R171" i="56" s="1"/>
  <c r="AH133" i="55"/>
  <c r="AO171" i="56" s="1"/>
  <c r="AI133" i="55"/>
  <c r="AP171" i="56" s="1"/>
  <c r="AJ133" i="55"/>
  <c r="AQ171" i="56" s="1"/>
  <c r="AK133" i="55"/>
  <c r="AR171" i="56" s="1"/>
  <c r="AL133" i="55"/>
  <c r="AS171" i="56" s="1"/>
  <c r="AA133" i="55"/>
  <c r="AH171" i="56" s="1"/>
  <c r="R133" i="55"/>
  <c r="Y171" i="56" s="1"/>
  <c r="L133" i="55"/>
  <c r="S171" i="56" s="1"/>
  <c r="Y133" i="55"/>
  <c r="AF171" i="56" s="1"/>
  <c r="P133" i="55"/>
  <c r="W171" i="56" s="1"/>
  <c r="V133" i="55"/>
  <c r="AC171" i="56" s="1"/>
  <c r="N133" i="55"/>
  <c r="U171" i="56" s="1"/>
  <c r="AF133" i="55"/>
  <c r="AM171" i="56" s="1"/>
  <c r="AC133" i="55"/>
  <c r="AJ171" i="56" s="1"/>
  <c r="W133" i="55"/>
  <c r="AD171" i="56" s="1"/>
  <c r="Z133" i="55"/>
  <c r="AG171" i="56" s="1"/>
  <c r="AE133" i="55"/>
  <c r="AL171" i="56" s="1"/>
  <c r="X133" i="55"/>
  <c r="AE171" i="56" s="1"/>
  <c r="U133" i="55"/>
  <c r="AB171" i="56" s="1"/>
  <c r="M133" i="55"/>
  <c r="T171" i="56" s="1"/>
  <c r="Q133" i="55"/>
  <c r="X171" i="56" s="1"/>
  <c r="AD133" i="55"/>
  <c r="AK171" i="56" s="1"/>
  <c r="AG133" i="55"/>
  <c r="AN171" i="56" s="1"/>
  <c r="S133" i="55"/>
  <c r="Z171" i="56" s="1"/>
  <c r="O133" i="55"/>
  <c r="V171" i="56" s="1"/>
  <c r="T133" i="55"/>
  <c r="AA171" i="56" s="1"/>
  <c r="AB133" i="55"/>
  <c r="AI171" i="56" s="1"/>
  <c r="I129" i="55"/>
  <c r="K134" i="55"/>
  <c r="R172" i="56" s="1"/>
  <c r="AH134" i="55"/>
  <c r="AO172" i="56" s="1"/>
  <c r="AI134" i="55"/>
  <c r="AP172" i="56" s="1"/>
  <c r="AJ134" i="55"/>
  <c r="AQ172" i="56" s="1"/>
  <c r="AK134" i="55"/>
  <c r="AR172" i="56" s="1"/>
  <c r="AL134" i="55"/>
  <c r="AS172" i="56" s="1"/>
  <c r="X134" i="55"/>
  <c r="AE172" i="56" s="1"/>
  <c r="N134" i="55"/>
  <c r="U172" i="56" s="1"/>
  <c r="P134" i="55"/>
  <c r="W172" i="56" s="1"/>
  <c r="Z134" i="55"/>
  <c r="AG172" i="56" s="1"/>
  <c r="R134" i="55"/>
  <c r="Y172" i="56" s="1"/>
  <c r="U134" i="55"/>
  <c r="AB172" i="56" s="1"/>
  <c r="V134" i="55"/>
  <c r="AC172" i="56" s="1"/>
  <c r="AC134" i="55"/>
  <c r="AJ172" i="56" s="1"/>
  <c r="W134" i="55"/>
  <c r="AD172" i="56" s="1"/>
  <c r="AA134" i="55"/>
  <c r="AH172" i="56" s="1"/>
  <c r="AE134" i="55"/>
  <c r="AL172" i="56" s="1"/>
  <c r="AF134" i="55"/>
  <c r="AM172" i="56" s="1"/>
  <c r="L134" i="55"/>
  <c r="S172" i="56" s="1"/>
  <c r="Y134" i="55"/>
  <c r="AF172" i="56" s="1"/>
  <c r="T134" i="55"/>
  <c r="AA172" i="56" s="1"/>
  <c r="AD134" i="55"/>
  <c r="AK172" i="56" s="1"/>
  <c r="M134" i="55"/>
  <c r="T172" i="56" s="1"/>
  <c r="Q134" i="55"/>
  <c r="X172" i="56" s="1"/>
  <c r="AG134" i="55"/>
  <c r="AN172" i="56" s="1"/>
  <c r="AB134" i="55"/>
  <c r="AI172" i="56" s="1"/>
  <c r="O134" i="55"/>
  <c r="V172" i="56" s="1"/>
  <c r="S134" i="55"/>
  <c r="Z172" i="56" s="1"/>
  <c r="I80" i="49"/>
  <c r="I101" i="49"/>
  <c r="I56" i="49"/>
  <c r="I117" i="49"/>
  <c r="AC35" i="55"/>
  <c r="AJ79" i="56" s="1"/>
  <c r="AB35" i="55"/>
  <c r="AI79" i="56" s="1"/>
  <c r="AK35" i="55"/>
  <c r="AR79" i="56" s="1"/>
  <c r="M35" i="55"/>
  <c r="T79" i="56" s="1"/>
  <c r="N35" i="55"/>
  <c r="U79" i="56" s="1"/>
  <c r="AI35" i="55"/>
  <c r="AP79" i="56" s="1"/>
  <c r="P35" i="55"/>
  <c r="W79" i="56" s="1"/>
  <c r="T35" i="55"/>
  <c r="AA79" i="56" s="1"/>
  <c r="U35" i="55"/>
  <c r="AB79" i="56" s="1"/>
  <c r="L35" i="55"/>
  <c r="S79" i="56" s="1"/>
  <c r="AJ35" i="55"/>
  <c r="AQ79" i="56" s="1"/>
  <c r="V35" i="55"/>
  <c r="AC79" i="56" s="1"/>
  <c r="R35" i="55"/>
  <c r="Y79" i="56" s="1"/>
  <c r="AD35" i="55"/>
  <c r="AK79" i="56" s="1"/>
  <c r="O35" i="55"/>
  <c r="V79" i="56" s="1"/>
  <c r="K35" i="55"/>
  <c r="R79" i="56" s="1"/>
  <c r="AA35" i="55"/>
  <c r="AH79" i="56" s="1"/>
  <c r="Z35" i="55"/>
  <c r="AG79" i="56" s="1"/>
  <c r="Y35" i="55"/>
  <c r="AF79" i="56" s="1"/>
  <c r="AH35" i="55"/>
  <c r="AO79" i="56" s="1"/>
  <c r="AL35" i="55"/>
  <c r="AS79" i="56" s="1"/>
  <c r="AF35" i="55"/>
  <c r="AM79" i="56" s="1"/>
  <c r="AG35" i="55"/>
  <c r="AN79" i="56" s="1"/>
  <c r="W35" i="55"/>
  <c r="AD79" i="56" s="1"/>
  <c r="AE35" i="55"/>
  <c r="AL79" i="56" s="1"/>
  <c r="S35" i="55"/>
  <c r="Z79" i="56" s="1"/>
  <c r="X35" i="55"/>
  <c r="AE79" i="56" s="1"/>
  <c r="Q35" i="55"/>
  <c r="X79" i="56" s="1"/>
  <c r="B101" i="49"/>
  <c r="B80" i="49"/>
  <c r="AD56" i="49"/>
  <c r="AL56" i="49"/>
  <c r="P56" i="49"/>
  <c r="T56" i="49"/>
  <c r="X56" i="49"/>
  <c r="AE56" i="49"/>
  <c r="S56" i="49"/>
  <c r="Q56" i="49"/>
  <c r="R56" i="49"/>
  <c r="AB56" i="49"/>
  <c r="AF56" i="49"/>
  <c r="AN56" i="49"/>
  <c r="Y56" i="49"/>
  <c r="Z56" i="49"/>
  <c r="AJ56" i="49"/>
  <c r="U56" i="49"/>
  <c r="AG56" i="49"/>
  <c r="AH56" i="49"/>
  <c r="AC56" i="49"/>
  <c r="AA56" i="49"/>
  <c r="AM56" i="49"/>
  <c r="AO56" i="49"/>
  <c r="AP56" i="49"/>
  <c r="AK56" i="49"/>
  <c r="AI56" i="49"/>
  <c r="W56" i="49"/>
  <c r="O56" i="49"/>
  <c r="V56" i="49"/>
  <c r="AB91" i="48"/>
  <c r="K20" i="49"/>
  <c r="D60" i="49"/>
  <c r="Y60" i="49" s="1"/>
  <c r="E20" i="49"/>
  <c r="I20" i="49" s="1"/>
  <c r="K19" i="49"/>
  <c r="D59" i="49"/>
  <c r="AL59" i="49" s="1"/>
  <c r="E19" i="49"/>
  <c r="I19" i="49" s="1"/>
  <c r="E94" i="48"/>
  <c r="E121" i="48" s="1"/>
  <c r="L67" i="48"/>
  <c r="L95" i="48" s="1"/>
  <c r="S189" i="56"/>
  <c r="AE17" i="48"/>
  <c r="AK49" i="49" s="1"/>
  <c r="AG21" i="55"/>
  <c r="AN65" i="56" s="1"/>
  <c r="AG15" i="55"/>
  <c r="AN59" i="56" s="1"/>
  <c r="AG27" i="55"/>
  <c r="AN71" i="56" s="1"/>
  <c r="AG17" i="55"/>
  <c r="AN61" i="56" s="1"/>
  <c r="AG26" i="55"/>
  <c r="AN70" i="56" s="1"/>
  <c r="AN52" i="56"/>
  <c r="AG13" i="55"/>
  <c r="AN57" i="56" s="1"/>
  <c r="AG23" i="55"/>
  <c r="AN67" i="56" s="1"/>
  <c r="AG10" i="55"/>
  <c r="AN54" i="56" s="1"/>
  <c r="AG11" i="55"/>
  <c r="AN55" i="56" s="1"/>
  <c r="AG32" i="55"/>
  <c r="AN76" i="56" s="1"/>
  <c r="AG18" i="55"/>
  <c r="AN62" i="56" s="1"/>
  <c r="AG25" i="55"/>
  <c r="AN69" i="56" s="1"/>
  <c r="AG16" i="55"/>
  <c r="AN60" i="56" s="1"/>
  <c r="AG14" i="55"/>
  <c r="AN58" i="56" s="1"/>
  <c r="AG9" i="55"/>
  <c r="AN53" i="56" s="1"/>
  <c r="AG19" i="55"/>
  <c r="AN63" i="56" s="1"/>
  <c r="AG24" i="55"/>
  <c r="AN68" i="56" s="1"/>
  <c r="AG20" i="55"/>
  <c r="AN64" i="56" s="1"/>
  <c r="AG22" i="55"/>
  <c r="AN66" i="56" s="1"/>
  <c r="AG12" i="55"/>
  <c r="AN56" i="56" s="1"/>
  <c r="R74" i="49"/>
  <c r="R70" i="49"/>
  <c r="R79" i="49"/>
  <c r="S190" i="56"/>
  <c r="S193" i="56"/>
  <c r="S184" i="56"/>
  <c r="P24" i="55"/>
  <c r="W68" i="56" s="1"/>
  <c r="W52" i="56"/>
  <c r="P16" i="55"/>
  <c r="W60" i="56" s="1"/>
  <c r="P25" i="55"/>
  <c r="W69" i="56" s="1"/>
  <c r="P11" i="55"/>
  <c r="W55" i="56" s="1"/>
  <c r="P13" i="55"/>
  <c r="W57" i="56" s="1"/>
  <c r="P18" i="55"/>
  <c r="W62" i="56" s="1"/>
  <c r="P22" i="55"/>
  <c r="W66" i="56" s="1"/>
  <c r="P15" i="55"/>
  <c r="W59" i="56" s="1"/>
  <c r="P27" i="55"/>
  <c r="W71" i="56" s="1"/>
  <c r="P14" i="55"/>
  <c r="W58" i="56" s="1"/>
  <c r="P26" i="55"/>
  <c r="W70" i="56" s="1"/>
  <c r="P23" i="55"/>
  <c r="W67" i="56" s="1"/>
  <c r="P10" i="55"/>
  <c r="W54" i="56" s="1"/>
  <c r="P21" i="55"/>
  <c r="W65" i="56" s="1"/>
  <c r="P19" i="55"/>
  <c r="W63" i="56" s="1"/>
  <c r="P17" i="55"/>
  <c r="W61" i="56" s="1"/>
  <c r="P20" i="55"/>
  <c r="W64" i="56" s="1"/>
  <c r="P12" i="55"/>
  <c r="W56" i="56" s="1"/>
  <c r="N17" i="48"/>
  <c r="T49" i="49" s="1"/>
  <c r="P32" i="55"/>
  <c r="W76" i="56" s="1"/>
  <c r="P9" i="55"/>
  <c r="W53" i="56" s="1"/>
  <c r="J49" i="49"/>
  <c r="J94" i="49"/>
  <c r="J73" i="49"/>
  <c r="M23" i="10"/>
  <c r="K95" i="48"/>
  <c r="E79" i="48"/>
  <c r="E106" i="48" s="1"/>
  <c r="O51" i="48"/>
  <c r="O79" i="48" s="1"/>
  <c r="N51" i="48"/>
  <c r="N79" i="48" s="1"/>
  <c r="M51" i="48"/>
  <c r="M79" i="48" s="1"/>
  <c r="J51" i="48"/>
  <c r="J79" i="48" s="1"/>
  <c r="AJ51" i="48"/>
  <c r="AJ79" i="48" s="1"/>
  <c r="R51" i="48"/>
  <c r="R79" i="48" s="1"/>
  <c r="AD51" i="48"/>
  <c r="AD79" i="48" s="1"/>
  <c r="Y51" i="48"/>
  <c r="Y79" i="48" s="1"/>
  <c r="P51" i="48"/>
  <c r="P79" i="48" s="1"/>
  <c r="I51" i="48"/>
  <c r="I79" i="48" s="1"/>
  <c r="AA51" i="48"/>
  <c r="AA79" i="48" s="1"/>
  <c r="U51" i="48"/>
  <c r="U79" i="48" s="1"/>
  <c r="AC51" i="48"/>
  <c r="AC79" i="48" s="1"/>
  <c r="S51" i="48"/>
  <c r="S79" i="48" s="1"/>
  <c r="V51" i="48"/>
  <c r="V79" i="48" s="1"/>
  <c r="Z51" i="48"/>
  <c r="Z79" i="48" s="1"/>
  <c r="L51" i="48"/>
  <c r="L79" i="48" s="1"/>
  <c r="AI51" i="48"/>
  <c r="AI79" i="48" s="1"/>
  <c r="AE51" i="48"/>
  <c r="AE79" i="48" s="1"/>
  <c r="T51" i="48"/>
  <c r="T79" i="48" s="1"/>
  <c r="W51" i="48"/>
  <c r="W79" i="48" s="1"/>
  <c r="AG51" i="48"/>
  <c r="AG79" i="48" s="1"/>
  <c r="AH51" i="48"/>
  <c r="AH79" i="48" s="1"/>
  <c r="K51" i="48"/>
  <c r="K79" i="48" s="1"/>
  <c r="AB51" i="48"/>
  <c r="AB79" i="48" s="1"/>
  <c r="Q51" i="48"/>
  <c r="Q79" i="48" s="1"/>
  <c r="AK70" i="49"/>
  <c r="AK74" i="49"/>
  <c r="AK79" i="49"/>
  <c r="O74" i="49"/>
  <c r="S192" i="56"/>
  <c r="O79" i="49"/>
  <c r="S185" i="56"/>
  <c r="S199" i="56"/>
  <c r="O70" i="49"/>
  <c r="U52" i="56"/>
  <c r="L17" i="48"/>
  <c r="R49" i="49" s="1"/>
  <c r="N19" i="55"/>
  <c r="U63" i="56" s="1"/>
  <c r="N26" i="55"/>
  <c r="U70" i="56" s="1"/>
  <c r="N20" i="55"/>
  <c r="U64" i="56" s="1"/>
  <c r="N9" i="55"/>
  <c r="U53" i="56" s="1"/>
  <c r="N14" i="55"/>
  <c r="U58" i="56" s="1"/>
  <c r="N10" i="55"/>
  <c r="U54" i="56" s="1"/>
  <c r="N32" i="55"/>
  <c r="U76" i="56" s="1"/>
  <c r="N27" i="55"/>
  <c r="U71" i="56" s="1"/>
  <c r="N17" i="55"/>
  <c r="U61" i="56" s="1"/>
  <c r="N22" i="55"/>
  <c r="U66" i="56" s="1"/>
  <c r="N18" i="55"/>
  <c r="U62" i="56" s="1"/>
  <c r="N23" i="55"/>
  <c r="U67" i="56" s="1"/>
  <c r="N24" i="55"/>
  <c r="U68" i="56" s="1"/>
  <c r="N21" i="55"/>
  <c r="U65" i="56" s="1"/>
  <c r="N16" i="55"/>
  <c r="U60" i="56" s="1"/>
  <c r="N13" i="55"/>
  <c r="U57" i="56" s="1"/>
  <c r="N15" i="55"/>
  <c r="U59" i="56" s="1"/>
  <c r="N11" i="55"/>
  <c r="U55" i="56" s="1"/>
  <c r="N25" i="55"/>
  <c r="U69" i="56" s="1"/>
  <c r="N12" i="55"/>
  <c r="U56" i="56" s="1"/>
  <c r="V64" i="49"/>
  <c r="P67" i="48"/>
  <c r="P95" i="48" s="1"/>
  <c r="S186" i="56"/>
  <c r="S194" i="56"/>
  <c r="S188" i="56"/>
  <c r="E23" i="49"/>
  <c r="I23" i="49" s="1"/>
  <c r="AI91" i="48"/>
  <c r="O95" i="48"/>
  <c r="D48" i="49"/>
  <c r="E8" i="49"/>
  <c r="I8" i="49" s="1"/>
  <c r="L29" i="10"/>
  <c r="I79" i="49"/>
  <c r="I100" i="49"/>
  <c r="I55" i="49"/>
  <c r="B97" i="49"/>
  <c r="B76" i="49"/>
  <c r="B94" i="49"/>
  <c r="B73" i="49"/>
  <c r="AG78" i="49"/>
  <c r="Y78" i="49"/>
  <c r="R78" i="49"/>
  <c r="AH78" i="49"/>
  <c r="AK78" i="49"/>
  <c r="W78" i="49"/>
  <c r="AM78" i="49"/>
  <c r="AA78" i="49"/>
  <c r="AO78" i="49"/>
  <c r="AB78" i="49"/>
  <c r="T78" i="49"/>
  <c r="AJ78" i="49"/>
  <c r="AI78" i="49"/>
  <c r="AC78" i="49"/>
  <c r="O78" i="49"/>
  <c r="AN78" i="49"/>
  <c r="AD78" i="49"/>
  <c r="V78" i="49"/>
  <c r="X78" i="49"/>
  <c r="U78" i="49"/>
  <c r="Q78" i="49"/>
  <c r="P78" i="49"/>
  <c r="Z78" i="49"/>
  <c r="S78" i="49"/>
  <c r="AL78" i="49"/>
  <c r="AP78" i="49"/>
  <c r="AE78" i="49"/>
  <c r="AF78" i="49"/>
  <c r="AD79" i="49"/>
  <c r="AD70" i="49"/>
  <c r="AD74" i="49"/>
  <c r="I17" i="48"/>
  <c r="I52" i="48" s="1"/>
  <c r="K32" i="55"/>
  <c r="R76" i="56" s="1"/>
  <c r="K13" i="55"/>
  <c r="R57" i="56" s="1"/>
  <c r="K16" i="55"/>
  <c r="R60" i="56" s="1"/>
  <c r="K11" i="55"/>
  <c r="R55" i="56" s="1"/>
  <c r="K21" i="55"/>
  <c r="R65" i="56" s="1"/>
  <c r="K20" i="55"/>
  <c r="R64" i="56" s="1"/>
  <c r="K23" i="55"/>
  <c r="R67" i="56" s="1"/>
  <c r="K12" i="55"/>
  <c r="R56" i="56" s="1"/>
  <c r="K9" i="55"/>
  <c r="R53" i="56" s="1"/>
  <c r="K25" i="55"/>
  <c r="R69" i="56" s="1"/>
  <c r="K15" i="55"/>
  <c r="R59" i="56" s="1"/>
  <c r="K27" i="55"/>
  <c r="R71" i="56" s="1"/>
  <c r="K19" i="55"/>
  <c r="R63" i="56" s="1"/>
  <c r="K26" i="55"/>
  <c r="R70" i="56" s="1"/>
  <c r="K22" i="55"/>
  <c r="R66" i="56" s="1"/>
  <c r="R52" i="56"/>
  <c r="K14" i="55"/>
  <c r="R58" i="56" s="1"/>
  <c r="K18" i="55"/>
  <c r="R62" i="56" s="1"/>
  <c r="K17" i="55"/>
  <c r="R61" i="56" s="1"/>
  <c r="K24" i="55"/>
  <c r="R68" i="56" s="1"/>
  <c r="K10" i="55"/>
  <c r="R54" i="56" s="1"/>
  <c r="V10" i="55"/>
  <c r="AC54" i="56" s="1"/>
  <c r="V20" i="55"/>
  <c r="AC64" i="56" s="1"/>
  <c r="V23" i="55"/>
  <c r="AC67" i="56" s="1"/>
  <c r="V18" i="55"/>
  <c r="AC62" i="56" s="1"/>
  <c r="V14" i="55"/>
  <c r="AC58" i="56" s="1"/>
  <c r="V25" i="55"/>
  <c r="AC69" i="56" s="1"/>
  <c r="V27" i="55"/>
  <c r="AC71" i="56" s="1"/>
  <c r="V26" i="55"/>
  <c r="AC70" i="56" s="1"/>
  <c r="V9" i="55"/>
  <c r="AC53" i="56" s="1"/>
  <c r="V15" i="55"/>
  <c r="AC59" i="56" s="1"/>
  <c r="V12" i="55"/>
  <c r="AC56" i="56" s="1"/>
  <c r="V11" i="55"/>
  <c r="AC55" i="56" s="1"/>
  <c r="AC52" i="56"/>
  <c r="V24" i="55"/>
  <c r="AC68" i="56" s="1"/>
  <c r="V13" i="55"/>
  <c r="AC57" i="56" s="1"/>
  <c r="V17" i="55"/>
  <c r="AC61" i="56" s="1"/>
  <c r="V21" i="55"/>
  <c r="AC65" i="56" s="1"/>
  <c r="V19" i="55"/>
  <c r="AC63" i="56" s="1"/>
  <c r="V22" i="55"/>
  <c r="AC66" i="56" s="1"/>
  <c r="T17" i="48"/>
  <c r="Z49" i="49" s="1"/>
  <c r="V16" i="55"/>
  <c r="AC60" i="56" s="1"/>
  <c r="V32" i="55"/>
  <c r="AC76" i="56" s="1"/>
  <c r="W67" i="48"/>
  <c r="W95" i="48" s="1"/>
  <c r="D119" i="49"/>
  <c r="K119" i="49" s="1"/>
  <c r="S91" i="48"/>
  <c r="AA42" i="55"/>
  <c r="AH86" i="56" s="1"/>
  <c r="AH42" i="55"/>
  <c r="AO86" i="56" s="1"/>
  <c r="K42" i="55"/>
  <c r="R86" i="56" s="1"/>
  <c r="AJ42" i="55"/>
  <c r="AQ86" i="56" s="1"/>
  <c r="AC42" i="55"/>
  <c r="AJ86" i="56" s="1"/>
  <c r="O42" i="55"/>
  <c r="V86" i="56" s="1"/>
  <c r="J46" i="55"/>
  <c r="I46" i="55"/>
  <c r="AD42" i="55"/>
  <c r="AK86" i="56" s="1"/>
  <c r="R42" i="55"/>
  <c r="Y86" i="56" s="1"/>
  <c r="M42" i="55"/>
  <c r="T86" i="56" s="1"/>
  <c r="AL42" i="55"/>
  <c r="AS86" i="56" s="1"/>
  <c r="AB42" i="55"/>
  <c r="AI86" i="56" s="1"/>
  <c r="T42" i="55"/>
  <c r="AA86" i="56" s="1"/>
  <c r="Y42" i="55"/>
  <c r="AF86" i="56" s="1"/>
  <c r="V42" i="55"/>
  <c r="AC86" i="56" s="1"/>
  <c r="AI42" i="55"/>
  <c r="AP86" i="56" s="1"/>
  <c r="W42" i="55"/>
  <c r="AD86" i="56" s="1"/>
  <c r="X42" i="55"/>
  <c r="AE86" i="56" s="1"/>
  <c r="AF42" i="55"/>
  <c r="AM86" i="56" s="1"/>
  <c r="AK42" i="55"/>
  <c r="AR86" i="56" s="1"/>
  <c r="Z42" i="55"/>
  <c r="AG86" i="56" s="1"/>
  <c r="AG42" i="55"/>
  <c r="AN86" i="56" s="1"/>
  <c r="P42" i="55"/>
  <c r="W86" i="56" s="1"/>
  <c r="J44" i="55"/>
  <c r="I44" i="55" s="1"/>
  <c r="S42" i="55"/>
  <c r="Z86" i="56" s="1"/>
  <c r="N42" i="55"/>
  <c r="U86" i="56" s="1"/>
  <c r="J45" i="55"/>
  <c r="I45" i="55" s="1"/>
  <c r="Q42" i="55"/>
  <c r="X86" i="56" s="1"/>
  <c r="J47" i="55"/>
  <c r="I47" i="55" s="1"/>
  <c r="L42" i="55"/>
  <c r="S86" i="56" s="1"/>
  <c r="AE42" i="55"/>
  <c r="AL86" i="56" s="1"/>
  <c r="I43" i="55"/>
  <c r="U42" i="55"/>
  <c r="AB86" i="56" s="1"/>
  <c r="B53" i="49"/>
  <c r="I13" i="49"/>
  <c r="AJ70" i="49"/>
  <c r="AJ74" i="49"/>
  <c r="AJ79" i="49"/>
  <c r="U74" i="49"/>
  <c r="U70" i="49"/>
  <c r="U79" i="49"/>
  <c r="Z70" i="49"/>
  <c r="Z74" i="49"/>
  <c r="Z79" i="49"/>
  <c r="U67" i="48"/>
  <c r="U95" i="48" s="1"/>
  <c r="S187" i="56"/>
  <c r="AD86" i="48"/>
  <c r="R67" i="48"/>
  <c r="R95" i="48" s="1"/>
  <c r="P62" i="55"/>
  <c r="W106" i="56" s="1"/>
  <c r="L62" i="55"/>
  <c r="S106" i="56" s="1"/>
  <c r="O62" i="55"/>
  <c r="V106" i="56" s="1"/>
  <c r="AE62" i="55"/>
  <c r="AL106" i="56" s="1"/>
  <c r="AF62" i="55"/>
  <c r="AM106" i="56" s="1"/>
  <c r="AA62" i="55"/>
  <c r="AH106" i="56" s="1"/>
  <c r="Z62" i="55"/>
  <c r="AG106" i="56" s="1"/>
  <c r="AK62" i="55"/>
  <c r="AR106" i="56" s="1"/>
  <c r="AG62" i="55"/>
  <c r="AN106" i="56" s="1"/>
  <c r="T62" i="55"/>
  <c r="AA106" i="56" s="1"/>
  <c r="AJ62" i="55"/>
  <c r="AQ106" i="56" s="1"/>
  <c r="M62" i="55"/>
  <c r="T106" i="56" s="1"/>
  <c r="AC62" i="55"/>
  <c r="AJ106" i="56" s="1"/>
  <c r="X62" i="55"/>
  <c r="AE106" i="56" s="1"/>
  <c r="R62" i="55"/>
  <c r="Y106" i="56" s="1"/>
  <c r="AD62" i="55"/>
  <c r="AK106" i="56" s="1"/>
  <c r="Q62" i="55"/>
  <c r="X106" i="56" s="1"/>
  <c r="U62" i="55"/>
  <c r="AB106" i="56" s="1"/>
  <c r="W62" i="55"/>
  <c r="AD106" i="56" s="1"/>
  <c r="AL62" i="55"/>
  <c r="AS106" i="56" s="1"/>
  <c r="AI62" i="55"/>
  <c r="AP106" i="56" s="1"/>
  <c r="N62" i="55"/>
  <c r="U106" i="56" s="1"/>
  <c r="K62" i="55"/>
  <c r="R106" i="56" s="1"/>
  <c r="V62" i="55"/>
  <c r="AC106" i="56" s="1"/>
  <c r="AH62" i="55"/>
  <c r="AO106" i="56" s="1"/>
  <c r="S62" i="55"/>
  <c r="Z106" i="56" s="1"/>
  <c r="AB62" i="55"/>
  <c r="AI106" i="56" s="1"/>
  <c r="Y62" i="55"/>
  <c r="AF106" i="56" s="1"/>
  <c r="AE91" i="48"/>
  <c r="X95" i="48"/>
  <c r="D101" i="49"/>
  <c r="E56" i="49"/>
  <c r="U33" i="55"/>
  <c r="AB77" i="56" s="1"/>
  <c r="L33" i="55"/>
  <c r="S77" i="56" s="1"/>
  <c r="W33" i="55"/>
  <c r="AD77" i="56" s="1"/>
  <c r="AC33" i="55"/>
  <c r="AJ77" i="56" s="1"/>
  <c r="R33" i="55"/>
  <c r="Y77" i="56" s="1"/>
  <c r="AB33" i="55"/>
  <c r="AI77" i="56" s="1"/>
  <c r="AK33" i="55"/>
  <c r="AR77" i="56" s="1"/>
  <c r="AJ33" i="55"/>
  <c r="AQ77" i="56" s="1"/>
  <c r="S33" i="55"/>
  <c r="Z77" i="56" s="1"/>
  <c r="V33" i="55"/>
  <c r="AC77" i="56" s="1"/>
  <c r="Z33" i="55"/>
  <c r="AG77" i="56" s="1"/>
  <c r="AD33" i="55"/>
  <c r="AK77" i="56" s="1"/>
  <c r="AG33" i="55"/>
  <c r="AN77" i="56" s="1"/>
  <c r="O33" i="55"/>
  <c r="V77" i="56" s="1"/>
  <c r="N33" i="55"/>
  <c r="U77" i="56" s="1"/>
  <c r="Q33" i="55"/>
  <c r="X77" i="56" s="1"/>
  <c r="AH33" i="55"/>
  <c r="AO77" i="56" s="1"/>
  <c r="AA33" i="55"/>
  <c r="AH77" i="56" s="1"/>
  <c r="AF33" i="55"/>
  <c r="AM77" i="56" s="1"/>
  <c r="T33" i="55"/>
  <c r="AA77" i="56" s="1"/>
  <c r="P33" i="55"/>
  <c r="W77" i="56" s="1"/>
  <c r="AL33" i="55"/>
  <c r="AS77" i="56" s="1"/>
  <c r="K33" i="55"/>
  <c r="R77" i="56" s="1"/>
  <c r="AE33" i="55"/>
  <c r="AL77" i="56" s="1"/>
  <c r="AI33" i="55"/>
  <c r="AP77" i="56" s="1"/>
  <c r="X33" i="55"/>
  <c r="AE77" i="56" s="1"/>
  <c r="Y33" i="55"/>
  <c r="AF77" i="56" s="1"/>
  <c r="M33" i="55"/>
  <c r="T77" i="56" s="1"/>
  <c r="D100" i="49"/>
  <c r="D79" i="49"/>
  <c r="E55" i="49"/>
  <c r="AC55" i="49"/>
  <c r="V55" i="49"/>
  <c r="W55" i="49"/>
  <c r="AF55" i="49"/>
  <c r="Q55" i="49"/>
  <c r="AK55" i="49"/>
  <c r="AD55" i="49"/>
  <c r="AE55" i="49"/>
  <c r="AN55" i="49"/>
  <c r="Y55" i="49"/>
  <c r="AL55" i="49"/>
  <c r="AM55" i="49"/>
  <c r="AG55" i="49"/>
  <c r="AI55" i="49"/>
  <c r="AO55" i="49"/>
  <c r="R55" i="49"/>
  <c r="Z55" i="49"/>
  <c r="AA55" i="49"/>
  <c r="AH55" i="49"/>
  <c r="T55" i="49"/>
  <c r="S55" i="49"/>
  <c r="P55" i="49"/>
  <c r="AP55" i="49"/>
  <c r="AB55" i="49"/>
  <c r="X55" i="49"/>
  <c r="U55" i="49"/>
  <c r="AJ55" i="49"/>
  <c r="O55" i="49"/>
  <c r="O72" i="49"/>
  <c r="AG72" i="49"/>
  <c r="V72" i="49"/>
  <c r="AJ72" i="49"/>
  <c r="Z72" i="49"/>
  <c r="AA72" i="49"/>
  <c r="AP72" i="49"/>
  <c r="U72" i="49"/>
  <c r="AO72" i="49"/>
  <c r="AI72" i="49"/>
  <c r="AM72" i="49"/>
  <c r="AN72" i="49"/>
  <c r="P72" i="49"/>
  <c r="Y72" i="49"/>
  <c r="AC72" i="49"/>
  <c r="R72" i="49"/>
  <c r="AB72" i="49"/>
  <c r="Q72" i="49"/>
  <c r="AK72" i="49"/>
  <c r="T72" i="49"/>
  <c r="AF72" i="49"/>
  <c r="X72" i="49"/>
  <c r="AD72" i="49"/>
  <c r="AE72" i="49"/>
  <c r="S72" i="49"/>
  <c r="AL72" i="49"/>
  <c r="AH72" i="49"/>
  <c r="W72" i="49"/>
  <c r="AF75" i="49"/>
  <c r="U75" i="49"/>
  <c r="Q75" i="49"/>
  <c r="AH75" i="49"/>
  <c r="AD75" i="49"/>
  <c r="AN75" i="49"/>
  <c r="X75" i="49"/>
  <c r="O75" i="49"/>
  <c r="AC75" i="49"/>
  <c r="AK75" i="49"/>
  <c r="T75" i="49"/>
  <c r="AM75" i="49"/>
  <c r="AI75" i="49"/>
  <c r="AO75" i="49"/>
  <c r="Z75" i="49"/>
  <c r="AP75" i="49"/>
  <c r="AJ75" i="49"/>
  <c r="S75" i="49"/>
  <c r="V75" i="49"/>
  <c r="AL75" i="49"/>
  <c r="AE75" i="49"/>
  <c r="AA75" i="49"/>
  <c r="W75" i="49"/>
  <c r="Y75" i="49"/>
  <c r="R75" i="49"/>
  <c r="AB75" i="49"/>
  <c r="AG75" i="49"/>
  <c r="P75" i="49"/>
  <c r="C85" i="49"/>
  <c r="C106" i="49"/>
  <c r="AG70" i="49"/>
  <c r="AG74" i="49"/>
  <c r="AG79" i="49"/>
  <c r="N67" i="48"/>
  <c r="N95" i="48" s="1"/>
  <c r="R54" i="55"/>
  <c r="Y98" i="56" s="1"/>
  <c r="AB54" i="55"/>
  <c r="AI98" i="56" s="1"/>
  <c r="AG54" i="55"/>
  <c r="AN98" i="56" s="1"/>
  <c r="AI54" i="55"/>
  <c r="AP98" i="56" s="1"/>
  <c r="V54" i="55"/>
  <c r="AC98" i="56" s="1"/>
  <c r="T54" i="55"/>
  <c r="AA98" i="56" s="1"/>
  <c r="I68" i="55"/>
  <c r="I69" i="55"/>
  <c r="I67" i="55"/>
  <c r="AC54" i="55"/>
  <c r="AJ98" i="56" s="1"/>
  <c r="M54" i="55"/>
  <c r="T98" i="56" s="1"/>
  <c r="Q54" i="55"/>
  <c r="X98" i="56" s="1"/>
  <c r="O54" i="55"/>
  <c r="V98" i="56" s="1"/>
  <c r="AK54" i="55"/>
  <c r="AR98" i="56" s="1"/>
  <c r="L54" i="55"/>
  <c r="S98" i="56" s="1"/>
  <c r="K54" i="55"/>
  <c r="R98" i="56" s="1"/>
  <c r="N54" i="55"/>
  <c r="U98" i="56" s="1"/>
  <c r="AL54" i="55"/>
  <c r="AS98" i="56" s="1"/>
  <c r="P54" i="55"/>
  <c r="W98" i="56" s="1"/>
  <c r="S54" i="55"/>
  <c r="Z98" i="56" s="1"/>
  <c r="X54" i="55"/>
  <c r="AE98" i="56" s="1"/>
  <c r="W54" i="55"/>
  <c r="AD98" i="56" s="1"/>
  <c r="AH54" i="55"/>
  <c r="AO98" i="56" s="1"/>
  <c r="I59" i="55"/>
  <c r="I70" i="55"/>
  <c r="AD54" i="55"/>
  <c r="AK98" i="56" s="1"/>
  <c r="Z54" i="55"/>
  <c r="AG98" i="56" s="1"/>
  <c r="Y54" i="55"/>
  <c r="AF98" i="56" s="1"/>
  <c r="AA54" i="55"/>
  <c r="AH98" i="56" s="1"/>
  <c r="AF54" i="55"/>
  <c r="AM98" i="56" s="1"/>
  <c r="AJ54" i="55"/>
  <c r="AQ98" i="56" s="1"/>
  <c r="U54" i="55"/>
  <c r="AB98" i="56" s="1"/>
  <c r="AE54" i="55"/>
  <c r="AL98" i="56" s="1"/>
  <c r="I55" i="55"/>
  <c r="I57" i="55"/>
  <c r="I58" i="55"/>
  <c r="I56" i="55"/>
  <c r="I66" i="55"/>
  <c r="M34" i="55"/>
  <c r="T78" i="56" s="1"/>
  <c r="L34" i="55"/>
  <c r="S78" i="56" s="1"/>
  <c r="W34" i="55"/>
  <c r="AD78" i="56" s="1"/>
  <c r="O34" i="55"/>
  <c r="V78" i="56" s="1"/>
  <c r="T34" i="55"/>
  <c r="AA78" i="56" s="1"/>
  <c r="AK34" i="55"/>
  <c r="AR78" i="56" s="1"/>
  <c r="AB34" i="55"/>
  <c r="AI78" i="56" s="1"/>
  <c r="R34" i="55"/>
  <c r="Y78" i="56" s="1"/>
  <c r="AE34" i="55"/>
  <c r="AL78" i="56" s="1"/>
  <c r="AI34" i="55"/>
  <c r="AP78" i="56" s="1"/>
  <c r="AC34" i="55"/>
  <c r="AJ78" i="56" s="1"/>
  <c r="V34" i="55"/>
  <c r="AC78" i="56" s="1"/>
  <c r="AJ34" i="55"/>
  <c r="AQ78" i="56" s="1"/>
  <c r="N34" i="55"/>
  <c r="U78" i="56" s="1"/>
  <c r="P34" i="55"/>
  <c r="W78" i="56" s="1"/>
  <c r="Q34" i="55"/>
  <c r="X78" i="56" s="1"/>
  <c r="AD34" i="55"/>
  <c r="AK78" i="56" s="1"/>
  <c r="Y34" i="55"/>
  <c r="AF78" i="56" s="1"/>
  <c r="S34" i="55"/>
  <c r="Z78" i="56" s="1"/>
  <c r="K34" i="55"/>
  <c r="R78" i="56" s="1"/>
  <c r="AG34" i="55"/>
  <c r="AN78" i="56" s="1"/>
  <c r="U34" i="55"/>
  <c r="AB78" i="56" s="1"/>
  <c r="AH34" i="55"/>
  <c r="AO78" i="56" s="1"/>
  <c r="AA34" i="55"/>
  <c r="AH78" i="56" s="1"/>
  <c r="AL34" i="55"/>
  <c r="AS78" i="56" s="1"/>
  <c r="Z34" i="55"/>
  <c r="AG78" i="56" s="1"/>
  <c r="X34" i="55"/>
  <c r="AE78" i="56" s="1"/>
  <c r="AF34" i="55"/>
  <c r="AM78" i="56" s="1"/>
  <c r="K27" i="49"/>
  <c r="E27" i="49"/>
  <c r="I27" i="49" s="1"/>
  <c r="D67" i="49"/>
  <c r="AJ17" i="48"/>
  <c r="AP49" i="49" s="1"/>
  <c r="AL18" i="55"/>
  <c r="AS62" i="56" s="1"/>
  <c r="AL13" i="55"/>
  <c r="AS57" i="56" s="1"/>
  <c r="AL20" i="55"/>
  <c r="AS64" i="56" s="1"/>
  <c r="AL10" i="55"/>
  <c r="AS54" i="56" s="1"/>
  <c r="AL9" i="55"/>
  <c r="AS53" i="56" s="1"/>
  <c r="AL21" i="55"/>
  <c r="AS65" i="56" s="1"/>
  <c r="AL24" i="55"/>
  <c r="AS68" i="56" s="1"/>
  <c r="AS52" i="56"/>
  <c r="AL23" i="55"/>
  <c r="AS67" i="56" s="1"/>
  <c r="AL25" i="55"/>
  <c r="AS69" i="56" s="1"/>
  <c r="AL26" i="55"/>
  <c r="AS70" i="56" s="1"/>
  <c r="AL27" i="55"/>
  <c r="AS71" i="56" s="1"/>
  <c r="AL32" i="55"/>
  <c r="AS76" i="56" s="1"/>
  <c r="AL16" i="55"/>
  <c r="AS60" i="56" s="1"/>
  <c r="AL11" i="55"/>
  <c r="AS55" i="56" s="1"/>
  <c r="AL15" i="55"/>
  <c r="AS59" i="56" s="1"/>
  <c r="AL14" i="55"/>
  <c r="AS58" i="56" s="1"/>
  <c r="AL19" i="55"/>
  <c r="AS63" i="56" s="1"/>
  <c r="AL17" i="55"/>
  <c r="AS61" i="56" s="1"/>
  <c r="AL22" i="55"/>
  <c r="AS66" i="56" s="1"/>
  <c r="AL12" i="55"/>
  <c r="AS56" i="56" s="1"/>
  <c r="AA17" i="48"/>
  <c r="AG49" i="49" s="1"/>
  <c r="AC16" i="55"/>
  <c r="AJ60" i="56" s="1"/>
  <c r="AC14" i="55"/>
  <c r="AJ58" i="56" s="1"/>
  <c r="AJ52" i="56"/>
  <c r="AC22" i="55"/>
  <c r="AJ66" i="56" s="1"/>
  <c r="AC11" i="55"/>
  <c r="AJ55" i="56" s="1"/>
  <c r="AC15" i="55"/>
  <c r="AJ59" i="56" s="1"/>
  <c r="AC26" i="55"/>
  <c r="AJ70" i="56" s="1"/>
  <c r="AC24" i="55"/>
  <c r="AJ68" i="56" s="1"/>
  <c r="AC10" i="55"/>
  <c r="AJ54" i="56" s="1"/>
  <c r="AC13" i="55"/>
  <c r="AJ57" i="56" s="1"/>
  <c r="AC25" i="55"/>
  <c r="AJ69" i="56" s="1"/>
  <c r="AC27" i="55"/>
  <c r="AJ71" i="56" s="1"/>
  <c r="AC17" i="55"/>
  <c r="AJ61" i="56" s="1"/>
  <c r="AC21" i="55"/>
  <c r="AJ65" i="56" s="1"/>
  <c r="AC12" i="55"/>
  <c r="AJ56" i="56" s="1"/>
  <c r="AC18" i="55"/>
  <c r="AJ62" i="56" s="1"/>
  <c r="AC32" i="55"/>
  <c r="AJ76" i="56" s="1"/>
  <c r="AC23" i="55"/>
  <c r="AJ67" i="56" s="1"/>
  <c r="AC20" i="55"/>
  <c r="AJ64" i="56" s="1"/>
  <c r="AC19" i="55"/>
  <c r="AJ63" i="56" s="1"/>
  <c r="AC9" i="55"/>
  <c r="AJ53" i="56" s="1"/>
  <c r="AG67" i="48"/>
  <c r="AG95" i="48" s="1"/>
  <c r="L63" i="55"/>
  <c r="S107" i="56" s="1"/>
  <c r="AL63" i="55"/>
  <c r="AS107" i="56" s="1"/>
  <c r="AB63" i="55"/>
  <c r="AI107" i="56" s="1"/>
  <c r="AJ63" i="55"/>
  <c r="AQ107" i="56" s="1"/>
  <c r="V63" i="55"/>
  <c r="AC107" i="56" s="1"/>
  <c r="W63" i="55"/>
  <c r="AD107" i="56" s="1"/>
  <c r="Y63" i="55"/>
  <c r="AF107" i="56" s="1"/>
  <c r="O63" i="55"/>
  <c r="V107" i="56" s="1"/>
  <c r="P63" i="55"/>
  <c r="W107" i="56" s="1"/>
  <c r="AE63" i="55"/>
  <c r="AL107" i="56" s="1"/>
  <c r="AH63" i="55"/>
  <c r="AO107" i="56" s="1"/>
  <c r="X63" i="55"/>
  <c r="AE107" i="56" s="1"/>
  <c r="AA63" i="55"/>
  <c r="AH107" i="56" s="1"/>
  <c r="AK63" i="55"/>
  <c r="AR107" i="56" s="1"/>
  <c r="U63" i="55"/>
  <c r="AB107" i="56" s="1"/>
  <c r="Z63" i="55"/>
  <c r="AG107" i="56" s="1"/>
  <c r="AI63" i="55"/>
  <c r="AP107" i="56" s="1"/>
  <c r="M63" i="55"/>
  <c r="T107" i="56" s="1"/>
  <c r="N63" i="55"/>
  <c r="U107" i="56" s="1"/>
  <c r="R63" i="55"/>
  <c r="Y107" i="56" s="1"/>
  <c r="AG63" i="55"/>
  <c r="AN107" i="56" s="1"/>
  <c r="AD63" i="55"/>
  <c r="AK107" i="56" s="1"/>
  <c r="T63" i="55"/>
  <c r="AA107" i="56" s="1"/>
  <c r="AC63" i="55"/>
  <c r="AJ107" i="56" s="1"/>
  <c r="Q63" i="55"/>
  <c r="X107" i="56" s="1"/>
  <c r="S63" i="55"/>
  <c r="Z107" i="56" s="1"/>
  <c r="K63" i="55"/>
  <c r="R107" i="56" s="1"/>
  <c r="AF63" i="55"/>
  <c r="AM107" i="56" s="1"/>
  <c r="M22" i="10"/>
  <c r="J72" i="49"/>
  <c r="J48" i="49"/>
  <c r="J93" i="49"/>
  <c r="B110" i="49"/>
  <c r="V65" i="49"/>
  <c r="Q65" i="49"/>
  <c r="AD65" i="49"/>
  <c r="P65" i="49"/>
  <c r="Y65" i="49"/>
  <c r="R65" i="49"/>
  <c r="U65" i="49"/>
  <c r="AL65" i="49"/>
  <c r="X65" i="49"/>
  <c r="AG65" i="49"/>
  <c r="Z65" i="49"/>
  <c r="AC65" i="49"/>
  <c r="AF65" i="49"/>
  <c r="AO65" i="49"/>
  <c r="AK65" i="49"/>
  <c r="T65" i="49"/>
  <c r="AB65" i="49"/>
  <c r="AN65" i="49"/>
  <c r="AI65" i="49"/>
  <c r="AA65" i="49"/>
  <c r="AE65" i="49"/>
  <c r="AH65" i="49"/>
  <c r="S65" i="49"/>
  <c r="W65" i="49"/>
  <c r="AP65" i="49"/>
  <c r="AJ65" i="49"/>
  <c r="AM65" i="49"/>
  <c r="O65" i="49"/>
  <c r="C120" i="48"/>
  <c r="AA93" i="48"/>
  <c r="S93" i="48"/>
  <c r="I93" i="48"/>
  <c r="C97" i="49"/>
  <c r="C76" i="49"/>
  <c r="I91" i="49"/>
  <c r="I70" i="49"/>
  <c r="I46" i="49"/>
  <c r="I120" i="49"/>
  <c r="L20" i="10"/>
  <c r="E21" i="49"/>
  <c r="I21" i="49" s="1"/>
  <c r="K21" i="49"/>
  <c r="D118" i="49"/>
  <c r="K118" i="49" s="1"/>
  <c r="D61" i="49"/>
  <c r="AI61" i="49" s="1"/>
  <c r="B103" i="49"/>
  <c r="B82" i="49"/>
  <c r="AJ58" i="49"/>
  <c r="AI58" i="49"/>
  <c r="AP58" i="49"/>
  <c r="P58" i="49"/>
  <c r="U58" i="49"/>
  <c r="AH58" i="49"/>
  <c r="W58" i="49"/>
  <c r="Y58" i="49"/>
  <c r="AO58" i="49"/>
  <c r="AN58" i="49"/>
  <c r="AB58" i="49"/>
  <c r="Z58" i="49"/>
  <c r="AA58" i="49"/>
  <c r="Q58" i="49"/>
  <c r="AG58" i="49"/>
  <c r="AF58" i="49"/>
  <c r="S58" i="49"/>
  <c r="AE58" i="49"/>
  <c r="AC58" i="49"/>
  <c r="R58" i="49"/>
  <c r="T58" i="49"/>
  <c r="AM58" i="49"/>
  <c r="X58" i="49"/>
  <c r="V58" i="49"/>
  <c r="AD58" i="49"/>
  <c r="AK58" i="49"/>
  <c r="AL58" i="49"/>
  <c r="O58" i="49"/>
  <c r="S151" i="42"/>
  <c r="T50" i="48" s="1"/>
  <c r="A96" i="49"/>
  <c r="A75" i="49"/>
  <c r="W118" i="42"/>
  <c r="W55" i="42"/>
  <c r="O174" i="42"/>
  <c r="Q151" i="42"/>
  <c r="R50" i="48" s="1"/>
  <c r="U174" i="42"/>
  <c r="Z130" i="42"/>
  <c r="Z170" i="42"/>
  <c r="AA70" i="48" s="1"/>
  <c r="AA98" i="48" s="1"/>
  <c r="W128" i="42"/>
  <c r="W169" i="42"/>
  <c r="X69" i="48" s="1"/>
  <c r="X97" i="48" s="1"/>
  <c r="O128" i="42"/>
  <c r="O169" i="42"/>
  <c r="P69" i="48" s="1"/>
  <c r="P97" i="48" s="1"/>
  <c r="U90" i="48"/>
  <c r="X90" i="48"/>
  <c r="W91" i="48"/>
  <c r="Y91" i="48"/>
  <c r="O90" i="48"/>
  <c r="AE93" i="48"/>
  <c r="Z93" i="48"/>
  <c r="Z90" i="48"/>
  <c r="S95" i="48"/>
  <c r="Z95" i="48"/>
  <c r="V95" i="48"/>
  <c r="AI129" i="49"/>
  <c r="AC71" i="48"/>
  <c r="AC99" i="48" s="1"/>
  <c r="M95" i="48"/>
  <c r="Z128" i="42"/>
  <c r="Z169" i="42"/>
  <c r="C96" i="48"/>
  <c r="C123" i="48" s="1"/>
  <c r="L25" i="49"/>
  <c r="I25" i="49" s="1"/>
  <c r="R68" i="48"/>
  <c r="R96" i="48" s="1"/>
  <c r="AJ68" i="48"/>
  <c r="AJ96" i="48" s="1"/>
  <c r="Y68" i="48"/>
  <c r="Y96" i="48" s="1"/>
  <c r="M68" i="48"/>
  <c r="M96" i="48" s="1"/>
  <c r="W68" i="48"/>
  <c r="W96" i="48" s="1"/>
  <c r="Q68" i="48"/>
  <c r="Q96" i="48" s="1"/>
  <c r="AF68" i="48"/>
  <c r="AF96" i="48" s="1"/>
  <c r="AA68" i="48"/>
  <c r="AA96" i="48" s="1"/>
  <c r="AI68" i="48"/>
  <c r="AI96" i="48" s="1"/>
  <c r="AE68" i="48"/>
  <c r="AE96" i="48" s="1"/>
  <c r="AH68" i="48"/>
  <c r="AH96" i="48" s="1"/>
  <c r="S68" i="48"/>
  <c r="S96" i="48" s="1"/>
  <c r="L68" i="48"/>
  <c r="L96" i="48" s="1"/>
  <c r="K68" i="48"/>
  <c r="K96" i="48" s="1"/>
  <c r="AC68" i="48"/>
  <c r="AC96" i="48" s="1"/>
  <c r="AG68" i="48"/>
  <c r="AG96" i="48" s="1"/>
  <c r="X68" i="48"/>
  <c r="X96" i="48" s="1"/>
  <c r="O68" i="48"/>
  <c r="O96" i="48" s="1"/>
  <c r="T68" i="48"/>
  <c r="T96" i="48" s="1"/>
  <c r="K11" i="49"/>
  <c r="E11" i="49"/>
  <c r="I11" i="49" s="1"/>
  <c r="D51" i="49"/>
  <c r="I86" i="49"/>
  <c r="L36" i="10"/>
  <c r="I62" i="49"/>
  <c r="I107" i="49"/>
  <c r="I71" i="49"/>
  <c r="E82" i="48"/>
  <c r="E109" i="48" s="1"/>
  <c r="X54" i="48"/>
  <c r="X82" i="48" s="1"/>
  <c r="T54" i="48"/>
  <c r="T82" i="48" s="1"/>
  <c r="AJ54" i="48"/>
  <c r="AJ82" i="48" s="1"/>
  <c r="AC54" i="48"/>
  <c r="AC82" i="48" s="1"/>
  <c r="J54" i="48"/>
  <c r="J82" i="48" s="1"/>
  <c r="W54" i="48"/>
  <c r="W82" i="48" s="1"/>
  <c r="Q54" i="48"/>
  <c r="Q82" i="48" s="1"/>
  <c r="O54" i="48"/>
  <c r="O82" i="48" s="1"/>
  <c r="L54" i="48"/>
  <c r="L82" i="48" s="1"/>
  <c r="S54" i="48"/>
  <c r="S82" i="48" s="1"/>
  <c r="V54" i="48"/>
  <c r="V82" i="48" s="1"/>
  <c r="AF54" i="48"/>
  <c r="AF82" i="48" s="1"/>
  <c r="AD54" i="48"/>
  <c r="AD82" i="48" s="1"/>
  <c r="M54" i="48"/>
  <c r="M82" i="48" s="1"/>
  <c r="P54" i="48"/>
  <c r="P82" i="48" s="1"/>
  <c r="AE54" i="48"/>
  <c r="AE82" i="48" s="1"/>
  <c r="N54" i="48"/>
  <c r="N82" i="48" s="1"/>
  <c r="AB54" i="48"/>
  <c r="AB82" i="48" s="1"/>
  <c r="K54" i="48"/>
  <c r="K82" i="48" s="1"/>
  <c r="U54" i="48"/>
  <c r="U82" i="48" s="1"/>
  <c r="AG54" i="48"/>
  <c r="AG82" i="48" s="1"/>
  <c r="AI54" i="48"/>
  <c r="AI82" i="48" s="1"/>
  <c r="AH54" i="48"/>
  <c r="AH82" i="48" s="1"/>
  <c r="Y54" i="48"/>
  <c r="Y82" i="48" s="1"/>
  <c r="R54" i="48"/>
  <c r="R82" i="48" s="1"/>
  <c r="AA54" i="48"/>
  <c r="AA82" i="48" s="1"/>
  <c r="Z54" i="48"/>
  <c r="Z82" i="48" s="1"/>
  <c r="I54" i="48"/>
  <c r="I82" i="48" s="1"/>
  <c r="L38" i="10"/>
  <c r="I88" i="49"/>
  <c r="I64" i="49"/>
  <c r="I109" i="49"/>
  <c r="V151" i="42"/>
  <c r="W50" i="48" s="1"/>
  <c r="P130" i="42"/>
  <c r="P170" i="42"/>
  <c r="Q70" i="48" s="1"/>
  <c r="Q98" i="48" s="1"/>
  <c r="AI151" i="42"/>
  <c r="AJ50" i="48" s="1"/>
  <c r="AI108" i="42"/>
  <c r="M174" i="42"/>
  <c r="AF130" i="42"/>
  <c r="AF170" i="42"/>
  <c r="AG70" i="48" s="1"/>
  <c r="AG98" i="48" s="1"/>
  <c r="Y174" i="42"/>
  <c r="AD128" i="42"/>
  <c r="AD169" i="42"/>
  <c r="AE69" i="48" s="1"/>
  <c r="AE97" i="48" s="1"/>
  <c r="AC128" i="42"/>
  <c r="AC169" i="42"/>
  <c r="AD69" i="48" s="1"/>
  <c r="AD97" i="48" s="1"/>
  <c r="AJ91" i="48"/>
  <c r="P91" i="48"/>
  <c r="AD90" i="48"/>
  <c r="R90" i="48"/>
  <c r="N90" i="48"/>
  <c r="R91" i="48"/>
  <c r="AA91" i="48"/>
  <c r="AJ90" i="48"/>
  <c r="M153" i="42"/>
  <c r="N53" i="48" s="1"/>
  <c r="N81" i="48" s="1"/>
  <c r="M108" i="42"/>
  <c r="K93" i="48"/>
  <c r="Q95" i="48"/>
  <c r="O153" i="42"/>
  <c r="P53" i="48" s="1"/>
  <c r="O108" i="42"/>
  <c r="I90" i="48"/>
  <c r="AI131" i="49"/>
  <c r="AI126" i="49"/>
  <c r="C125" i="48"/>
  <c r="E83" i="48"/>
  <c r="E110" i="48" s="1"/>
  <c r="T55" i="48"/>
  <c r="T83" i="48" s="1"/>
  <c r="J55" i="48"/>
  <c r="J83" i="48" s="1"/>
  <c r="U55" i="48"/>
  <c r="U83" i="48" s="1"/>
  <c r="M55" i="48"/>
  <c r="M83" i="48" s="1"/>
  <c r="AA55" i="48"/>
  <c r="AA83" i="48" s="1"/>
  <c r="N55" i="48"/>
  <c r="N83" i="48" s="1"/>
  <c r="AJ55" i="48"/>
  <c r="AJ83" i="48" s="1"/>
  <c r="AI55" i="48"/>
  <c r="AI83" i="48" s="1"/>
  <c r="W55" i="48"/>
  <c r="W83" i="48" s="1"/>
  <c r="P55" i="48"/>
  <c r="P83" i="48" s="1"/>
  <c r="AG55" i="48"/>
  <c r="AG83" i="48" s="1"/>
  <c r="O55" i="48"/>
  <c r="O83" i="48" s="1"/>
  <c r="AB55" i="48"/>
  <c r="AB83" i="48" s="1"/>
  <c r="S55" i="48"/>
  <c r="S83" i="48" s="1"/>
  <c r="V55" i="48"/>
  <c r="V83" i="48" s="1"/>
  <c r="AE55" i="48"/>
  <c r="AE83" i="48" s="1"/>
  <c r="AC55" i="48"/>
  <c r="AC83" i="48" s="1"/>
  <c r="X55" i="48"/>
  <c r="X83" i="48" s="1"/>
  <c r="AF55" i="48"/>
  <c r="AF83" i="48" s="1"/>
  <c r="AH55" i="48"/>
  <c r="AH83" i="48" s="1"/>
  <c r="L55" i="48"/>
  <c r="L83" i="48" s="1"/>
  <c r="Z55" i="48"/>
  <c r="Z83" i="48" s="1"/>
  <c r="Q55" i="48"/>
  <c r="Q83" i="48" s="1"/>
  <c r="I55" i="48"/>
  <c r="I83" i="48" s="1"/>
  <c r="K130" i="42"/>
  <c r="K170" i="42"/>
  <c r="L70" i="48" s="1"/>
  <c r="L98" i="48" s="1"/>
  <c r="D83" i="48"/>
  <c r="D110" i="48" s="1"/>
  <c r="J12" i="49"/>
  <c r="A70" i="49"/>
  <c r="A91" i="49"/>
  <c r="E92" i="48"/>
  <c r="E119" i="48" s="1"/>
  <c r="I49" i="49"/>
  <c r="I73" i="49"/>
  <c r="L23" i="10"/>
  <c r="I94" i="49"/>
  <c r="B84" i="49"/>
  <c r="B105" i="49"/>
  <c r="T60" i="49"/>
  <c r="AH60" i="49"/>
  <c r="B92" i="49"/>
  <c r="B71" i="49"/>
  <c r="P47" i="49"/>
  <c r="AH47" i="49"/>
  <c r="AA47" i="49"/>
  <c r="C122" i="48"/>
  <c r="D57" i="49"/>
  <c r="K17" i="49"/>
  <c r="E17" i="49"/>
  <c r="I17" i="49" s="1"/>
  <c r="E49" i="49"/>
  <c r="D94" i="49"/>
  <c r="D73" i="49"/>
  <c r="B85" i="49"/>
  <c r="B106" i="49"/>
  <c r="AK61" i="49"/>
  <c r="AA61" i="49"/>
  <c r="AH61" i="49"/>
  <c r="AI130" i="49"/>
  <c r="W170" i="42"/>
  <c r="X70" i="48" s="1"/>
  <c r="X98" i="48" s="1"/>
  <c r="W130" i="42"/>
  <c r="L174" i="42"/>
  <c r="R170" i="42"/>
  <c r="S70" i="48" s="1"/>
  <c r="S98" i="48" s="1"/>
  <c r="R130" i="42"/>
  <c r="AE128" i="42"/>
  <c r="AE169" i="42"/>
  <c r="AF69" i="48" s="1"/>
  <c r="AF97" i="48" s="1"/>
  <c r="AG151" i="42"/>
  <c r="AH50" i="48" s="1"/>
  <c r="K151" i="42"/>
  <c r="L50" i="48" s="1"/>
  <c r="V169" i="42"/>
  <c r="W69" i="48" s="1"/>
  <c r="W97" i="48" s="1"/>
  <c r="V128" i="42"/>
  <c r="N128" i="42"/>
  <c r="N169" i="42"/>
  <c r="O69" i="48" s="1"/>
  <c r="O97" i="48" s="1"/>
  <c r="S90" i="48"/>
  <c r="L91" i="48"/>
  <c r="T91" i="48"/>
  <c r="AC90" i="48"/>
  <c r="AI93" i="48"/>
  <c r="U93" i="48"/>
  <c r="AJ95" i="48"/>
  <c r="L93" i="48"/>
  <c r="AI95" i="48"/>
  <c r="O12" i="42"/>
  <c r="C108" i="49"/>
  <c r="C87" i="49"/>
  <c r="AF89" i="49"/>
  <c r="O89" i="49"/>
  <c r="AH89" i="49"/>
  <c r="AK89" i="49"/>
  <c r="AE89" i="49"/>
  <c r="AO89" i="49"/>
  <c r="T89" i="49"/>
  <c r="AB89" i="49"/>
  <c r="S89" i="49"/>
  <c r="R89" i="49"/>
  <c r="AJ89" i="49"/>
  <c r="AI89" i="49"/>
  <c r="W89" i="49"/>
  <c r="Y89" i="49"/>
  <c r="X89" i="49"/>
  <c r="U89" i="49"/>
  <c r="AM89" i="49"/>
  <c r="AG89" i="49"/>
  <c r="AC89" i="49"/>
  <c r="AL89" i="49"/>
  <c r="AA89" i="49"/>
  <c r="Q89" i="49"/>
  <c r="V89" i="49"/>
  <c r="AP89" i="49"/>
  <c r="Z89" i="49"/>
  <c r="AN89" i="49"/>
  <c r="P89" i="49"/>
  <c r="AD89" i="49"/>
  <c r="E80" i="48"/>
  <c r="E107" i="48" s="1"/>
  <c r="U52" i="48"/>
  <c r="U80" i="48" s="1"/>
  <c r="T52" i="48"/>
  <c r="T80" i="48" s="1"/>
  <c r="P52" i="48"/>
  <c r="P80" i="48" s="1"/>
  <c r="R52" i="48"/>
  <c r="R80" i="48" s="1"/>
  <c r="W52" i="48"/>
  <c r="W80" i="48" s="1"/>
  <c r="AD52" i="48"/>
  <c r="AD80" i="48" s="1"/>
  <c r="AF52" i="48"/>
  <c r="AF80" i="48" s="1"/>
  <c r="Y52" i="48"/>
  <c r="Y80" i="48" s="1"/>
  <c r="AE52" i="48"/>
  <c r="AE80" i="48" s="1"/>
  <c r="AG52" i="48"/>
  <c r="AG80" i="48" s="1"/>
  <c r="Q52" i="48"/>
  <c r="Q80" i="48" s="1"/>
  <c r="K52" i="48"/>
  <c r="K80" i="48" s="1"/>
  <c r="AH52" i="48"/>
  <c r="AH80" i="48" s="1"/>
  <c r="AC52" i="48"/>
  <c r="AC80" i="48" s="1"/>
  <c r="AB52" i="48"/>
  <c r="AB80" i="48" s="1"/>
  <c r="S52" i="48"/>
  <c r="S80" i="48" s="1"/>
  <c r="J52" i="48"/>
  <c r="J80" i="48" s="1"/>
  <c r="Z52" i="48"/>
  <c r="Z80" i="48" s="1"/>
  <c r="M52" i="48"/>
  <c r="M80" i="48" s="1"/>
  <c r="O52" i="48"/>
  <c r="O80" i="48" s="1"/>
  <c r="E88" i="48"/>
  <c r="E115" i="48" s="1"/>
  <c r="AB60" i="48"/>
  <c r="AB88" i="48" s="1"/>
  <c r="M60" i="48"/>
  <c r="M88" i="48" s="1"/>
  <c r="AC60" i="48"/>
  <c r="AC88" i="48" s="1"/>
  <c r="N60" i="48"/>
  <c r="N88" i="48" s="1"/>
  <c r="Q60" i="48"/>
  <c r="Q88" i="48" s="1"/>
  <c r="S60" i="48"/>
  <c r="S88" i="48" s="1"/>
  <c r="Y60" i="48"/>
  <c r="Y88" i="48" s="1"/>
  <c r="AA60" i="48"/>
  <c r="AA88" i="48" s="1"/>
  <c r="AI60" i="48"/>
  <c r="AI88" i="48" s="1"/>
  <c r="R60" i="48"/>
  <c r="R88" i="48" s="1"/>
  <c r="X60" i="48"/>
  <c r="X88" i="48" s="1"/>
  <c r="AH60" i="48"/>
  <c r="AH88" i="48" s="1"/>
  <c r="AD60" i="48"/>
  <c r="AD88" i="48" s="1"/>
  <c r="K60" i="48"/>
  <c r="K88" i="48" s="1"/>
  <c r="W60" i="48"/>
  <c r="W88" i="48" s="1"/>
  <c r="U60" i="48"/>
  <c r="U88" i="48" s="1"/>
  <c r="V60" i="48"/>
  <c r="V88" i="48" s="1"/>
  <c r="O60" i="48"/>
  <c r="O88" i="48" s="1"/>
  <c r="AF60" i="48"/>
  <c r="AF88" i="48" s="1"/>
  <c r="P60" i="48"/>
  <c r="P88" i="48" s="1"/>
  <c r="AG60" i="48"/>
  <c r="AG88" i="48" s="1"/>
  <c r="I60" i="48"/>
  <c r="I88" i="48" s="1"/>
  <c r="C70" i="49"/>
  <c r="C91" i="49"/>
  <c r="C89" i="48"/>
  <c r="C116" i="48" s="1"/>
  <c r="L18" i="49"/>
  <c r="I18" i="49" s="1"/>
  <c r="T61" i="48"/>
  <c r="W61" i="48"/>
  <c r="AI61" i="48"/>
  <c r="AA61" i="48"/>
  <c r="R61" i="48"/>
  <c r="M61" i="48"/>
  <c r="AD61" i="48"/>
  <c r="J61" i="48"/>
  <c r="AG61" i="48"/>
  <c r="AH61" i="48"/>
  <c r="K61" i="48"/>
  <c r="AF61" i="48"/>
  <c r="L61" i="48"/>
  <c r="X61" i="48"/>
  <c r="N61" i="48"/>
  <c r="Y61" i="48"/>
  <c r="U61" i="48"/>
  <c r="P61" i="48"/>
  <c r="O61" i="48"/>
  <c r="Q61" i="48"/>
  <c r="AB61" i="48"/>
  <c r="AC61" i="48"/>
  <c r="I61" i="48"/>
  <c r="AJ61" i="48"/>
  <c r="C117" i="48"/>
  <c r="AH90" i="48"/>
  <c r="AB90" i="48"/>
  <c r="T137" i="42"/>
  <c r="T143" i="42" s="1"/>
  <c r="T55" i="42"/>
  <c r="V170" i="42"/>
  <c r="W70" i="48" s="1"/>
  <c r="W98" i="48" s="1"/>
  <c r="V130" i="42"/>
  <c r="T174" i="42"/>
  <c r="Q170" i="42"/>
  <c r="R70" i="48" s="1"/>
  <c r="R98" i="48" s="1"/>
  <c r="Q130" i="42"/>
  <c r="L128" i="42"/>
  <c r="L169" i="42"/>
  <c r="M69" i="48" s="1"/>
  <c r="M97" i="48" s="1"/>
  <c r="Q174" i="42"/>
  <c r="Q128" i="42"/>
  <c r="Q169" i="42"/>
  <c r="R69" i="48" s="1"/>
  <c r="R97" i="48" s="1"/>
  <c r="AG128" i="42"/>
  <c r="AG169" i="42"/>
  <c r="AH69" i="48" s="1"/>
  <c r="AH97" i="48" s="1"/>
  <c r="AA90" i="48"/>
  <c r="N91" i="48"/>
  <c r="O91" i="48"/>
  <c r="AF91" i="48"/>
  <c r="AF90" i="48"/>
  <c r="V93" i="48"/>
  <c r="N93" i="48"/>
  <c r="AD91" i="48"/>
  <c r="J95" i="48"/>
  <c r="AJ93" i="48"/>
  <c r="AA95" i="48"/>
  <c r="B87" i="49"/>
  <c r="B108" i="49"/>
  <c r="Q63" i="49"/>
  <c r="AH63" i="49"/>
  <c r="AO63" i="49"/>
  <c r="AN63" i="49"/>
  <c r="U63" i="49"/>
  <c r="AA63" i="49"/>
  <c r="Z63" i="49"/>
  <c r="AM63" i="49"/>
  <c r="T63" i="49"/>
  <c r="AE63" i="49"/>
  <c r="AG63" i="49"/>
  <c r="P63" i="49"/>
  <c r="R63" i="49"/>
  <c r="AD63" i="49"/>
  <c r="S63" i="49"/>
  <c r="Y63" i="49"/>
  <c r="AK63" i="49"/>
  <c r="AF63" i="49"/>
  <c r="AL63" i="49"/>
  <c r="X63" i="49"/>
  <c r="W63" i="49"/>
  <c r="AB63" i="49"/>
  <c r="AI63" i="49"/>
  <c r="AC63" i="49"/>
  <c r="AJ63" i="49"/>
  <c r="V63" i="49"/>
  <c r="AP63" i="49"/>
  <c r="O63" i="49"/>
  <c r="J16" i="49"/>
  <c r="AI122" i="49"/>
  <c r="J23" i="49"/>
  <c r="D94" i="48"/>
  <c r="D121" i="48" s="1"/>
  <c r="C118" i="48"/>
  <c r="V91" i="48"/>
  <c r="U91" i="48"/>
  <c r="AC91" i="48"/>
  <c r="K91" i="48"/>
  <c r="E14" i="49"/>
  <c r="I14" i="49" s="1"/>
  <c r="D116" i="49"/>
  <c r="K116" i="49" s="1"/>
  <c r="D54" i="49"/>
  <c r="K14" i="49"/>
  <c r="D77" i="48"/>
  <c r="J6" i="49"/>
  <c r="U102" i="42"/>
  <c r="U55" i="42"/>
  <c r="I130" i="42"/>
  <c r="I170" i="42"/>
  <c r="J70" i="48" s="1"/>
  <c r="J98" i="48" s="1"/>
  <c r="I151" i="42"/>
  <c r="J50" i="48" s="1"/>
  <c r="I108" i="42"/>
  <c r="K128" i="42"/>
  <c r="K169" i="42"/>
  <c r="L69" i="48" s="1"/>
  <c r="L97" i="48" s="1"/>
  <c r="AA174" i="42"/>
  <c r="T151" i="42"/>
  <c r="U50" i="48" s="1"/>
  <c r="T108" i="42"/>
  <c r="P174" i="42"/>
  <c r="U128" i="42"/>
  <c r="U169" i="42"/>
  <c r="V69" i="48" s="1"/>
  <c r="V97" i="48" s="1"/>
  <c r="AI169" i="42"/>
  <c r="AJ69" i="48" s="1"/>
  <c r="AJ97" i="48" s="1"/>
  <c r="AI128" i="42"/>
  <c r="P90" i="48"/>
  <c r="M91" i="48"/>
  <c r="K90" i="48"/>
  <c r="AH91" i="48"/>
  <c r="X91" i="48"/>
  <c r="AH93" i="48"/>
  <c r="AD93" i="48"/>
  <c r="J93" i="48"/>
  <c r="AC95" i="48"/>
  <c r="N153" i="42"/>
  <c r="O53" i="48" s="1"/>
  <c r="O81" i="48" s="1"/>
  <c r="AD95" i="48"/>
  <c r="I95" i="48"/>
  <c r="AE151" i="42"/>
  <c r="AF50" i="48" s="1"/>
  <c r="P93" i="48"/>
  <c r="R93" i="48"/>
  <c r="O93" i="48"/>
  <c r="X93" i="48"/>
  <c r="AI127" i="49"/>
  <c r="C77" i="49"/>
  <c r="C98" i="49"/>
  <c r="AI121" i="49"/>
  <c r="Q121" i="49"/>
  <c r="E85" i="48"/>
  <c r="E112" i="48" s="1"/>
  <c r="B107" i="49"/>
  <c r="B86" i="49"/>
  <c r="P62" i="49"/>
  <c r="AF62" i="49"/>
  <c r="U62" i="49"/>
  <c r="AC62" i="49"/>
  <c r="S62" i="49"/>
  <c r="T62" i="49"/>
  <c r="R62" i="49"/>
  <c r="AL62" i="49"/>
  <c r="AJ62" i="49"/>
  <c r="AD62" i="49"/>
  <c r="X62" i="49"/>
  <c r="AB62" i="49"/>
  <c r="AP62" i="49"/>
  <c r="AE62" i="49"/>
  <c r="AO62" i="49"/>
  <c r="W62" i="49"/>
  <c r="Q62" i="49"/>
  <c r="AH62" i="49"/>
  <c r="AM62" i="49"/>
  <c r="AI62" i="49"/>
  <c r="AN62" i="49"/>
  <c r="AA62" i="49"/>
  <c r="AK62" i="49"/>
  <c r="Y62" i="49"/>
  <c r="V62" i="49"/>
  <c r="AG62" i="49"/>
  <c r="Z62" i="49"/>
  <c r="O62" i="49"/>
  <c r="D115" i="49"/>
  <c r="K115" i="49" s="1"/>
  <c r="D50" i="49"/>
  <c r="E10" i="49"/>
  <c r="I10" i="49" s="1"/>
  <c r="K10" i="49"/>
  <c r="AC151" i="42"/>
  <c r="AD50" i="48" s="1"/>
  <c r="J130" i="42"/>
  <c r="J170" i="42"/>
  <c r="K70" i="48" s="1"/>
  <c r="K98" i="48" s="1"/>
  <c r="AI174" i="42"/>
  <c r="AC168" i="42"/>
  <c r="AD68" i="48" s="1"/>
  <c r="AC126" i="42"/>
  <c r="AE174" i="42"/>
  <c r="M128" i="42"/>
  <c r="M169" i="42"/>
  <c r="N69" i="48" s="1"/>
  <c r="N97" i="48" s="1"/>
  <c r="V90" i="48"/>
  <c r="Q90" i="48"/>
  <c r="AE90" i="48"/>
  <c r="J91" i="48"/>
  <c r="T90" i="48"/>
  <c r="Q91" i="48"/>
  <c r="T93" i="48"/>
  <c r="AB93" i="48"/>
  <c r="W93" i="48"/>
  <c r="AC93" i="48"/>
  <c r="T95" i="48"/>
  <c r="AD153" i="42"/>
  <c r="AE53" i="48" s="1"/>
  <c r="AE81" i="48" s="1"/>
  <c r="AD108" i="42"/>
  <c r="AB95" i="48"/>
  <c r="Y98" i="48"/>
  <c r="AF95" i="48"/>
  <c r="AI88" i="49"/>
  <c r="P88" i="49"/>
  <c r="AG88" i="49"/>
  <c r="Z88" i="49"/>
  <c r="AF88" i="49"/>
  <c r="U88" i="49"/>
  <c r="W88" i="49"/>
  <c r="AA88" i="49"/>
  <c r="AN88" i="49"/>
  <c r="S88" i="49"/>
  <c r="Q88" i="49"/>
  <c r="AL88" i="49"/>
  <c r="AC88" i="49"/>
  <c r="AO88" i="49"/>
  <c r="AM88" i="49"/>
  <c r="AE88" i="49"/>
  <c r="AK88" i="49"/>
  <c r="AH88" i="49"/>
  <c r="R88" i="49"/>
  <c r="AJ88" i="49"/>
  <c r="V88" i="49"/>
  <c r="O88" i="49"/>
  <c r="X88" i="49"/>
  <c r="AD88" i="49"/>
  <c r="AB88" i="49"/>
  <c r="AP88" i="49"/>
  <c r="Y88" i="49"/>
  <c r="T88" i="49"/>
  <c r="E63" i="49"/>
  <c r="D108" i="49"/>
  <c r="D87" i="49"/>
  <c r="M168" i="42"/>
  <c r="N68" i="48" s="1"/>
  <c r="M126" i="42"/>
  <c r="L130" i="42"/>
  <c r="L170" i="42"/>
  <c r="M70" i="48" s="1"/>
  <c r="M98" i="48" s="1"/>
  <c r="K174" i="42"/>
  <c r="C81" i="49"/>
  <c r="C102" i="49"/>
  <c r="D84" i="48"/>
  <c r="D111" i="48" s="1"/>
  <c r="J13" i="49"/>
  <c r="C78" i="48"/>
  <c r="L7" i="49"/>
  <c r="M50" i="48"/>
  <c r="AA50" i="48"/>
  <c r="Z50" i="48"/>
  <c r="I50" i="48"/>
  <c r="Q50" i="48"/>
  <c r="AC50" i="48"/>
  <c r="Y50" i="48"/>
  <c r="V50" i="48"/>
  <c r="AB50" i="48"/>
  <c r="S50" i="48"/>
  <c r="AE50" i="48"/>
  <c r="N50" i="48"/>
  <c r="O50" i="48"/>
  <c r="K50" i="48"/>
  <c r="P50" i="48"/>
  <c r="AI50" i="48"/>
  <c r="X50" i="48"/>
  <c r="V11" i="50"/>
  <c r="C80" i="49"/>
  <c r="C101" i="49"/>
  <c r="K12" i="49"/>
  <c r="E12" i="49"/>
  <c r="I12" i="49" s="1"/>
  <c r="D52" i="49"/>
  <c r="B83" i="49"/>
  <c r="B104" i="49"/>
  <c r="AC59" i="49"/>
  <c r="E81" i="48"/>
  <c r="E108" i="48" s="1"/>
  <c r="AE102" i="42"/>
  <c r="AE55" i="42"/>
  <c r="C121" i="48"/>
  <c r="X128" i="42"/>
  <c r="X169" i="42"/>
  <c r="Y69" i="48" s="1"/>
  <c r="Y97" i="48" s="1"/>
  <c r="AF151" i="42"/>
  <c r="AG50" i="48" s="1"/>
  <c r="AF108" i="42"/>
  <c r="AB130" i="42"/>
  <c r="AB170" i="42"/>
  <c r="W174" i="42"/>
  <c r="AC174" i="42"/>
  <c r="H128" i="42"/>
  <c r="H169" i="42"/>
  <c r="I69" i="48" s="1"/>
  <c r="I97" i="48" s="1"/>
  <c r="AG91" i="48"/>
  <c r="J90" i="48"/>
  <c r="AI90" i="48"/>
  <c r="M93" i="48"/>
  <c r="Y93" i="48"/>
  <c r="Z91" i="48"/>
  <c r="AF112" i="42"/>
  <c r="AF12" i="42"/>
  <c r="Q93" i="48"/>
  <c r="AG93" i="48"/>
  <c r="AH95" i="48"/>
  <c r="AD112" i="42"/>
  <c r="AE145" i="48" s="1"/>
  <c r="AD12" i="42"/>
  <c r="Y95" i="48"/>
  <c r="S112" i="42"/>
  <c r="P112" i="42"/>
  <c r="P12" i="42"/>
  <c r="AG112" i="42"/>
  <c r="AG12" i="42"/>
  <c r="J112" i="42"/>
  <c r="J12" i="42"/>
  <c r="AC112" i="42"/>
  <c r="T112" i="42"/>
  <c r="AE112" i="42"/>
  <c r="X112" i="42"/>
  <c r="H112" i="42"/>
  <c r="H12" i="42"/>
  <c r="Q112" i="42"/>
  <c r="Q12" i="42"/>
  <c r="L112" i="42"/>
  <c r="L12" i="42"/>
  <c r="U112" i="42"/>
  <c r="K112" i="42"/>
  <c r="K12" i="42"/>
  <c r="AH112" i="42"/>
  <c r="AH12" i="42"/>
  <c r="R112" i="42"/>
  <c r="R12" i="42"/>
  <c r="AA112" i="42"/>
  <c r="AA12" i="42"/>
  <c r="I112" i="42"/>
  <c r="I12" i="42"/>
  <c r="T132" i="56" l="1"/>
  <c r="M103" i="55"/>
  <c r="T141" i="56" s="1"/>
  <c r="M104" i="55"/>
  <c r="T142" i="56" s="1"/>
  <c r="M105" i="55"/>
  <c r="T143" i="56" s="1"/>
  <c r="M106" i="55"/>
  <c r="T144" i="56" s="1"/>
  <c r="U132" i="56"/>
  <c r="N103" i="55"/>
  <c r="U141" i="56" s="1"/>
  <c r="N104" i="55"/>
  <c r="U142" i="56" s="1"/>
  <c r="N105" i="55"/>
  <c r="U143" i="56" s="1"/>
  <c r="N106" i="55"/>
  <c r="U144" i="56" s="1"/>
  <c r="X132" i="56"/>
  <c r="Q103" i="55"/>
  <c r="X141" i="56" s="1"/>
  <c r="Q104" i="55"/>
  <c r="X142" i="56" s="1"/>
  <c r="Q105" i="55"/>
  <c r="X143" i="56" s="1"/>
  <c r="Q106" i="55"/>
  <c r="X144" i="56" s="1"/>
  <c r="AK132" i="56"/>
  <c r="AD103" i="55"/>
  <c r="AK141" i="56" s="1"/>
  <c r="AD104" i="55"/>
  <c r="AK142" i="56" s="1"/>
  <c r="AD105" i="55"/>
  <c r="AK143" i="56" s="1"/>
  <c r="AD106" i="55"/>
  <c r="AK144" i="56" s="1"/>
  <c r="AC132" i="56"/>
  <c r="V103" i="55"/>
  <c r="AC141" i="56" s="1"/>
  <c r="V104" i="55"/>
  <c r="AC142" i="56" s="1"/>
  <c r="V105" i="55"/>
  <c r="AC143" i="56" s="1"/>
  <c r="V106" i="55"/>
  <c r="AC144" i="56" s="1"/>
  <c r="Z132" i="56"/>
  <c r="S103" i="55"/>
  <c r="Z141" i="56" s="1"/>
  <c r="S104" i="55"/>
  <c r="Z142" i="56" s="1"/>
  <c r="S105" i="55"/>
  <c r="Z143" i="56" s="1"/>
  <c r="S106" i="55"/>
  <c r="Z144" i="56" s="1"/>
  <c r="AE132" i="56"/>
  <c r="X103" i="55"/>
  <c r="AE141" i="56" s="1"/>
  <c r="X104" i="55"/>
  <c r="AE142" i="56" s="1"/>
  <c r="X105" i="55"/>
  <c r="AE143" i="56" s="1"/>
  <c r="X106" i="55"/>
  <c r="AE144" i="56" s="1"/>
  <c r="AQ132" i="56"/>
  <c r="AJ103" i="55"/>
  <c r="AQ141" i="56" s="1"/>
  <c r="AJ104" i="55"/>
  <c r="AQ142" i="56" s="1"/>
  <c r="AJ105" i="55"/>
  <c r="AQ143" i="56" s="1"/>
  <c r="AJ106" i="55"/>
  <c r="AQ144" i="56" s="1"/>
  <c r="AN132" i="56"/>
  <c r="AG103" i="55"/>
  <c r="AN141" i="56" s="1"/>
  <c r="AG104" i="55"/>
  <c r="AN142" i="56" s="1"/>
  <c r="AG105" i="55"/>
  <c r="AN143" i="56" s="1"/>
  <c r="AG106" i="55"/>
  <c r="AN144" i="56" s="1"/>
  <c r="AA132" i="56"/>
  <c r="T103" i="55"/>
  <c r="AA141" i="56" s="1"/>
  <c r="T104" i="55"/>
  <c r="AA142" i="56" s="1"/>
  <c r="T105" i="55"/>
  <c r="AA143" i="56" s="1"/>
  <c r="T106" i="55"/>
  <c r="AA144" i="56" s="1"/>
  <c r="Y132" i="56"/>
  <c r="R103" i="55"/>
  <c r="Y141" i="56" s="1"/>
  <c r="R104" i="55"/>
  <c r="Y142" i="56" s="1"/>
  <c r="R105" i="55"/>
  <c r="Y143" i="56" s="1"/>
  <c r="R106" i="55"/>
  <c r="Y144" i="56" s="1"/>
  <c r="AS132" i="56"/>
  <c r="AL103" i="55"/>
  <c r="AS141" i="56" s="1"/>
  <c r="AL104" i="55"/>
  <c r="AS142" i="56" s="1"/>
  <c r="AL105" i="55"/>
  <c r="AS143" i="56" s="1"/>
  <c r="AL106" i="55"/>
  <c r="AS144" i="56" s="1"/>
  <c r="AR132" i="56"/>
  <c r="AK103" i="55"/>
  <c r="AR141" i="56" s="1"/>
  <c r="AK104" i="55"/>
  <c r="AR142" i="56" s="1"/>
  <c r="AK105" i="55"/>
  <c r="AR143" i="56" s="1"/>
  <c r="AK106" i="55"/>
  <c r="AR144" i="56" s="1"/>
  <c r="V132" i="56"/>
  <c r="O103" i="55"/>
  <c r="V141" i="56" s="1"/>
  <c r="O104" i="55"/>
  <c r="V142" i="56" s="1"/>
  <c r="O105" i="55"/>
  <c r="V143" i="56" s="1"/>
  <c r="O106" i="55"/>
  <c r="V144" i="56" s="1"/>
  <c r="AF132" i="56"/>
  <c r="Y103" i="55"/>
  <c r="AF141" i="56" s="1"/>
  <c r="Y104" i="55"/>
  <c r="AF142" i="56" s="1"/>
  <c r="Y105" i="55"/>
  <c r="AF143" i="56" s="1"/>
  <c r="Y106" i="55"/>
  <c r="AF144" i="56" s="1"/>
  <c r="AO132" i="49"/>
  <c r="AG131" i="49"/>
  <c r="Z127" i="49"/>
  <c r="Q130" i="49"/>
  <c r="AC128" i="49"/>
  <c r="AJ132" i="56"/>
  <c r="AC103" i="55"/>
  <c r="AJ141" i="56" s="1"/>
  <c r="AC104" i="55"/>
  <c r="AJ142" i="56" s="1"/>
  <c r="AC105" i="55"/>
  <c r="AJ143" i="56" s="1"/>
  <c r="AC106" i="55"/>
  <c r="AJ144" i="56" s="1"/>
  <c r="AG132" i="56"/>
  <c r="Z103" i="55"/>
  <c r="AG141" i="56" s="1"/>
  <c r="Z104" i="55"/>
  <c r="AG142" i="56" s="1"/>
  <c r="Z105" i="55"/>
  <c r="AG143" i="56" s="1"/>
  <c r="Z106" i="55"/>
  <c r="AG144" i="56" s="1"/>
  <c r="AL132" i="56"/>
  <c r="AE103" i="55"/>
  <c r="AL141" i="56" s="1"/>
  <c r="AE104" i="55"/>
  <c r="AL142" i="56" s="1"/>
  <c r="AE105" i="55"/>
  <c r="AL143" i="56" s="1"/>
  <c r="AE106" i="55"/>
  <c r="AL144" i="56" s="1"/>
  <c r="AB132" i="56"/>
  <c r="U103" i="55"/>
  <c r="AB141" i="56" s="1"/>
  <c r="U104" i="55"/>
  <c r="AB142" i="56" s="1"/>
  <c r="U105" i="55"/>
  <c r="AB143" i="56" s="1"/>
  <c r="U106" i="55"/>
  <c r="AB144" i="56" s="1"/>
  <c r="AI132" i="56"/>
  <c r="AB103" i="55"/>
  <c r="AI141" i="56" s="1"/>
  <c r="AB104" i="55"/>
  <c r="AI142" i="56" s="1"/>
  <c r="AB105" i="55"/>
  <c r="AI143" i="56" s="1"/>
  <c r="AB106" i="55"/>
  <c r="AI144" i="56" s="1"/>
  <c r="W132" i="56"/>
  <c r="P103" i="55"/>
  <c r="W141" i="56" s="1"/>
  <c r="P104" i="55"/>
  <c r="W142" i="56" s="1"/>
  <c r="P105" i="55"/>
  <c r="W143" i="56" s="1"/>
  <c r="P106" i="55"/>
  <c r="W144" i="56" s="1"/>
  <c r="AO132" i="56"/>
  <c r="AH103" i="55"/>
  <c r="AO141" i="56" s="1"/>
  <c r="AH104" i="55"/>
  <c r="AO142" i="56" s="1"/>
  <c r="AH105" i="55"/>
  <c r="AO143" i="56" s="1"/>
  <c r="AH106" i="55"/>
  <c r="AO144" i="56" s="1"/>
  <c r="U183" i="56"/>
  <c r="T222" i="56"/>
  <c r="T206" i="56"/>
  <c r="T193" i="56"/>
  <c r="T207" i="56"/>
  <c r="T190" i="56"/>
  <c r="T220" i="56"/>
  <c r="T208" i="56"/>
  <c r="T216" i="56"/>
  <c r="T203" i="56"/>
  <c r="T204" i="56"/>
  <c r="T219" i="56"/>
  <c r="T221" i="56"/>
  <c r="T192" i="56"/>
  <c r="T202" i="56"/>
  <c r="T189" i="56"/>
  <c r="T205" i="56"/>
  <c r="T194" i="56"/>
  <c r="T191" i="56"/>
  <c r="T217" i="56"/>
  <c r="T201" i="56"/>
  <c r="T199" i="56"/>
  <c r="AC132" i="49"/>
  <c r="AC130" i="49"/>
  <c r="AG11" i="50"/>
  <c r="AO131" i="49"/>
  <c r="F11" i="50"/>
  <c r="N146" i="48"/>
  <c r="T116" i="49" s="1"/>
  <c r="Z126" i="49"/>
  <c r="J146" i="48"/>
  <c r="P116" i="49" s="1"/>
  <c r="V124" i="42"/>
  <c r="I143" i="42"/>
  <c r="P130" i="49"/>
  <c r="Y146" i="48"/>
  <c r="AE116" i="49" s="1"/>
  <c r="AC126" i="49"/>
  <c r="W9" i="50"/>
  <c r="V143" i="42"/>
  <c r="W71" i="48"/>
  <c r="W99" i="48" s="1"/>
  <c r="AC127" i="49"/>
  <c r="AC122" i="49"/>
  <c r="AC131" i="49"/>
  <c r="AJ146" i="48"/>
  <c r="AP116" i="49" s="1"/>
  <c r="AC121" i="49"/>
  <c r="W146" i="48"/>
  <c r="AC116" i="49" s="1"/>
  <c r="AG127" i="49"/>
  <c r="AG121" i="49"/>
  <c r="AG122" i="49"/>
  <c r="AM127" i="49"/>
  <c r="M146" i="48"/>
  <c r="S116" i="49" s="1"/>
  <c r="L143" i="42"/>
  <c r="Q131" i="49"/>
  <c r="Q127" i="49"/>
  <c r="Q122" i="49"/>
  <c r="Q126" i="49"/>
  <c r="AI71" i="48"/>
  <c r="AI99" i="48" s="1"/>
  <c r="K143" i="42"/>
  <c r="AO125" i="49"/>
  <c r="AA126" i="42"/>
  <c r="Z131" i="49"/>
  <c r="Z132" i="49"/>
  <c r="AO126" i="49"/>
  <c r="AI146" i="48"/>
  <c r="AO119" i="49" s="1"/>
  <c r="AO128" i="49"/>
  <c r="AO121" i="49"/>
  <c r="AO127" i="49"/>
  <c r="AO122" i="49"/>
  <c r="AO130" i="49"/>
  <c r="S143" i="42"/>
  <c r="Z123" i="49"/>
  <c r="Z121" i="49"/>
  <c r="Z122" i="49"/>
  <c r="T71" i="48"/>
  <c r="T99" i="48" s="1"/>
  <c r="T146" i="48"/>
  <c r="Z116" i="49" s="1"/>
  <c r="Z146" i="48"/>
  <c r="AF116" i="49" s="1"/>
  <c r="R130" i="49"/>
  <c r="Z130" i="49"/>
  <c r="Z129" i="49"/>
  <c r="AH143" i="42"/>
  <c r="K71" i="48"/>
  <c r="K99" i="48" s="1"/>
  <c r="Q129" i="49"/>
  <c r="Q132" i="49"/>
  <c r="S146" i="48"/>
  <c r="Y119" i="49" s="1"/>
  <c r="AG130" i="49"/>
  <c r="AG132" i="49"/>
  <c r="AA71" i="48"/>
  <c r="AA99" i="48" s="1"/>
  <c r="K146" i="48"/>
  <c r="Q119" i="49" s="1"/>
  <c r="AG126" i="49"/>
  <c r="J143" i="42"/>
  <c r="Z143" i="42"/>
  <c r="AE146" i="48"/>
  <c r="AK119" i="49" s="1"/>
  <c r="AK126" i="49"/>
  <c r="AD143" i="42"/>
  <c r="W12" i="42"/>
  <c r="Q108" i="42"/>
  <c r="O98" i="48"/>
  <c r="U112" i="49" s="1"/>
  <c r="AB11" i="50"/>
  <c r="X143" i="42"/>
  <c r="Y11" i="50"/>
  <c r="L146" i="48"/>
  <c r="R119" i="49" s="1"/>
  <c r="Z108" i="42"/>
  <c r="U143" i="42"/>
  <c r="AF143" i="42"/>
  <c r="AB130" i="49"/>
  <c r="AG146" i="48"/>
  <c r="AM119" i="49" s="1"/>
  <c r="AM122" i="49"/>
  <c r="AM132" i="49"/>
  <c r="G9" i="50"/>
  <c r="AI111" i="42"/>
  <c r="Y59" i="49"/>
  <c r="AI47" i="49"/>
  <c r="AG47" i="49"/>
  <c r="AD47" i="49"/>
  <c r="AE47" i="49"/>
  <c r="AG123" i="49"/>
  <c r="AO70" i="49"/>
  <c r="AN47" i="49"/>
  <c r="X47" i="49"/>
  <c r="AC47" i="49"/>
  <c r="U124" i="49"/>
  <c r="AJ47" i="49"/>
  <c r="AL47" i="49"/>
  <c r="R47" i="49"/>
  <c r="AP47" i="49"/>
  <c r="AK47" i="49"/>
  <c r="Q47" i="49"/>
  <c r="O47" i="49"/>
  <c r="AO47" i="49"/>
  <c r="T47" i="49"/>
  <c r="V47" i="49"/>
  <c r="S47" i="49"/>
  <c r="AF47" i="49"/>
  <c r="Z47" i="49"/>
  <c r="U47" i="49"/>
  <c r="AO124" i="49"/>
  <c r="AA59" i="49"/>
  <c r="W47" i="49"/>
  <c r="AB47" i="49"/>
  <c r="Y47" i="49"/>
  <c r="M164" i="42"/>
  <c r="N64" i="48" s="1"/>
  <c r="AG59" i="49"/>
  <c r="AB59" i="49"/>
  <c r="R59" i="49"/>
  <c r="K108" i="42"/>
  <c r="S125" i="49"/>
  <c r="AI128" i="49"/>
  <c r="AD59" i="49"/>
  <c r="AG125" i="49"/>
  <c r="AF59" i="49"/>
  <c r="P59" i="49"/>
  <c r="S59" i="49"/>
  <c r="AN59" i="49"/>
  <c r="AL70" i="49"/>
  <c r="L21" i="10"/>
  <c r="AP70" i="49"/>
  <c r="W59" i="49"/>
  <c r="V59" i="49"/>
  <c r="AJ59" i="49"/>
  <c r="AE59" i="49"/>
  <c r="Z59" i="49"/>
  <c r="T59" i="49"/>
  <c r="I47" i="49"/>
  <c r="Z128" i="49"/>
  <c r="AN129" i="49"/>
  <c r="AP59" i="49"/>
  <c r="AC125" i="49"/>
  <c r="AH59" i="49"/>
  <c r="X59" i="49"/>
  <c r="AK59" i="49"/>
  <c r="Z125" i="49"/>
  <c r="S60" i="49"/>
  <c r="AG128" i="49"/>
  <c r="L77" i="10"/>
  <c r="AC129" i="49"/>
  <c r="AG129" i="49"/>
  <c r="AO129" i="49"/>
  <c r="AF70" i="49"/>
  <c r="AN70" i="49"/>
  <c r="Y70" i="49"/>
  <c r="AB70" i="49"/>
  <c r="AH70" i="49"/>
  <c r="AA70" i="49"/>
  <c r="P70" i="49"/>
  <c r="W70" i="49"/>
  <c r="AI70" i="49"/>
  <c r="AC70" i="49"/>
  <c r="X70" i="49"/>
  <c r="S70" i="49"/>
  <c r="AE70" i="49"/>
  <c r="AM70" i="49"/>
  <c r="AO59" i="49"/>
  <c r="Q59" i="49"/>
  <c r="AM59" i="49"/>
  <c r="Q125" i="49"/>
  <c r="Q128" i="49"/>
  <c r="K221" i="56"/>
  <c r="V70" i="49"/>
  <c r="O59" i="49"/>
  <c r="U59" i="49"/>
  <c r="AI59" i="49"/>
  <c r="AA55" i="42"/>
  <c r="B142" i="55"/>
  <c r="K180" i="56" s="1"/>
  <c r="E70" i="49"/>
  <c r="E91" i="49"/>
  <c r="AJ52" i="48"/>
  <c r="AJ80" i="48" s="1"/>
  <c r="AP94" i="49" s="1"/>
  <c r="V52" i="48"/>
  <c r="V80" i="48" s="1"/>
  <c r="AB94" i="49" s="1"/>
  <c r="AI52" i="48"/>
  <c r="AI80" i="48" s="1"/>
  <c r="AO94" i="49" s="1"/>
  <c r="AM130" i="49"/>
  <c r="AM131" i="49"/>
  <c r="AM121" i="49"/>
  <c r="V108" i="42"/>
  <c r="V183" i="42" s="1"/>
  <c r="AM128" i="49"/>
  <c r="AM126" i="49"/>
  <c r="AN132" i="49"/>
  <c r="T127" i="49"/>
  <c r="S108" i="42"/>
  <c r="AM125" i="49"/>
  <c r="AM129" i="49"/>
  <c r="AI119" i="49"/>
  <c r="AI143" i="42"/>
  <c r="Z98" i="48"/>
  <c r="AF112" i="49" s="1"/>
  <c r="S111" i="42"/>
  <c r="AC9" i="50"/>
  <c r="Z124" i="42"/>
  <c r="Q143" i="42"/>
  <c r="L108" i="42"/>
  <c r="O145" i="48"/>
  <c r="X230" i="56" s="1"/>
  <c r="X124" i="49"/>
  <c r="J169" i="42"/>
  <c r="K69" i="48" s="1"/>
  <c r="K97" i="48" s="1"/>
  <c r="Q111" i="49" s="1"/>
  <c r="N124" i="42"/>
  <c r="O143" i="42"/>
  <c r="AH98" i="48"/>
  <c r="AN112" i="49" s="1"/>
  <c r="V121" i="49"/>
  <c r="AF119" i="49"/>
  <c r="AL226" i="56"/>
  <c r="AA108" i="42"/>
  <c r="AI115" i="49"/>
  <c r="AB169" i="42"/>
  <c r="AC69" i="48" s="1"/>
  <c r="AC97" i="48" s="1"/>
  <c r="AI111" i="49" s="1"/>
  <c r="P143" i="42"/>
  <c r="AL228" i="56"/>
  <c r="W128" i="49"/>
  <c r="AL229" i="56"/>
  <c r="AE143" i="42"/>
  <c r="X108" i="42"/>
  <c r="Q7" i="50"/>
  <c r="Y7" i="50"/>
  <c r="Y143" i="42"/>
  <c r="AF128" i="49"/>
  <c r="AG7" i="50"/>
  <c r="AN124" i="49"/>
  <c r="AG143" i="42"/>
  <c r="M143" i="42"/>
  <c r="AN131" i="49"/>
  <c r="AN127" i="49"/>
  <c r="AN122" i="49"/>
  <c r="AN121" i="49"/>
  <c r="AH146" i="48"/>
  <c r="AN119" i="49" s="1"/>
  <c r="AF169" i="42"/>
  <c r="AG69" i="48" s="1"/>
  <c r="AG97" i="48" s="1"/>
  <c r="AM111" i="49" s="1"/>
  <c r="AN125" i="49"/>
  <c r="I146" i="48"/>
  <c r="O116" i="49" s="1"/>
  <c r="AH71" i="48"/>
  <c r="AN130" i="49"/>
  <c r="AN126" i="49"/>
  <c r="AN128" i="49"/>
  <c r="M124" i="42"/>
  <c r="Y132" i="49"/>
  <c r="R146" i="48"/>
  <c r="X116" i="49" s="1"/>
  <c r="P146" i="48"/>
  <c r="V119" i="49" s="1"/>
  <c r="AJ230" i="56"/>
  <c r="R143" i="42"/>
  <c r="J108" i="42"/>
  <c r="Z145" i="48"/>
  <c r="AI225" i="56" s="1"/>
  <c r="Y124" i="42"/>
  <c r="AD146" i="48"/>
  <c r="AJ116" i="49" s="1"/>
  <c r="AC143" i="42"/>
  <c r="AJ125" i="49"/>
  <c r="H108" i="42"/>
  <c r="H173" i="42"/>
  <c r="O129" i="49" s="1"/>
  <c r="AG108" i="42"/>
  <c r="W119" i="49"/>
  <c r="N12" i="42"/>
  <c r="AE132" i="49"/>
  <c r="N108" i="42"/>
  <c r="AG115" i="49"/>
  <c r="L75" i="10"/>
  <c r="B126" i="55"/>
  <c r="K164" i="56" s="1"/>
  <c r="B144" i="55"/>
  <c r="K182" i="56" s="1"/>
  <c r="B55" i="55"/>
  <c r="K99" i="56" s="1"/>
  <c r="L87" i="10"/>
  <c r="K223" i="56"/>
  <c r="AF230" i="56"/>
  <c r="K89" i="48"/>
  <c r="Q103" i="49" s="1"/>
  <c r="R22" i="55"/>
  <c r="Y66" i="56" s="1"/>
  <c r="T22" i="55"/>
  <c r="AA66" i="56" s="1"/>
  <c r="O22" i="55"/>
  <c r="V66" i="56" s="1"/>
  <c r="AB22" i="55"/>
  <c r="AI66" i="56" s="1"/>
  <c r="AJ22" i="55"/>
  <c r="AQ66" i="56" s="1"/>
  <c r="AF22" i="55"/>
  <c r="AM66" i="56" s="1"/>
  <c r="Z22" i="55"/>
  <c r="AG66" i="56" s="1"/>
  <c r="S22" i="55"/>
  <c r="Z66" i="56" s="1"/>
  <c r="AI22" i="55"/>
  <c r="AP66" i="56" s="1"/>
  <c r="AD22" i="55"/>
  <c r="AK66" i="56" s="1"/>
  <c r="Y22" i="55"/>
  <c r="AF66" i="56" s="1"/>
  <c r="W22" i="55"/>
  <c r="AD66" i="56" s="1"/>
  <c r="Q22" i="55"/>
  <c r="X66" i="56" s="1"/>
  <c r="U22" i="55"/>
  <c r="AB66" i="56" s="1"/>
  <c r="M22" i="55"/>
  <c r="T66" i="56" s="1"/>
  <c r="AK22" i="55"/>
  <c r="AR66" i="56" s="1"/>
  <c r="L22" i="55"/>
  <c r="S66" i="56" s="1"/>
  <c r="AA22" i="55"/>
  <c r="AH66" i="56" s="1"/>
  <c r="AH22" i="55"/>
  <c r="AO66" i="56" s="1"/>
  <c r="T23" i="55"/>
  <c r="AA67" i="56" s="1"/>
  <c r="AK23" i="55"/>
  <c r="AR67" i="56" s="1"/>
  <c r="S23" i="55"/>
  <c r="Z67" i="56" s="1"/>
  <c r="O23" i="55"/>
  <c r="V67" i="56" s="1"/>
  <c r="Q23" i="55"/>
  <c r="X67" i="56" s="1"/>
  <c r="W23" i="55"/>
  <c r="AD67" i="56" s="1"/>
  <c r="AH23" i="55"/>
  <c r="AO67" i="56" s="1"/>
  <c r="AI23" i="55"/>
  <c r="AP67" i="56" s="1"/>
  <c r="AJ23" i="55"/>
  <c r="AQ67" i="56" s="1"/>
  <c r="AF23" i="55"/>
  <c r="AM67" i="56" s="1"/>
  <c r="AB23" i="55"/>
  <c r="AI67" i="56" s="1"/>
  <c r="AD23" i="55"/>
  <c r="AK67" i="56" s="1"/>
  <c r="Y23" i="55"/>
  <c r="AF67" i="56" s="1"/>
  <c r="Z23" i="55"/>
  <c r="AG67" i="56" s="1"/>
  <c r="U23" i="55"/>
  <c r="AB67" i="56" s="1"/>
  <c r="M23" i="55"/>
  <c r="T67" i="56" s="1"/>
  <c r="R23" i="55"/>
  <c r="Y67" i="56" s="1"/>
  <c r="L23" i="55"/>
  <c r="S67" i="56" s="1"/>
  <c r="AA23" i="55"/>
  <c r="AH67" i="56" s="1"/>
  <c r="AJ226" i="56"/>
  <c r="AJ227" i="56"/>
  <c r="I83" i="49"/>
  <c r="I59" i="49"/>
  <c r="L34" i="10"/>
  <c r="I84" i="49"/>
  <c r="I60" i="49"/>
  <c r="I105" i="49"/>
  <c r="AC108" i="42"/>
  <c r="AG117" i="49"/>
  <c r="T126" i="42"/>
  <c r="D111" i="49"/>
  <c r="E66" i="49"/>
  <c r="AL230" i="56"/>
  <c r="E109" i="49"/>
  <c r="E88" i="49"/>
  <c r="L40" i="10"/>
  <c r="I111" i="49"/>
  <c r="I66" i="49"/>
  <c r="AL227" i="56"/>
  <c r="I160" i="42"/>
  <c r="J60" i="48" s="1"/>
  <c r="J88" i="48" s="1"/>
  <c r="P102" i="49" s="1"/>
  <c r="I111" i="42"/>
  <c r="AJ229" i="56"/>
  <c r="AL225" i="56"/>
  <c r="AI117" i="49"/>
  <c r="L52" i="48"/>
  <c r="L80" i="48" s="1"/>
  <c r="R94" i="49" s="1"/>
  <c r="AI98" i="48"/>
  <c r="AO112" i="49" s="1"/>
  <c r="AA52" i="48"/>
  <c r="AA80" i="48" s="1"/>
  <c r="AG94" i="49" s="1"/>
  <c r="Q11" i="50"/>
  <c r="Y123" i="49"/>
  <c r="Y125" i="49"/>
  <c r="Z124" i="49"/>
  <c r="AL61" i="49"/>
  <c r="U61" i="49"/>
  <c r="T61" i="49"/>
  <c r="Q61" i="49"/>
  <c r="Z60" i="49"/>
  <c r="AF60" i="49"/>
  <c r="AL60" i="49"/>
  <c r="E86" i="49"/>
  <c r="E107" i="49"/>
  <c r="U123" i="49"/>
  <c r="AF89" i="48"/>
  <c r="AL103" i="49" s="1"/>
  <c r="Y130" i="49"/>
  <c r="AB61" i="49"/>
  <c r="AC61" i="49"/>
  <c r="AJ61" i="49"/>
  <c r="AI60" i="49"/>
  <c r="X60" i="49"/>
  <c r="R60" i="49"/>
  <c r="AC60" i="49"/>
  <c r="Y129" i="49"/>
  <c r="Y126" i="49"/>
  <c r="AN123" i="49"/>
  <c r="B128" i="55"/>
  <c r="K166" i="56" s="1"/>
  <c r="K212" i="56"/>
  <c r="L76" i="10"/>
  <c r="B58" i="55"/>
  <c r="K102" i="56" s="1"/>
  <c r="Y127" i="49"/>
  <c r="Q124" i="49"/>
  <c r="AC124" i="49"/>
  <c r="Y61" i="49"/>
  <c r="AM61" i="49"/>
  <c r="P61" i="49"/>
  <c r="AB60" i="49"/>
  <c r="AJ60" i="49"/>
  <c r="AN60" i="49"/>
  <c r="B32" i="55"/>
  <c r="K76" i="56" s="1"/>
  <c r="S71" i="48"/>
  <c r="S99" i="48" s="1"/>
  <c r="E77" i="49"/>
  <c r="E98" i="49"/>
  <c r="Y9" i="50"/>
  <c r="AG124" i="49"/>
  <c r="Y122" i="49"/>
  <c r="AI123" i="49"/>
  <c r="O61" i="49"/>
  <c r="AF61" i="49"/>
  <c r="AN61" i="49"/>
  <c r="AP61" i="49"/>
  <c r="AG60" i="49"/>
  <c r="U60" i="49"/>
  <c r="AP60" i="49"/>
  <c r="AK60" i="49"/>
  <c r="K199" i="56"/>
  <c r="AC123" i="49"/>
  <c r="Y131" i="49"/>
  <c r="AO123" i="49"/>
  <c r="AM123" i="49"/>
  <c r="Y160" i="42"/>
  <c r="Z60" i="48" s="1"/>
  <c r="Y111" i="42"/>
  <c r="J85" i="49"/>
  <c r="J118" i="49"/>
  <c r="AM124" i="49"/>
  <c r="AD61" i="49"/>
  <c r="Z61" i="49"/>
  <c r="AE61" i="49"/>
  <c r="V60" i="49"/>
  <c r="AE60" i="49"/>
  <c r="AO60" i="49"/>
  <c r="M35" i="10"/>
  <c r="L63" i="10"/>
  <c r="J79" i="49"/>
  <c r="M29" i="10"/>
  <c r="J100" i="49"/>
  <c r="J55" i="49"/>
  <c r="B113" i="49"/>
  <c r="V68" i="49"/>
  <c r="AO68" i="49"/>
  <c r="Y68" i="49"/>
  <c r="AD68" i="49"/>
  <c r="Q68" i="49"/>
  <c r="AJ68" i="49"/>
  <c r="AL68" i="49"/>
  <c r="W68" i="49"/>
  <c r="AG68" i="49"/>
  <c r="Z68" i="49"/>
  <c r="S68" i="49"/>
  <c r="AE68" i="49"/>
  <c r="U68" i="49"/>
  <c r="AA68" i="49"/>
  <c r="T68" i="49"/>
  <c r="P68" i="49"/>
  <c r="AI68" i="49"/>
  <c r="X68" i="49"/>
  <c r="AC68" i="49"/>
  <c r="AK68" i="49"/>
  <c r="AF68" i="49"/>
  <c r="AB68" i="49"/>
  <c r="AN68" i="49"/>
  <c r="AM68" i="49"/>
  <c r="AP68" i="49"/>
  <c r="R68" i="49"/>
  <c r="O68" i="49"/>
  <c r="AH68" i="49"/>
  <c r="Y121" i="49"/>
  <c r="Y124" i="49"/>
  <c r="Q123" i="49"/>
  <c r="R61" i="49"/>
  <c r="W61" i="49"/>
  <c r="X61" i="49"/>
  <c r="V61" i="49"/>
  <c r="O60" i="49"/>
  <c r="AM60" i="49"/>
  <c r="AD60" i="49"/>
  <c r="AA60" i="49"/>
  <c r="Y128" i="49"/>
  <c r="D92" i="49"/>
  <c r="E47" i="49"/>
  <c r="D71" i="49"/>
  <c r="I113" i="49"/>
  <c r="I68" i="49"/>
  <c r="L42" i="10"/>
  <c r="I139" i="49"/>
  <c r="I121" i="49"/>
  <c r="X89" i="48"/>
  <c r="AD103" i="49" s="1"/>
  <c r="AD89" i="48"/>
  <c r="AJ103" i="49" s="1"/>
  <c r="T89" i="48"/>
  <c r="Z103" i="49" s="1"/>
  <c r="S61" i="49"/>
  <c r="AG61" i="49"/>
  <c r="AO61" i="49"/>
  <c r="P60" i="49"/>
  <c r="W60" i="49"/>
  <c r="Q60" i="49"/>
  <c r="W78" i="48"/>
  <c r="AC92" i="49" s="1"/>
  <c r="J106" i="49"/>
  <c r="E103" i="49"/>
  <c r="E82" i="49"/>
  <c r="AF228" i="56"/>
  <c r="AC118" i="49"/>
  <c r="AF226" i="56"/>
  <c r="AF227" i="56"/>
  <c r="AC115" i="49"/>
  <c r="AF225" i="56"/>
  <c r="AF229" i="56"/>
  <c r="P98" i="48"/>
  <c r="V112" i="49" s="1"/>
  <c r="AF9" i="50"/>
  <c r="U98" i="48"/>
  <c r="AA112" i="49" s="1"/>
  <c r="AG116" i="49"/>
  <c r="AG118" i="49"/>
  <c r="AS226" i="56"/>
  <c r="AS228" i="56"/>
  <c r="AS227" i="56"/>
  <c r="AP115" i="49"/>
  <c r="P9" i="50"/>
  <c r="AS230" i="56"/>
  <c r="AP117" i="49"/>
  <c r="AP118" i="49"/>
  <c r="AS229" i="56"/>
  <c r="T11" i="50"/>
  <c r="L7" i="50"/>
  <c r="X7" i="50"/>
  <c r="AJ225" i="56"/>
  <c r="AA11" i="50"/>
  <c r="U97" i="48"/>
  <c r="AA111" i="49" s="1"/>
  <c r="R9" i="50"/>
  <c r="AB9" i="50"/>
  <c r="V98" i="48"/>
  <c r="AB112" i="49" s="1"/>
  <c r="K11" i="50"/>
  <c r="Q9" i="50"/>
  <c r="AD10" i="50"/>
  <c r="U119" i="49"/>
  <c r="AF10" i="50"/>
  <c r="L8" i="50"/>
  <c r="V10" i="50"/>
  <c r="X51" i="48"/>
  <c r="X79" i="48" s="1"/>
  <c r="AD93" i="49" s="1"/>
  <c r="O9" i="50"/>
  <c r="AC119" i="49"/>
  <c r="AK131" i="49"/>
  <c r="AF98" i="48"/>
  <c r="AL112" i="49" s="1"/>
  <c r="AK123" i="49"/>
  <c r="O11" i="50"/>
  <c r="U127" i="49"/>
  <c r="O71" i="48"/>
  <c r="O99" i="48" s="1"/>
  <c r="U121" i="49"/>
  <c r="U126" i="49"/>
  <c r="U125" i="49"/>
  <c r="U131" i="49"/>
  <c r="U128" i="49"/>
  <c r="U132" i="49"/>
  <c r="AB144" i="42"/>
  <c r="U129" i="49"/>
  <c r="U122" i="49"/>
  <c r="U130" i="49"/>
  <c r="AD12" i="50"/>
  <c r="T119" i="49"/>
  <c r="P125" i="49"/>
  <c r="U7" i="50"/>
  <c r="R7" i="50"/>
  <c r="K7" i="50"/>
  <c r="AC7" i="50"/>
  <c r="S127" i="49"/>
  <c r="AG9" i="50"/>
  <c r="AK129" i="49"/>
  <c r="AE71" i="48"/>
  <c r="AG8" i="50"/>
  <c r="AK132" i="49"/>
  <c r="AK122" i="49"/>
  <c r="AK130" i="49"/>
  <c r="AK128" i="49"/>
  <c r="AK121" i="49"/>
  <c r="AK127" i="49"/>
  <c r="AK125" i="49"/>
  <c r="AK124" i="49"/>
  <c r="I10" i="50"/>
  <c r="P7" i="50"/>
  <c r="AC10" i="50"/>
  <c r="AE131" i="49"/>
  <c r="AA7" i="50"/>
  <c r="W127" i="49"/>
  <c r="X8" i="50"/>
  <c r="G10" i="50"/>
  <c r="Y10" i="50"/>
  <c r="T7" i="50"/>
  <c r="N10" i="50"/>
  <c r="X127" i="49"/>
  <c r="P129" i="49"/>
  <c r="P122" i="49"/>
  <c r="L10" i="50"/>
  <c r="P132" i="49"/>
  <c r="P128" i="49"/>
  <c r="J71" i="48"/>
  <c r="J99" i="48" s="1"/>
  <c r="P113" i="49" s="1"/>
  <c r="P139" i="49" s="1"/>
  <c r="P10" i="50"/>
  <c r="P121" i="49"/>
  <c r="P127" i="49"/>
  <c r="P126" i="49"/>
  <c r="P131" i="49"/>
  <c r="X125" i="49"/>
  <c r="P123" i="49"/>
  <c r="N9" i="50"/>
  <c r="O7" i="50"/>
  <c r="P124" i="49"/>
  <c r="X122" i="49"/>
  <c r="S124" i="49"/>
  <c r="R10" i="50"/>
  <c r="AE10" i="50"/>
  <c r="T10" i="50"/>
  <c r="N11" i="50"/>
  <c r="S121" i="49"/>
  <c r="S122" i="49"/>
  <c r="M9" i="50"/>
  <c r="U10" i="50"/>
  <c r="V124" i="49"/>
  <c r="V125" i="49"/>
  <c r="AG10" i="50"/>
  <c r="Y71" i="48"/>
  <c r="Y99" i="48" s="1"/>
  <c r="AE129" i="49"/>
  <c r="AE124" i="49"/>
  <c r="AE122" i="49"/>
  <c r="AE123" i="49"/>
  <c r="X11" i="50"/>
  <c r="AE126" i="49"/>
  <c r="AF7" i="50"/>
  <c r="X10" i="50"/>
  <c r="AB7" i="50"/>
  <c r="AE127" i="49"/>
  <c r="AE130" i="49"/>
  <c r="AE121" i="49"/>
  <c r="AE125" i="49"/>
  <c r="AE128" i="49"/>
  <c r="K9" i="50"/>
  <c r="X121" i="49"/>
  <c r="V127" i="49"/>
  <c r="V122" i="49"/>
  <c r="AD11" i="50"/>
  <c r="S9" i="50"/>
  <c r="AD7" i="50"/>
  <c r="V130" i="49"/>
  <c r="AB10" i="50"/>
  <c r="U11" i="50"/>
  <c r="Z7" i="50"/>
  <c r="X12" i="50"/>
  <c r="AE9" i="50"/>
  <c r="P11" i="50"/>
  <c r="L9" i="50"/>
  <c r="V7" i="50"/>
  <c r="S7" i="50"/>
  <c r="F10" i="50"/>
  <c r="I7" i="50"/>
  <c r="F7" i="50"/>
  <c r="O10" i="50"/>
  <c r="M10" i="50"/>
  <c r="AF129" i="49"/>
  <c r="AF127" i="49"/>
  <c r="AF124" i="49"/>
  <c r="Z71" i="48"/>
  <c r="Z99" i="48" s="1"/>
  <c r="W121" i="49"/>
  <c r="AF131" i="49"/>
  <c r="AF130" i="49"/>
  <c r="W10" i="50"/>
  <c r="AF126" i="49"/>
  <c r="AF121" i="49"/>
  <c r="AF122" i="49"/>
  <c r="AF132" i="49"/>
  <c r="Z12" i="50"/>
  <c r="AF123" i="49"/>
  <c r="AF125" i="49"/>
  <c r="J11" i="50"/>
  <c r="G11" i="50"/>
  <c r="I11" i="50"/>
  <c r="I9" i="50"/>
  <c r="H7" i="50"/>
  <c r="T130" i="49"/>
  <c r="H10" i="50"/>
  <c r="J9" i="50"/>
  <c r="J7" i="50"/>
  <c r="L64" i="10"/>
  <c r="B22" i="55"/>
  <c r="K66" i="56" s="1"/>
  <c r="L56" i="10"/>
  <c r="B98" i="55"/>
  <c r="K136" i="56" s="1"/>
  <c r="K192" i="56"/>
  <c r="B108" i="55"/>
  <c r="K146" i="56" s="1"/>
  <c r="B33" i="55"/>
  <c r="K77" i="56" s="1"/>
  <c r="L69" i="10"/>
  <c r="B43" i="55"/>
  <c r="K87" i="56" s="1"/>
  <c r="K228" i="56"/>
  <c r="B116" i="55"/>
  <c r="K154" i="56" s="1"/>
  <c r="K205" i="56"/>
  <c r="B110" i="55"/>
  <c r="K148" i="56" s="1"/>
  <c r="K201" i="56"/>
  <c r="B36" i="55"/>
  <c r="K80" i="56" s="1"/>
  <c r="L65" i="10"/>
  <c r="L66" i="10"/>
  <c r="B111" i="55"/>
  <c r="K149" i="56" s="1"/>
  <c r="B37" i="55"/>
  <c r="K81" i="56" s="1"/>
  <c r="K202" i="56"/>
  <c r="K185" i="56"/>
  <c r="B9" i="55"/>
  <c r="B85" i="55"/>
  <c r="K123" i="56" s="1"/>
  <c r="L49" i="10"/>
  <c r="L122" i="56"/>
  <c r="K52" i="56"/>
  <c r="L52" i="56" s="1"/>
  <c r="B92" i="55"/>
  <c r="K130" i="56" s="1"/>
  <c r="L53" i="10"/>
  <c r="B18" i="55"/>
  <c r="K62" i="56" s="1"/>
  <c r="K189" i="56"/>
  <c r="B135" i="55"/>
  <c r="K173" i="56" s="1"/>
  <c r="L80" i="10"/>
  <c r="B66" i="55"/>
  <c r="K110" i="56" s="1"/>
  <c r="K216" i="56"/>
  <c r="L71" i="10"/>
  <c r="B120" i="55"/>
  <c r="K158" i="56" s="1"/>
  <c r="B48" i="55"/>
  <c r="K92" i="56" s="1"/>
  <c r="K207" i="56"/>
  <c r="K219" i="56"/>
  <c r="B140" i="55"/>
  <c r="K178" i="56" s="1"/>
  <c r="L83" i="10"/>
  <c r="B72" i="55"/>
  <c r="K116" i="56" s="1"/>
  <c r="K191" i="56"/>
  <c r="L55" i="10"/>
  <c r="B21" i="55"/>
  <c r="K65" i="56" s="1"/>
  <c r="K226" i="56"/>
  <c r="B95" i="55"/>
  <c r="K133" i="56" s="1"/>
  <c r="AD124" i="49"/>
  <c r="AD128" i="49"/>
  <c r="P81" i="48"/>
  <c r="V95" i="49" s="1"/>
  <c r="M6" i="50"/>
  <c r="R6" i="50"/>
  <c r="AL127" i="49"/>
  <c r="AL130" i="49"/>
  <c r="AP124" i="49"/>
  <c r="AP127" i="49"/>
  <c r="AP121" i="49"/>
  <c r="O99" i="49"/>
  <c r="Z8" i="50"/>
  <c r="AK129" i="55"/>
  <c r="AR167" i="56" s="1"/>
  <c r="AL129" i="55"/>
  <c r="AS167" i="56" s="1"/>
  <c r="AI129" i="55"/>
  <c r="AP167" i="56" s="1"/>
  <c r="AJ129" i="55"/>
  <c r="AQ167" i="56" s="1"/>
  <c r="AH129" i="55"/>
  <c r="AO167" i="56" s="1"/>
  <c r="AA129" i="55"/>
  <c r="AH167" i="56" s="1"/>
  <c r="P129" i="55"/>
  <c r="W167" i="56" s="1"/>
  <c r="N129" i="55"/>
  <c r="U167" i="56" s="1"/>
  <c r="AC129" i="55"/>
  <c r="AJ167" i="56" s="1"/>
  <c r="V129" i="55"/>
  <c r="AC167" i="56" s="1"/>
  <c r="Z129" i="55"/>
  <c r="AG167" i="56" s="1"/>
  <c r="U129" i="55"/>
  <c r="AB167" i="56" s="1"/>
  <c r="W129" i="55"/>
  <c r="AD167" i="56" s="1"/>
  <c r="L129" i="55"/>
  <c r="S167" i="56" s="1"/>
  <c r="R129" i="55"/>
  <c r="Y167" i="56" s="1"/>
  <c r="X129" i="55"/>
  <c r="AE167" i="56" s="1"/>
  <c r="Y129" i="55"/>
  <c r="AF167" i="56" s="1"/>
  <c r="AE129" i="55"/>
  <c r="AL167" i="56" s="1"/>
  <c r="AF129" i="55"/>
  <c r="AM167" i="56" s="1"/>
  <c r="AG129" i="55"/>
  <c r="AN167" i="56" s="1"/>
  <c r="S129" i="55"/>
  <c r="Z167" i="56" s="1"/>
  <c r="AB129" i="55"/>
  <c r="AI167" i="56" s="1"/>
  <c r="M129" i="55"/>
  <c r="T167" i="56" s="1"/>
  <c r="O129" i="55"/>
  <c r="V167" i="56" s="1"/>
  <c r="Q129" i="55"/>
  <c r="X167" i="56" s="1"/>
  <c r="AD129" i="55"/>
  <c r="AK167" i="56" s="1"/>
  <c r="T129" i="55"/>
  <c r="AA167" i="56" s="1"/>
  <c r="K129" i="55"/>
  <c r="R167" i="56" s="1"/>
  <c r="AK128" i="55"/>
  <c r="AR166" i="56" s="1"/>
  <c r="AJ128" i="55"/>
  <c r="AQ166" i="56" s="1"/>
  <c r="AH128" i="55"/>
  <c r="AO166" i="56" s="1"/>
  <c r="AI128" i="55"/>
  <c r="AP166" i="56" s="1"/>
  <c r="AL128" i="55"/>
  <c r="AS166" i="56" s="1"/>
  <c r="X128" i="55"/>
  <c r="AE166" i="56" s="1"/>
  <c r="P128" i="55"/>
  <c r="W166" i="56" s="1"/>
  <c r="R128" i="55"/>
  <c r="Y166" i="56" s="1"/>
  <c r="AC128" i="55"/>
  <c r="AJ166" i="56" s="1"/>
  <c r="Z128" i="55"/>
  <c r="AG166" i="56" s="1"/>
  <c r="AE128" i="55"/>
  <c r="AL166" i="56" s="1"/>
  <c r="N128" i="55"/>
  <c r="U166" i="56" s="1"/>
  <c r="U128" i="55"/>
  <c r="AB166" i="56" s="1"/>
  <c r="V128" i="55"/>
  <c r="AC166" i="56" s="1"/>
  <c r="W128" i="55"/>
  <c r="AD166" i="56" s="1"/>
  <c r="Y128" i="55"/>
  <c r="AF166" i="56" s="1"/>
  <c r="AF128" i="55"/>
  <c r="AM166" i="56" s="1"/>
  <c r="L128" i="55"/>
  <c r="S166" i="56" s="1"/>
  <c r="AA128" i="55"/>
  <c r="AH166" i="56" s="1"/>
  <c r="AD128" i="55"/>
  <c r="AK166" i="56" s="1"/>
  <c r="S128" i="55"/>
  <c r="Z166" i="56" s="1"/>
  <c r="T128" i="55"/>
  <c r="AA166" i="56" s="1"/>
  <c r="M128" i="55"/>
  <c r="T166" i="56" s="1"/>
  <c r="Q128" i="55"/>
  <c r="X166" i="56" s="1"/>
  <c r="AB128" i="55"/>
  <c r="AI166" i="56" s="1"/>
  <c r="O128" i="55"/>
  <c r="V166" i="56" s="1"/>
  <c r="AG128" i="55"/>
  <c r="AN166" i="56" s="1"/>
  <c r="K128" i="55"/>
  <c r="R166" i="56" s="1"/>
  <c r="AK127" i="55"/>
  <c r="AR165" i="56" s="1"/>
  <c r="AI127" i="55"/>
  <c r="AP165" i="56" s="1"/>
  <c r="AJ127" i="55"/>
  <c r="AQ165" i="56" s="1"/>
  <c r="AH127" i="55"/>
  <c r="AO165" i="56" s="1"/>
  <c r="AL127" i="55"/>
  <c r="AS165" i="56" s="1"/>
  <c r="N127" i="55"/>
  <c r="U165" i="56" s="1"/>
  <c r="Y127" i="55"/>
  <c r="AF165" i="56" s="1"/>
  <c r="Z127" i="55"/>
  <c r="AG165" i="56" s="1"/>
  <c r="AC127" i="55"/>
  <c r="AJ165" i="56" s="1"/>
  <c r="AE127" i="55"/>
  <c r="AL165" i="56" s="1"/>
  <c r="V127" i="55"/>
  <c r="AC165" i="56" s="1"/>
  <c r="X127" i="55"/>
  <c r="AE165" i="56" s="1"/>
  <c r="L127" i="55"/>
  <c r="S165" i="56" s="1"/>
  <c r="AA127" i="55"/>
  <c r="AH165" i="56" s="1"/>
  <c r="R127" i="55"/>
  <c r="Y165" i="56" s="1"/>
  <c r="U127" i="55"/>
  <c r="AB165" i="56" s="1"/>
  <c r="P127" i="55"/>
  <c r="W165" i="56" s="1"/>
  <c r="AF127" i="55"/>
  <c r="AM165" i="56" s="1"/>
  <c r="W127" i="55"/>
  <c r="AD165" i="56" s="1"/>
  <c r="O127" i="55"/>
  <c r="V165" i="56" s="1"/>
  <c r="M127" i="55"/>
  <c r="T165" i="56" s="1"/>
  <c r="AG127" i="55"/>
  <c r="AN165" i="56" s="1"/>
  <c r="Q127" i="55"/>
  <c r="X165" i="56" s="1"/>
  <c r="AB127" i="55"/>
  <c r="AI165" i="56" s="1"/>
  <c r="S127" i="55"/>
  <c r="Z165" i="56" s="1"/>
  <c r="T127" i="55"/>
  <c r="AA165" i="56" s="1"/>
  <c r="AD127" i="55"/>
  <c r="AK165" i="56" s="1"/>
  <c r="K127" i="55"/>
  <c r="R165" i="56" s="1"/>
  <c r="AI126" i="55"/>
  <c r="AP164" i="56" s="1"/>
  <c r="AH126" i="55"/>
  <c r="AO164" i="56" s="1"/>
  <c r="AJ126" i="55"/>
  <c r="AQ164" i="56" s="1"/>
  <c r="AK126" i="55"/>
  <c r="AR164" i="56" s="1"/>
  <c r="AL126" i="55"/>
  <c r="AS164" i="56" s="1"/>
  <c r="L126" i="55"/>
  <c r="S164" i="56" s="1"/>
  <c r="Y126" i="55"/>
  <c r="AF164" i="56" s="1"/>
  <c r="AE126" i="55"/>
  <c r="AL164" i="56" s="1"/>
  <c r="W126" i="55"/>
  <c r="AD164" i="56" s="1"/>
  <c r="AA126" i="55"/>
  <c r="AH164" i="56" s="1"/>
  <c r="AC126" i="55"/>
  <c r="AJ164" i="56" s="1"/>
  <c r="Z126" i="55"/>
  <c r="AG164" i="56" s="1"/>
  <c r="P126" i="55"/>
  <c r="W164" i="56" s="1"/>
  <c r="V126" i="55"/>
  <c r="AC164" i="56" s="1"/>
  <c r="N126" i="55"/>
  <c r="U164" i="56" s="1"/>
  <c r="AF126" i="55"/>
  <c r="AM164" i="56" s="1"/>
  <c r="X126" i="55"/>
  <c r="AE164" i="56" s="1"/>
  <c r="U126" i="55"/>
  <c r="AB164" i="56" s="1"/>
  <c r="R126" i="55"/>
  <c r="Y164" i="56" s="1"/>
  <c r="S126" i="55"/>
  <c r="Z164" i="56" s="1"/>
  <c r="O126" i="55"/>
  <c r="V164" i="56" s="1"/>
  <c r="AD126" i="55"/>
  <c r="AK164" i="56" s="1"/>
  <c r="T126" i="55"/>
  <c r="AA164" i="56" s="1"/>
  <c r="M126" i="55"/>
  <c r="T164" i="56" s="1"/>
  <c r="Q126" i="55"/>
  <c r="X164" i="56" s="1"/>
  <c r="AG126" i="55"/>
  <c r="AN164" i="56" s="1"/>
  <c r="AB126" i="55"/>
  <c r="AI164" i="56" s="1"/>
  <c r="K126" i="55"/>
  <c r="R164" i="56" s="1"/>
  <c r="AL125" i="55"/>
  <c r="AS163" i="56" s="1"/>
  <c r="AI125" i="55"/>
  <c r="AP163" i="56" s="1"/>
  <c r="AJ125" i="55"/>
  <c r="AQ163" i="56" s="1"/>
  <c r="AH125" i="55"/>
  <c r="AO163" i="56" s="1"/>
  <c r="AK125" i="55"/>
  <c r="AR163" i="56" s="1"/>
  <c r="Y125" i="55"/>
  <c r="AF163" i="56" s="1"/>
  <c r="P125" i="55"/>
  <c r="W163" i="56" s="1"/>
  <c r="N125" i="55"/>
  <c r="U163" i="56" s="1"/>
  <c r="X125" i="55"/>
  <c r="AE163" i="56" s="1"/>
  <c r="Z125" i="55"/>
  <c r="AG163" i="56" s="1"/>
  <c r="AA125" i="55"/>
  <c r="AH163" i="56" s="1"/>
  <c r="R125" i="55"/>
  <c r="Y163" i="56" s="1"/>
  <c r="L125" i="55"/>
  <c r="S163" i="56" s="1"/>
  <c r="AC125" i="55"/>
  <c r="AJ163" i="56" s="1"/>
  <c r="AE125" i="55"/>
  <c r="AL163" i="56" s="1"/>
  <c r="AF125" i="55"/>
  <c r="AM163" i="56" s="1"/>
  <c r="U125" i="55"/>
  <c r="AB163" i="56" s="1"/>
  <c r="V125" i="55"/>
  <c r="AC163" i="56" s="1"/>
  <c r="W125" i="55"/>
  <c r="AD163" i="56" s="1"/>
  <c r="AG125" i="55"/>
  <c r="AN163" i="56" s="1"/>
  <c r="AB125" i="55"/>
  <c r="AI163" i="56" s="1"/>
  <c r="T125" i="55"/>
  <c r="AA163" i="56" s="1"/>
  <c r="M125" i="55"/>
  <c r="T163" i="56" s="1"/>
  <c r="S125" i="55"/>
  <c r="Z163" i="56" s="1"/>
  <c r="O125" i="55"/>
  <c r="V163" i="56" s="1"/>
  <c r="Q125" i="55"/>
  <c r="X163" i="56" s="1"/>
  <c r="AD125" i="55"/>
  <c r="AK163" i="56" s="1"/>
  <c r="K125" i="55"/>
  <c r="R163" i="56" s="1"/>
  <c r="AH144" i="55"/>
  <c r="AO182" i="56" s="1"/>
  <c r="AI144" i="55"/>
  <c r="AP182" i="56" s="1"/>
  <c r="AJ144" i="55"/>
  <c r="AQ182" i="56" s="1"/>
  <c r="AK144" i="55"/>
  <c r="AR182" i="56" s="1"/>
  <c r="AL144" i="55"/>
  <c r="AS182" i="56" s="1"/>
  <c r="K144" i="55"/>
  <c r="R182" i="56" s="1"/>
  <c r="X144" i="55"/>
  <c r="AE182" i="56" s="1"/>
  <c r="L144" i="55"/>
  <c r="S182" i="56" s="1"/>
  <c r="Y144" i="55"/>
  <c r="AF182" i="56" s="1"/>
  <c r="N144" i="55"/>
  <c r="U182" i="56" s="1"/>
  <c r="Z144" i="55"/>
  <c r="AG182" i="56" s="1"/>
  <c r="P144" i="55"/>
  <c r="W182" i="56" s="1"/>
  <c r="AA144" i="55"/>
  <c r="AH182" i="56" s="1"/>
  <c r="R144" i="55"/>
  <c r="Y182" i="56" s="1"/>
  <c r="AC144" i="55"/>
  <c r="AJ182" i="56" s="1"/>
  <c r="U144" i="55"/>
  <c r="AB182" i="56" s="1"/>
  <c r="AE144" i="55"/>
  <c r="AL182" i="56" s="1"/>
  <c r="V144" i="55"/>
  <c r="AC182" i="56" s="1"/>
  <c r="AF144" i="55"/>
  <c r="AM182" i="56" s="1"/>
  <c r="W144" i="55"/>
  <c r="AD182" i="56" s="1"/>
  <c r="M144" i="55"/>
  <c r="T182" i="56" s="1"/>
  <c r="O144" i="55"/>
  <c r="V182" i="56" s="1"/>
  <c r="AG144" i="55"/>
  <c r="AN182" i="56" s="1"/>
  <c r="Q144" i="55"/>
  <c r="X182" i="56" s="1"/>
  <c r="AB144" i="55"/>
  <c r="AI182" i="56" s="1"/>
  <c r="AD144" i="55"/>
  <c r="AK182" i="56" s="1"/>
  <c r="S144" i="55"/>
  <c r="Z182" i="56" s="1"/>
  <c r="T144" i="55"/>
  <c r="AA182" i="56" s="1"/>
  <c r="I80" i="48"/>
  <c r="O94" i="49" s="1"/>
  <c r="F6" i="50"/>
  <c r="AF44" i="55"/>
  <c r="AM88" i="56" s="1"/>
  <c r="Q44" i="55"/>
  <c r="X88" i="56" s="1"/>
  <c r="AA44" i="55"/>
  <c r="AH88" i="56" s="1"/>
  <c r="X44" i="55"/>
  <c r="AE88" i="56" s="1"/>
  <c r="AJ44" i="55"/>
  <c r="AQ88" i="56" s="1"/>
  <c r="AD44" i="55"/>
  <c r="AK88" i="56" s="1"/>
  <c r="M44" i="55"/>
  <c r="T88" i="56" s="1"/>
  <c r="P44" i="55"/>
  <c r="W88" i="56" s="1"/>
  <c r="AC44" i="55"/>
  <c r="AJ88" i="56" s="1"/>
  <c r="S44" i="55"/>
  <c r="Z88" i="56" s="1"/>
  <c r="W44" i="55"/>
  <c r="AD88" i="56" s="1"/>
  <c r="Z44" i="55"/>
  <c r="AG88" i="56" s="1"/>
  <c r="AG44" i="55"/>
  <c r="AN88" i="56" s="1"/>
  <c r="Y44" i="55"/>
  <c r="AF88" i="56" s="1"/>
  <c r="AE44" i="55"/>
  <c r="AL88" i="56" s="1"/>
  <c r="U44" i="55"/>
  <c r="AB88" i="56" s="1"/>
  <c r="AB44" i="55"/>
  <c r="AI88" i="56" s="1"/>
  <c r="AI44" i="55"/>
  <c r="AP88" i="56" s="1"/>
  <c r="T44" i="55"/>
  <c r="AA88" i="56" s="1"/>
  <c r="O44" i="55"/>
  <c r="V88" i="56" s="1"/>
  <c r="AH44" i="55"/>
  <c r="AO88" i="56" s="1"/>
  <c r="AK44" i="55"/>
  <c r="AR88" i="56" s="1"/>
  <c r="V44" i="55"/>
  <c r="AC88" i="56" s="1"/>
  <c r="AL44" i="55"/>
  <c r="AS88" i="56" s="1"/>
  <c r="K44" i="55"/>
  <c r="R88" i="56" s="1"/>
  <c r="N44" i="55"/>
  <c r="U88" i="56" s="1"/>
  <c r="R44" i="55"/>
  <c r="Y88" i="56" s="1"/>
  <c r="L44" i="55"/>
  <c r="S88" i="56" s="1"/>
  <c r="L41" i="10"/>
  <c r="I67" i="49"/>
  <c r="I89" i="49"/>
  <c r="I112" i="49"/>
  <c r="Y47" i="55"/>
  <c r="AF91" i="56" s="1"/>
  <c r="Q47" i="55"/>
  <c r="X91" i="56" s="1"/>
  <c r="AH47" i="55"/>
  <c r="AO91" i="56" s="1"/>
  <c r="AE47" i="55"/>
  <c r="AL91" i="56" s="1"/>
  <c r="X47" i="55"/>
  <c r="AE91" i="56" s="1"/>
  <c r="V47" i="55"/>
  <c r="AC91" i="56" s="1"/>
  <c r="O47" i="55"/>
  <c r="V91" i="56" s="1"/>
  <c r="P47" i="55"/>
  <c r="W91" i="56" s="1"/>
  <c r="AK47" i="55"/>
  <c r="AR91" i="56" s="1"/>
  <c r="R47" i="55"/>
  <c r="Y91" i="56" s="1"/>
  <c r="AJ47" i="55"/>
  <c r="AQ91" i="56" s="1"/>
  <c r="L47" i="55"/>
  <c r="S91" i="56" s="1"/>
  <c r="AD47" i="55"/>
  <c r="AK91" i="56" s="1"/>
  <c r="AC47" i="55"/>
  <c r="AJ91" i="56" s="1"/>
  <c r="AF47" i="55"/>
  <c r="AM91" i="56" s="1"/>
  <c r="M47" i="55"/>
  <c r="T91" i="56" s="1"/>
  <c r="AA47" i="55"/>
  <c r="AH91" i="56" s="1"/>
  <c r="T47" i="55"/>
  <c r="AA91" i="56" s="1"/>
  <c r="U47" i="55"/>
  <c r="AB91" i="56" s="1"/>
  <c r="AB47" i="55"/>
  <c r="AI91" i="56" s="1"/>
  <c r="Z47" i="55"/>
  <c r="AG91" i="56" s="1"/>
  <c r="S47" i="55"/>
  <c r="Z91" i="56" s="1"/>
  <c r="AG47" i="55"/>
  <c r="AN91" i="56" s="1"/>
  <c r="AL47" i="55"/>
  <c r="AS91" i="56" s="1"/>
  <c r="K47" i="55"/>
  <c r="R91" i="56" s="1"/>
  <c r="AI47" i="55"/>
  <c r="AP91" i="56" s="1"/>
  <c r="N47" i="55"/>
  <c r="U91" i="56" s="1"/>
  <c r="W47" i="55"/>
  <c r="AD91" i="56" s="1"/>
  <c r="AJ45" i="55"/>
  <c r="AQ89" i="56" s="1"/>
  <c r="U45" i="55"/>
  <c r="AB89" i="56" s="1"/>
  <c r="K45" i="55"/>
  <c r="R89" i="56" s="1"/>
  <c r="Y45" i="55"/>
  <c r="AF89" i="56" s="1"/>
  <c r="Z45" i="55"/>
  <c r="AG89" i="56" s="1"/>
  <c r="AA45" i="55"/>
  <c r="AH89" i="56" s="1"/>
  <c r="M45" i="55"/>
  <c r="T89" i="56" s="1"/>
  <c r="AB45" i="55"/>
  <c r="AI89" i="56" s="1"/>
  <c r="AL45" i="55"/>
  <c r="AS89" i="56" s="1"/>
  <c r="O45" i="55"/>
  <c r="V89" i="56" s="1"/>
  <c r="W45" i="55"/>
  <c r="AD89" i="56" s="1"/>
  <c r="AE45" i="55"/>
  <c r="AL89" i="56" s="1"/>
  <c r="N45" i="55"/>
  <c r="U89" i="56" s="1"/>
  <c r="AD45" i="55"/>
  <c r="AK89" i="56" s="1"/>
  <c r="R45" i="55"/>
  <c r="Y89" i="56" s="1"/>
  <c r="AG45" i="55"/>
  <c r="AN89" i="56" s="1"/>
  <c r="X45" i="55"/>
  <c r="AE89" i="56" s="1"/>
  <c r="AC45" i="55"/>
  <c r="AJ89" i="56" s="1"/>
  <c r="T45" i="55"/>
  <c r="AA89" i="56" s="1"/>
  <c r="V45" i="55"/>
  <c r="AC89" i="56" s="1"/>
  <c r="AI45" i="55"/>
  <c r="AP89" i="56" s="1"/>
  <c r="P45" i="55"/>
  <c r="W89" i="56" s="1"/>
  <c r="L45" i="55"/>
  <c r="S89" i="56" s="1"/>
  <c r="S45" i="55"/>
  <c r="Z89" i="56" s="1"/>
  <c r="Q45" i="55"/>
  <c r="X89" i="56" s="1"/>
  <c r="AH45" i="55"/>
  <c r="AO89" i="56" s="1"/>
  <c r="AK45" i="55"/>
  <c r="AR89" i="56" s="1"/>
  <c r="AF45" i="55"/>
  <c r="AM89" i="56" s="1"/>
  <c r="AA76" i="49"/>
  <c r="Y76" i="49"/>
  <c r="S76" i="49"/>
  <c r="AN76" i="49"/>
  <c r="AH76" i="49"/>
  <c r="AD76" i="49"/>
  <c r="Z76" i="49"/>
  <c r="T76" i="49"/>
  <c r="R76" i="49"/>
  <c r="AM76" i="49"/>
  <c r="AJ76" i="49"/>
  <c r="AG76" i="49"/>
  <c r="AI76" i="49"/>
  <c r="AE76" i="49"/>
  <c r="AL76" i="49"/>
  <c r="AO76" i="49"/>
  <c r="AB76" i="49"/>
  <c r="U76" i="49"/>
  <c r="Q76" i="49"/>
  <c r="AF76" i="49"/>
  <c r="W76" i="49"/>
  <c r="AP76" i="49"/>
  <c r="V76" i="49"/>
  <c r="O76" i="49"/>
  <c r="P76" i="49"/>
  <c r="AK76" i="49"/>
  <c r="AC76" i="49"/>
  <c r="X76" i="49"/>
  <c r="M7" i="50"/>
  <c r="Z78" i="48"/>
  <c r="AF92" i="49" s="1"/>
  <c r="I104" i="49"/>
  <c r="AL95" i="49"/>
  <c r="AC100" i="49"/>
  <c r="N52" i="48"/>
  <c r="N80" i="48" s="1"/>
  <c r="T94" i="49" s="1"/>
  <c r="AM109" i="49"/>
  <c r="W70" i="55"/>
  <c r="AD114" i="56" s="1"/>
  <c r="Y70" i="55"/>
  <c r="AF114" i="56" s="1"/>
  <c r="AF70" i="55"/>
  <c r="AM114" i="56" s="1"/>
  <c r="Z70" i="55"/>
  <c r="AG114" i="56" s="1"/>
  <c r="AA70" i="55"/>
  <c r="AH114" i="56" s="1"/>
  <c r="AB70" i="55"/>
  <c r="AI114" i="56" s="1"/>
  <c r="U70" i="55"/>
  <c r="AB114" i="56" s="1"/>
  <c r="L70" i="55"/>
  <c r="S114" i="56" s="1"/>
  <c r="N70" i="55"/>
  <c r="U114" i="56" s="1"/>
  <c r="K70" i="55"/>
  <c r="R114" i="56" s="1"/>
  <c r="M70" i="55"/>
  <c r="T114" i="56" s="1"/>
  <c r="AE70" i="55"/>
  <c r="AL114" i="56" s="1"/>
  <c r="AG70" i="55"/>
  <c r="AN114" i="56" s="1"/>
  <c r="T70" i="55"/>
  <c r="AA114" i="56" s="1"/>
  <c r="V70" i="55"/>
  <c r="AC114" i="56" s="1"/>
  <c r="P70" i="55"/>
  <c r="W114" i="56" s="1"/>
  <c r="S70" i="55"/>
  <c r="Z114" i="56" s="1"/>
  <c r="R70" i="55"/>
  <c r="Y114" i="56" s="1"/>
  <c r="AC70" i="55"/>
  <c r="AJ114" i="56" s="1"/>
  <c r="AD70" i="55"/>
  <c r="AK114" i="56" s="1"/>
  <c r="X70" i="55"/>
  <c r="AE114" i="56" s="1"/>
  <c r="AJ70" i="55"/>
  <c r="AQ114" i="56" s="1"/>
  <c r="AK70" i="55"/>
  <c r="AR114" i="56" s="1"/>
  <c r="AH70" i="55"/>
  <c r="AO114" i="56" s="1"/>
  <c r="AI70" i="55"/>
  <c r="AP114" i="56" s="1"/>
  <c r="O70" i="55"/>
  <c r="V114" i="56" s="1"/>
  <c r="Q70" i="55"/>
  <c r="X114" i="56" s="1"/>
  <c r="AL70" i="55"/>
  <c r="AS114" i="56" s="1"/>
  <c r="E100" i="49"/>
  <c r="E79" i="49"/>
  <c r="U9" i="50"/>
  <c r="O78" i="48"/>
  <c r="U92" i="49" s="1"/>
  <c r="Y78" i="48"/>
  <c r="AE92" i="49" s="1"/>
  <c r="AA78" i="48"/>
  <c r="AG92" i="49" s="1"/>
  <c r="AK99" i="49"/>
  <c r="L33" i="10"/>
  <c r="R89" i="48"/>
  <c r="X103" i="49" s="1"/>
  <c r="Z109" i="49"/>
  <c r="W66" i="55"/>
  <c r="AD110" i="56" s="1"/>
  <c r="Q66" i="55"/>
  <c r="X110" i="56" s="1"/>
  <c r="O66" i="55"/>
  <c r="V110" i="56" s="1"/>
  <c r="V66" i="55"/>
  <c r="AC110" i="56" s="1"/>
  <c r="AK66" i="55"/>
  <c r="AR110" i="56" s="1"/>
  <c r="K66" i="55"/>
  <c r="R110" i="56" s="1"/>
  <c r="AJ66" i="55"/>
  <c r="AQ110" i="56" s="1"/>
  <c r="AA66" i="55"/>
  <c r="AH110" i="56" s="1"/>
  <c r="T66" i="55"/>
  <c r="AA110" i="56" s="1"/>
  <c r="L66" i="55"/>
  <c r="S110" i="56" s="1"/>
  <c r="AC66" i="55"/>
  <c r="AJ110" i="56" s="1"/>
  <c r="Z66" i="55"/>
  <c r="AG110" i="56" s="1"/>
  <c r="AD66" i="55"/>
  <c r="AK110" i="56" s="1"/>
  <c r="Y66" i="55"/>
  <c r="AF110" i="56" s="1"/>
  <c r="AG66" i="55"/>
  <c r="AN110" i="56" s="1"/>
  <c r="U66" i="55"/>
  <c r="AB110" i="56" s="1"/>
  <c r="P66" i="55"/>
  <c r="W110" i="56" s="1"/>
  <c r="M66" i="55"/>
  <c r="T110" i="56" s="1"/>
  <c r="S66" i="55"/>
  <c r="Z110" i="56" s="1"/>
  <c r="R66" i="55"/>
  <c r="Y110" i="56" s="1"/>
  <c r="AH66" i="55"/>
  <c r="AO110" i="56" s="1"/>
  <c r="AB66" i="55"/>
  <c r="AI110" i="56" s="1"/>
  <c r="AF66" i="55"/>
  <c r="AM110" i="56" s="1"/>
  <c r="AI66" i="55"/>
  <c r="AP110" i="56" s="1"/>
  <c r="AL66" i="55"/>
  <c r="AS110" i="56" s="1"/>
  <c r="X66" i="55"/>
  <c r="AE110" i="56" s="1"/>
  <c r="N66" i="55"/>
  <c r="U110" i="56" s="1"/>
  <c r="AE66" i="55"/>
  <c r="AL110" i="56" s="1"/>
  <c r="AA59" i="55"/>
  <c r="AH103" i="56" s="1"/>
  <c r="AH59" i="55"/>
  <c r="AO103" i="56" s="1"/>
  <c r="U59" i="55"/>
  <c r="AB103" i="56" s="1"/>
  <c r="V59" i="55"/>
  <c r="AC103" i="56" s="1"/>
  <c r="AG59" i="55"/>
  <c r="AN103" i="56" s="1"/>
  <c r="O59" i="55"/>
  <c r="V103" i="56" s="1"/>
  <c r="AB59" i="55"/>
  <c r="AI103" i="56" s="1"/>
  <c r="AI59" i="55"/>
  <c r="AP103" i="56" s="1"/>
  <c r="T59" i="55"/>
  <c r="AA103" i="56" s="1"/>
  <c r="AE59" i="55"/>
  <c r="AL103" i="56" s="1"/>
  <c r="AF59" i="55"/>
  <c r="AM103" i="56" s="1"/>
  <c r="N59" i="55"/>
  <c r="U103" i="56" s="1"/>
  <c r="Y59" i="55"/>
  <c r="AF103" i="56" s="1"/>
  <c r="AL59" i="55"/>
  <c r="AS103" i="56" s="1"/>
  <c r="R59" i="55"/>
  <c r="Y103" i="56" s="1"/>
  <c r="AD59" i="55"/>
  <c r="AK103" i="56" s="1"/>
  <c r="M59" i="55"/>
  <c r="T103" i="56" s="1"/>
  <c r="X59" i="55"/>
  <c r="AE103" i="56" s="1"/>
  <c r="AK59" i="55"/>
  <c r="AR103" i="56" s="1"/>
  <c r="Q59" i="55"/>
  <c r="X103" i="56" s="1"/>
  <c r="S59" i="55"/>
  <c r="Z103" i="56" s="1"/>
  <c r="W59" i="55"/>
  <c r="AD103" i="56" s="1"/>
  <c r="K59" i="55"/>
  <c r="R103" i="56" s="1"/>
  <c r="Z59" i="55"/>
  <c r="AG103" i="56" s="1"/>
  <c r="AJ59" i="55"/>
  <c r="AQ103" i="56" s="1"/>
  <c r="P59" i="55"/>
  <c r="W103" i="56" s="1"/>
  <c r="L59" i="55"/>
  <c r="S103" i="56" s="1"/>
  <c r="AC59" i="55"/>
  <c r="AJ103" i="56" s="1"/>
  <c r="AK67" i="55"/>
  <c r="AR111" i="56" s="1"/>
  <c r="AB67" i="55"/>
  <c r="AI111" i="56" s="1"/>
  <c r="S67" i="55"/>
  <c r="Z111" i="56" s="1"/>
  <c r="Z67" i="55"/>
  <c r="AG111" i="56" s="1"/>
  <c r="W67" i="55"/>
  <c r="AD111" i="56" s="1"/>
  <c r="AE67" i="55"/>
  <c r="AL111" i="56" s="1"/>
  <c r="L67" i="55"/>
  <c r="S111" i="56" s="1"/>
  <c r="U67" i="55"/>
  <c r="AB111" i="56" s="1"/>
  <c r="AL67" i="55"/>
  <c r="AS111" i="56" s="1"/>
  <c r="AF67" i="55"/>
  <c r="AM111" i="56" s="1"/>
  <c r="AJ67" i="55"/>
  <c r="AQ111" i="56" s="1"/>
  <c r="R67" i="55"/>
  <c r="Y111" i="56" s="1"/>
  <c r="N67" i="55"/>
  <c r="U111" i="56" s="1"/>
  <c r="AH67" i="55"/>
  <c r="AO111" i="56" s="1"/>
  <c r="AG67" i="55"/>
  <c r="AN111" i="56" s="1"/>
  <c r="O67" i="55"/>
  <c r="V111" i="56" s="1"/>
  <c r="AC67" i="55"/>
  <c r="AJ111" i="56" s="1"/>
  <c r="M67" i="55"/>
  <c r="T111" i="56" s="1"/>
  <c r="V67" i="55"/>
  <c r="AC111" i="56" s="1"/>
  <c r="X67" i="55"/>
  <c r="AE111" i="56" s="1"/>
  <c r="P67" i="55"/>
  <c r="W111" i="56" s="1"/>
  <c r="AA67" i="55"/>
  <c r="AH111" i="56" s="1"/>
  <c r="K67" i="55"/>
  <c r="R111" i="56" s="1"/>
  <c r="T67" i="55"/>
  <c r="AA111" i="56" s="1"/>
  <c r="AI67" i="55"/>
  <c r="AP111" i="56" s="1"/>
  <c r="Q67" i="55"/>
  <c r="X111" i="56" s="1"/>
  <c r="Y67" i="55"/>
  <c r="AF111" i="56" s="1"/>
  <c r="AD67" i="55"/>
  <c r="AK111" i="56" s="1"/>
  <c r="O80" i="49"/>
  <c r="AP80" i="49"/>
  <c r="U80" i="49"/>
  <c r="T80" i="49"/>
  <c r="AM80" i="49"/>
  <c r="Y80" i="49"/>
  <c r="R80" i="49"/>
  <c r="AL80" i="49"/>
  <c r="W80" i="49"/>
  <c r="P80" i="49"/>
  <c r="AB80" i="49"/>
  <c r="AK80" i="49"/>
  <c r="AO80" i="49"/>
  <c r="AG80" i="49"/>
  <c r="AD80" i="49"/>
  <c r="AC80" i="49"/>
  <c r="Z80" i="49"/>
  <c r="AJ80" i="49"/>
  <c r="S80" i="49"/>
  <c r="X80" i="49"/>
  <c r="V80" i="49"/>
  <c r="AI80" i="49"/>
  <c r="Q80" i="49"/>
  <c r="AF80" i="49"/>
  <c r="AE80" i="49"/>
  <c r="AA80" i="49"/>
  <c r="AN80" i="49"/>
  <c r="AH80" i="49"/>
  <c r="N78" i="48"/>
  <c r="T92" i="49" s="1"/>
  <c r="AJ78" i="48"/>
  <c r="AP92" i="49" s="1"/>
  <c r="Y112" i="49"/>
  <c r="S109" i="49"/>
  <c r="AE56" i="55"/>
  <c r="AL100" i="56" s="1"/>
  <c r="AC56" i="55"/>
  <c r="AJ100" i="56" s="1"/>
  <c r="S56" i="55"/>
  <c r="Z100" i="56" s="1"/>
  <c r="M56" i="55"/>
  <c r="T100" i="56" s="1"/>
  <c r="X56" i="55"/>
  <c r="AE100" i="56" s="1"/>
  <c r="Z56" i="55"/>
  <c r="AG100" i="56" s="1"/>
  <c r="Q56" i="55"/>
  <c r="X100" i="56" s="1"/>
  <c r="U56" i="55"/>
  <c r="AB100" i="56" s="1"/>
  <c r="AI56" i="55"/>
  <c r="AP100" i="56" s="1"/>
  <c r="AG56" i="55"/>
  <c r="AN100" i="56" s="1"/>
  <c r="V56" i="55"/>
  <c r="AC100" i="56" s="1"/>
  <c r="AJ56" i="55"/>
  <c r="AQ100" i="56" s="1"/>
  <c r="AF56" i="55"/>
  <c r="AM100" i="56" s="1"/>
  <c r="K56" i="55"/>
  <c r="R100" i="56" s="1"/>
  <c r="L56" i="55"/>
  <c r="S100" i="56" s="1"/>
  <c r="Y56" i="55"/>
  <c r="AF100" i="56" s="1"/>
  <c r="AD56" i="55"/>
  <c r="AK100" i="56" s="1"/>
  <c r="T56" i="55"/>
  <c r="AA100" i="56" s="1"/>
  <c r="W56" i="55"/>
  <c r="AD100" i="56" s="1"/>
  <c r="N56" i="55"/>
  <c r="U100" i="56" s="1"/>
  <c r="AK56" i="55"/>
  <c r="AR100" i="56" s="1"/>
  <c r="P56" i="55"/>
  <c r="W100" i="56" s="1"/>
  <c r="AB56" i="55"/>
  <c r="AI100" i="56" s="1"/>
  <c r="AL56" i="55"/>
  <c r="AS100" i="56" s="1"/>
  <c r="R56" i="55"/>
  <c r="Y100" i="56" s="1"/>
  <c r="AH56" i="55"/>
  <c r="AO100" i="56" s="1"/>
  <c r="O56" i="55"/>
  <c r="V100" i="56" s="1"/>
  <c r="AA56" i="55"/>
  <c r="AH100" i="56" s="1"/>
  <c r="AB69" i="55"/>
  <c r="AI113" i="56" s="1"/>
  <c r="T69" i="55"/>
  <c r="AA113" i="56" s="1"/>
  <c r="L69" i="55"/>
  <c r="S113" i="56" s="1"/>
  <c r="AE69" i="55"/>
  <c r="AL113" i="56" s="1"/>
  <c r="AG69" i="55"/>
  <c r="AN113" i="56" s="1"/>
  <c r="Q69" i="55"/>
  <c r="X113" i="56" s="1"/>
  <c r="Y69" i="55"/>
  <c r="AF113" i="56" s="1"/>
  <c r="W69" i="55"/>
  <c r="AD113" i="56" s="1"/>
  <c r="Z69" i="55"/>
  <c r="AG113" i="56" s="1"/>
  <c r="R69" i="55"/>
  <c r="Y113" i="56" s="1"/>
  <c r="AF69" i="55"/>
  <c r="AM113" i="56" s="1"/>
  <c r="U69" i="55"/>
  <c r="AB113" i="56" s="1"/>
  <c r="AL69" i="55"/>
  <c r="AS113" i="56" s="1"/>
  <c r="V69" i="55"/>
  <c r="AC113" i="56" s="1"/>
  <c r="S69" i="55"/>
  <c r="Z113" i="56" s="1"/>
  <c r="O69" i="55"/>
  <c r="V113" i="56" s="1"/>
  <c r="AK69" i="55"/>
  <c r="AR113" i="56" s="1"/>
  <c r="AC69" i="55"/>
  <c r="AJ113" i="56" s="1"/>
  <c r="AA69" i="55"/>
  <c r="AH113" i="56" s="1"/>
  <c r="K69" i="55"/>
  <c r="R113" i="56" s="1"/>
  <c r="M69" i="55"/>
  <c r="T113" i="56" s="1"/>
  <c r="N69" i="55"/>
  <c r="U113" i="56" s="1"/>
  <c r="AJ69" i="55"/>
  <c r="AQ113" i="56" s="1"/>
  <c r="X69" i="55"/>
  <c r="AE113" i="56" s="1"/>
  <c r="AD69" i="55"/>
  <c r="AK113" i="56" s="1"/>
  <c r="P69" i="55"/>
  <c r="W113" i="56" s="1"/>
  <c r="AH69" i="55"/>
  <c r="AO113" i="56" s="1"/>
  <c r="AI69" i="55"/>
  <c r="AP113" i="56" s="1"/>
  <c r="E101" i="49"/>
  <c r="E80" i="49"/>
  <c r="I98" i="49"/>
  <c r="L27" i="10"/>
  <c r="I77" i="49"/>
  <c r="I53" i="49"/>
  <c r="U99" i="49"/>
  <c r="J46" i="48"/>
  <c r="O49" i="49"/>
  <c r="AD78" i="48"/>
  <c r="AJ92" i="49" s="1"/>
  <c r="AH78" i="48"/>
  <c r="AN92" i="49" s="1"/>
  <c r="AC78" i="48"/>
  <c r="AI92" i="49" s="1"/>
  <c r="M78" i="48"/>
  <c r="S92" i="49" s="1"/>
  <c r="AP112" i="49"/>
  <c r="I89" i="48"/>
  <c r="O103" i="49" s="1"/>
  <c r="U89" i="48"/>
  <c r="AA103" i="49" s="1"/>
  <c r="AH89" i="48"/>
  <c r="AN103" i="49" s="1"/>
  <c r="V89" i="48"/>
  <c r="AB103" i="49" s="1"/>
  <c r="AB109" i="49"/>
  <c r="AE99" i="49"/>
  <c r="K58" i="55"/>
  <c r="R102" i="56" s="1"/>
  <c r="AE58" i="55"/>
  <c r="AL102" i="56" s="1"/>
  <c r="AH58" i="55"/>
  <c r="AO102" i="56" s="1"/>
  <c r="AG58" i="55"/>
  <c r="AN102" i="56" s="1"/>
  <c r="Z58" i="55"/>
  <c r="AG102" i="56" s="1"/>
  <c r="O58" i="55"/>
  <c r="V102" i="56" s="1"/>
  <c r="U58" i="55"/>
  <c r="AB102" i="56" s="1"/>
  <c r="Y58" i="55"/>
  <c r="AF102" i="56" s="1"/>
  <c r="AB58" i="55"/>
  <c r="AI102" i="56" s="1"/>
  <c r="AI58" i="55"/>
  <c r="AP102" i="56" s="1"/>
  <c r="L58" i="55"/>
  <c r="S102" i="56" s="1"/>
  <c r="AL58" i="55"/>
  <c r="AS102" i="56" s="1"/>
  <c r="AC58" i="55"/>
  <c r="AJ102" i="56" s="1"/>
  <c r="AF58" i="55"/>
  <c r="AM102" i="56" s="1"/>
  <c r="N58" i="55"/>
  <c r="U102" i="56" s="1"/>
  <c r="AD58" i="55"/>
  <c r="AK102" i="56" s="1"/>
  <c r="X58" i="55"/>
  <c r="AE102" i="56" s="1"/>
  <c r="S58" i="55"/>
  <c r="Z102" i="56" s="1"/>
  <c r="R58" i="55"/>
  <c r="Y102" i="56" s="1"/>
  <c r="M58" i="55"/>
  <c r="T102" i="56" s="1"/>
  <c r="T58" i="55"/>
  <c r="AA102" i="56" s="1"/>
  <c r="AA58" i="55"/>
  <c r="AH102" i="56" s="1"/>
  <c r="Q58" i="55"/>
  <c r="X102" i="56" s="1"/>
  <c r="V58" i="55"/>
  <c r="AC102" i="56" s="1"/>
  <c r="P58" i="55"/>
  <c r="W102" i="56" s="1"/>
  <c r="W58" i="55"/>
  <c r="AD102" i="56" s="1"/>
  <c r="AJ58" i="55"/>
  <c r="AQ102" i="56" s="1"/>
  <c r="AK58" i="55"/>
  <c r="AR102" i="56" s="1"/>
  <c r="AE68" i="55"/>
  <c r="AL112" i="56" s="1"/>
  <c r="AF68" i="55"/>
  <c r="AM112" i="56" s="1"/>
  <c r="AL68" i="55"/>
  <c r="AS112" i="56" s="1"/>
  <c r="W68" i="55"/>
  <c r="AD112" i="56" s="1"/>
  <c r="T68" i="55"/>
  <c r="AA112" i="56" s="1"/>
  <c r="P68" i="55"/>
  <c r="W112" i="56" s="1"/>
  <c r="Z68" i="55"/>
  <c r="AG112" i="56" s="1"/>
  <c r="AD68" i="55"/>
  <c r="AK112" i="56" s="1"/>
  <c r="X68" i="55"/>
  <c r="AE112" i="56" s="1"/>
  <c r="L68" i="55"/>
  <c r="S112" i="56" s="1"/>
  <c r="N68" i="55"/>
  <c r="U112" i="56" s="1"/>
  <c r="AJ68" i="55"/>
  <c r="AQ112" i="56" s="1"/>
  <c r="R68" i="55"/>
  <c r="Y112" i="56" s="1"/>
  <c r="AB68" i="55"/>
  <c r="AI112" i="56" s="1"/>
  <c r="V68" i="55"/>
  <c r="AC112" i="56" s="1"/>
  <c r="S68" i="55"/>
  <c r="Z112" i="56" s="1"/>
  <c r="AA68" i="55"/>
  <c r="AH112" i="56" s="1"/>
  <c r="AG68" i="55"/>
  <c r="AN112" i="56" s="1"/>
  <c r="Q68" i="55"/>
  <c r="X112" i="56" s="1"/>
  <c r="AC68" i="55"/>
  <c r="AJ112" i="56" s="1"/>
  <c r="O68" i="55"/>
  <c r="V112" i="56" s="1"/>
  <c r="M68" i="55"/>
  <c r="T112" i="56" s="1"/>
  <c r="Y68" i="55"/>
  <c r="AF112" i="56" s="1"/>
  <c r="AI68" i="55"/>
  <c r="AP112" i="56" s="1"/>
  <c r="AH68" i="55"/>
  <c r="AO112" i="56" s="1"/>
  <c r="AK68" i="55"/>
  <c r="AR112" i="56" s="1"/>
  <c r="U68" i="55"/>
  <c r="AB112" i="56" s="1"/>
  <c r="K68" i="55"/>
  <c r="R112" i="56" s="1"/>
  <c r="O53" i="49"/>
  <c r="B77" i="49"/>
  <c r="T53" i="49"/>
  <c r="X53" i="49"/>
  <c r="AN53" i="49"/>
  <c r="R53" i="49"/>
  <c r="AC53" i="49"/>
  <c r="AO53" i="49"/>
  <c r="AA53" i="49"/>
  <c r="V53" i="49"/>
  <c r="AJ53" i="49"/>
  <c r="AM53" i="49"/>
  <c r="Q53" i="49"/>
  <c r="AG53" i="49"/>
  <c r="AI53" i="49"/>
  <c r="AH53" i="49"/>
  <c r="Z53" i="49"/>
  <c r="AP53" i="49"/>
  <c r="AL53" i="49"/>
  <c r="AE53" i="49"/>
  <c r="U53" i="49"/>
  <c r="AB53" i="49"/>
  <c r="AF53" i="49"/>
  <c r="P53" i="49"/>
  <c r="B98" i="49"/>
  <c r="AD53" i="49"/>
  <c r="Y53" i="49"/>
  <c r="AK53" i="49"/>
  <c r="S53" i="49"/>
  <c r="W53" i="49"/>
  <c r="W46" i="55"/>
  <c r="AD90" i="56" s="1"/>
  <c r="AA46" i="55"/>
  <c r="AH90" i="56" s="1"/>
  <c r="Q46" i="55"/>
  <c r="X90" i="56" s="1"/>
  <c r="Y46" i="55"/>
  <c r="AF90" i="56" s="1"/>
  <c r="AG46" i="55"/>
  <c r="AN90" i="56" s="1"/>
  <c r="K46" i="55"/>
  <c r="R90" i="56" s="1"/>
  <c r="R46" i="55"/>
  <c r="Y90" i="56" s="1"/>
  <c r="AI46" i="55"/>
  <c r="AP90" i="56" s="1"/>
  <c r="L46" i="55"/>
  <c r="S90" i="56" s="1"/>
  <c r="V46" i="55"/>
  <c r="AC90" i="56" s="1"/>
  <c r="AH46" i="55"/>
  <c r="AO90" i="56" s="1"/>
  <c r="N46" i="55"/>
  <c r="U90" i="56" s="1"/>
  <c r="Z46" i="55"/>
  <c r="AG90" i="56" s="1"/>
  <c r="AJ46" i="55"/>
  <c r="AQ90" i="56" s="1"/>
  <c r="U46" i="55"/>
  <c r="AB90" i="56" s="1"/>
  <c r="AB46" i="55"/>
  <c r="AI90" i="56" s="1"/>
  <c r="M46" i="55"/>
  <c r="T90" i="56" s="1"/>
  <c r="AC46" i="55"/>
  <c r="AJ90" i="56" s="1"/>
  <c r="O46" i="55"/>
  <c r="V90" i="56" s="1"/>
  <c r="AD46" i="55"/>
  <c r="AK90" i="56" s="1"/>
  <c r="P46" i="55"/>
  <c r="W90" i="56" s="1"/>
  <c r="S46" i="55"/>
  <c r="Z90" i="56" s="1"/>
  <c r="X46" i="55"/>
  <c r="AE90" i="56" s="1"/>
  <c r="AK46" i="55"/>
  <c r="AR90" i="56" s="1"/>
  <c r="AF46" i="55"/>
  <c r="AM90" i="56" s="1"/>
  <c r="T46" i="55"/>
  <c r="AA90" i="56" s="1"/>
  <c r="AL46" i="55"/>
  <c r="AS90" i="56" s="1"/>
  <c r="AE46" i="55"/>
  <c r="AL90" i="56" s="1"/>
  <c r="D83" i="49"/>
  <c r="E59" i="49"/>
  <c r="D104" i="49"/>
  <c r="P100" i="49"/>
  <c r="D89" i="49"/>
  <c r="E67" i="49"/>
  <c r="D112" i="49"/>
  <c r="J78" i="48"/>
  <c r="P92" i="49" s="1"/>
  <c r="AC94" i="48"/>
  <c r="AI108" i="49" s="1"/>
  <c r="T9" i="50"/>
  <c r="X78" i="48"/>
  <c r="AD92" i="49" s="1"/>
  <c r="Y89" i="48"/>
  <c r="AE103" i="49" s="1"/>
  <c r="AI89" i="48"/>
  <c r="AO103" i="49" s="1"/>
  <c r="W57" i="55"/>
  <c r="AD101" i="56" s="1"/>
  <c r="Y57" i="55"/>
  <c r="AF101" i="56" s="1"/>
  <c r="V57" i="55"/>
  <c r="AC101" i="56" s="1"/>
  <c r="AF57" i="55"/>
  <c r="AM101" i="56" s="1"/>
  <c r="AI57" i="55"/>
  <c r="AP101" i="56" s="1"/>
  <c r="Z57" i="55"/>
  <c r="AG101" i="56" s="1"/>
  <c r="AC57" i="55"/>
  <c r="AJ101" i="56" s="1"/>
  <c r="AE57" i="55"/>
  <c r="AL101" i="56" s="1"/>
  <c r="AG57" i="55"/>
  <c r="AN101" i="56" s="1"/>
  <c r="AD57" i="55"/>
  <c r="AK101" i="56" s="1"/>
  <c r="T57" i="55"/>
  <c r="AA101" i="56" s="1"/>
  <c r="X57" i="55"/>
  <c r="AE101" i="56" s="1"/>
  <c r="AK57" i="55"/>
  <c r="AR101" i="56" s="1"/>
  <c r="P57" i="55"/>
  <c r="W101" i="56" s="1"/>
  <c r="K57" i="55"/>
  <c r="R101" i="56" s="1"/>
  <c r="AL57" i="55"/>
  <c r="AS101" i="56" s="1"/>
  <c r="AH57" i="55"/>
  <c r="AO101" i="56" s="1"/>
  <c r="AJ57" i="55"/>
  <c r="AQ101" i="56" s="1"/>
  <c r="M57" i="55"/>
  <c r="T101" i="56" s="1"/>
  <c r="AB57" i="55"/>
  <c r="AI101" i="56" s="1"/>
  <c r="S57" i="55"/>
  <c r="Z101" i="56" s="1"/>
  <c r="R57" i="55"/>
  <c r="Y101" i="56" s="1"/>
  <c r="O57" i="55"/>
  <c r="V101" i="56" s="1"/>
  <c r="U57" i="55"/>
  <c r="AB101" i="56" s="1"/>
  <c r="Q57" i="55"/>
  <c r="X101" i="56" s="1"/>
  <c r="L57" i="55"/>
  <c r="S101" i="56" s="1"/>
  <c r="N57" i="55"/>
  <c r="U101" i="56" s="1"/>
  <c r="AA57" i="55"/>
  <c r="AH101" i="56" s="1"/>
  <c r="R95" i="49"/>
  <c r="T96" i="49"/>
  <c r="AA6" i="50"/>
  <c r="AB6" i="50"/>
  <c r="Q10" i="50"/>
  <c r="L78" i="48"/>
  <c r="R92" i="49" s="1"/>
  <c r="S78" i="48"/>
  <c r="Y92" i="49" s="1"/>
  <c r="R78" i="48"/>
  <c r="X92" i="49" s="1"/>
  <c r="Q6" i="50"/>
  <c r="AB89" i="48"/>
  <c r="AH103" i="49" s="1"/>
  <c r="AH100" i="49"/>
  <c r="N71" i="55"/>
  <c r="U115" i="56" s="1"/>
  <c r="AK71" i="55"/>
  <c r="AR115" i="56" s="1"/>
  <c r="AA71" i="55"/>
  <c r="AH115" i="56" s="1"/>
  <c r="S71" i="55"/>
  <c r="Z115" i="56" s="1"/>
  <c r="Z71" i="55"/>
  <c r="AG115" i="56" s="1"/>
  <c r="AG71" i="55"/>
  <c r="AN115" i="56" s="1"/>
  <c r="Y71" i="55"/>
  <c r="AF115" i="56" s="1"/>
  <c r="AE71" i="55"/>
  <c r="AL115" i="56" s="1"/>
  <c r="Q71" i="55"/>
  <c r="X115" i="56" s="1"/>
  <c r="X71" i="55"/>
  <c r="AE115" i="56" s="1"/>
  <c r="W71" i="55"/>
  <c r="AD115" i="56" s="1"/>
  <c r="AB71" i="55"/>
  <c r="AI115" i="56" s="1"/>
  <c r="O71" i="55"/>
  <c r="V115" i="56" s="1"/>
  <c r="AF71" i="55"/>
  <c r="AM115" i="56" s="1"/>
  <c r="R71" i="55"/>
  <c r="Y115" i="56" s="1"/>
  <c r="AI71" i="55"/>
  <c r="AP115" i="56" s="1"/>
  <c r="AL71" i="55"/>
  <c r="AS115" i="56" s="1"/>
  <c r="U71" i="55"/>
  <c r="AB115" i="56" s="1"/>
  <c r="M71" i="55"/>
  <c r="T115" i="56" s="1"/>
  <c r="T71" i="55"/>
  <c r="AA115" i="56" s="1"/>
  <c r="K71" i="55"/>
  <c r="R115" i="56" s="1"/>
  <c r="L71" i="55"/>
  <c r="S115" i="56" s="1"/>
  <c r="AC71" i="55"/>
  <c r="AJ115" i="56" s="1"/>
  <c r="AJ71" i="55"/>
  <c r="AQ115" i="56" s="1"/>
  <c r="P71" i="55"/>
  <c r="W115" i="56" s="1"/>
  <c r="AH71" i="55"/>
  <c r="AO115" i="56" s="1"/>
  <c r="AD71" i="55"/>
  <c r="AK115" i="56" s="1"/>
  <c r="V71" i="55"/>
  <c r="AC115" i="56" s="1"/>
  <c r="S73" i="49"/>
  <c r="X73" i="49"/>
  <c r="O73" i="49"/>
  <c r="W73" i="49"/>
  <c r="R73" i="49"/>
  <c r="AP73" i="49"/>
  <c r="AO73" i="49"/>
  <c r="AM73" i="49"/>
  <c r="AB73" i="49"/>
  <c r="Z73" i="49"/>
  <c r="AG73" i="49"/>
  <c r="AL73" i="49"/>
  <c r="AF73" i="49"/>
  <c r="U73" i="49"/>
  <c r="T73" i="49"/>
  <c r="AK73" i="49"/>
  <c r="AE73" i="49"/>
  <c r="V73" i="49"/>
  <c r="AJ73" i="49"/>
  <c r="AC73" i="49"/>
  <c r="AH73" i="49"/>
  <c r="AI73" i="49"/>
  <c r="Y73" i="49"/>
  <c r="Q73" i="49"/>
  <c r="AD73" i="49"/>
  <c r="P73" i="49"/>
  <c r="AN73" i="49"/>
  <c r="AA73" i="49"/>
  <c r="I48" i="49"/>
  <c r="I93" i="49"/>
  <c r="I72" i="49"/>
  <c r="L22" i="10"/>
  <c r="W6" i="50"/>
  <c r="H6" i="50"/>
  <c r="S10" i="50"/>
  <c r="Q95" i="49"/>
  <c r="Q89" i="48"/>
  <c r="W103" i="49" s="1"/>
  <c r="AE100" i="49"/>
  <c r="M55" i="55"/>
  <c r="T99" i="56" s="1"/>
  <c r="R55" i="55"/>
  <c r="Y99" i="56" s="1"/>
  <c r="AB55" i="55"/>
  <c r="AI99" i="56" s="1"/>
  <c r="AF55" i="55"/>
  <c r="AM99" i="56" s="1"/>
  <c r="AJ55" i="55"/>
  <c r="AQ99" i="56" s="1"/>
  <c r="N55" i="55"/>
  <c r="U99" i="56" s="1"/>
  <c r="S55" i="55"/>
  <c r="Z99" i="56" s="1"/>
  <c r="U55" i="55"/>
  <c r="AB99" i="56" s="1"/>
  <c r="Z55" i="55"/>
  <c r="AG99" i="56" s="1"/>
  <c r="Q55" i="55"/>
  <c r="X99" i="56" s="1"/>
  <c r="V55" i="55"/>
  <c r="AC99" i="56" s="1"/>
  <c r="L55" i="55"/>
  <c r="S99" i="56" s="1"/>
  <c r="Y55" i="55"/>
  <c r="AF99" i="56" s="1"/>
  <c r="AA55" i="55"/>
  <c r="AH99" i="56" s="1"/>
  <c r="AC55" i="55"/>
  <c r="AJ99" i="56" s="1"/>
  <c r="AH55" i="55"/>
  <c r="AO99" i="56" s="1"/>
  <c r="P55" i="55"/>
  <c r="W99" i="56" s="1"/>
  <c r="AE55" i="55"/>
  <c r="AL99" i="56" s="1"/>
  <c r="AG55" i="55"/>
  <c r="AN99" i="56" s="1"/>
  <c r="X55" i="55"/>
  <c r="AE99" i="56" s="1"/>
  <c r="K55" i="55"/>
  <c r="R99" i="56" s="1"/>
  <c r="AD55" i="55"/>
  <c r="AK99" i="56" s="1"/>
  <c r="AI55" i="55"/>
  <c r="AP99" i="56" s="1"/>
  <c r="T55" i="55"/>
  <c r="AA99" i="56" s="1"/>
  <c r="AK55" i="55"/>
  <c r="AR99" i="56" s="1"/>
  <c r="W55" i="55"/>
  <c r="AD99" i="56" s="1"/>
  <c r="O55" i="55"/>
  <c r="V99" i="56" s="1"/>
  <c r="AL55" i="55"/>
  <c r="AS99" i="56" s="1"/>
  <c r="O43" i="55"/>
  <c r="V87" i="56" s="1"/>
  <c r="AH43" i="55"/>
  <c r="AO87" i="56" s="1"/>
  <c r="P43" i="55"/>
  <c r="W87" i="56" s="1"/>
  <c r="W43" i="55"/>
  <c r="AD87" i="56" s="1"/>
  <c r="X43" i="55"/>
  <c r="AE87" i="56" s="1"/>
  <c r="L43" i="55"/>
  <c r="S87" i="56" s="1"/>
  <c r="AC43" i="55"/>
  <c r="AJ87" i="56" s="1"/>
  <c r="M43" i="55"/>
  <c r="T87" i="56" s="1"/>
  <c r="Y43" i="55"/>
  <c r="AF87" i="56" s="1"/>
  <c r="AK43" i="55"/>
  <c r="AR87" i="56" s="1"/>
  <c r="AF43" i="55"/>
  <c r="AM87" i="56" s="1"/>
  <c r="Q43" i="55"/>
  <c r="X87" i="56" s="1"/>
  <c r="AG43" i="55"/>
  <c r="AN87" i="56" s="1"/>
  <c r="U43" i="55"/>
  <c r="AB87" i="56" s="1"/>
  <c r="AJ43" i="55"/>
  <c r="AQ87" i="56" s="1"/>
  <c r="Z43" i="55"/>
  <c r="AG87" i="56" s="1"/>
  <c r="K43" i="55"/>
  <c r="R87" i="56" s="1"/>
  <c r="AB43" i="55"/>
  <c r="AI87" i="56" s="1"/>
  <c r="AL43" i="55"/>
  <c r="AS87" i="56" s="1"/>
  <c r="T43" i="55"/>
  <c r="AA87" i="56" s="1"/>
  <c r="AD43" i="55"/>
  <c r="AK87" i="56" s="1"/>
  <c r="S43" i="55"/>
  <c r="Z87" i="56" s="1"/>
  <c r="V43" i="55"/>
  <c r="AC87" i="56" s="1"/>
  <c r="AA43" i="55"/>
  <c r="AH87" i="56" s="1"/>
  <c r="AE43" i="55"/>
  <c r="AL87" i="56" s="1"/>
  <c r="AI43" i="55"/>
  <c r="AP87" i="56" s="1"/>
  <c r="N43" i="55"/>
  <c r="U87" i="56" s="1"/>
  <c r="R43" i="55"/>
  <c r="Y87" i="56" s="1"/>
  <c r="D93" i="49"/>
  <c r="E48" i="49"/>
  <c r="D72" i="49"/>
  <c r="E60" i="49"/>
  <c r="D84" i="49"/>
  <c r="D105" i="49"/>
  <c r="AG78" i="48"/>
  <c r="AM92" i="49" s="1"/>
  <c r="AD6" i="50"/>
  <c r="AD96" i="48"/>
  <c r="AJ110" i="49" s="1"/>
  <c r="AA10" i="50"/>
  <c r="N96" i="48"/>
  <c r="T110" i="49" s="1"/>
  <c r="K10" i="50"/>
  <c r="L31" i="10"/>
  <c r="I102" i="49"/>
  <c r="I81" i="49"/>
  <c r="I57" i="49"/>
  <c r="AE89" i="48"/>
  <c r="AK103" i="49" s="1"/>
  <c r="L39" i="10"/>
  <c r="I110" i="49"/>
  <c r="I65" i="49"/>
  <c r="AB123" i="49"/>
  <c r="AB131" i="49"/>
  <c r="AB129" i="49"/>
  <c r="AB132" i="49"/>
  <c r="V71" i="48"/>
  <c r="AB126" i="49"/>
  <c r="AD124" i="42"/>
  <c r="AD164" i="42"/>
  <c r="AE64" i="48" s="1"/>
  <c r="AE92" i="48" s="1"/>
  <c r="AK106" i="49" s="1"/>
  <c r="AD71" i="48"/>
  <c r="AJ129" i="49"/>
  <c r="AJ123" i="49"/>
  <c r="AJ132" i="49"/>
  <c r="AJ126" i="49"/>
  <c r="AJ131" i="49"/>
  <c r="T8" i="50"/>
  <c r="F9" i="50"/>
  <c r="P78" i="48"/>
  <c r="V92" i="49" s="1"/>
  <c r="AB78" i="48"/>
  <c r="AH92" i="49" s="1"/>
  <c r="E108" i="49"/>
  <c r="E87" i="49"/>
  <c r="AD121" i="49"/>
  <c r="T125" i="49"/>
  <c r="AP125" i="49"/>
  <c r="W125" i="49"/>
  <c r="E54" i="49"/>
  <c r="D99" i="49"/>
  <c r="D78" i="49"/>
  <c r="AL54" i="49"/>
  <c r="AN54" i="49"/>
  <c r="U54" i="49"/>
  <c r="AC54" i="49"/>
  <c r="AK54" i="49"/>
  <c r="T54" i="49"/>
  <c r="AG54" i="49"/>
  <c r="S54" i="49"/>
  <c r="AB54" i="49"/>
  <c r="W54" i="49"/>
  <c r="P54" i="49"/>
  <c r="AO54" i="49"/>
  <c r="AA54" i="49"/>
  <c r="AJ54" i="49"/>
  <c r="V54" i="49"/>
  <c r="AE54" i="49"/>
  <c r="AI54" i="49"/>
  <c r="AM54" i="49"/>
  <c r="AD54" i="49"/>
  <c r="X54" i="49"/>
  <c r="AF54" i="49"/>
  <c r="Y54" i="49"/>
  <c r="R54" i="49"/>
  <c r="Z54" i="49"/>
  <c r="Q54" i="49"/>
  <c r="AH54" i="49"/>
  <c r="AP54" i="49"/>
  <c r="O54" i="49"/>
  <c r="W112" i="49"/>
  <c r="X112" i="49"/>
  <c r="AM112" i="49"/>
  <c r="AJ124" i="49"/>
  <c r="W124" i="49"/>
  <c r="T6" i="50"/>
  <c r="AK95" i="49"/>
  <c r="AB95" i="49"/>
  <c r="P95" i="49"/>
  <c r="S95" i="49"/>
  <c r="O89" i="48"/>
  <c r="U103" i="49" s="1"/>
  <c r="L89" i="48"/>
  <c r="R103" i="49" s="1"/>
  <c r="M89" i="48"/>
  <c r="S103" i="49" s="1"/>
  <c r="AO100" i="49"/>
  <c r="Y100" i="49"/>
  <c r="W130" i="49"/>
  <c r="E73" i="49"/>
  <c r="E94" i="49"/>
  <c r="AA105" i="49"/>
  <c r="AI105" i="49"/>
  <c r="Q105" i="49"/>
  <c r="Y105" i="49"/>
  <c r="AM105" i="49"/>
  <c r="X105" i="49"/>
  <c r="AF105" i="49"/>
  <c r="AD105" i="49"/>
  <c r="P105" i="49"/>
  <c r="U105" i="49"/>
  <c r="AH105" i="49"/>
  <c r="AJ105" i="49"/>
  <c r="W105" i="49"/>
  <c r="AB105" i="49"/>
  <c r="AG105" i="49"/>
  <c r="AO105" i="49"/>
  <c r="S105" i="49"/>
  <c r="AN105" i="49"/>
  <c r="Z105" i="49"/>
  <c r="AL105" i="49"/>
  <c r="T105" i="49"/>
  <c r="AK105" i="49"/>
  <c r="AE105" i="49"/>
  <c r="AC105" i="49"/>
  <c r="AP105" i="49"/>
  <c r="V105" i="49"/>
  <c r="R105" i="49"/>
  <c r="O105" i="49"/>
  <c r="O96" i="49"/>
  <c r="AD96" i="49"/>
  <c r="W96" i="49"/>
  <c r="AK96" i="49"/>
  <c r="O109" i="49"/>
  <c r="AP109" i="49"/>
  <c r="AH109" i="49"/>
  <c r="R109" i="49"/>
  <c r="R99" i="49"/>
  <c r="P99" i="49"/>
  <c r="AG99" i="49"/>
  <c r="AI99" i="49"/>
  <c r="V129" i="49"/>
  <c r="V126" i="49"/>
  <c r="V131" i="49"/>
  <c r="P71" i="48"/>
  <c r="V132" i="49"/>
  <c r="V123" i="49"/>
  <c r="E61" i="49"/>
  <c r="D106" i="49"/>
  <c r="D85" i="49"/>
  <c r="AL128" i="49"/>
  <c r="AI110" i="49"/>
  <c r="AN110" i="49"/>
  <c r="Z110" i="49"/>
  <c r="AG110" i="49"/>
  <c r="P110" i="49"/>
  <c r="AH110" i="49"/>
  <c r="AB110" i="49"/>
  <c r="S110" i="49"/>
  <c r="W110" i="49"/>
  <c r="AD110" i="49"/>
  <c r="AA110" i="49"/>
  <c r="AF110" i="49"/>
  <c r="V110" i="49"/>
  <c r="Q110" i="49"/>
  <c r="AK110" i="49"/>
  <c r="AO110" i="49"/>
  <c r="U110" i="49"/>
  <c r="X110" i="49"/>
  <c r="AM110" i="49"/>
  <c r="AC110" i="49"/>
  <c r="AP110" i="49"/>
  <c r="AL110" i="49"/>
  <c r="R110" i="49"/>
  <c r="Y110" i="49"/>
  <c r="AE110" i="49"/>
  <c r="O110" i="49"/>
  <c r="M37" i="10"/>
  <c r="J119" i="49"/>
  <c r="J108" i="49"/>
  <c r="J87" i="49"/>
  <c r="J63" i="49"/>
  <c r="AD131" i="49"/>
  <c r="X71" i="48"/>
  <c r="AD132" i="49"/>
  <c r="AD129" i="49"/>
  <c r="AD126" i="49"/>
  <c r="AD123" i="49"/>
  <c r="W8" i="50"/>
  <c r="Z10" i="50"/>
  <c r="U78" i="48"/>
  <c r="AA92" i="49" s="1"/>
  <c r="V78" i="48"/>
  <c r="AB92" i="49" s="1"/>
  <c r="T78" i="48"/>
  <c r="Z92" i="49" s="1"/>
  <c r="R131" i="49"/>
  <c r="R129" i="49"/>
  <c r="R126" i="49"/>
  <c r="R132" i="49"/>
  <c r="L71" i="48"/>
  <c r="R123" i="49"/>
  <c r="I50" i="49"/>
  <c r="I115" i="49"/>
  <c r="L24" i="10"/>
  <c r="I74" i="49"/>
  <c r="I95" i="49"/>
  <c r="AJ127" i="49"/>
  <c r="AB125" i="49"/>
  <c r="AD112" i="49"/>
  <c r="S108" i="49"/>
  <c r="R108" i="49"/>
  <c r="Z108" i="49"/>
  <c r="AC108" i="49"/>
  <c r="AB108" i="49"/>
  <c r="AA108" i="49"/>
  <c r="AF108" i="49"/>
  <c r="T108" i="49"/>
  <c r="AN108" i="49"/>
  <c r="AH108" i="49"/>
  <c r="AP108" i="49"/>
  <c r="Q108" i="49"/>
  <c r="W108" i="49"/>
  <c r="U108" i="49"/>
  <c r="V108" i="49"/>
  <c r="AK108" i="49"/>
  <c r="P108" i="49"/>
  <c r="AL108" i="49"/>
  <c r="Y108" i="49"/>
  <c r="X108" i="49"/>
  <c r="AJ108" i="49"/>
  <c r="AO108" i="49"/>
  <c r="AM108" i="49"/>
  <c r="AG108" i="49"/>
  <c r="O108" i="49"/>
  <c r="AE108" i="49"/>
  <c r="X129" i="49"/>
  <c r="R71" i="48"/>
  <c r="X131" i="49"/>
  <c r="X132" i="49"/>
  <c r="X126" i="49"/>
  <c r="X123" i="49"/>
  <c r="AH95" i="49"/>
  <c r="AG95" i="49"/>
  <c r="Y95" i="49"/>
  <c r="L32" i="10"/>
  <c r="I103" i="49"/>
  <c r="I82" i="49"/>
  <c r="I58" i="49"/>
  <c r="AD100" i="49"/>
  <c r="Z100" i="49"/>
  <c r="Q100" i="49"/>
  <c r="V84" i="49"/>
  <c r="AA84" i="49"/>
  <c r="AF84" i="49"/>
  <c r="S84" i="49"/>
  <c r="AJ84" i="49"/>
  <c r="Q84" i="49"/>
  <c r="Y84" i="49"/>
  <c r="W84" i="49"/>
  <c r="P84" i="49"/>
  <c r="AE84" i="49"/>
  <c r="R84" i="49"/>
  <c r="AN84" i="49"/>
  <c r="AL84" i="49"/>
  <c r="T84" i="49"/>
  <c r="AH84" i="49"/>
  <c r="AP84" i="49"/>
  <c r="AI84" i="49"/>
  <c r="AK84" i="49"/>
  <c r="U84" i="49"/>
  <c r="AG84" i="49"/>
  <c r="O84" i="49"/>
  <c r="X84" i="49"/>
  <c r="AM84" i="49"/>
  <c r="AB84" i="49"/>
  <c r="AC84" i="49"/>
  <c r="AO84" i="49"/>
  <c r="AD84" i="49"/>
  <c r="Z84" i="49"/>
  <c r="AP96" i="49"/>
  <c r="V96" i="49"/>
  <c r="Z96" i="49"/>
  <c r="U109" i="49"/>
  <c r="V109" i="49"/>
  <c r="AK109" i="49"/>
  <c r="Q109" i="49"/>
  <c r="S99" i="49"/>
  <c r="AO99" i="49"/>
  <c r="AN99" i="49"/>
  <c r="AA69" i="48"/>
  <c r="X128" i="49"/>
  <c r="AN228" i="56"/>
  <c r="AK117" i="49"/>
  <c r="AN226" i="56"/>
  <c r="AK118" i="49"/>
  <c r="AN230" i="56"/>
  <c r="AN229" i="56"/>
  <c r="AN227" i="56"/>
  <c r="AN225" i="56"/>
  <c r="AK115" i="49"/>
  <c r="AC70" i="48"/>
  <c r="N7" i="50"/>
  <c r="Y6" i="50"/>
  <c r="L6" i="50"/>
  <c r="K78" i="48"/>
  <c r="Q92" i="49" s="1"/>
  <c r="I78" i="48"/>
  <c r="O92" i="49" s="1"/>
  <c r="D74" i="49"/>
  <c r="E50" i="49"/>
  <c r="AI50" i="49"/>
  <c r="AD50" i="49"/>
  <c r="AM50" i="49"/>
  <c r="AF50" i="49"/>
  <c r="AL50" i="49"/>
  <c r="U50" i="49"/>
  <c r="AC50" i="49"/>
  <c r="AK50" i="49"/>
  <c r="T50" i="49"/>
  <c r="S50" i="49"/>
  <c r="AB50" i="49"/>
  <c r="W50" i="49"/>
  <c r="V50" i="49"/>
  <c r="Y50" i="49"/>
  <c r="AO50" i="49"/>
  <c r="Q50" i="49"/>
  <c r="D95" i="49"/>
  <c r="AJ50" i="49"/>
  <c r="R50" i="49"/>
  <c r="P50" i="49"/>
  <c r="Z50" i="49"/>
  <c r="AG50" i="49"/>
  <c r="X50" i="49"/>
  <c r="AH50" i="49"/>
  <c r="AA50" i="49"/>
  <c r="AE50" i="49"/>
  <c r="AN50" i="49"/>
  <c r="AP50" i="49"/>
  <c r="O50" i="49"/>
  <c r="AJ121" i="49"/>
  <c r="R121" i="49"/>
  <c r="AB127" i="49"/>
  <c r="R125" i="49"/>
  <c r="I54" i="49"/>
  <c r="I78" i="49"/>
  <c r="L28" i="10"/>
  <c r="I116" i="49"/>
  <c r="I99" i="49"/>
  <c r="Z112" i="49"/>
  <c r="T112" i="49"/>
  <c r="AP122" i="49"/>
  <c r="T122" i="49"/>
  <c r="Q87" i="49"/>
  <c r="AF87" i="49"/>
  <c r="AD87" i="49"/>
  <c r="AA87" i="49"/>
  <c r="Y87" i="49"/>
  <c r="S87" i="49"/>
  <c r="AN87" i="49"/>
  <c r="Z87" i="49"/>
  <c r="P87" i="49"/>
  <c r="AC87" i="49"/>
  <c r="AJ87" i="49"/>
  <c r="T87" i="49"/>
  <c r="AM87" i="49"/>
  <c r="AP87" i="49"/>
  <c r="V87" i="49"/>
  <c r="U87" i="49"/>
  <c r="W87" i="49"/>
  <c r="R87" i="49"/>
  <c r="AB87" i="49"/>
  <c r="X87" i="49"/>
  <c r="AI87" i="49"/>
  <c r="AE87" i="49"/>
  <c r="O87" i="49"/>
  <c r="AG87" i="49"/>
  <c r="AH87" i="49"/>
  <c r="AK87" i="49"/>
  <c r="AL87" i="49"/>
  <c r="AO87" i="49"/>
  <c r="AA95" i="49"/>
  <c r="AE95" i="49"/>
  <c r="AC95" i="49"/>
  <c r="AJ89" i="48"/>
  <c r="AP103" i="49" s="1"/>
  <c r="P89" i="48"/>
  <c r="V103" i="49" s="1"/>
  <c r="AA89" i="48"/>
  <c r="AG103" i="49" s="1"/>
  <c r="AM100" i="49"/>
  <c r="AP100" i="49"/>
  <c r="AB100" i="49"/>
  <c r="AA100" i="49"/>
  <c r="AP130" i="49"/>
  <c r="X130" i="49"/>
  <c r="X96" i="49"/>
  <c r="AC96" i="49"/>
  <c r="AF96" i="49"/>
  <c r="AG96" i="49"/>
  <c r="AJ109" i="49"/>
  <c r="AI109" i="49"/>
  <c r="AL109" i="49"/>
  <c r="AH99" i="49"/>
  <c r="AJ99" i="49"/>
  <c r="AA99" i="49"/>
  <c r="W166" i="42"/>
  <c r="X66" i="48" s="1"/>
  <c r="X94" i="48" s="1"/>
  <c r="AD108" i="49" s="1"/>
  <c r="X146" i="48"/>
  <c r="Q97" i="49"/>
  <c r="AJ97" i="49"/>
  <c r="AL97" i="49"/>
  <c r="W97" i="49"/>
  <c r="R97" i="49"/>
  <c r="AN97" i="49"/>
  <c r="Z97" i="49"/>
  <c r="P97" i="49"/>
  <c r="AA97" i="49"/>
  <c r="S97" i="49"/>
  <c r="AG97" i="49"/>
  <c r="T97" i="49"/>
  <c r="AP97" i="49"/>
  <c r="AO97" i="49"/>
  <c r="AC97" i="49"/>
  <c r="V97" i="49"/>
  <c r="X97" i="49"/>
  <c r="AM97" i="49"/>
  <c r="U97" i="49"/>
  <c r="AK97" i="49"/>
  <c r="AD97" i="49"/>
  <c r="Y97" i="49"/>
  <c r="AI97" i="49"/>
  <c r="AE97" i="49"/>
  <c r="AF97" i="49"/>
  <c r="AH97" i="49"/>
  <c r="O97" i="49"/>
  <c r="AB97" i="49"/>
  <c r="AB128" i="49"/>
  <c r="AJ128" i="49"/>
  <c r="AF146" i="48"/>
  <c r="AE157" i="42"/>
  <c r="AF57" i="48" s="1"/>
  <c r="AF85" i="48" s="1"/>
  <c r="AL99" i="49" s="1"/>
  <c r="AM104" i="49"/>
  <c r="AH104" i="49"/>
  <c r="U104" i="49"/>
  <c r="AC104" i="49"/>
  <c r="AN104" i="49"/>
  <c r="T104" i="49"/>
  <c r="W104" i="49"/>
  <c r="AE104" i="49"/>
  <c r="X104" i="49"/>
  <c r="AJ104" i="49"/>
  <c r="Y104" i="49"/>
  <c r="P104" i="49"/>
  <c r="AP104" i="49"/>
  <c r="R104" i="49"/>
  <c r="AB104" i="49"/>
  <c r="AK104" i="49"/>
  <c r="S104" i="49"/>
  <c r="AA104" i="49"/>
  <c r="AI104" i="49"/>
  <c r="V104" i="49"/>
  <c r="AL104" i="49"/>
  <c r="Z104" i="49"/>
  <c r="AG104" i="49"/>
  <c r="AF104" i="49"/>
  <c r="AD104" i="49"/>
  <c r="Q104" i="49"/>
  <c r="AO104" i="49"/>
  <c r="O104" i="49"/>
  <c r="G6" i="50"/>
  <c r="AE7" i="50"/>
  <c r="C105" i="48"/>
  <c r="AO111" i="49"/>
  <c r="AN111" i="49"/>
  <c r="S111" i="49"/>
  <c r="V111" i="49"/>
  <c r="X111" i="49"/>
  <c r="AH111" i="49"/>
  <c r="AE111" i="49"/>
  <c r="AB111" i="49"/>
  <c r="AD111" i="49"/>
  <c r="AF111" i="49"/>
  <c r="P111" i="49"/>
  <c r="U111" i="49"/>
  <c r="Z111" i="49"/>
  <c r="W111" i="49"/>
  <c r="R111" i="49"/>
  <c r="AL111" i="49"/>
  <c r="AP111" i="49"/>
  <c r="Y111" i="49"/>
  <c r="AC111" i="49"/>
  <c r="O111" i="49"/>
  <c r="AK111" i="49"/>
  <c r="T111" i="49"/>
  <c r="AJ111" i="49"/>
  <c r="AL131" i="49"/>
  <c r="AF71" i="48"/>
  <c r="AL129" i="49"/>
  <c r="AL126" i="49"/>
  <c r="AL132" i="49"/>
  <c r="AL123" i="49"/>
  <c r="U86" i="49"/>
  <c r="AO86" i="49"/>
  <c r="AI86" i="49"/>
  <c r="AF86" i="49"/>
  <c r="Q86" i="49"/>
  <c r="X86" i="49"/>
  <c r="AC86" i="49"/>
  <c r="O86" i="49"/>
  <c r="AP86" i="49"/>
  <c r="S86" i="49"/>
  <c r="V86" i="49"/>
  <c r="R86" i="49"/>
  <c r="Y86" i="49"/>
  <c r="AH86" i="49"/>
  <c r="AA86" i="49"/>
  <c r="Z86" i="49"/>
  <c r="AJ86" i="49"/>
  <c r="AM86" i="49"/>
  <c r="AL86" i="49"/>
  <c r="AN86" i="49"/>
  <c r="P86" i="49"/>
  <c r="T86" i="49"/>
  <c r="AE86" i="49"/>
  <c r="AK86" i="49"/>
  <c r="AG86" i="49"/>
  <c r="AD86" i="49"/>
  <c r="W86" i="49"/>
  <c r="AB86" i="49"/>
  <c r="T121" i="49"/>
  <c r="AD127" i="49"/>
  <c r="AH112" i="49"/>
  <c r="AL124" i="49"/>
  <c r="AD122" i="49"/>
  <c r="W122" i="49"/>
  <c r="X95" i="49"/>
  <c r="AP95" i="49"/>
  <c r="AM95" i="49"/>
  <c r="O91" i="49"/>
  <c r="AK91" i="49"/>
  <c r="AL91" i="49"/>
  <c r="P91" i="49"/>
  <c r="AB91" i="49"/>
  <c r="AC91" i="49"/>
  <c r="T91" i="49"/>
  <c r="AP91" i="49"/>
  <c r="AN91" i="49"/>
  <c r="AF91" i="49"/>
  <c r="V91" i="49"/>
  <c r="AA91" i="49"/>
  <c r="AM91" i="49"/>
  <c r="AG91" i="49"/>
  <c r="Z91" i="49"/>
  <c r="Y91" i="49"/>
  <c r="AH91" i="49"/>
  <c r="AI91" i="49"/>
  <c r="U91" i="49"/>
  <c r="W91" i="49"/>
  <c r="Q91" i="49"/>
  <c r="S91" i="49"/>
  <c r="X91" i="49"/>
  <c r="R91" i="49"/>
  <c r="AE91" i="49"/>
  <c r="AJ91" i="49"/>
  <c r="AD91" i="49"/>
  <c r="AO91" i="49"/>
  <c r="AF100" i="49"/>
  <c r="AI100" i="49"/>
  <c r="R100" i="49"/>
  <c r="V100" i="49"/>
  <c r="O124" i="42"/>
  <c r="O164" i="42"/>
  <c r="P64" i="48" s="1"/>
  <c r="S131" i="49"/>
  <c r="S129" i="49"/>
  <c r="S132" i="49"/>
  <c r="S126" i="49"/>
  <c r="S123" i="49"/>
  <c r="M71" i="48"/>
  <c r="S130" i="49"/>
  <c r="D102" i="49"/>
  <c r="D81" i="49"/>
  <c r="AB57" i="49"/>
  <c r="W57" i="49"/>
  <c r="P57" i="49"/>
  <c r="S57" i="49"/>
  <c r="AJ57" i="49"/>
  <c r="V57" i="49"/>
  <c r="AE57" i="49"/>
  <c r="AA57" i="49"/>
  <c r="AD57" i="49"/>
  <c r="AM57" i="49"/>
  <c r="AI57" i="49"/>
  <c r="AL57" i="49"/>
  <c r="AN57" i="49"/>
  <c r="Y57" i="49"/>
  <c r="E57" i="49"/>
  <c r="AC57" i="49"/>
  <c r="AK57" i="49"/>
  <c r="U57" i="49"/>
  <c r="X57" i="49"/>
  <c r="AP57" i="49"/>
  <c r="R57" i="49"/>
  <c r="AH57" i="49"/>
  <c r="AF57" i="49"/>
  <c r="Z57" i="49"/>
  <c r="AG57" i="49"/>
  <c r="T57" i="49"/>
  <c r="AO57" i="49"/>
  <c r="Q57" i="49"/>
  <c r="O57" i="49"/>
  <c r="AE96" i="49"/>
  <c r="AL96" i="49"/>
  <c r="AM96" i="49"/>
  <c r="U96" i="49"/>
  <c r="AG109" i="49"/>
  <c r="AE109" i="49"/>
  <c r="AN109" i="49"/>
  <c r="Y99" i="49"/>
  <c r="Z99" i="49"/>
  <c r="AM99" i="49"/>
  <c r="W99" i="49"/>
  <c r="AP128" i="49"/>
  <c r="I118" i="49"/>
  <c r="I106" i="49"/>
  <c r="L35" i="10"/>
  <c r="I85" i="49"/>
  <c r="I61" i="49"/>
  <c r="T126" i="49"/>
  <c r="T131" i="49"/>
  <c r="N71" i="48"/>
  <c r="T132" i="49"/>
  <c r="T129" i="49"/>
  <c r="T123" i="49"/>
  <c r="AG83" i="49"/>
  <c r="S83" i="49"/>
  <c r="W83" i="49"/>
  <c r="AO83" i="49"/>
  <c r="AN83" i="49"/>
  <c r="T83" i="49"/>
  <c r="X83" i="49"/>
  <c r="V83" i="49"/>
  <c r="AB83" i="49"/>
  <c r="Q83" i="49"/>
  <c r="Z83" i="49"/>
  <c r="AJ83" i="49"/>
  <c r="AP83" i="49"/>
  <c r="AD83" i="49"/>
  <c r="AM83" i="49"/>
  <c r="AH83" i="49"/>
  <c r="AL83" i="49"/>
  <c r="AC83" i="49"/>
  <c r="P83" i="49"/>
  <c r="R83" i="49"/>
  <c r="AK83" i="49"/>
  <c r="AE83" i="49"/>
  <c r="O83" i="49"/>
  <c r="AF83" i="49"/>
  <c r="Y83" i="49"/>
  <c r="U83" i="49"/>
  <c r="AA83" i="49"/>
  <c r="AI83" i="49"/>
  <c r="AK101" i="49"/>
  <c r="X101" i="49"/>
  <c r="P101" i="49"/>
  <c r="AC101" i="49"/>
  <c r="S101" i="49"/>
  <c r="AF101" i="49"/>
  <c r="AL101" i="49"/>
  <c r="AB101" i="49"/>
  <c r="Q101" i="49"/>
  <c r="U101" i="49"/>
  <c r="AJ101" i="49"/>
  <c r="R101" i="49"/>
  <c r="AD101" i="49"/>
  <c r="T101" i="49"/>
  <c r="AO101" i="49"/>
  <c r="AM101" i="49"/>
  <c r="V101" i="49"/>
  <c r="AN101" i="49"/>
  <c r="AG101" i="49"/>
  <c r="AA101" i="49"/>
  <c r="Y101" i="49"/>
  <c r="AI101" i="49"/>
  <c r="Z101" i="49"/>
  <c r="O101" i="49"/>
  <c r="W101" i="49"/>
  <c r="AH101" i="49"/>
  <c r="AP101" i="49"/>
  <c r="AE101" i="49"/>
  <c r="AE6" i="50"/>
  <c r="J53" i="49"/>
  <c r="J98" i="49"/>
  <c r="J77" i="49"/>
  <c r="M27" i="10"/>
  <c r="AG107" i="49"/>
  <c r="AP107" i="49"/>
  <c r="Y107" i="49"/>
  <c r="AI107" i="49"/>
  <c r="AM107" i="49"/>
  <c r="U107" i="49"/>
  <c r="S107" i="49"/>
  <c r="AA107" i="49"/>
  <c r="Z107" i="49"/>
  <c r="P107" i="49"/>
  <c r="W107" i="49"/>
  <c r="AD107" i="49"/>
  <c r="AF107" i="49"/>
  <c r="Q107" i="49"/>
  <c r="AO107" i="49"/>
  <c r="V107" i="49"/>
  <c r="T107" i="49"/>
  <c r="AE107" i="49"/>
  <c r="AH107" i="49"/>
  <c r="AN107" i="49"/>
  <c r="AL107" i="49"/>
  <c r="R107" i="49"/>
  <c r="AB107" i="49"/>
  <c r="AK107" i="49"/>
  <c r="AJ107" i="49"/>
  <c r="X107" i="49"/>
  <c r="AC107" i="49"/>
  <c r="O107" i="49"/>
  <c r="R127" i="49"/>
  <c r="W131" i="49"/>
  <c r="W126" i="49"/>
  <c r="W132" i="49"/>
  <c r="Q71" i="48"/>
  <c r="W129" i="49"/>
  <c r="W123" i="49"/>
  <c r="AL125" i="49"/>
  <c r="AG112" i="49"/>
  <c r="Q112" i="49"/>
  <c r="O112" i="49"/>
  <c r="AC112" i="49"/>
  <c r="AB124" i="49"/>
  <c r="T124" i="49"/>
  <c r="AJ122" i="49"/>
  <c r="AJ95" i="49"/>
  <c r="O95" i="49"/>
  <c r="AO95" i="49"/>
  <c r="AC89" i="48"/>
  <c r="AI103" i="49" s="1"/>
  <c r="U100" i="49"/>
  <c r="AJ100" i="49"/>
  <c r="AL100" i="49"/>
  <c r="AJ130" i="49"/>
  <c r="AI106" i="49"/>
  <c r="AC106" i="49"/>
  <c r="AF106" i="49"/>
  <c r="AP106" i="49"/>
  <c r="AG106" i="49"/>
  <c r="U106" i="49"/>
  <c r="AN96" i="49"/>
  <c r="AB96" i="49"/>
  <c r="AA96" i="49"/>
  <c r="S96" i="49"/>
  <c r="AA109" i="49"/>
  <c r="P109" i="49"/>
  <c r="AO109" i="49"/>
  <c r="W109" i="49"/>
  <c r="P145" i="48"/>
  <c r="T117" i="49"/>
  <c r="W226" i="56"/>
  <c r="T118" i="49"/>
  <c r="W228" i="56"/>
  <c r="W229" i="56"/>
  <c r="W230" i="56"/>
  <c r="W225" i="56"/>
  <c r="W227" i="56"/>
  <c r="T115" i="49"/>
  <c r="X99" i="49"/>
  <c r="AF99" i="49"/>
  <c r="R128" i="49"/>
  <c r="S128" i="49"/>
  <c r="J6" i="50"/>
  <c r="V146" i="48"/>
  <c r="U157" i="42"/>
  <c r="V57" i="48" s="1"/>
  <c r="V85" i="48" s="1"/>
  <c r="AB99" i="49" s="1"/>
  <c r="U108" i="42"/>
  <c r="AF164" i="42"/>
  <c r="AG64" i="48" s="1"/>
  <c r="AF124" i="42"/>
  <c r="AG145" i="48"/>
  <c r="AM52" i="49"/>
  <c r="AH52" i="49"/>
  <c r="AJ52" i="49"/>
  <c r="E52" i="49"/>
  <c r="Q52" i="49"/>
  <c r="AP52" i="49"/>
  <c r="Y52" i="49"/>
  <c r="AG52" i="49"/>
  <c r="AC52" i="49"/>
  <c r="P52" i="49"/>
  <c r="AO52" i="49"/>
  <c r="D97" i="49"/>
  <c r="X52" i="49"/>
  <c r="S52" i="49"/>
  <c r="D76" i="49"/>
  <c r="W52" i="49"/>
  <c r="AF52" i="49"/>
  <c r="R52" i="49"/>
  <c r="AA52" i="49"/>
  <c r="AB52" i="49"/>
  <c r="V52" i="49"/>
  <c r="Z52" i="49"/>
  <c r="AD52" i="49"/>
  <c r="AL52" i="49"/>
  <c r="U52" i="49"/>
  <c r="AN52" i="49"/>
  <c r="AK52" i="49"/>
  <c r="AI52" i="49"/>
  <c r="T52" i="49"/>
  <c r="AE52" i="49"/>
  <c r="O52" i="49"/>
  <c r="H11" i="50"/>
  <c r="O6" i="50"/>
  <c r="AL121" i="49"/>
  <c r="AE108" i="42"/>
  <c r="AD125" i="49"/>
  <c r="J120" i="49"/>
  <c r="J70" i="49"/>
  <c r="J91" i="49"/>
  <c r="J46" i="49"/>
  <c r="M20" i="10"/>
  <c r="AJ112" i="49"/>
  <c r="P112" i="49"/>
  <c r="R112" i="49"/>
  <c r="AL122" i="49"/>
  <c r="P6" i="50"/>
  <c r="AF95" i="49"/>
  <c r="W95" i="49"/>
  <c r="T95" i="49"/>
  <c r="Z95" i="49"/>
  <c r="N89" i="48"/>
  <c r="T103" i="49" s="1"/>
  <c r="AG89" i="48"/>
  <c r="AM103" i="49" s="1"/>
  <c r="W89" i="48"/>
  <c r="AC103" i="49" s="1"/>
  <c r="O100" i="49"/>
  <c r="AK100" i="49"/>
  <c r="X100" i="49"/>
  <c r="W100" i="49"/>
  <c r="AD130" i="49"/>
  <c r="AO85" i="49"/>
  <c r="AG85" i="49"/>
  <c r="AP85" i="49"/>
  <c r="T85" i="49"/>
  <c r="U85" i="49"/>
  <c r="AE85" i="49"/>
  <c r="AH85" i="49"/>
  <c r="S85" i="49"/>
  <c r="AM85" i="49"/>
  <c r="AD85" i="49"/>
  <c r="AB85" i="49"/>
  <c r="AA85" i="49"/>
  <c r="R85" i="49"/>
  <c r="Y85" i="49"/>
  <c r="X85" i="49"/>
  <c r="AL85" i="49"/>
  <c r="W85" i="49"/>
  <c r="AF85" i="49"/>
  <c r="P85" i="49"/>
  <c r="AJ85" i="49"/>
  <c r="O85" i="49"/>
  <c r="AI85" i="49"/>
  <c r="Z85" i="49"/>
  <c r="V85" i="49"/>
  <c r="AK85" i="49"/>
  <c r="Q85" i="49"/>
  <c r="AN85" i="49"/>
  <c r="AC85" i="49"/>
  <c r="J52" i="49"/>
  <c r="M26" i="10"/>
  <c r="J76" i="49"/>
  <c r="J97" i="49"/>
  <c r="AO96" i="49"/>
  <c r="AI96" i="49"/>
  <c r="P96" i="49"/>
  <c r="AH96" i="49"/>
  <c r="AC109" i="49"/>
  <c r="AD109" i="49"/>
  <c r="T109" i="49"/>
  <c r="V99" i="49"/>
  <c r="AD99" i="49"/>
  <c r="Q99" i="49"/>
  <c r="D75" i="49"/>
  <c r="E51" i="49"/>
  <c r="D96" i="49"/>
  <c r="AM51" i="49"/>
  <c r="V51" i="49"/>
  <c r="Q51" i="49"/>
  <c r="U51" i="49"/>
  <c r="AD51" i="49"/>
  <c r="P51" i="49"/>
  <c r="Y51" i="49"/>
  <c r="R51" i="49"/>
  <c r="AC51" i="49"/>
  <c r="AL51" i="49"/>
  <c r="X51" i="49"/>
  <c r="AG51" i="49"/>
  <c r="Z51" i="49"/>
  <c r="T51" i="49"/>
  <c r="AK51" i="49"/>
  <c r="AF51" i="49"/>
  <c r="AO51" i="49"/>
  <c r="AH51" i="49"/>
  <c r="AB51" i="49"/>
  <c r="AN51" i="49"/>
  <c r="AP51" i="49"/>
  <c r="AJ51" i="49"/>
  <c r="W51" i="49"/>
  <c r="AE51" i="49"/>
  <c r="AA51" i="49"/>
  <c r="S51" i="49"/>
  <c r="AI51" i="49"/>
  <c r="O51" i="49"/>
  <c r="V128" i="49"/>
  <c r="I119" i="49"/>
  <c r="L37" i="10"/>
  <c r="I108" i="49"/>
  <c r="I87" i="49"/>
  <c r="I63" i="49"/>
  <c r="J101" i="49"/>
  <c r="J56" i="49"/>
  <c r="J117" i="49"/>
  <c r="J80" i="49"/>
  <c r="M30" i="10"/>
  <c r="L26" i="10"/>
  <c r="I97" i="49"/>
  <c r="I76" i="49"/>
  <c r="I52" i="49"/>
  <c r="N6" i="50"/>
  <c r="J10" i="50"/>
  <c r="AA9" i="50"/>
  <c r="V9" i="50"/>
  <c r="AI78" i="48"/>
  <c r="AO92" i="49" s="1"/>
  <c r="V6" i="50"/>
  <c r="Z6" i="50"/>
  <c r="AE78" i="48"/>
  <c r="AK92" i="49" s="1"/>
  <c r="Q78" i="48"/>
  <c r="W92" i="49" s="1"/>
  <c r="AF78" i="48"/>
  <c r="AL92" i="49" s="1"/>
  <c r="AC102" i="49"/>
  <c r="AH102" i="49"/>
  <c r="S102" i="49"/>
  <c r="AI102" i="49"/>
  <c r="U102" i="49"/>
  <c r="AG102" i="49"/>
  <c r="AK102" i="49"/>
  <c r="AP102" i="49"/>
  <c r="AO102" i="49"/>
  <c r="V102" i="49"/>
  <c r="X102" i="49"/>
  <c r="AD102" i="49"/>
  <c r="AL102" i="49"/>
  <c r="AN102" i="49"/>
  <c r="AJ102" i="49"/>
  <c r="AM102" i="49"/>
  <c r="R102" i="49"/>
  <c r="Q102" i="49"/>
  <c r="Z102" i="49"/>
  <c r="T102" i="49"/>
  <c r="W102" i="49"/>
  <c r="Y102" i="49"/>
  <c r="AA102" i="49"/>
  <c r="AB102" i="49"/>
  <c r="AE102" i="49"/>
  <c r="O102" i="49"/>
  <c r="AP126" i="49"/>
  <c r="AP131" i="49"/>
  <c r="AP132" i="49"/>
  <c r="AJ71" i="48"/>
  <c r="AJ72" i="48" s="1"/>
  <c r="AP123" i="49"/>
  <c r="AP129" i="49"/>
  <c r="AB121" i="49"/>
  <c r="D104" i="48"/>
  <c r="AM93" i="49"/>
  <c r="AC93" i="49"/>
  <c r="Q94" i="49"/>
  <c r="AN94" i="49"/>
  <c r="Y94" i="49"/>
  <c r="W93" i="49"/>
  <c r="AP93" i="49"/>
  <c r="AJ93" i="49"/>
  <c r="R93" i="49"/>
  <c r="AL93" i="49"/>
  <c r="AE93" i="49"/>
  <c r="AB93" i="49"/>
  <c r="AA93" i="49"/>
  <c r="Z93" i="49"/>
  <c r="AC94" i="49"/>
  <c r="V93" i="49"/>
  <c r="AO93" i="49"/>
  <c r="Q93" i="49"/>
  <c r="U93" i="49"/>
  <c r="O93" i="49"/>
  <c r="AF93" i="49"/>
  <c r="AN93" i="49"/>
  <c r="AI93" i="49"/>
  <c r="AH93" i="49"/>
  <c r="Y93" i="49"/>
  <c r="AG93" i="49"/>
  <c r="AK93" i="49"/>
  <c r="S93" i="49"/>
  <c r="AL94" i="49"/>
  <c r="W94" i="49"/>
  <c r="AI94" i="49"/>
  <c r="U94" i="49"/>
  <c r="P93" i="49"/>
  <c r="AA94" i="49"/>
  <c r="T93" i="49"/>
  <c r="Z94" i="49"/>
  <c r="AE94" i="49"/>
  <c r="AJ94" i="49"/>
  <c r="AM94" i="49"/>
  <c r="X94" i="49"/>
  <c r="AD94" i="49"/>
  <c r="V94" i="49"/>
  <c r="AK94" i="49"/>
  <c r="AH94" i="49"/>
  <c r="AF94" i="49"/>
  <c r="X93" i="49"/>
  <c r="P94" i="49"/>
  <c r="S94" i="49"/>
  <c r="AE112" i="49"/>
  <c r="S112" i="49"/>
  <c r="AK112" i="49"/>
  <c r="R124" i="49"/>
  <c r="AB122" i="49"/>
  <c r="R122" i="49"/>
  <c r="T177" i="42"/>
  <c r="AA123" i="49" s="1"/>
  <c r="U146" i="48"/>
  <c r="AI95" i="49"/>
  <c r="AN95" i="49"/>
  <c r="AD95" i="49"/>
  <c r="U95" i="49"/>
  <c r="Z89" i="48"/>
  <c r="AF103" i="49" s="1"/>
  <c r="J89" i="48"/>
  <c r="P103" i="49" s="1"/>
  <c r="S89" i="48"/>
  <c r="Y103" i="49" s="1"/>
  <c r="AN100" i="49"/>
  <c r="AG100" i="49"/>
  <c r="S100" i="49"/>
  <c r="T100" i="49"/>
  <c r="AN71" i="49"/>
  <c r="AJ71" i="49"/>
  <c r="Q71" i="49"/>
  <c r="AL71" i="49"/>
  <c r="X71" i="49"/>
  <c r="V71" i="49"/>
  <c r="AP71" i="49"/>
  <c r="AI71" i="49"/>
  <c r="AH71" i="49"/>
  <c r="AG71" i="49"/>
  <c r="AD71" i="49"/>
  <c r="P71" i="49"/>
  <c r="O71" i="49"/>
  <c r="S71" i="49"/>
  <c r="AB71" i="49"/>
  <c r="R71" i="49"/>
  <c r="W71" i="49"/>
  <c r="AA71" i="49"/>
  <c r="U71" i="49"/>
  <c r="AK71" i="49"/>
  <c r="AM71" i="49"/>
  <c r="Z71" i="49"/>
  <c r="AE71" i="49"/>
  <c r="Y71" i="49"/>
  <c r="T71" i="49"/>
  <c r="AO71" i="49"/>
  <c r="AC71" i="49"/>
  <c r="AF71" i="49"/>
  <c r="AJ96" i="49"/>
  <c r="Y96" i="49"/>
  <c r="Q96" i="49"/>
  <c r="R96" i="49"/>
  <c r="AF109" i="49"/>
  <c r="X109" i="49"/>
  <c r="Y109" i="49"/>
  <c r="AA177" i="42"/>
  <c r="AH128" i="49" s="1"/>
  <c r="AB146" i="48"/>
  <c r="T99" i="49"/>
  <c r="AP99" i="49"/>
  <c r="AC99" i="49"/>
  <c r="L25" i="10"/>
  <c r="I75" i="49"/>
  <c r="I51" i="49"/>
  <c r="I96" i="49"/>
  <c r="AA82" i="49"/>
  <c r="AN82" i="49"/>
  <c r="S82" i="49"/>
  <c r="AM82" i="49"/>
  <c r="Y82" i="49"/>
  <c r="AH82" i="49"/>
  <c r="AK82" i="49"/>
  <c r="AP82" i="49"/>
  <c r="AE82" i="49"/>
  <c r="AC82" i="49"/>
  <c r="AD82" i="49"/>
  <c r="R82" i="49"/>
  <c r="AI82" i="49"/>
  <c r="AB82" i="49"/>
  <c r="AF82" i="49"/>
  <c r="AG82" i="49"/>
  <c r="AL82" i="49"/>
  <c r="AO82" i="49"/>
  <c r="AJ82" i="49"/>
  <c r="T82" i="49"/>
  <c r="U82" i="49"/>
  <c r="Z82" i="49"/>
  <c r="X82" i="49"/>
  <c r="V82" i="49"/>
  <c r="W82" i="49"/>
  <c r="Q82" i="49"/>
  <c r="P82" i="49"/>
  <c r="O82" i="49"/>
  <c r="T128" i="49"/>
  <c r="J145" i="48"/>
  <c r="I164" i="42"/>
  <c r="I124" i="42"/>
  <c r="AA164" i="42"/>
  <c r="AB145" i="48"/>
  <c r="AA124" i="42"/>
  <c r="R164" i="42"/>
  <c r="S145" i="48"/>
  <c r="R124" i="42"/>
  <c r="AI145" i="48"/>
  <c r="AH164" i="42"/>
  <c r="AH124" i="42"/>
  <c r="K164" i="42"/>
  <c r="L145" i="48"/>
  <c r="K124" i="42"/>
  <c r="V145" i="48"/>
  <c r="U164" i="42"/>
  <c r="U124" i="42"/>
  <c r="L164" i="42"/>
  <c r="M145" i="48"/>
  <c r="L124" i="42"/>
  <c r="W124" i="42"/>
  <c r="W144" i="42" s="1"/>
  <c r="W164" i="42"/>
  <c r="X145" i="48"/>
  <c r="Q164" i="42"/>
  <c r="R145" i="48"/>
  <c r="Q124" i="42"/>
  <c r="I145" i="48"/>
  <c r="H164" i="42"/>
  <c r="H124" i="42"/>
  <c r="X164" i="42"/>
  <c r="X124" i="42"/>
  <c r="Y145" i="48"/>
  <c r="AE164" i="42"/>
  <c r="AF145" i="48"/>
  <c r="AE124" i="42"/>
  <c r="T164" i="42"/>
  <c r="U145" i="48"/>
  <c r="T124" i="42"/>
  <c r="AC164" i="42"/>
  <c r="AD145" i="48"/>
  <c r="AC124" i="42"/>
  <c r="J164" i="42"/>
  <c r="K145" i="48"/>
  <c r="J124" i="42"/>
  <c r="AG164" i="42"/>
  <c r="AH145" i="48"/>
  <c r="AG124" i="42"/>
  <c r="P164" i="42"/>
  <c r="Q145" i="48"/>
  <c r="P124" i="42"/>
  <c r="S164" i="42"/>
  <c r="T145" i="48"/>
  <c r="S124" i="42"/>
  <c r="L144" i="56" l="1"/>
  <c r="L143" i="56"/>
  <c r="L142" i="56"/>
  <c r="L141" i="56"/>
  <c r="L72" i="56"/>
  <c r="L73" i="56"/>
  <c r="L74" i="56"/>
  <c r="L75" i="56"/>
  <c r="O17" i="56"/>
  <c r="Q17" i="56"/>
  <c r="O18" i="56"/>
  <c r="Q18" i="56"/>
  <c r="O19" i="56"/>
  <c r="Q19" i="56"/>
  <c r="O20" i="56"/>
  <c r="Q20" i="56"/>
  <c r="V183" i="56"/>
  <c r="U222" i="56"/>
  <c r="U219" i="56"/>
  <c r="U205" i="56"/>
  <c r="U208" i="56"/>
  <c r="U207" i="56"/>
  <c r="U203" i="56"/>
  <c r="U206" i="56"/>
  <c r="U221" i="56"/>
  <c r="U220" i="56"/>
  <c r="U202" i="56"/>
  <c r="U217" i="56"/>
  <c r="U204" i="56"/>
  <c r="U216" i="56"/>
  <c r="U209" i="56"/>
  <c r="U190" i="56"/>
  <c r="U192" i="56"/>
  <c r="U187" i="56"/>
  <c r="U194" i="56"/>
  <c r="U199" i="56"/>
  <c r="U193" i="56"/>
  <c r="U184" i="56"/>
  <c r="U189" i="56"/>
  <c r="U223" i="56"/>
  <c r="U201" i="56"/>
  <c r="U200" i="56"/>
  <c r="U188" i="56"/>
  <c r="U218" i="56"/>
  <c r="U185" i="56"/>
  <c r="U186" i="56"/>
  <c r="U191" i="56"/>
  <c r="L181" i="56"/>
  <c r="L58" i="56"/>
  <c r="L119" i="56"/>
  <c r="Q44" i="56"/>
  <c r="T12" i="50"/>
  <c r="W72" i="48"/>
  <c r="P119" i="49"/>
  <c r="Z119" i="49"/>
  <c r="S119" i="49"/>
  <c r="AE119" i="49"/>
  <c r="AP119" i="49"/>
  <c r="Z113" i="49"/>
  <c r="Z139" i="49" s="1"/>
  <c r="Q12" i="50"/>
  <c r="AD144" i="42"/>
  <c r="AC144" i="42"/>
  <c r="H12" i="50"/>
  <c r="AF12" i="50"/>
  <c r="AK116" i="49"/>
  <c r="H144" i="42"/>
  <c r="S144" i="42"/>
  <c r="AH144" i="42"/>
  <c r="AO116" i="49"/>
  <c r="AB183" i="42"/>
  <c r="Z144" i="42"/>
  <c r="T144" i="42"/>
  <c r="Q116" i="49"/>
  <c r="O144" i="42"/>
  <c r="Y116" i="49"/>
  <c r="K144" i="42"/>
  <c r="AM116" i="49"/>
  <c r="Z183" i="42"/>
  <c r="N183" i="42"/>
  <c r="AG6" i="50"/>
  <c r="AF144" i="42"/>
  <c r="AI144" i="42"/>
  <c r="AF6" i="50"/>
  <c r="R116" i="49"/>
  <c r="X144" i="42"/>
  <c r="AA144" i="42"/>
  <c r="N144" i="42"/>
  <c r="N92" i="48"/>
  <c r="T106" i="49" s="1"/>
  <c r="K8" i="50"/>
  <c r="Q144" i="42"/>
  <c r="V144" i="42"/>
  <c r="X228" i="56"/>
  <c r="X226" i="56"/>
  <c r="I6" i="50"/>
  <c r="Z9" i="50"/>
  <c r="AC72" i="48"/>
  <c r="AI183" i="42"/>
  <c r="O119" i="49"/>
  <c r="X119" i="49"/>
  <c r="V116" i="49"/>
  <c r="H9" i="50"/>
  <c r="J144" i="42"/>
  <c r="U117" i="49"/>
  <c r="X225" i="56"/>
  <c r="L144" i="42"/>
  <c r="X227" i="56"/>
  <c r="U6" i="50"/>
  <c r="AG72" i="48"/>
  <c r="X229" i="56"/>
  <c r="U115" i="49"/>
  <c r="U118" i="49"/>
  <c r="AD9" i="50"/>
  <c r="M144" i="42"/>
  <c r="O124" i="49"/>
  <c r="O121" i="49"/>
  <c r="P144" i="42"/>
  <c r="O132" i="49"/>
  <c r="O127" i="49"/>
  <c r="R144" i="42"/>
  <c r="O125" i="49"/>
  <c r="O126" i="49"/>
  <c r="O131" i="49"/>
  <c r="O130" i="49"/>
  <c r="O128" i="49"/>
  <c r="O122" i="49"/>
  <c r="O123" i="49"/>
  <c r="I144" i="42"/>
  <c r="AI227" i="56"/>
  <c r="AI229" i="56"/>
  <c r="AF115" i="49"/>
  <c r="AF118" i="49"/>
  <c r="AI226" i="56"/>
  <c r="AI228" i="56"/>
  <c r="AF117" i="49"/>
  <c r="AI230" i="56"/>
  <c r="M183" i="42"/>
  <c r="Y144" i="42"/>
  <c r="AH99" i="48"/>
  <c r="AN113" i="49" s="1"/>
  <c r="AN139" i="49" s="1"/>
  <c r="AE12" i="50"/>
  <c r="AN116" i="49"/>
  <c r="G7" i="50"/>
  <c r="AG144" i="42"/>
  <c r="X6" i="50"/>
  <c r="AA72" i="48"/>
  <c r="AJ119" i="49"/>
  <c r="I71" i="48"/>
  <c r="I99" i="48" s="1"/>
  <c r="O113" i="49" s="1"/>
  <c r="O139" i="49" s="1"/>
  <c r="Y183" i="42"/>
  <c r="AG113" i="49"/>
  <c r="AG139" i="49" s="1"/>
  <c r="Y113" i="49"/>
  <c r="Y139" i="49" s="1"/>
  <c r="U113" i="49"/>
  <c r="U139" i="49" s="1"/>
  <c r="L62" i="56"/>
  <c r="E71" i="49"/>
  <c r="E92" i="49"/>
  <c r="AM113" i="49"/>
  <c r="AM139" i="49" s="1"/>
  <c r="O72" i="48"/>
  <c r="L118" i="56"/>
  <c r="L98" i="56"/>
  <c r="L168" i="56"/>
  <c r="Q113" i="49"/>
  <c r="Q139" i="49" s="1"/>
  <c r="AI113" i="49"/>
  <c r="AI139" i="49" s="1"/>
  <c r="AF113" i="49"/>
  <c r="AF139" i="49" s="1"/>
  <c r="P12" i="50"/>
  <c r="AC113" i="49"/>
  <c r="AC139" i="49" s="1"/>
  <c r="L133" i="56"/>
  <c r="Z88" i="48"/>
  <c r="AF102" i="49" s="1"/>
  <c r="W7" i="50"/>
  <c r="AE113" i="49"/>
  <c r="AE139" i="49" s="1"/>
  <c r="AO113" i="49"/>
  <c r="AO139" i="49" s="1"/>
  <c r="V12" i="50"/>
  <c r="L12" i="50"/>
  <c r="P72" i="48"/>
  <c r="G12" i="50"/>
  <c r="AF183" i="42"/>
  <c r="U144" i="42"/>
  <c r="AE99" i="48"/>
  <c r="AK113" i="49" s="1"/>
  <c r="AK139" i="49" s="1"/>
  <c r="AB12" i="50"/>
  <c r="Z72" i="48"/>
  <c r="W12" i="50"/>
  <c r="AC6" i="50"/>
  <c r="AD183" i="42"/>
  <c r="AE144" i="42"/>
  <c r="AB8" i="50"/>
  <c r="O183" i="42"/>
  <c r="L76" i="56"/>
  <c r="L164" i="56"/>
  <c r="L110" i="56"/>
  <c r="L182" i="56"/>
  <c r="Q23" i="56"/>
  <c r="L87" i="56"/>
  <c r="L127" i="56"/>
  <c r="L56" i="56"/>
  <c r="L93" i="56"/>
  <c r="L117" i="56"/>
  <c r="Q41" i="56"/>
  <c r="Q22" i="56"/>
  <c r="O27" i="56"/>
  <c r="O15" i="56"/>
  <c r="L125" i="56"/>
  <c r="L70" i="56"/>
  <c r="Q34" i="56"/>
  <c r="L176" i="56"/>
  <c r="Q38" i="56"/>
  <c r="Q10" i="56"/>
  <c r="L96" i="56"/>
  <c r="O37" i="56"/>
  <c r="L180" i="56"/>
  <c r="Q13" i="56"/>
  <c r="Q11" i="56"/>
  <c r="Q37" i="56"/>
  <c r="L145" i="56"/>
  <c r="L81" i="56"/>
  <c r="L84" i="56"/>
  <c r="L178" i="56"/>
  <c r="O24" i="56"/>
  <c r="L65" i="56"/>
  <c r="Q24" i="56"/>
  <c r="O11" i="56"/>
  <c r="L86" i="56"/>
  <c r="O10" i="56"/>
  <c r="L139" i="56"/>
  <c r="L149" i="56"/>
  <c r="L120" i="56"/>
  <c r="L173" i="56"/>
  <c r="O13" i="56"/>
  <c r="L158" i="56"/>
  <c r="L90" i="56"/>
  <c r="Q29" i="56"/>
  <c r="O14" i="56"/>
  <c r="Q14" i="56"/>
  <c r="L111" i="56"/>
  <c r="L151" i="56"/>
  <c r="L102" i="56"/>
  <c r="L77" i="56"/>
  <c r="L154" i="56"/>
  <c r="L136" i="56"/>
  <c r="L108" i="56"/>
  <c r="L174" i="56"/>
  <c r="L105" i="56"/>
  <c r="L64" i="56"/>
  <c r="L171" i="56"/>
  <c r="L159" i="56"/>
  <c r="L66" i="56"/>
  <c r="L132" i="56"/>
  <c r="L169" i="56"/>
  <c r="L146" i="56"/>
  <c r="L148" i="56"/>
  <c r="L116" i="56"/>
  <c r="L163" i="56"/>
  <c r="L179" i="56"/>
  <c r="L92" i="56"/>
  <c r="O30" i="56"/>
  <c r="L67" i="56"/>
  <c r="L80" i="56"/>
  <c r="Q36" i="56"/>
  <c r="L99" i="56"/>
  <c r="L128" i="56"/>
  <c r="L104" i="56"/>
  <c r="O36" i="56"/>
  <c r="Q42" i="56"/>
  <c r="L123" i="56"/>
  <c r="O16" i="56"/>
  <c r="L156" i="56"/>
  <c r="Q35" i="56"/>
  <c r="Q30" i="56"/>
  <c r="Q28" i="56"/>
  <c r="K53" i="56"/>
  <c r="L53" i="56" s="1"/>
  <c r="O8" i="56"/>
  <c r="O35" i="56"/>
  <c r="Q9" i="56"/>
  <c r="O6" i="56"/>
  <c r="Q40" i="56"/>
  <c r="Q43" i="56"/>
  <c r="Q21" i="56"/>
  <c r="Q8" i="56"/>
  <c r="O9" i="56"/>
  <c r="Q16" i="56"/>
  <c r="Q6" i="56"/>
  <c r="O26" i="56"/>
  <c r="O21" i="56"/>
  <c r="O40" i="56"/>
  <c r="Q32" i="56"/>
  <c r="Q31" i="56"/>
  <c r="Q33" i="56"/>
  <c r="O31" i="56"/>
  <c r="Q26" i="56"/>
  <c r="Q45" i="56"/>
  <c r="O33" i="56"/>
  <c r="L161" i="56"/>
  <c r="O22" i="56"/>
  <c r="Q27" i="56"/>
  <c r="Q39" i="56"/>
  <c r="O12" i="56"/>
  <c r="L153" i="56"/>
  <c r="L59" i="56"/>
  <c r="L114" i="56"/>
  <c r="Q25" i="56"/>
  <c r="Q15" i="56"/>
  <c r="Q7" i="56"/>
  <c r="O32" i="56"/>
  <c r="O29" i="56"/>
  <c r="Q12" i="56"/>
  <c r="L130" i="56"/>
  <c r="O23" i="56"/>
  <c r="O34" i="56"/>
  <c r="O39" i="56"/>
  <c r="L137" i="56"/>
  <c r="O38" i="56"/>
  <c r="O25" i="56"/>
  <c r="O28" i="56"/>
  <c r="O7" i="56"/>
  <c r="L166" i="56"/>
  <c r="AH127" i="49"/>
  <c r="AH130" i="49"/>
  <c r="AH125" i="49"/>
  <c r="AH132" i="49"/>
  <c r="E104" i="49"/>
  <c r="E83" i="49"/>
  <c r="AI77" i="49"/>
  <c r="W77" i="49"/>
  <c r="AC77" i="49"/>
  <c r="X77" i="49"/>
  <c r="AM77" i="49"/>
  <c r="AJ77" i="49"/>
  <c r="Z77" i="49"/>
  <c r="AB77" i="49"/>
  <c r="Y77" i="49"/>
  <c r="AD77" i="49"/>
  <c r="AH77" i="49"/>
  <c r="AF77" i="49"/>
  <c r="AE77" i="49"/>
  <c r="AN77" i="49"/>
  <c r="T77" i="49"/>
  <c r="V77" i="49"/>
  <c r="U77" i="49"/>
  <c r="AL77" i="49"/>
  <c r="AO77" i="49"/>
  <c r="R77" i="49"/>
  <c r="AG77" i="49"/>
  <c r="AA77" i="49"/>
  <c r="O77" i="49"/>
  <c r="S77" i="49"/>
  <c r="P77" i="49"/>
  <c r="AK77" i="49"/>
  <c r="Q77" i="49"/>
  <c r="AP77" i="49"/>
  <c r="K6" i="50"/>
  <c r="S6" i="50"/>
  <c r="E89" i="49"/>
  <c r="E112" i="49"/>
  <c r="E105" i="49"/>
  <c r="E84" i="49"/>
  <c r="E72" i="49"/>
  <c r="E93" i="49"/>
  <c r="AD98" i="49"/>
  <c r="X98" i="49"/>
  <c r="W98" i="49"/>
  <c r="AO98" i="49"/>
  <c r="AL98" i="49"/>
  <c r="AA98" i="49"/>
  <c r="AE98" i="49"/>
  <c r="S98" i="49"/>
  <c r="AI98" i="49"/>
  <c r="Q98" i="49"/>
  <c r="Z98" i="49"/>
  <c r="AC98" i="49"/>
  <c r="AM98" i="49"/>
  <c r="U98" i="49"/>
  <c r="V98" i="49"/>
  <c r="P98" i="49"/>
  <c r="R98" i="49"/>
  <c r="AP98" i="49"/>
  <c r="AJ98" i="49"/>
  <c r="AF98" i="49"/>
  <c r="T98" i="49"/>
  <c r="AH98" i="49"/>
  <c r="AG98" i="49"/>
  <c r="AB98" i="49"/>
  <c r="O98" i="49"/>
  <c r="AN98" i="49"/>
  <c r="Y98" i="49"/>
  <c r="AK98" i="49"/>
  <c r="AH131" i="49"/>
  <c r="Q99" i="48"/>
  <c r="W113" i="49" s="1"/>
  <c r="W139" i="49" s="1"/>
  <c r="N12" i="50"/>
  <c r="AA129" i="49"/>
  <c r="V99" i="48"/>
  <c r="AB113" i="49" s="1"/>
  <c r="AB139" i="49" s="1"/>
  <c r="S12" i="50"/>
  <c r="AE72" i="48"/>
  <c r="AH116" i="49"/>
  <c r="AH119" i="49"/>
  <c r="AH123" i="49"/>
  <c r="E75" i="49"/>
  <c r="E96" i="49"/>
  <c r="AG92" i="48"/>
  <c r="AM106" i="49" s="1"/>
  <c r="AD8" i="50"/>
  <c r="AF99" i="48"/>
  <c r="AL113" i="49" s="1"/>
  <c r="AL139" i="49" s="1"/>
  <c r="AC12" i="50"/>
  <c r="AD119" i="49"/>
  <c r="AD116" i="49"/>
  <c r="AA97" i="48"/>
  <c r="AG111" i="49" s="1"/>
  <c r="X9" i="50"/>
  <c r="AA127" i="49"/>
  <c r="AA122" i="49"/>
  <c r="AA125" i="49"/>
  <c r="AA124" i="49"/>
  <c r="AA121" i="49"/>
  <c r="AA128" i="49"/>
  <c r="AH129" i="49"/>
  <c r="E97" i="49"/>
  <c r="E76" i="49"/>
  <c r="AA130" i="49"/>
  <c r="E102" i="49"/>
  <c r="E81" i="49"/>
  <c r="AA132" i="49"/>
  <c r="R99" i="48"/>
  <c r="X113" i="49" s="1"/>
  <c r="X139" i="49" s="1"/>
  <c r="O12" i="50"/>
  <c r="P99" i="48"/>
  <c r="V113" i="49" s="1"/>
  <c r="V139" i="49" s="1"/>
  <c r="M12" i="50"/>
  <c r="E78" i="49"/>
  <c r="E99" i="49"/>
  <c r="N99" i="48"/>
  <c r="T113" i="49" s="1"/>
  <c r="T139" i="49" s="1"/>
  <c r="K12" i="50"/>
  <c r="AH122" i="49"/>
  <c r="AP229" i="56"/>
  <c r="AP225" i="56"/>
  <c r="AP230" i="56"/>
  <c r="AP228" i="56"/>
  <c r="AM115" i="49"/>
  <c r="AP227" i="56"/>
  <c r="AM117" i="49"/>
  <c r="AM118" i="49"/>
  <c r="AP226" i="56"/>
  <c r="AA131" i="49"/>
  <c r="E106" i="49"/>
  <c r="E85" i="49"/>
  <c r="AJ99" i="48"/>
  <c r="AP113" i="49" s="1"/>
  <c r="AP139" i="49" s="1"/>
  <c r="AG12" i="50"/>
  <c r="AB119" i="49"/>
  <c r="AB116" i="49"/>
  <c r="V117" i="49"/>
  <c r="Y228" i="56"/>
  <c r="V115" i="49"/>
  <c r="Y227" i="56"/>
  <c r="Y226" i="56"/>
  <c r="Y229" i="56"/>
  <c r="V118" i="49"/>
  <c r="Y225" i="56"/>
  <c r="Y230" i="56"/>
  <c r="P92" i="48"/>
  <c r="V106" i="49" s="1"/>
  <c r="M8" i="50"/>
  <c r="E95" i="49"/>
  <c r="E74" i="49"/>
  <c r="AD99" i="48"/>
  <c r="AJ113" i="49" s="1"/>
  <c r="AJ139" i="49" s="1"/>
  <c r="AA12" i="50"/>
  <c r="AH126" i="49"/>
  <c r="U71" i="48"/>
  <c r="AH121" i="49"/>
  <c r="L99" i="48"/>
  <c r="R113" i="49" s="1"/>
  <c r="R139" i="49" s="1"/>
  <c r="I12" i="50"/>
  <c r="AA116" i="49"/>
  <c r="AA119" i="49"/>
  <c r="AB71" i="48"/>
  <c r="N72" i="48"/>
  <c r="M99" i="48"/>
  <c r="S113" i="49" s="1"/>
  <c r="S139" i="49" s="1"/>
  <c r="J12" i="50"/>
  <c r="AL119" i="49"/>
  <c r="AL116" i="49"/>
  <c r="AA126" i="49"/>
  <c r="AC98" i="48"/>
  <c r="AI112" i="49" s="1"/>
  <c r="Z11" i="50"/>
  <c r="X99" i="48"/>
  <c r="AD113" i="49" s="1"/>
  <c r="AD139" i="49" s="1"/>
  <c r="U12" i="50"/>
  <c r="AH124" i="49"/>
  <c r="AC228" i="56"/>
  <c r="AC225" i="56"/>
  <c r="AC227" i="56"/>
  <c r="AC229" i="56"/>
  <c r="Z117" i="49"/>
  <c r="Z115" i="49"/>
  <c r="AC230" i="56"/>
  <c r="Z118" i="49"/>
  <c r="AC226" i="56"/>
  <c r="T64" i="48"/>
  <c r="S183" i="42"/>
  <c r="Z225" i="56"/>
  <c r="W115" i="49"/>
  <c r="Z226" i="56"/>
  <c r="Z230" i="56"/>
  <c r="Z227" i="56"/>
  <c r="W117" i="49"/>
  <c r="Z228" i="56"/>
  <c r="Z229" i="56"/>
  <c r="W118" i="49"/>
  <c r="Q64" i="48"/>
  <c r="P183" i="42"/>
  <c r="AQ226" i="56"/>
  <c r="AQ227" i="56"/>
  <c r="AQ225" i="56"/>
  <c r="AN115" i="49"/>
  <c r="AQ228" i="56"/>
  <c r="AQ230" i="56"/>
  <c r="AQ229" i="56"/>
  <c r="AN117" i="49"/>
  <c r="AN118" i="49"/>
  <c r="AH64" i="48"/>
  <c r="AG183" i="42"/>
  <c r="T227" i="56"/>
  <c r="Q115" i="49"/>
  <c r="T226" i="56"/>
  <c r="T228" i="56"/>
  <c r="T229" i="56"/>
  <c r="Q117" i="49"/>
  <c r="T230" i="56"/>
  <c r="Q118" i="49"/>
  <c r="T225" i="56"/>
  <c r="K64" i="48"/>
  <c r="J183" i="42"/>
  <c r="AM230" i="56"/>
  <c r="AM229" i="56"/>
  <c r="AJ117" i="49"/>
  <c r="AJ118" i="49"/>
  <c r="AM227" i="56"/>
  <c r="AM226" i="56"/>
  <c r="AM225" i="56"/>
  <c r="AJ115" i="49"/>
  <c r="AM228" i="56"/>
  <c r="AD64" i="48"/>
  <c r="AC183" i="42"/>
  <c r="AD229" i="56"/>
  <c r="AA117" i="49"/>
  <c r="AD226" i="56"/>
  <c r="AD230" i="56"/>
  <c r="AD225" i="56"/>
  <c r="AA115" i="49"/>
  <c r="AA118" i="49"/>
  <c r="AD228" i="56"/>
  <c r="AD227" i="56"/>
  <c r="U64" i="48"/>
  <c r="T183" i="42"/>
  <c r="AO228" i="56"/>
  <c r="AL117" i="49"/>
  <c r="AO225" i="56"/>
  <c r="AL115" i="49"/>
  <c r="AO226" i="56"/>
  <c r="AO229" i="56"/>
  <c r="AL118" i="49"/>
  <c r="AO227" i="56"/>
  <c r="AO230" i="56"/>
  <c r="AF64" i="48"/>
  <c r="AE183" i="42"/>
  <c r="AH225" i="56"/>
  <c r="AE115" i="49"/>
  <c r="AH226" i="56"/>
  <c r="AE117" i="49"/>
  <c r="AH230" i="56"/>
  <c r="AE118" i="49"/>
  <c r="AH227" i="56"/>
  <c r="AH228" i="56"/>
  <c r="AH229" i="56"/>
  <c r="Y64" i="48"/>
  <c r="X183" i="42"/>
  <c r="I64" i="48"/>
  <c r="H183" i="42"/>
  <c r="R225" i="56"/>
  <c r="R226" i="56"/>
  <c r="R227" i="56"/>
  <c r="O118" i="49"/>
  <c r="R229" i="56"/>
  <c r="O115" i="49"/>
  <c r="R228" i="56"/>
  <c r="O117" i="49"/>
  <c r="R230" i="56"/>
  <c r="AA226" i="56"/>
  <c r="AA227" i="56"/>
  <c r="AA230" i="56"/>
  <c r="X118" i="49"/>
  <c r="AA228" i="56"/>
  <c r="X115" i="49"/>
  <c r="AA229" i="56"/>
  <c r="X117" i="49"/>
  <c r="AA225" i="56"/>
  <c r="R64" i="48"/>
  <c r="Q183" i="42"/>
  <c r="AG225" i="56"/>
  <c r="AD115" i="49"/>
  <c r="AG228" i="56"/>
  <c r="AG229" i="56"/>
  <c r="AG226" i="56"/>
  <c r="AG227" i="56"/>
  <c r="AD117" i="49"/>
  <c r="AD118" i="49"/>
  <c r="AG230" i="56"/>
  <c r="X64" i="48"/>
  <c r="W183" i="42"/>
  <c r="V229" i="56"/>
  <c r="S117" i="49"/>
  <c r="V225" i="56"/>
  <c r="S115" i="49"/>
  <c r="V230" i="56"/>
  <c r="V228" i="56"/>
  <c r="S118" i="49"/>
  <c r="V226" i="56"/>
  <c r="V227" i="56"/>
  <c r="M64" i="48"/>
  <c r="L183" i="42"/>
  <c r="V64" i="48"/>
  <c r="U183" i="42"/>
  <c r="AE230" i="56"/>
  <c r="AB118" i="49"/>
  <c r="AE226" i="56"/>
  <c r="AE229" i="56"/>
  <c r="AE227" i="56"/>
  <c r="AB117" i="49"/>
  <c r="AE225" i="56"/>
  <c r="AB115" i="49"/>
  <c r="AE228" i="56"/>
  <c r="U228" i="56"/>
  <c r="R115" i="49"/>
  <c r="U229" i="56"/>
  <c r="R117" i="49"/>
  <c r="U230" i="56"/>
  <c r="R118" i="49"/>
  <c r="U225" i="56"/>
  <c r="U227" i="56"/>
  <c r="U226" i="56"/>
  <c r="L64" i="48"/>
  <c r="K183" i="42"/>
  <c r="AI64" i="48"/>
  <c r="AH183" i="42"/>
  <c r="AR227" i="56"/>
  <c r="AR228" i="56"/>
  <c r="AR226" i="56"/>
  <c r="AR229" i="56"/>
  <c r="AO117" i="49"/>
  <c r="AR230" i="56"/>
  <c r="AO118" i="49"/>
  <c r="AO115" i="49"/>
  <c r="AR225" i="56"/>
  <c r="AB227" i="56"/>
  <c r="AB228" i="56"/>
  <c r="Y115" i="49"/>
  <c r="AB229" i="56"/>
  <c r="Y117" i="49"/>
  <c r="Y118" i="49"/>
  <c r="AB230" i="56"/>
  <c r="AB226" i="56"/>
  <c r="AB225" i="56"/>
  <c r="S64" i="48"/>
  <c r="R183" i="42"/>
  <c r="AK228" i="56"/>
  <c r="AK229" i="56"/>
  <c r="AH117" i="49"/>
  <c r="AK225" i="56"/>
  <c r="AK230" i="56"/>
  <c r="AH118" i="49"/>
  <c r="AH115" i="49"/>
  <c r="AK227" i="56"/>
  <c r="AK226" i="56"/>
  <c r="AB64" i="48"/>
  <c r="AA183" i="42"/>
  <c r="I183" i="42"/>
  <c r="J64" i="48"/>
  <c r="S226" i="56"/>
  <c r="S230" i="56"/>
  <c r="S227" i="56"/>
  <c r="S225" i="56"/>
  <c r="S228" i="56"/>
  <c r="P118" i="49"/>
  <c r="S229" i="56"/>
  <c r="P117" i="49"/>
  <c r="P115" i="49"/>
  <c r="W183" i="56" l="1"/>
  <c r="V222" i="56"/>
  <c r="V217" i="56"/>
  <c r="V207" i="56"/>
  <c r="V208" i="56"/>
  <c r="V203" i="56"/>
  <c r="V204" i="56"/>
  <c r="V206" i="56"/>
  <c r="V202" i="56"/>
  <c r="V221" i="56"/>
  <c r="V205" i="56"/>
  <c r="V219" i="56"/>
  <c r="V216" i="56"/>
  <c r="V220" i="56"/>
  <c r="V209" i="56"/>
  <c r="V201" i="56"/>
  <c r="V200" i="56"/>
  <c r="V218" i="56"/>
  <c r="V223" i="56"/>
  <c r="V199" i="56"/>
  <c r="V189" i="56"/>
  <c r="V187" i="56"/>
  <c r="V186" i="56"/>
  <c r="V188" i="56"/>
  <c r="V184" i="56"/>
  <c r="V192" i="56"/>
  <c r="V191" i="56"/>
  <c r="V185" i="56"/>
  <c r="V190" i="56"/>
  <c r="V193" i="56"/>
  <c r="V194" i="56"/>
  <c r="F12" i="50"/>
  <c r="AB99" i="48"/>
  <c r="AH113" i="49" s="1"/>
  <c r="AH139" i="49" s="1"/>
  <c r="Y12" i="50"/>
  <c r="U99" i="48"/>
  <c r="AA113" i="49" s="1"/>
  <c r="AA139" i="49" s="1"/>
  <c r="R12" i="50"/>
  <c r="J92" i="48"/>
  <c r="P106" i="49" s="1"/>
  <c r="J72" i="48"/>
  <c r="G8" i="50"/>
  <c r="AB92" i="48"/>
  <c r="AH106" i="49" s="1"/>
  <c r="AB72" i="48"/>
  <c r="Y8" i="50"/>
  <c r="S92" i="48"/>
  <c r="Y106" i="49" s="1"/>
  <c r="S72" i="48"/>
  <c r="P8" i="50"/>
  <c r="AI92" i="48"/>
  <c r="AO106" i="49" s="1"/>
  <c r="AF8" i="50"/>
  <c r="AI72" i="48"/>
  <c r="L92" i="48"/>
  <c r="R106" i="49" s="1"/>
  <c r="L72" i="48"/>
  <c r="I8" i="50"/>
  <c r="V92" i="48"/>
  <c r="AB106" i="49" s="1"/>
  <c r="V72" i="48"/>
  <c r="S8" i="50"/>
  <c r="M92" i="48"/>
  <c r="S106" i="49" s="1"/>
  <c r="M72" i="48"/>
  <c r="J8" i="50"/>
  <c r="X92" i="48"/>
  <c r="AD106" i="49" s="1"/>
  <c r="X72" i="48"/>
  <c r="U8" i="50"/>
  <c r="R92" i="48"/>
  <c r="X106" i="49" s="1"/>
  <c r="R72" i="48"/>
  <c r="O8" i="50"/>
  <c r="I92" i="48"/>
  <c r="O106" i="49" s="1"/>
  <c r="I72" i="48"/>
  <c r="F8" i="50"/>
  <c r="Y92" i="48"/>
  <c r="AE106" i="49" s="1"/>
  <c r="Y72" i="48"/>
  <c r="V8" i="50"/>
  <c r="AF92" i="48"/>
  <c r="AL106" i="49" s="1"/>
  <c r="AC8" i="50"/>
  <c r="AF72" i="48"/>
  <c r="U92" i="48"/>
  <c r="AA106" i="49" s="1"/>
  <c r="U72" i="48"/>
  <c r="R8" i="50"/>
  <c r="AD92" i="48"/>
  <c r="AJ106" i="49" s="1"/>
  <c r="AD72" i="48"/>
  <c r="AA8" i="50"/>
  <c r="K92" i="48"/>
  <c r="Q106" i="49" s="1"/>
  <c r="K72" i="48"/>
  <c r="H8" i="50"/>
  <c r="AH92" i="48"/>
  <c r="AN106" i="49" s="1"/>
  <c r="AE8" i="50"/>
  <c r="AH72" i="48"/>
  <c r="Q92" i="48"/>
  <c r="W106" i="49" s="1"/>
  <c r="Q72" i="48"/>
  <c r="N8" i="50"/>
  <c r="T92" i="48"/>
  <c r="Z106" i="49" s="1"/>
  <c r="T72" i="48"/>
  <c r="Q8" i="50"/>
  <c r="W222" i="56" l="1"/>
  <c r="X183" i="56"/>
  <c r="W203" i="56"/>
  <c r="W221" i="56"/>
  <c r="W219" i="56"/>
  <c r="W206" i="56"/>
  <c r="W193" i="56"/>
  <c r="W202" i="56"/>
  <c r="W190" i="56"/>
  <c r="W189" i="56"/>
  <c r="W220" i="56"/>
  <c r="W194" i="56"/>
  <c r="W208" i="56"/>
  <c r="W192" i="56"/>
  <c r="W204" i="56"/>
  <c r="W207" i="56"/>
  <c r="W217" i="56"/>
  <c r="W205" i="56"/>
  <c r="W216" i="56"/>
  <c r="W218" i="56"/>
  <c r="W186" i="56"/>
  <c r="W184" i="56"/>
  <c r="W199" i="56"/>
  <c r="W201" i="56"/>
  <c r="W223" i="56"/>
  <c r="W185" i="56"/>
  <c r="W200" i="56"/>
  <c r="W209" i="56"/>
  <c r="W187" i="56"/>
  <c r="W188" i="56"/>
  <c r="W191" i="56"/>
  <c r="X222" i="56" l="1"/>
  <c r="X202" i="56"/>
  <c r="X205" i="56"/>
  <c r="X203" i="56"/>
  <c r="X200" i="56"/>
  <c r="X190" i="56"/>
  <c r="X199" i="56"/>
  <c r="X193" i="56"/>
  <c r="X201" i="56"/>
  <c r="X184" i="56"/>
  <c r="X192" i="56"/>
  <c r="X206" i="56"/>
  <c r="X220" i="56"/>
  <c r="X208" i="56"/>
  <c r="X186" i="56"/>
  <c r="X207" i="56"/>
  <c r="X204" i="56"/>
  <c r="X223" i="56"/>
  <c r="X221" i="56"/>
  <c r="X216" i="56"/>
  <c r="X188" i="56"/>
  <c r="X194" i="56"/>
  <c r="X218" i="56"/>
  <c r="X191" i="56"/>
  <c r="X185" i="56"/>
  <c r="X219" i="56"/>
  <c r="X217" i="56"/>
  <c r="X189" i="56"/>
  <c r="Y183" i="56"/>
  <c r="X187" i="56"/>
  <c r="X209" i="56"/>
  <c r="Y222" i="56" l="1"/>
  <c r="Y209" i="56"/>
  <c r="Y200" i="56"/>
  <c r="Y192" i="56"/>
  <c r="Y184" i="56"/>
  <c r="Y186" i="56"/>
  <c r="Y193" i="56"/>
  <c r="Y190" i="56"/>
  <c r="Y218" i="56"/>
  <c r="Z183" i="56"/>
  <c r="Y221" i="56"/>
  <c r="Y219" i="56"/>
  <c r="Y204" i="56"/>
  <c r="Y205" i="56"/>
  <c r="Y194" i="56"/>
  <c r="Y201" i="56"/>
  <c r="Y220" i="56"/>
  <c r="Y216" i="56"/>
  <c r="Y202" i="56"/>
  <c r="Y217" i="56"/>
  <c r="Y208" i="56"/>
  <c r="Y203" i="56"/>
  <c r="Y206" i="56"/>
  <c r="Y207" i="56"/>
  <c r="Y187" i="56"/>
  <c r="Y199" i="56"/>
  <c r="Y185" i="56"/>
  <c r="Y189" i="56"/>
  <c r="Y223" i="56"/>
  <c r="Y191" i="56"/>
  <c r="Y188" i="56"/>
  <c r="Z222" i="56" l="1"/>
  <c r="AA183" i="56"/>
  <c r="Z221" i="56"/>
  <c r="Z216" i="56"/>
  <c r="Z203" i="56"/>
  <c r="Z217" i="56"/>
  <c r="Z190" i="56"/>
  <c r="Z207" i="56"/>
  <c r="Z208" i="56"/>
  <c r="Z205" i="56"/>
  <c r="Z191" i="56"/>
  <c r="Z201" i="56"/>
  <c r="Z184" i="56"/>
  <c r="Z193" i="56"/>
  <c r="Z204" i="56"/>
  <c r="Z219" i="56"/>
  <c r="Z206" i="56"/>
  <c r="Z202" i="56"/>
  <c r="Z220" i="56"/>
  <c r="Z194" i="56"/>
  <c r="Z200" i="56"/>
  <c r="Z192" i="56"/>
  <c r="Z199" i="56"/>
  <c r="Z187" i="56"/>
  <c r="Z189" i="56"/>
  <c r="Z185" i="56"/>
  <c r="Z209" i="56"/>
  <c r="Z186" i="56"/>
  <c r="Z218" i="56"/>
  <c r="Z188" i="56"/>
  <c r="Z223" i="56"/>
  <c r="AA222" i="56" l="1"/>
  <c r="AB183" i="56"/>
  <c r="AA186" i="56"/>
  <c r="AA202" i="56"/>
  <c r="AA208" i="56"/>
  <c r="AA184" i="56"/>
  <c r="AA190" i="56"/>
  <c r="AA199" i="56"/>
  <c r="AA216" i="56"/>
  <c r="AA220" i="56"/>
  <c r="AA189" i="56"/>
  <c r="AA207" i="56"/>
  <c r="AA200" i="56"/>
  <c r="AA204" i="56"/>
  <c r="AA201" i="56"/>
  <c r="AA217" i="56"/>
  <c r="AA203" i="56"/>
  <c r="AA185" i="56"/>
  <c r="AA194" i="56"/>
  <c r="AA219" i="56"/>
  <c r="AA206" i="56"/>
  <c r="AA221" i="56"/>
  <c r="AA188" i="56"/>
  <c r="AA187" i="56"/>
  <c r="AA205" i="56"/>
  <c r="AA193" i="56"/>
  <c r="AA192" i="56"/>
  <c r="AA191" i="56"/>
  <c r="AA218" i="56"/>
  <c r="AA209" i="56"/>
  <c r="AA223" i="56"/>
  <c r="AB222" i="56" l="1"/>
  <c r="AC183" i="56"/>
  <c r="AB193" i="56"/>
  <c r="AB199" i="56"/>
  <c r="AB194" i="56"/>
  <c r="AB219" i="56"/>
  <c r="AB206" i="56"/>
  <c r="AB205" i="56"/>
  <c r="AB209" i="56"/>
  <c r="AB220" i="56"/>
  <c r="AB201" i="56"/>
  <c r="AB208" i="56"/>
  <c r="AB202" i="56"/>
  <c r="AB207" i="56"/>
  <c r="AB185" i="56"/>
  <c r="AB217" i="56"/>
  <c r="AB184" i="56"/>
  <c r="AB192" i="56"/>
  <c r="AB189" i="56"/>
  <c r="AB204" i="56"/>
  <c r="AB190" i="56"/>
  <c r="AB200" i="56"/>
  <c r="AB186" i="56"/>
  <c r="AB216" i="56"/>
  <c r="AB221" i="56"/>
  <c r="AB203" i="56"/>
  <c r="AB188" i="56"/>
  <c r="AB223" i="56"/>
  <c r="AB187" i="56"/>
  <c r="AB191" i="56"/>
  <c r="AB218" i="56"/>
  <c r="AC222" i="56" l="1"/>
  <c r="AD183" i="56"/>
  <c r="AC204" i="56"/>
  <c r="AC217" i="56"/>
  <c r="AC205" i="56"/>
  <c r="AC184" i="56"/>
  <c r="AC187" i="56"/>
  <c r="AC220" i="56"/>
  <c r="AC193" i="56"/>
  <c r="AC221" i="56"/>
  <c r="AC200" i="56"/>
  <c r="AC202" i="56"/>
  <c r="AC185" i="56"/>
  <c r="AC207" i="56"/>
  <c r="AC206" i="56"/>
  <c r="AC190" i="56"/>
  <c r="AC189" i="56"/>
  <c r="AC203" i="56"/>
  <c r="AC201" i="56"/>
  <c r="AC219" i="56"/>
  <c r="AC216" i="56"/>
  <c r="AC194" i="56"/>
  <c r="AC188" i="56"/>
  <c r="AC208" i="56"/>
  <c r="AC192" i="56"/>
  <c r="AC199" i="56"/>
  <c r="AC186" i="56"/>
  <c r="AC218" i="56"/>
  <c r="AC209" i="56"/>
  <c r="AC223" i="56"/>
  <c r="AC191" i="56"/>
  <c r="AD222" i="56" l="1"/>
  <c r="AD221" i="56"/>
  <c r="AE183" i="56"/>
  <c r="AD220" i="56"/>
  <c r="AD201" i="56"/>
  <c r="AD204" i="56"/>
  <c r="AD205" i="56"/>
  <c r="AD207" i="56"/>
  <c r="AD219" i="56"/>
  <c r="AD203" i="56"/>
  <c r="AD217" i="56"/>
  <c r="AD185" i="56"/>
  <c r="AD206" i="56"/>
  <c r="AD202" i="56"/>
  <c r="AD209" i="56"/>
  <c r="AD216" i="56"/>
  <c r="AD208" i="56"/>
  <c r="AD184" i="56"/>
  <c r="AD187" i="56"/>
  <c r="AD186" i="56"/>
  <c r="AD200" i="56"/>
  <c r="AD223" i="56"/>
  <c r="AD199" i="56"/>
  <c r="AD193" i="56"/>
  <c r="AD191" i="56"/>
  <c r="AD218" i="56"/>
  <c r="AD192" i="56"/>
  <c r="AD189" i="56"/>
  <c r="AD188" i="56"/>
  <c r="AD190" i="56"/>
  <c r="AD194" i="56"/>
  <c r="AE222" i="56" l="1"/>
  <c r="AF183" i="56"/>
  <c r="AE221" i="56"/>
  <c r="AE189" i="56"/>
  <c r="AE190" i="56"/>
  <c r="AE202" i="56"/>
  <c r="AE206" i="56"/>
  <c r="AE201" i="56"/>
  <c r="AE184" i="56"/>
  <c r="AE193" i="56"/>
  <c r="AE199" i="56"/>
  <c r="AE203" i="56"/>
  <c r="AE207" i="56"/>
  <c r="AE217" i="56"/>
  <c r="AE208" i="56"/>
  <c r="AE220" i="56"/>
  <c r="AE219" i="56"/>
  <c r="AE191" i="56"/>
  <c r="AE185" i="56"/>
  <c r="AE194" i="56"/>
  <c r="AE192" i="56"/>
  <c r="AE186" i="56"/>
  <c r="AE200" i="56"/>
  <c r="AE223" i="56"/>
  <c r="AE216" i="56"/>
  <c r="AE205" i="56"/>
  <c r="AE204" i="56"/>
  <c r="AE209" i="56"/>
  <c r="AE187" i="56"/>
  <c r="AE218" i="56"/>
  <c r="AE188" i="56"/>
  <c r="AF222" i="56" l="1"/>
  <c r="AF216" i="56"/>
  <c r="AF200" i="56"/>
  <c r="AF190" i="56"/>
  <c r="AF192" i="56"/>
  <c r="AG183" i="56"/>
  <c r="AF189" i="56"/>
  <c r="AF205" i="56"/>
  <c r="AF201" i="56"/>
  <c r="AF202" i="56"/>
  <c r="AF208" i="56"/>
  <c r="AF221" i="56"/>
  <c r="AF194" i="56"/>
  <c r="AF220" i="56"/>
  <c r="AF209" i="56"/>
  <c r="AF193" i="56"/>
  <c r="AF223" i="56"/>
  <c r="AF217" i="56"/>
  <c r="AF204" i="56"/>
  <c r="AF203" i="56"/>
  <c r="AF187" i="56"/>
  <c r="AF207" i="56"/>
  <c r="AF199" i="56"/>
  <c r="AF206" i="56"/>
  <c r="AF184" i="56"/>
  <c r="AF185" i="56"/>
  <c r="AF219" i="56"/>
  <c r="AF186" i="56"/>
  <c r="AF191" i="56"/>
  <c r="AF218" i="56"/>
  <c r="AF188" i="56"/>
  <c r="AG222" i="56" l="1"/>
  <c r="AH183" i="56"/>
  <c r="AG219" i="56"/>
  <c r="AG189" i="56"/>
  <c r="AG185" i="56"/>
  <c r="AG184" i="56"/>
  <c r="AG217" i="56"/>
  <c r="AG194" i="56"/>
  <c r="AG207" i="56"/>
  <c r="AG209" i="56"/>
  <c r="AG204" i="56"/>
  <c r="AG206" i="56"/>
  <c r="AG192" i="56"/>
  <c r="AG193" i="56"/>
  <c r="AG201" i="56"/>
  <c r="AG208" i="56"/>
  <c r="AG205" i="56"/>
  <c r="AG186" i="56"/>
  <c r="AG190" i="56"/>
  <c r="AG202" i="56"/>
  <c r="AG200" i="56"/>
  <c r="AG221" i="56"/>
  <c r="AG199" i="56"/>
  <c r="AG220" i="56"/>
  <c r="AG216" i="56"/>
  <c r="AG203" i="56"/>
  <c r="AG187" i="56"/>
  <c r="AG191" i="56"/>
  <c r="AG218" i="56"/>
  <c r="AG188" i="56"/>
  <c r="AG223" i="56"/>
  <c r="AH222" i="56" l="1"/>
  <c r="AI183" i="56"/>
  <c r="AH203" i="56"/>
  <c r="AH202" i="56"/>
  <c r="AH217" i="56"/>
  <c r="AH207" i="56"/>
  <c r="AH216" i="56"/>
  <c r="AH209" i="56"/>
  <c r="AH204" i="56"/>
  <c r="AH221" i="56"/>
  <c r="AH205" i="56"/>
  <c r="AH206" i="56"/>
  <c r="AH219" i="56"/>
  <c r="AH184" i="56"/>
  <c r="AH220" i="56"/>
  <c r="AH201" i="56"/>
  <c r="AH208" i="56"/>
  <c r="AH190" i="56"/>
  <c r="AH185" i="56"/>
  <c r="AH188" i="56"/>
  <c r="AH187" i="56"/>
  <c r="AH199" i="56"/>
  <c r="AH193" i="56"/>
  <c r="AH192" i="56"/>
  <c r="AH200" i="56"/>
  <c r="AH223" i="56"/>
  <c r="AH218" i="56"/>
  <c r="AH191" i="56"/>
  <c r="AH186" i="56"/>
  <c r="AH189" i="56"/>
  <c r="AH194" i="56"/>
  <c r="AI222" i="56" l="1"/>
  <c r="AI189" i="56"/>
  <c r="AI190" i="56"/>
  <c r="AJ183" i="56"/>
  <c r="AI217" i="56"/>
  <c r="AI204" i="56"/>
  <c r="AI194" i="56"/>
  <c r="AI206" i="56"/>
  <c r="AI216" i="56"/>
  <c r="AI207" i="56"/>
  <c r="AI192" i="56"/>
  <c r="AI201" i="56"/>
  <c r="AI203" i="56"/>
  <c r="AI220" i="56"/>
  <c r="AI208" i="56"/>
  <c r="AI193" i="56"/>
  <c r="AI191" i="56"/>
  <c r="AI205" i="56"/>
  <c r="AI185" i="56"/>
  <c r="AI221" i="56"/>
  <c r="AI219" i="56"/>
  <c r="AI186" i="56"/>
  <c r="AI200" i="56"/>
  <c r="AI202" i="56"/>
  <c r="AI199" i="56"/>
  <c r="AI184" i="56"/>
  <c r="AI218" i="56"/>
  <c r="AI209" i="56"/>
  <c r="AI187" i="56"/>
  <c r="AI188" i="56"/>
  <c r="AI223" i="56"/>
  <c r="AJ222" i="56" l="1"/>
  <c r="AK183" i="56"/>
  <c r="AJ184" i="56"/>
  <c r="AJ202" i="56"/>
  <c r="AJ194" i="56"/>
  <c r="AJ199" i="56"/>
  <c r="AJ200" i="56"/>
  <c r="AJ204" i="56"/>
  <c r="AJ203" i="56"/>
  <c r="AJ221" i="56"/>
  <c r="AJ189" i="56"/>
  <c r="AJ186" i="56"/>
  <c r="AJ217" i="56"/>
  <c r="AJ219" i="56"/>
  <c r="AJ190" i="56"/>
  <c r="AJ206" i="56"/>
  <c r="AJ191" i="56"/>
  <c r="AJ188" i="56"/>
  <c r="AJ205" i="56"/>
  <c r="AJ201" i="56"/>
  <c r="AJ193" i="56"/>
  <c r="AJ207" i="56"/>
  <c r="AJ216" i="56"/>
  <c r="AJ192" i="56"/>
  <c r="AJ208" i="56"/>
  <c r="AJ220" i="56"/>
  <c r="AJ185" i="56"/>
  <c r="AJ209" i="56"/>
  <c r="AJ218" i="56"/>
  <c r="AJ223" i="56"/>
  <c r="AJ187" i="56"/>
  <c r="AK222" i="56" l="1"/>
  <c r="AL183" i="56"/>
  <c r="AK206" i="56"/>
  <c r="AK201" i="56"/>
  <c r="AK202" i="56"/>
  <c r="AK216" i="56"/>
  <c r="AK219" i="56"/>
  <c r="AK220" i="56"/>
  <c r="AK217" i="56"/>
  <c r="AK203" i="56"/>
  <c r="AK204" i="56"/>
  <c r="AK199" i="56"/>
  <c r="AK208" i="56"/>
  <c r="AK207" i="56"/>
  <c r="AK192" i="56"/>
  <c r="AK205" i="56"/>
  <c r="AK221" i="56"/>
  <c r="AK191" i="56"/>
  <c r="AK190" i="56"/>
  <c r="AK189" i="56"/>
  <c r="AK193" i="56"/>
  <c r="AK209" i="56"/>
  <c r="AK200" i="56"/>
  <c r="AK187" i="56"/>
  <c r="AK185" i="56"/>
  <c r="AK184" i="56"/>
  <c r="AK194" i="56"/>
  <c r="AK188" i="56"/>
  <c r="AK218" i="56"/>
  <c r="AK186" i="56"/>
  <c r="AK223" i="56"/>
  <c r="AL222" i="56" l="1"/>
  <c r="AM183" i="56"/>
  <c r="AL208" i="56"/>
  <c r="AL219" i="56"/>
  <c r="AL192" i="56"/>
  <c r="AL185" i="56"/>
  <c r="AL217" i="56"/>
  <c r="AL201" i="56"/>
  <c r="AL199" i="56"/>
  <c r="AL204" i="56"/>
  <c r="AL193" i="56"/>
  <c r="AL200" i="56"/>
  <c r="AL190" i="56"/>
  <c r="AL207" i="56"/>
  <c r="AL194" i="56"/>
  <c r="AL221" i="56"/>
  <c r="AL205" i="56"/>
  <c r="AL202" i="56"/>
  <c r="AL206" i="56"/>
  <c r="AL187" i="56"/>
  <c r="AL203" i="56"/>
  <c r="AL216" i="56"/>
  <c r="AL220" i="56"/>
  <c r="AL189" i="56"/>
  <c r="AL184" i="56"/>
  <c r="AL218" i="56"/>
  <c r="AL191" i="56"/>
  <c r="AL209" i="56"/>
  <c r="AL188" i="56"/>
  <c r="AL186" i="56"/>
  <c r="AL223" i="56"/>
  <c r="AM222" i="56" l="1"/>
  <c r="AN183" i="56"/>
  <c r="AM207" i="56"/>
  <c r="AM184" i="56"/>
  <c r="AM217" i="56"/>
  <c r="AM205" i="56"/>
  <c r="AM219" i="56"/>
  <c r="AM186" i="56"/>
  <c r="AM200" i="56"/>
  <c r="AM203" i="56"/>
  <c r="AM201" i="56"/>
  <c r="AM208" i="56"/>
  <c r="AM189" i="56"/>
  <c r="AM216" i="56"/>
  <c r="AM223" i="56"/>
  <c r="AM220" i="56"/>
  <c r="AM204" i="56"/>
  <c r="AM194" i="56"/>
  <c r="AM221" i="56"/>
  <c r="AM206" i="56"/>
  <c r="AM193" i="56"/>
  <c r="AM185" i="56"/>
  <c r="AM190" i="56"/>
  <c r="AM199" i="56"/>
  <c r="AM202" i="56"/>
  <c r="AM188" i="56"/>
  <c r="AM192" i="56"/>
  <c r="AM191" i="56"/>
  <c r="AM209" i="56"/>
  <c r="AM187" i="56"/>
  <c r="AM218" i="56"/>
  <c r="AN222" i="56" l="1"/>
  <c r="AN205" i="56"/>
  <c r="AN202" i="56"/>
  <c r="AO183" i="56"/>
  <c r="AN219" i="56"/>
  <c r="AN206" i="56"/>
  <c r="AN190" i="56"/>
  <c r="AN216" i="56"/>
  <c r="AN201" i="56"/>
  <c r="AN220" i="56"/>
  <c r="AN204" i="56"/>
  <c r="AN221" i="56"/>
  <c r="AN208" i="56"/>
  <c r="AN203" i="56"/>
  <c r="AN207" i="56"/>
  <c r="AN217" i="56"/>
  <c r="AN194" i="56"/>
  <c r="AN218" i="56"/>
  <c r="AN184" i="56"/>
  <c r="AN191" i="56"/>
  <c r="AN192" i="56"/>
  <c r="AN200" i="56"/>
  <c r="AN189" i="56"/>
  <c r="AN188" i="56"/>
  <c r="AN186" i="56"/>
  <c r="AN223" i="56"/>
  <c r="AN199" i="56"/>
  <c r="AN185" i="56"/>
  <c r="AN193" i="56"/>
  <c r="AN209" i="56"/>
  <c r="AN187" i="56"/>
  <c r="AO222" i="56" l="1"/>
  <c r="AP183" i="56"/>
  <c r="AO220" i="56"/>
  <c r="AO219" i="56"/>
  <c r="AO216" i="56"/>
  <c r="AO204" i="56"/>
  <c r="AO205" i="56"/>
  <c r="AO217" i="56"/>
  <c r="AO184" i="56"/>
  <c r="AO221" i="56"/>
  <c r="AO202" i="56"/>
  <c r="AO208" i="56"/>
  <c r="AO203" i="56"/>
  <c r="AO206" i="56"/>
  <c r="AO223" i="56"/>
  <c r="AO218" i="56"/>
  <c r="AO209" i="56"/>
  <c r="AO201" i="56"/>
  <c r="AO207" i="56"/>
  <c r="AO189" i="56"/>
  <c r="AO186" i="56"/>
  <c r="AO187" i="56"/>
  <c r="AO192" i="56"/>
  <c r="AO190" i="56"/>
  <c r="AO193" i="56"/>
  <c r="AO194" i="56"/>
  <c r="AO185" i="56"/>
  <c r="AO191" i="56"/>
  <c r="AO188" i="56"/>
  <c r="AO199" i="56"/>
  <c r="AO200" i="56"/>
  <c r="AP222" i="56" l="1"/>
  <c r="AP208" i="56"/>
  <c r="AP201" i="56"/>
  <c r="AQ183" i="56"/>
  <c r="AP219" i="56"/>
  <c r="AP217" i="56"/>
  <c r="AP203" i="56"/>
  <c r="AP206" i="56"/>
  <c r="AP194" i="56"/>
  <c r="AP186" i="56"/>
  <c r="AP184" i="56"/>
  <c r="AP200" i="56"/>
  <c r="AP185" i="56"/>
  <c r="AP189" i="56"/>
  <c r="AP209" i="56"/>
  <c r="AP202" i="56"/>
  <c r="AP199" i="56"/>
  <c r="AP190" i="56"/>
  <c r="AP220" i="56"/>
  <c r="AP204" i="56"/>
  <c r="AP221" i="56"/>
  <c r="AP207" i="56"/>
  <c r="AP205" i="56"/>
  <c r="AP188" i="56"/>
  <c r="AP193" i="56"/>
  <c r="AP216" i="56"/>
  <c r="AP192" i="56"/>
  <c r="AP191" i="56"/>
  <c r="AP218" i="56"/>
  <c r="AP223" i="56"/>
  <c r="AP187" i="56"/>
  <c r="AQ222" i="56" l="1"/>
  <c r="AR183" i="56"/>
  <c r="AQ217" i="56"/>
  <c r="AQ190" i="56"/>
  <c r="AQ184" i="56"/>
  <c r="AQ186" i="56"/>
  <c r="AQ209" i="56"/>
  <c r="AQ203" i="56"/>
  <c r="AQ199" i="56"/>
  <c r="AQ221" i="56"/>
  <c r="AQ220" i="56"/>
  <c r="AQ219" i="56"/>
  <c r="AQ193" i="56"/>
  <c r="AQ185" i="56"/>
  <c r="AQ187" i="56"/>
  <c r="AQ208" i="56"/>
  <c r="AQ205" i="56"/>
  <c r="AQ216" i="56"/>
  <c r="AQ201" i="56"/>
  <c r="AQ194" i="56"/>
  <c r="AQ202" i="56"/>
  <c r="AQ200" i="56"/>
  <c r="AQ206" i="56"/>
  <c r="AQ189" i="56"/>
  <c r="AQ192" i="56"/>
  <c r="AQ204" i="56"/>
  <c r="AQ207" i="56"/>
  <c r="AQ218" i="56"/>
  <c r="AQ191" i="56"/>
  <c r="AQ188" i="56"/>
  <c r="AQ223" i="56"/>
  <c r="AR222" i="56" l="1"/>
  <c r="AS183" i="56"/>
  <c r="AR202" i="56"/>
  <c r="AR220" i="56"/>
  <c r="AR208" i="56"/>
  <c r="AR186" i="56"/>
  <c r="AR201" i="56"/>
  <c r="AR192" i="56"/>
  <c r="AR203" i="56"/>
  <c r="AR190" i="56"/>
  <c r="AR216" i="56"/>
  <c r="AR204" i="56"/>
  <c r="AR217" i="56"/>
  <c r="AR206" i="56"/>
  <c r="AR189" i="56"/>
  <c r="AR219" i="56"/>
  <c r="AR221" i="56"/>
  <c r="AR207" i="56"/>
  <c r="AR209" i="56"/>
  <c r="AR193" i="56"/>
  <c r="AR205" i="56"/>
  <c r="AR188" i="56"/>
  <c r="AR199" i="56"/>
  <c r="AR184" i="56"/>
  <c r="AR200" i="56"/>
  <c r="AR194" i="56"/>
  <c r="AR223" i="56"/>
  <c r="AR185" i="56"/>
  <c r="AR191" i="56"/>
  <c r="AR187" i="56"/>
  <c r="AR218" i="56"/>
  <c r="AS222" i="56" l="1"/>
  <c r="AS204" i="56"/>
  <c r="AS190" i="56"/>
  <c r="AS202" i="56"/>
  <c r="AS208" i="56"/>
  <c r="AS221" i="56"/>
  <c r="AS189" i="56"/>
  <c r="AS193" i="56"/>
  <c r="AS206" i="56"/>
  <c r="AS194" i="56"/>
  <c r="AS184" i="56"/>
  <c r="AS219" i="56"/>
  <c r="AS199" i="56"/>
  <c r="AS186" i="56"/>
  <c r="AS207" i="56"/>
  <c r="AS205" i="56"/>
  <c r="AS192" i="56"/>
  <c r="AS188" i="56"/>
  <c r="AS200" i="56"/>
  <c r="AS201" i="56"/>
  <c r="AS216" i="56"/>
  <c r="AS220" i="56"/>
  <c r="AS217" i="56"/>
  <c r="AS203" i="56"/>
  <c r="AS209" i="56"/>
  <c r="AS185" i="56"/>
  <c r="AS191" i="56"/>
  <c r="AS218" i="56"/>
  <c r="AS223" i="56"/>
  <c r="AS187" i="5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Alessandro Chiodi</author>
  </authors>
  <commentList>
    <comment ref="B2" authorId="0" shapeId="0" xr:uid="{DD11E92E-20AF-4956-8937-FBDD0418BA95}">
      <text>
        <r>
          <rPr>
            <b/>
            <sz val="9"/>
            <color indexed="81"/>
            <rFont val="Tahoma"/>
            <family val="2"/>
          </rPr>
          <t>Disclaimer:</t>
        </r>
        <r>
          <rPr>
            <sz val="9"/>
            <color indexed="81"/>
            <rFont val="Tahoma"/>
            <family val="2"/>
          </rPr>
          <t xml:space="preserve"> It is suggested to not modify the assumptions contained in this file unless you have a good reason and would you like to change the calibration of the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Ioannis Vrochidis</author>
  </authors>
  <commentList>
    <comment ref="H132" authorId="0" shapeId="0" xr:uid="{F794E013-C065-463C-B459-9837DB51EB84}">
      <text>
        <r>
          <rPr>
            <b/>
            <sz val="9"/>
            <color indexed="81"/>
            <rFont val="Tahoma"/>
            <family val="2"/>
          </rPr>
          <t>Ioannis Vrochidis:</t>
        </r>
        <r>
          <rPr>
            <sz val="9"/>
            <color indexed="81"/>
            <rFont val="Tahoma"/>
            <family val="2"/>
          </rPr>
          <t xml:space="preserve">
assumption for EUW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K5" authorId="0" shapeId="0" xr:uid="{00000000-0006-0000-1000-000001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5" authorId="0" shapeId="0" xr:uid="{00000000-0006-0000-1000-000002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5" authorId="0" shapeId="0" xr:uid="{00000000-0006-0000-1000-000003000000}">
      <text>
        <r>
          <rPr>
            <sz val="8"/>
            <color indexed="81"/>
            <rFont val="Tahoma"/>
            <family val="2"/>
          </rPr>
          <t xml:space="preserve">
Needed only when one wants to override the VEDA default assignment
</t>
        </r>
      </text>
    </comment>
    <comment ref="R5" authorId="0" shapeId="0" xr:uid="{00000000-0006-0000-1000-000004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List>
</comments>
</file>

<file path=xl/sharedStrings.xml><?xml version="1.0" encoding="utf-8"?>
<sst xmlns="http://schemas.openxmlformats.org/spreadsheetml/2006/main" count="3893" uniqueCount="770">
  <si>
    <t>LPG</t>
  </si>
  <si>
    <t>BRA</t>
  </si>
  <si>
    <t>CAN</t>
  </si>
  <si>
    <t>CHN</t>
  </si>
  <si>
    <t>GBR</t>
  </si>
  <si>
    <t>IDN</t>
  </si>
  <si>
    <t>IND</t>
  </si>
  <si>
    <t>JPN</t>
  </si>
  <si>
    <t>LAM</t>
  </si>
  <si>
    <t>MEA</t>
  </si>
  <si>
    <t>MEX</t>
  </si>
  <si>
    <t>RUS</t>
  </si>
  <si>
    <t>TUR</t>
  </si>
  <si>
    <t>USA</t>
  </si>
  <si>
    <t>ZAF</t>
  </si>
  <si>
    <t>PJ</t>
  </si>
  <si>
    <t>ELC</t>
  </si>
  <si>
    <t>SOL</t>
  </si>
  <si>
    <t>Table 1</t>
  </si>
  <si>
    <t>Table 2</t>
  </si>
  <si>
    <t>Kerosene</t>
  </si>
  <si>
    <t>Coal</t>
  </si>
  <si>
    <t>Electricity</t>
  </si>
  <si>
    <t>Heat</t>
  </si>
  <si>
    <t>Geothermal</t>
  </si>
  <si>
    <t>Solar</t>
  </si>
  <si>
    <t>Document type:</t>
  </si>
  <si>
    <t>Base-year</t>
  </si>
  <si>
    <t>Table of contents</t>
  </si>
  <si>
    <t>Sheet</t>
  </si>
  <si>
    <t>Description</t>
  </si>
  <si>
    <t>Cell colour legend</t>
  </si>
  <si>
    <t>Tab colour legend</t>
  </si>
  <si>
    <t>VEDA-TIMES data input tables</t>
  </si>
  <si>
    <t>Model regions</t>
  </si>
  <si>
    <t>Code</t>
  </si>
  <si>
    <t>Residential</t>
  </si>
  <si>
    <t>~FI_T</t>
  </si>
  <si>
    <t>TechName</t>
  </si>
  <si>
    <t>TechDesc</t>
  </si>
  <si>
    <t>EFF</t>
  </si>
  <si>
    <t>CommName</t>
  </si>
  <si>
    <t>CommDesc</t>
  </si>
  <si>
    <t>Attribute</t>
  </si>
  <si>
    <t>Commodities definition</t>
  </si>
  <si>
    <t>Processes definition</t>
  </si>
  <si>
    <t>~FI_Comm</t>
  </si>
  <si>
    <t>~FI_Process</t>
  </si>
  <si>
    <t>Csets</t>
  </si>
  <si>
    <t>Unit</t>
  </si>
  <si>
    <t>LimType</t>
  </si>
  <si>
    <t>CTSLvl</t>
  </si>
  <si>
    <t>PeakTS</t>
  </si>
  <si>
    <t>Ctype</t>
  </si>
  <si>
    <t>Sets</t>
  </si>
  <si>
    <t>Tact</t>
  </si>
  <si>
    <t>Tcap</t>
  </si>
  <si>
    <t>Tslvl</t>
  </si>
  <si>
    <t>PrimaryCG</t>
  </si>
  <si>
    <t>Vintage</t>
  </si>
  <si>
    <t>Commodity name</t>
  </si>
  <si>
    <t>Technology name</t>
  </si>
  <si>
    <t>Activity unit</t>
  </si>
  <si>
    <t>Capacity unit</t>
  </si>
  <si>
    <t>TimeSlice level of Process Activity</t>
  </si>
  <si>
    <t>Primary Commodity Group</t>
  </si>
  <si>
    <t>Vintage Tracking</t>
  </si>
  <si>
    <t>DEM</t>
  </si>
  <si>
    <t>\I: Commodity set</t>
  </si>
  <si>
    <t>\I: Process Set Membership</t>
  </si>
  <si>
    <t>SHARE-I</t>
  </si>
  <si>
    <t>NRG</t>
  </si>
  <si>
    <t>LTHEAT</t>
  </si>
  <si>
    <t>ENV</t>
  </si>
  <si>
    <t>kt</t>
  </si>
  <si>
    <t>DMD</t>
  </si>
  <si>
    <t>PRE</t>
  </si>
  <si>
    <t>Emissions</t>
  </si>
  <si>
    <t>UP</t>
  </si>
  <si>
    <t>Biogas</t>
  </si>
  <si>
    <t>Total Global</t>
  </si>
  <si>
    <t>\I: Demand Commodities</t>
  </si>
  <si>
    <t>\I: Emissions commodities</t>
  </si>
  <si>
    <t>\I: Energy Commodities</t>
  </si>
  <si>
    <t>\I: Fuel Tech Name</t>
  </si>
  <si>
    <t>Efficiency</t>
  </si>
  <si>
    <t>Max Annual Availability</t>
  </si>
  <si>
    <t>Capacity to Activity Factor</t>
  </si>
  <si>
    <t>Source</t>
  </si>
  <si>
    <t>Sector</t>
  </si>
  <si>
    <t>Brazil</t>
  </si>
  <si>
    <t>Canada</t>
  </si>
  <si>
    <t>India</t>
  </si>
  <si>
    <t>Japan</t>
  </si>
  <si>
    <t>Latin America</t>
  </si>
  <si>
    <t>Mexico</t>
  </si>
  <si>
    <t>Natural gas</t>
  </si>
  <si>
    <t>Lighting</t>
  </si>
  <si>
    <t>Service</t>
  </si>
  <si>
    <t>Fuel</t>
  </si>
  <si>
    <t>Check difference with EB</t>
  </si>
  <si>
    <t>OTH</t>
  </si>
  <si>
    <t>Table 3</t>
  </si>
  <si>
    <t>Grand Total</t>
  </si>
  <si>
    <t>Year</t>
  </si>
  <si>
    <t>Subsector_Desc</t>
  </si>
  <si>
    <t>Biomass</t>
  </si>
  <si>
    <t>PEC</t>
  </si>
  <si>
    <t>PEC Desc</t>
  </si>
  <si>
    <t>Cooking</t>
  </si>
  <si>
    <t>Thermal uses</t>
  </si>
  <si>
    <t>Air conditioning</t>
  </si>
  <si>
    <t xml:space="preserve">Base Scenario Template </t>
  </si>
  <si>
    <t>Region:</t>
  </si>
  <si>
    <t>Global</t>
  </si>
  <si>
    <t>Sector:</t>
  </si>
  <si>
    <t>Document description:</t>
  </si>
  <si>
    <t>aaa</t>
  </si>
  <si>
    <t>Model input</t>
  </si>
  <si>
    <t>Model input based on own assumptions</t>
  </si>
  <si>
    <t>Calculated value (not recommended to directly modify)</t>
  </si>
  <si>
    <t>Energy balance breakdown and other elaborations</t>
  </si>
  <si>
    <t>External data sources</t>
  </si>
  <si>
    <t>Energy balance breakdown for the sector</t>
  </si>
  <si>
    <t>Fuel Techs</t>
  </si>
  <si>
    <r>
      <rPr>
        <u/>
        <sz val="11"/>
        <color theme="1"/>
        <rFont val="Calibri"/>
        <family val="2"/>
        <scheme val="minor"/>
      </rPr>
      <t>Veda inputs:</t>
    </r>
    <r>
      <rPr>
        <sz val="12"/>
        <color theme="1"/>
        <rFont val="Calibri"/>
        <family val="2"/>
        <scheme val="minor"/>
      </rPr>
      <t xml:space="preserve"> Description of the sectoral infrastructure technologies (fuel techs)</t>
    </r>
  </si>
  <si>
    <t>Conversion factors</t>
  </si>
  <si>
    <t>Codes for processes and commodities names</t>
  </si>
  <si>
    <t>Dimension</t>
  </si>
  <si>
    <t>Service types</t>
  </si>
  <si>
    <t>CK</t>
  </si>
  <si>
    <t>LIG</t>
  </si>
  <si>
    <t>Electric Appliances</t>
  </si>
  <si>
    <t>EAP</t>
  </si>
  <si>
    <t>Fuel types</t>
  </si>
  <si>
    <r>
      <t>CO</t>
    </r>
    <r>
      <rPr>
        <vertAlign val="subscript"/>
        <sz val="11"/>
        <color theme="1"/>
        <rFont val="Calibri"/>
        <family val="2"/>
        <scheme val="minor"/>
      </rPr>
      <t>2eq</t>
    </r>
  </si>
  <si>
    <t>CO2 equivalent: includes all GHG (e.g. CO2, CH4, N2O)</t>
  </si>
  <si>
    <r>
      <t>CO</t>
    </r>
    <r>
      <rPr>
        <vertAlign val="subscript"/>
        <sz val="11"/>
        <color theme="1"/>
        <rFont val="Calibri"/>
        <family val="2"/>
        <scheme val="minor"/>
      </rPr>
      <t>2</t>
    </r>
  </si>
  <si>
    <t>Carbon dioxide</t>
  </si>
  <si>
    <r>
      <t>CH</t>
    </r>
    <r>
      <rPr>
        <vertAlign val="subscript"/>
        <sz val="11"/>
        <color theme="1"/>
        <rFont val="Calibri"/>
        <family val="2"/>
        <scheme val="minor"/>
      </rPr>
      <t>4</t>
    </r>
  </si>
  <si>
    <t>Methane</t>
  </si>
  <si>
    <r>
      <t>N</t>
    </r>
    <r>
      <rPr>
        <vertAlign val="subscript"/>
        <sz val="11"/>
        <color theme="1"/>
        <rFont val="Calibri"/>
        <family val="2"/>
        <scheme val="minor"/>
      </rPr>
      <t>2</t>
    </r>
    <r>
      <rPr>
        <sz val="12"/>
        <color theme="1"/>
        <rFont val="Calibri"/>
        <family val="2"/>
        <scheme val="minor"/>
      </rPr>
      <t>O</t>
    </r>
  </si>
  <si>
    <t>Nitrous oxide</t>
  </si>
  <si>
    <t>Sources</t>
  </si>
  <si>
    <t>Component</t>
  </si>
  <si>
    <t>Source n.</t>
  </si>
  <si>
    <t>Sector structure (high-level Reference Energy System)</t>
  </si>
  <si>
    <t xml:space="preserve">Space &amp; water heating </t>
  </si>
  <si>
    <t>AC</t>
  </si>
  <si>
    <t>Other uses</t>
  </si>
  <si>
    <t>List of countries</t>
  </si>
  <si>
    <t>TH</t>
  </si>
  <si>
    <t>Heating Degree Days</t>
  </si>
  <si>
    <t>Cooling Degree Days</t>
  </si>
  <si>
    <t>%</t>
  </si>
  <si>
    <t>Disaggregated energy balance</t>
  </si>
  <si>
    <t>Energy balance breakdown (detailed)</t>
  </si>
  <si>
    <t>check</t>
  </si>
  <si>
    <t>All fuels</t>
  </si>
  <si>
    <t>Energy consumption shares (%)</t>
  </si>
  <si>
    <t>Variable</t>
  </si>
  <si>
    <t>Dwelling stock</t>
  </si>
  <si>
    <t>Munits</t>
  </si>
  <si>
    <t>Table 4</t>
  </si>
  <si>
    <t>Miscellaneous attributes</t>
  </si>
  <si>
    <r>
      <t>% (PJ</t>
    </r>
    <r>
      <rPr>
        <vertAlign val="subscript"/>
        <sz val="11"/>
        <color theme="1"/>
        <rFont val="Calibri"/>
        <family val="2"/>
        <scheme val="minor"/>
      </rPr>
      <t>useful</t>
    </r>
    <r>
      <rPr>
        <sz val="11"/>
        <color theme="1"/>
        <rFont val="Calibri"/>
        <family val="2"/>
        <scheme val="minor"/>
      </rPr>
      <t>/PJ</t>
    </r>
    <r>
      <rPr>
        <vertAlign val="subscript"/>
        <sz val="11"/>
        <color theme="1"/>
        <rFont val="Calibri"/>
        <family val="2"/>
        <scheme val="minor"/>
      </rPr>
      <t>cons</t>
    </r>
    <r>
      <rPr>
        <sz val="11"/>
        <color theme="1"/>
        <rFont val="Calibri"/>
        <family val="2"/>
        <scheme val="minor"/>
      </rPr>
      <t>)</t>
    </r>
  </si>
  <si>
    <t>Table 5</t>
  </si>
  <si>
    <t>years</t>
  </si>
  <si>
    <t>Table 6</t>
  </si>
  <si>
    <t>Number of full load hours</t>
  </si>
  <si>
    <t>hours/year</t>
  </si>
  <si>
    <t>Efficiencies</t>
  </si>
  <si>
    <t>PJ-a</t>
  </si>
  <si>
    <t>DayNite</t>
  </si>
  <si>
    <t>Fuel Techs/Distribution Infrastructure</t>
  </si>
  <si>
    <t>Comm-IN</t>
  </si>
  <si>
    <t>Comm-OUT</t>
  </si>
  <si>
    <t>*</t>
  </si>
  <si>
    <t>AFA</t>
  </si>
  <si>
    <t>*TechDesc</t>
  </si>
  <si>
    <t>\I: Fuel Technologies (Infrastructure)</t>
  </si>
  <si>
    <t>GW</t>
  </si>
  <si>
    <t>*Unit</t>
  </si>
  <si>
    <t>*Technology Name</t>
  </si>
  <si>
    <t>Input Commodity</t>
  </si>
  <si>
    <t>Output Commodity</t>
  </si>
  <si>
    <t>Main fuel</t>
  </si>
  <si>
    <t>Stock</t>
  </si>
  <si>
    <t>PJ-y</t>
  </si>
  <si>
    <t>Energy balance breakdown (simplified)</t>
  </si>
  <si>
    <t>Share-I</t>
  </si>
  <si>
    <t>Demands</t>
  </si>
  <si>
    <t>*CommDesc</t>
  </si>
  <si>
    <t>*Commodity</t>
  </si>
  <si>
    <t>year</t>
  </si>
  <si>
    <t>Useful energy</t>
  </si>
  <si>
    <t>Table 7</t>
  </si>
  <si>
    <r>
      <rPr>
        <u/>
        <sz val="11"/>
        <color theme="1"/>
        <rFont val="Calibri"/>
        <family val="2"/>
        <scheme val="minor"/>
      </rPr>
      <t>Veda inputs:</t>
    </r>
    <r>
      <rPr>
        <sz val="12"/>
        <color theme="1"/>
        <rFont val="Calibri"/>
        <family val="2"/>
        <scheme val="minor"/>
      </rPr>
      <t xml:space="preserve"> Definition of sector commodities </t>
    </r>
    <r>
      <rPr>
        <sz val="11"/>
        <color theme="1"/>
        <rFont val="Calibri"/>
        <family val="2"/>
        <scheme val="minor"/>
      </rPr>
      <t>and processes</t>
    </r>
  </si>
  <si>
    <r>
      <rPr>
        <u/>
        <sz val="11"/>
        <color theme="1"/>
        <rFont val="Calibri"/>
        <family val="2"/>
        <scheme val="minor"/>
      </rPr>
      <t>Veda inputs:</t>
    </r>
    <r>
      <rPr>
        <sz val="12"/>
        <color theme="1"/>
        <rFont val="Calibri"/>
        <family val="2"/>
        <scheme val="minor"/>
      </rPr>
      <t xml:space="preserve"> Characterization of base year demands</t>
    </r>
  </si>
  <si>
    <t>Purchasing cost</t>
  </si>
  <si>
    <t>Current</t>
  </si>
  <si>
    <t>Ultimate</t>
  </si>
  <si>
    <t>Technology</t>
  </si>
  <si>
    <t>From</t>
  </si>
  <si>
    <t>To</t>
  </si>
  <si>
    <t>Electric appliances</t>
  </si>
  <si>
    <t>Dryers</t>
  </si>
  <si>
    <t>Dishwashers</t>
  </si>
  <si>
    <t>Refrigerators and freezers</t>
  </si>
  <si>
    <t>Washing machines</t>
  </si>
  <si>
    <t>in EUR/appliance</t>
  </si>
  <si>
    <t>kWh/Household</t>
  </si>
  <si>
    <t>in EUR/kW</t>
  </si>
  <si>
    <t>Cooker, oven and hobs (electric)</t>
  </si>
  <si>
    <t>Cooker, oven and hobs (gas)</t>
  </si>
  <si>
    <t>Space heating</t>
  </si>
  <si>
    <t>Boilers gas (non-condensing)</t>
  </si>
  <si>
    <t>Boilers gas condensing*</t>
  </si>
  <si>
    <t>Boilers oil (non-condensing)</t>
  </si>
  <si>
    <t>Boilers oil condensing*</t>
  </si>
  <si>
    <t>Wood stoves or boiler pellets</t>
  </si>
  <si>
    <t>Heat pump air</t>
  </si>
  <si>
    <t>in South Countries</t>
  </si>
  <si>
    <t>in Middle South countries</t>
  </si>
  <si>
    <t>in Middle North countries</t>
  </si>
  <si>
    <t>in North countries</t>
  </si>
  <si>
    <t>Heat pump water</t>
  </si>
  <si>
    <t>Heat pump ground</t>
  </si>
  <si>
    <t>Heat pump gas</t>
  </si>
  <si>
    <t>Electric resistance (e.g. convectors)</t>
  </si>
  <si>
    <t>Gas individual (autonomous heater)</t>
  </si>
  <si>
    <t>Solar thermal (inc. water tank storage)</t>
  </si>
  <si>
    <t>CHP ICE**</t>
  </si>
  <si>
    <t>CHP fuel cell**</t>
  </si>
  <si>
    <t>District heating</t>
  </si>
  <si>
    <t>Water heating</t>
  </si>
  <si>
    <t>Water heating boiler (diesel)</t>
  </si>
  <si>
    <t>Water heating boiler (electricity)</t>
  </si>
  <si>
    <t>Water heating boiler (natural gas)</t>
  </si>
  <si>
    <t>Solar collector</t>
  </si>
  <si>
    <t>Water heating heat pump</t>
  </si>
  <si>
    <t>Water heating combined with district heating</t>
  </si>
  <si>
    <t>Air Conditioning</t>
  </si>
  <si>
    <t>Electric air conditioning</t>
  </si>
  <si>
    <t>Electric air conditioning central</t>
  </si>
  <si>
    <t>EUR/kW</t>
  </si>
  <si>
    <t>kWh/appliance</t>
  </si>
  <si>
    <t>Technology Class</t>
  </si>
  <si>
    <t>Technology Name</t>
  </si>
  <si>
    <t>Existing Gas Boilers</t>
  </si>
  <si>
    <t>-</t>
  </si>
  <si>
    <t>New Gas Boilers</t>
  </si>
  <si>
    <t>Existing Oil Boilers</t>
  </si>
  <si>
    <t>Dwelling scale Boilers</t>
  </si>
  <si>
    <t>New Oil Boilers</t>
  </si>
  <si>
    <t>Current Biom.Boilers</t>
  </si>
  <si>
    <t>New Biomass Boilers</t>
  </si>
  <si>
    <t>Existing Coal Boilers</t>
  </si>
  <si>
    <t>Existing gas furnaces</t>
  </si>
  <si>
    <t>New gas condensing</t>
  </si>
  <si>
    <t>&gt;0.90</t>
  </si>
  <si>
    <t>Existing oil furnaces</t>
  </si>
  <si>
    <t>New oil condensing</t>
  </si>
  <si>
    <t>&gt;0.85</t>
  </si>
  <si>
    <t>New Condensing Gas Boilers</t>
  </si>
  <si>
    <t>Existing Biom Boilers</t>
  </si>
  <si>
    <t>Existing Heat Pumps</t>
  </si>
  <si>
    <t>New Ground-to-Water H. Pumps</t>
  </si>
  <si>
    <t>3.3-3.6</t>
  </si>
  <si>
    <t>2,3-2,6</t>
  </si>
  <si>
    <t>New Air-to-Water Heat Pumps</t>
  </si>
  <si>
    <t>3.2-3.5</t>
  </si>
  <si>
    <t>2,3-2,5</t>
  </si>
  <si>
    <t>New Air-to-Air Heat Pumps</t>
  </si>
  <si>
    <t>Gas Absorption Heat Pumps</t>
  </si>
  <si>
    <t>1.25-1.35</t>
  </si>
  <si>
    <t>Hybrid Technologies</t>
  </si>
  <si>
    <t>Boiler-Solar Hybrid</t>
  </si>
  <si>
    <t>Heat Pump - Boiler Hybrid</t>
  </si>
  <si>
    <t>12 or 20</t>
  </si>
  <si>
    <t>Air conditioners</t>
  </si>
  <si>
    <t>Existing air conditioner</t>
  </si>
  <si>
    <t>New air conditioner</t>
  </si>
  <si>
    <t>High temperature radiators</t>
  </si>
  <si>
    <t>Radiators</t>
  </si>
  <si>
    <t>Low temperature radiators</t>
  </si>
  <si>
    <t>IEA ETSAP - Technology Brief R02 – June 2012</t>
  </si>
  <si>
    <t>Commercial Cooking (gas)</t>
  </si>
  <si>
    <t>Technical Performance</t>
  </si>
  <si>
    <t>Oven</t>
  </si>
  <si>
    <t>Range</t>
  </si>
  <si>
    <t>Fryer</t>
  </si>
  <si>
    <t>Griddle</t>
  </si>
  <si>
    <t>Steamer</t>
  </si>
  <si>
    <t>Grill/ Broiler</t>
  </si>
  <si>
    <t>Typical power rating (kW)</t>
  </si>
  <si>
    <t>Average cycle duration (minutes)</t>
  </si>
  <si>
    <t>Consumption per cycle (kWh/cycle)</t>
  </si>
  <si>
    <t>Base Energy Consumption per year (kWh/yr)</t>
  </si>
  <si>
    <t>Typical cooking efficiency</t>
  </si>
  <si>
    <t>Effective useful lifetime, years</t>
  </si>
  <si>
    <t>Commercial cooking (electricity)</t>
  </si>
  <si>
    <t>Grill/
Broiler</t>
  </si>
  <si>
    <t>Microwave</t>
  </si>
  <si>
    <t>7 - 13</t>
  </si>
  <si>
    <t>1.0-3.2 (2.1)</t>
  </si>
  <si>
    <t>IEA ETSAP technology database</t>
  </si>
  <si>
    <t>Hobs</t>
  </si>
  <si>
    <t>Table 1 Key Figures for Heating and Cooling Technologies</t>
  </si>
  <si>
    <t>Table 2 Key figures for commercial cooking technologies</t>
  </si>
  <si>
    <t>Device</t>
  </si>
  <si>
    <t>Efficiency (%)</t>
  </si>
  <si>
    <t>Life (years)</t>
  </si>
  <si>
    <t>Wood</t>
  </si>
  <si>
    <t>Three stone</t>
  </si>
  <si>
    <t>Traditional three pan</t>
  </si>
  <si>
    <t>KVIC Burner</t>
  </si>
  <si>
    <t>Nutan</t>
  </si>
  <si>
    <t>~30-40</t>
  </si>
  <si>
    <t>Perfect</t>
  </si>
  <si>
    <t>Super flame</t>
  </si>
  <si>
    <t>~45-60</t>
  </si>
  <si>
    <t>Hotplate</t>
  </si>
  <si>
    <t>Table 3 – Performance statistics for typical developing nation fuel-device combinations</t>
  </si>
  <si>
    <t>Capital Cost ($)</t>
  </si>
  <si>
    <t>Reference value</t>
  </si>
  <si>
    <t>Capacity kW</t>
  </si>
  <si>
    <t>Capital Cost €/kW</t>
  </si>
  <si>
    <t>FixO&amp;M Cost €/kW-y</t>
  </si>
  <si>
    <t>Lifetime yrs</t>
  </si>
  <si>
    <t>Heating Efficiency HHV</t>
  </si>
  <si>
    <t>Cold Effic. HHV</t>
  </si>
  <si>
    <t>Electric Effic. HHV</t>
  </si>
  <si>
    <t>Furnaces (dwelling scale)</t>
  </si>
  <si>
    <t>Building-scale Boilers (typical 40 dwellings / building for moderate climate)</t>
  </si>
  <si>
    <t>Heat Pumps domestic scale</t>
  </si>
  <si>
    <t>10 (EU) - 26(US)</t>
  </si>
  <si>
    <t>29-47% (EU) - 40% (US)</t>
  </si>
  <si>
    <t>53000 (EU) - 13200 (US)</t>
  </si>
  <si>
    <t>28,400 - 9,270</t>
  </si>
  <si>
    <t>65-76% (EU) - 70% (US)</t>
  </si>
  <si>
    <t>GLS</t>
  </si>
  <si>
    <t>Halogen lamps</t>
  </si>
  <si>
    <t>CFLs</t>
  </si>
  <si>
    <t>LEDs</t>
  </si>
  <si>
    <t>Typical size, W</t>
  </si>
  <si>
    <t>Energy efficiency (efficacy), Lm/W</t>
  </si>
  <si>
    <t>Lifetime, hours x 1000</t>
  </si>
  <si>
    <t>Table 4- Typical Key Data and Figures for Lighting Technologies</t>
  </si>
  <si>
    <t>40-100</t>
  </si>
  <si>
    <t>20-100</t>
  </si>
  <si>
    <t>5-17</t>
  </si>
  <si>
    <t>Energy Input/ Output (Electricity (W)/Lumens (lm))</t>
  </si>
  <si>
    <t xml:space="preserve">15 -40 </t>
  </si>
  <si>
    <t xml:space="preserve">1-16 </t>
  </si>
  <si>
    <t>&gt;15-1005</t>
  </si>
  <si>
    <t>12,0 -&gt;50,0</t>
  </si>
  <si>
    <t>35-75</t>
  </si>
  <si>
    <t>6.0 – 15.0</t>
  </si>
  <si>
    <t>2.0 – 8.0</t>
  </si>
  <si>
    <t>10-30</t>
  </si>
  <si>
    <t>Table 9</t>
  </si>
  <si>
    <t>Table 10</t>
  </si>
  <si>
    <t>Cooling degree days (10^3)</t>
  </si>
  <si>
    <t>Heating degree days (10^3)</t>
  </si>
  <si>
    <t xml:space="preserve">HDD and CDD </t>
  </si>
  <si>
    <t>Table 11</t>
  </si>
  <si>
    <t>Fuel blending</t>
  </si>
  <si>
    <t>S1</t>
  </si>
  <si>
    <t>S2</t>
  </si>
  <si>
    <t>S3</t>
  </si>
  <si>
    <t>S4</t>
  </si>
  <si>
    <t>S5</t>
  </si>
  <si>
    <t>EU Reference scenario 2020 - technology assumptions</t>
  </si>
  <si>
    <t>https://energy.ec.europa.eu/data-and-analysis/energy-modelling/eu-reference-scenario-2020_en</t>
  </si>
  <si>
    <t>URL</t>
  </si>
  <si>
    <t>https://iea-etsap.org/index.php/energy-technology-data/energy-demand-technologies-data</t>
  </si>
  <si>
    <t>Table 1a</t>
  </si>
  <si>
    <t>Access</t>
  </si>
  <si>
    <t>Public</t>
  </si>
  <si>
    <t>Start year</t>
  </si>
  <si>
    <t>Energy Service</t>
  </si>
  <si>
    <t>Technology level</t>
  </si>
  <si>
    <t>*Process Set Membership</t>
  </si>
  <si>
    <t>Technology Description</t>
  </si>
  <si>
    <t>Activity Unit</t>
  </si>
  <si>
    <t>Capacity Unit</t>
  </si>
  <si>
    <t>Timeslice Operational Level</t>
  </si>
  <si>
    <t>Operational Commodity Group</t>
  </si>
  <si>
    <t>Long Name</t>
  </si>
  <si>
    <t>Short Name</t>
  </si>
  <si>
    <t>01</t>
  </si>
  <si>
    <t>02</t>
  </si>
  <si>
    <t>Heat Pump Air (Ord.)</t>
  </si>
  <si>
    <t>Heat Pump Air (Imp.)</t>
  </si>
  <si>
    <t>Heat Pump Air (Adv.)</t>
  </si>
  <si>
    <t>Heat Pump Wat. (Ord.)</t>
  </si>
  <si>
    <t>Heat Pump Wat. (Imp.)</t>
  </si>
  <si>
    <t>Ground Heat Pump (Ord.)</t>
  </si>
  <si>
    <t>Ground Heat Pump (Imp.)</t>
  </si>
  <si>
    <t>Ground Heat Pump (Adv.)</t>
  </si>
  <si>
    <t>03</t>
  </si>
  <si>
    <t>District Heat (Ord.)</t>
  </si>
  <si>
    <t>District Heat (Imp.)</t>
  </si>
  <si>
    <t>Air conditioning (Ord.)</t>
  </si>
  <si>
    <t>Air conditioning (Imp.)</t>
  </si>
  <si>
    <t>Air conditioning (Adv.)</t>
  </si>
  <si>
    <t>Cooking system (Ord.)</t>
  </si>
  <si>
    <t>Hydrogen</t>
  </si>
  <si>
    <t>USD/kW</t>
  </si>
  <si>
    <t>% (PJuseful/PJcons)</t>
  </si>
  <si>
    <t>USD2021</t>
  </si>
  <si>
    <t>Investment cost</t>
  </si>
  <si>
    <t>Life</t>
  </si>
  <si>
    <t>Boiler (Ord.)</t>
  </si>
  <si>
    <t>Heat Pump Wat. (Adv.)</t>
  </si>
  <si>
    <t>Key input assumptions and elaborations for base year technologies</t>
  </si>
  <si>
    <t>Boiler cond. (Ord.)</t>
  </si>
  <si>
    <t>IEA Heat Pumps</t>
  </si>
  <si>
    <t>IEA (2022), Heat Pumps, IEA, Paris https://www.iea.org/reports/heat-pumps</t>
  </si>
  <si>
    <t>Share of heat pump energy consumption in thermal uses</t>
  </si>
  <si>
    <t>2019 % Share of heat pump energy consumption in thermal uses</t>
  </si>
  <si>
    <t>Thermal uses - Air Heat Pumps</t>
  </si>
  <si>
    <t>Total useful energy excl. biomass ck</t>
  </si>
  <si>
    <t xml:space="preserve">2019 Share of heat pump consumption </t>
  </si>
  <si>
    <t>USD2011</t>
  </si>
  <si>
    <t>Normalized efficiency</t>
  </si>
  <si>
    <t>EUR2015</t>
  </si>
  <si>
    <t>Technical life</t>
  </si>
  <si>
    <r>
      <rPr>
        <u/>
        <sz val="11"/>
        <color theme="1"/>
        <rFont val="Calibri"/>
        <family val="2"/>
        <scheme val="minor"/>
      </rPr>
      <t>Veda inputs:</t>
    </r>
    <r>
      <rPr>
        <sz val="12"/>
        <color theme="1"/>
        <rFont val="Calibri"/>
        <family val="2"/>
        <scheme val="minor"/>
      </rPr>
      <t xml:space="preserve"> Characterization of base-year sector technologies</t>
    </r>
  </si>
  <si>
    <r>
      <rPr>
        <u/>
        <sz val="11"/>
        <color theme="1"/>
        <rFont val="Calibri"/>
        <family val="2"/>
        <scheme val="minor"/>
      </rPr>
      <t>Veda inputs:</t>
    </r>
    <r>
      <rPr>
        <sz val="12"/>
        <color theme="1"/>
        <rFont val="Calibri"/>
        <family val="2"/>
        <scheme val="minor"/>
      </rPr>
      <t xml:space="preserve"> Characterization of future sector technologies</t>
    </r>
  </si>
  <si>
    <t>Key inputs_EB</t>
  </si>
  <si>
    <t>Key Inputs_BY Techs</t>
  </si>
  <si>
    <t>Key Inputs_New Techs</t>
  </si>
  <si>
    <t>List of key input assumption and calculations for base-year technologies</t>
  </si>
  <si>
    <t>List of key input assumption and calculations for new/future technologies</t>
  </si>
  <si>
    <t>Commodities &amp; Processes</t>
  </si>
  <si>
    <t>Table 8</t>
  </si>
  <si>
    <t>Regional multipliers</t>
  </si>
  <si>
    <t>\I: New Technology options</t>
  </si>
  <si>
    <t>\I: Existing Technologies (Appliances)</t>
  </si>
  <si>
    <t>First available year</t>
  </si>
  <si>
    <t>Key input assumptions for new technology options</t>
  </si>
  <si>
    <t xml:space="preserve"> Efficiencies, technical life, others</t>
  </si>
  <si>
    <t>Capex</t>
  </si>
  <si>
    <t>Regional cost multiplier</t>
  </si>
  <si>
    <t>Technical life (years)</t>
  </si>
  <si>
    <t>hours/year - Water heating</t>
  </si>
  <si>
    <t>PRC_CapAct</t>
  </si>
  <si>
    <t>NCAP_START</t>
  </si>
  <si>
    <t>NCAP_TLIFE</t>
  </si>
  <si>
    <t>NCAP_COST</t>
  </si>
  <si>
    <t>NCAP_AFA</t>
  </si>
  <si>
    <t>Default shares inherited from the TIAM_v2017</t>
  </si>
  <si>
    <t>Shares should be updated/review if data are available</t>
  </si>
  <si>
    <t>IF absolute data are available then we do not need the shares - let's build a new sheet with the absolute data</t>
  </si>
  <si>
    <t>Fuel Code</t>
  </si>
  <si>
    <t>AFE</t>
  </si>
  <si>
    <t>AFN</t>
  </si>
  <si>
    <t>AFZ</t>
  </si>
  <si>
    <t>AFW</t>
  </si>
  <si>
    <t>ANZ</t>
  </si>
  <si>
    <t>ARG</t>
  </si>
  <si>
    <t>ASC</t>
  </si>
  <si>
    <t>ASE</t>
  </si>
  <si>
    <t>ASO</t>
  </si>
  <si>
    <t>ASR</t>
  </si>
  <si>
    <t>ENE</t>
  </si>
  <si>
    <t>ENW</t>
  </si>
  <si>
    <t>EUE</t>
  </si>
  <si>
    <t>EUW</t>
  </si>
  <si>
    <t>IRN</t>
  </si>
  <si>
    <t>KOR</t>
  </si>
  <si>
    <t>SAU</t>
  </si>
  <si>
    <t>TOTAL</t>
  </si>
  <si>
    <t>Liquid biofuels</t>
  </si>
  <si>
    <t>Waste</t>
  </si>
  <si>
    <t>Eastern Africa</t>
  </si>
  <si>
    <t>Northern Africa</t>
  </si>
  <si>
    <t>Southern Africa</t>
  </si>
  <si>
    <t>Western Africa</t>
  </si>
  <si>
    <t>Australia and New Zealand</t>
  </si>
  <si>
    <t>Central Asia</t>
  </si>
  <si>
    <t>Southeast Asia</t>
  </si>
  <si>
    <t>South Asia</t>
  </si>
  <si>
    <t>Non-EU Eastern Europe</t>
  </si>
  <si>
    <t>Non-EU Western Europe</t>
  </si>
  <si>
    <t>Eastern Europe Union</t>
  </si>
  <si>
    <t>Western Europe Union</t>
  </si>
  <si>
    <t>United States</t>
  </si>
  <si>
    <t>Check</t>
  </si>
  <si>
    <t>Electricity (Heat Pump)</t>
  </si>
  <si>
    <t>Check balance</t>
  </si>
  <si>
    <t>GEO</t>
  </si>
  <si>
    <t>GASNAT</t>
  </si>
  <si>
    <t>HDD and CDD</t>
  </si>
  <si>
    <t>UNSD Energy Balances</t>
  </si>
  <si>
    <t>Commercial</t>
  </si>
  <si>
    <t>COM</t>
  </si>
  <si>
    <t>COMELC</t>
  </si>
  <si>
    <t>Services technology database</t>
  </si>
  <si>
    <t>Services</t>
  </si>
  <si>
    <t>Office lighting</t>
  </si>
  <si>
    <t>Large scale gas boilers (non-condensing)</t>
  </si>
  <si>
    <t>Large scale gas boilers condensing</t>
  </si>
  <si>
    <t>in South countries</t>
  </si>
  <si>
    <t>Air conditioning (electricity)</t>
  </si>
  <si>
    <t>Air conditioning (natural gas)</t>
  </si>
  <si>
    <t>Air conditioning (heat)</t>
  </si>
  <si>
    <t>Heat Pumps comm./industrial scale</t>
  </si>
  <si>
    <t>New Air to air</t>
  </si>
  <si>
    <t>2-3</t>
  </si>
  <si>
    <t>2.3-2.5</t>
  </si>
  <si>
    <t>New Air to Water</t>
  </si>
  <si>
    <t>Correlated Colour Temperature (K)</t>
  </si>
  <si>
    <t xml:space="preserve">2,700–2,800 </t>
  </si>
  <si>
    <t xml:space="preserve">3,000 
3,800-4,400 </t>
  </si>
  <si>
    <t>2,400-6,500</t>
  </si>
  <si>
    <t xml:space="preserve">2,800–6,500 </t>
  </si>
  <si>
    <t>Colour Rendering Index (RA)</t>
  </si>
  <si>
    <t xml:space="preserve">98-100 </t>
  </si>
  <si>
    <t xml:space="preserve">65-92 </t>
  </si>
  <si>
    <t>Table 5 -Street Lighting (Typical current international values and ranges)</t>
  </si>
  <si>
    <t>Metal Halide</t>
  </si>
  <si>
    <t>High Pressure
Sodium</t>
  </si>
  <si>
    <t>Mercury
Lamps</t>
  </si>
  <si>
    <t>Fluorescent
lamps</t>
  </si>
  <si>
    <t>Typical size (W)</t>
  </si>
  <si>
    <t>60-250</t>
  </si>
  <si>
    <t>50-400</t>
  </si>
  <si>
    <t>80-400</t>
  </si>
  <si>
    <t/>
  </si>
  <si>
    <t>Energy efficiency (Lm/W) efficacy</t>
  </si>
  <si>
    <t>70-107</t>
  </si>
  <si>
    <t>66-130</t>
  </si>
  <si>
    <t>36-58</t>
  </si>
  <si>
    <t>T8: 60-100 
T5: 38-106</t>
  </si>
  <si>
    <t>Average luminaire efficiency (%)</t>
  </si>
  <si>
    <t>34-40</t>
  </si>
  <si>
    <t>6.0-15.0</t>
  </si>
  <si>
    <t>12.0 – 28.5</t>
  </si>
  <si>
    <t>12.0 – 20.0</t>
  </si>
  <si>
    <t>T8: 12.0 – 60.0
T5: 16.0 – 48.0</t>
  </si>
  <si>
    <t>Technology Variants</t>
  </si>
  <si>
    <t>Metal halide</t>
  </si>
  <si>
    <t>High pressure sodium (SON)</t>
  </si>
  <si>
    <t>Triphosphor coated</t>
  </si>
  <si>
    <t>LED</t>
  </si>
  <si>
    <t>Typical applications</t>
  </si>
  <si>
    <t xml:space="preserve">Commercial uses with good colour rendering: high bay areas (indoor space with high ceiling), floodlighting, external lighting, retail, hotels </t>
  </si>
  <si>
    <t>High bay areas, flood lighting, street lighting, etc., that need to be lit for a long periods</t>
  </si>
  <si>
    <t xml:space="preserve"> Offices, commercial buildings, and low bay industrial uses (below 5m)</t>
  </si>
  <si>
    <t xml:space="preserve"> A variety of different applications</t>
  </si>
  <si>
    <t>70-400 (up to 1000W
available)</t>
  </si>
  <si>
    <t>30-400</t>
  </si>
  <si>
    <t>T8 : 10–70
T5: 6–80</t>
  </si>
  <si>
    <t>1-16</t>
  </si>
  <si>
    <t>65-103</t>
  </si>
  <si>
    <t>&gt;25-100</t>
  </si>
  <si>
    <t>6-20</t>
  </si>
  <si>
    <t>12–28.5</t>
  </si>
  <si>
    <t>T8: 12–60 T5: 16–48</t>
  </si>
  <si>
    <t>12-&gt;50</t>
  </si>
  <si>
    <t>S-TH</t>
  </si>
  <si>
    <t>SRVELC</t>
  </si>
  <si>
    <t>S-SLIG</t>
  </si>
  <si>
    <t>Street lights (Ord.)</t>
  </si>
  <si>
    <t>Street lights (Imp.)</t>
  </si>
  <si>
    <t>Street lights (Adv.)</t>
  </si>
  <si>
    <t>S-LIG</t>
  </si>
  <si>
    <t>Office lighting (Ord.)</t>
  </si>
  <si>
    <t>Office lighting (Imp.)</t>
  </si>
  <si>
    <t>Office lighting (Adv.)</t>
  </si>
  <si>
    <t>Appl.(Ord.)</t>
  </si>
  <si>
    <t>Appl.(Imp.)</t>
  </si>
  <si>
    <t>Appl.(Adv.)</t>
  </si>
  <si>
    <t>Street lighting</t>
  </si>
  <si>
    <t>Source: World Bank</t>
  </si>
  <si>
    <t>World Bank data</t>
  </si>
  <si>
    <t>https://www.worldbank.org/en/home</t>
  </si>
  <si>
    <t>GDP, Population data</t>
  </si>
  <si>
    <t>SLIG</t>
  </si>
  <si>
    <t>RES</t>
  </si>
  <si>
    <t>S6</t>
  </si>
  <si>
    <t>Commercial End Uses Fuel Split - Shares</t>
  </si>
  <si>
    <t>GDP, Population projections</t>
  </si>
  <si>
    <t>Population projections to 2050</t>
  </si>
  <si>
    <t>Table 2 Polulation TOTAL</t>
  </si>
  <si>
    <t>GDP PPP (2015 USD values)</t>
  </si>
  <si>
    <t>Table 1 GDP (PPP) TOTAL -2017 USD</t>
  </si>
  <si>
    <t>Table 3 GDP (PPP) per capita -2017 USD</t>
  </si>
  <si>
    <t>OECD</t>
  </si>
  <si>
    <t>PWC (growth rate)</t>
  </si>
  <si>
    <t>Days</t>
  </si>
  <si>
    <t>BIODSL</t>
  </si>
  <si>
    <t>SRV</t>
  </si>
  <si>
    <t>SRVBGS</t>
  </si>
  <si>
    <t>SRVCOA</t>
  </si>
  <si>
    <t>SRVGEO</t>
  </si>
  <si>
    <t>SRVHET</t>
  </si>
  <si>
    <t>SRVBLQ</t>
  </si>
  <si>
    <t>SRVLPG</t>
  </si>
  <si>
    <t>SRVGAS</t>
  </si>
  <si>
    <t>SRVOIL</t>
  </si>
  <si>
    <t>SRVSOL</t>
  </si>
  <si>
    <t>SRVCO2e</t>
  </si>
  <si>
    <t>SRVCO2</t>
  </si>
  <si>
    <t>SRVCH4</t>
  </si>
  <si>
    <t>SRVN2O</t>
  </si>
  <si>
    <t>Services energy balance</t>
  </si>
  <si>
    <t>Subsector_SRV</t>
  </si>
  <si>
    <t>Services Coal</t>
  </si>
  <si>
    <t>Services Diesel</t>
  </si>
  <si>
    <t>Services Electricity</t>
  </si>
  <si>
    <t>Services Gasoline</t>
  </si>
  <si>
    <t>Services Geothermal</t>
  </si>
  <si>
    <t>Services Kerosene</t>
  </si>
  <si>
    <t>Services Liquified Petroleum Gases</t>
  </si>
  <si>
    <t>Services Natural Gas</t>
  </si>
  <si>
    <t>Services Solar</t>
  </si>
  <si>
    <t>Services Wastes</t>
  </si>
  <si>
    <t>Services Bio diesel</t>
  </si>
  <si>
    <t>Services Biogas</t>
  </si>
  <si>
    <t>Services Bio gasoline</t>
  </si>
  <si>
    <t>Services Heat</t>
  </si>
  <si>
    <t>Services Bioliquids</t>
  </si>
  <si>
    <t>Services Biomass</t>
  </si>
  <si>
    <t>SRV Desc</t>
  </si>
  <si>
    <t>SRVWAS</t>
  </si>
  <si>
    <t>SRVBIO</t>
  </si>
  <si>
    <t>S-AC</t>
  </si>
  <si>
    <t>S-CK</t>
  </si>
  <si>
    <t>S-OTH</t>
  </si>
  <si>
    <t>S-EAP</t>
  </si>
  <si>
    <t>BIOKER</t>
  </si>
  <si>
    <t>COA</t>
  </si>
  <si>
    <t>OILDSL</t>
  </si>
  <si>
    <t>ELCD</t>
  </si>
  <si>
    <t>OILGSL</t>
  </si>
  <si>
    <t>OILOPP</t>
  </si>
  <si>
    <t>OILKER</t>
  </si>
  <si>
    <t>OILLPG</t>
  </si>
  <si>
    <t>NATGAS</t>
  </si>
  <si>
    <t>BIOWAS</t>
  </si>
  <si>
    <t>HETD</t>
  </si>
  <si>
    <t>BIOMASS</t>
  </si>
  <si>
    <t>Oil</t>
  </si>
  <si>
    <t>EB</t>
  </si>
  <si>
    <t>Table 12</t>
  </si>
  <si>
    <t>COACOK</t>
  </si>
  <si>
    <t>OILCOK</t>
  </si>
  <si>
    <t>OILHFO</t>
  </si>
  <si>
    <t>OILNAP</t>
  </si>
  <si>
    <t>WASTEN</t>
  </si>
  <si>
    <t>Sign of the equation</t>
  </si>
  <si>
    <t>TIMES attribute</t>
  </si>
  <si>
    <t>FX</t>
  </si>
  <si>
    <t>Do not delete. Elaborations used to compose the tables</t>
  </si>
  <si>
    <t>04</t>
  </si>
  <si>
    <t>05</t>
  </si>
  <si>
    <t>06</t>
  </si>
  <si>
    <t>From GWh to PJ</t>
  </si>
  <si>
    <t>Munits-y</t>
  </si>
  <si>
    <r>
      <t>% (M</t>
    </r>
    <r>
      <rPr>
        <vertAlign val="subscript"/>
        <sz val="11"/>
        <color theme="1"/>
        <rFont val="Calibri"/>
        <family val="2"/>
        <scheme val="minor"/>
      </rPr>
      <t>units</t>
    </r>
    <r>
      <rPr>
        <sz val="11"/>
        <color theme="1"/>
        <rFont val="Calibri"/>
        <family val="2"/>
        <scheme val="minor"/>
      </rPr>
      <t>/PJ</t>
    </r>
    <r>
      <rPr>
        <vertAlign val="subscript"/>
        <sz val="11"/>
        <color theme="1"/>
        <rFont val="Calibri"/>
        <family val="2"/>
        <scheme val="minor"/>
      </rPr>
      <t>cons</t>
    </r>
    <r>
      <rPr>
        <sz val="11"/>
        <color theme="1"/>
        <rFont val="Calibri"/>
        <family val="2"/>
        <scheme val="minor"/>
      </rPr>
      <t>)</t>
    </r>
  </si>
  <si>
    <t>USD/unit</t>
  </si>
  <si>
    <t>*Blending levels</t>
  </si>
  <si>
    <t>*Availability factors</t>
  </si>
  <si>
    <t>*CAPEX</t>
  </si>
  <si>
    <t>*Efficiency</t>
  </si>
  <si>
    <t>SRV_BY Techs</t>
  </si>
  <si>
    <t>SRV_New Techs</t>
  </si>
  <si>
    <t>This template holds the structure of the Final Energy Consumption in the Services sector</t>
  </si>
  <si>
    <t>Technology types</t>
  </si>
  <si>
    <t>Boiler</t>
  </si>
  <si>
    <t>Resistance</t>
  </si>
  <si>
    <t>Stove</t>
  </si>
  <si>
    <t>Heat exchanger</t>
  </si>
  <si>
    <t>Type</t>
  </si>
  <si>
    <t>BLR</t>
  </si>
  <si>
    <t>Heat pump (Air)</t>
  </si>
  <si>
    <t>HPA</t>
  </si>
  <si>
    <t>Heat pump (Ground)</t>
  </si>
  <si>
    <t>HPG</t>
  </si>
  <si>
    <t>RST</t>
  </si>
  <si>
    <t>STV</t>
  </si>
  <si>
    <t>HEX</t>
  </si>
  <si>
    <t>Ambient heat source</t>
  </si>
  <si>
    <t>Ground heat source</t>
  </si>
  <si>
    <t>SRVH2G</t>
  </si>
  <si>
    <t>PRC_RESID</t>
  </si>
  <si>
    <t>Services Undocumented Electricity consumption</t>
  </si>
  <si>
    <t>Charcoal</t>
  </si>
  <si>
    <t>YES</t>
  </si>
  <si>
    <t>Natural gas blend H2</t>
  </si>
  <si>
    <t>SRVH2B</t>
  </si>
  <si>
    <t>NCAP_BND</t>
  </si>
  <si>
    <t>UNSD EB 2018</t>
  </si>
  <si>
    <t>E4SMA S.r.l.</t>
  </si>
  <si>
    <t>Model repository:</t>
  </si>
  <si>
    <t>Licence:</t>
  </si>
  <si>
    <t>CC BY-NC-SA 4.0 (unless specified otherwise)</t>
  </si>
  <si>
    <t>https://creativecommons.org/licenses/by-nc-sa/4.0/</t>
  </si>
  <si>
    <t>Original developer:</t>
  </si>
  <si>
    <t>Conventions</t>
  </si>
  <si>
    <t>EC, EU Reference scenario 2020</t>
  </si>
  <si>
    <t>Source:</t>
  </si>
  <si>
    <t>Own elaborations from EC, EU Reference scenario 2020</t>
  </si>
  <si>
    <t>CHL</t>
  </si>
  <si>
    <t>EUM</t>
  </si>
  <si>
    <t>MDA</t>
  </si>
  <si>
    <t>NIG</t>
  </si>
  <si>
    <t>SKT</t>
  </si>
  <si>
    <t>Services Bio Wastes</t>
  </si>
  <si>
    <t>Services Other oil products</t>
  </si>
  <si>
    <t>Services Heavy fuel oil</t>
  </si>
  <si>
    <t>Chile</t>
  </si>
  <si>
    <t>China</t>
  </si>
  <si>
    <t>Mediterranean- Europe Union</t>
  </si>
  <si>
    <t>Indonesia, Philippines, Vietnam</t>
  </si>
  <si>
    <t>Mediterranean Asia</t>
  </si>
  <si>
    <t>Middle East (Gulf States)</t>
  </si>
  <si>
    <t>Nigeria</t>
  </si>
  <si>
    <t>Russia Federation</t>
  </si>
  <si>
    <t>South Korea, Taiwan</t>
  </si>
  <si>
    <t>Average 1964-2013</t>
  </si>
  <si>
    <t>https://www.kapsarc.org/research/projects/global-degree-days-database/</t>
  </si>
  <si>
    <t>KAPSARC-CMCC database</t>
  </si>
  <si>
    <t>Ethiopia, Kenya, Sudan, Mauritius, Eritrea, South Sudan, Burundi, Comoros, Djibouti, Madagascar, Reunion, Rwanda, Somalia, Uganda, Seychelles, United Republic of Tanzania</t>
  </si>
  <si>
    <t>Egypt, Algeria, Morocco, Libya, Tunisia</t>
  </si>
  <si>
    <t>Angola, Mozambique, Zimbabwe, Zambia, Botswana, Namibia, South Africa, Eswatini, Lesotho</t>
  </si>
  <si>
    <t>Kazakhstan, Uzbekistan, Turkmenistan, Azerbaijan, Mongolia, Georgia, Kyrgyzstan, Armenia, Tajikistan, Afghanistan</t>
  </si>
  <si>
    <t>Thailand, Malaysia, Singapore, Myanmar, Cambodia, Brunei Darussalam, Lao People's Democratic Republic, Democratic People's Republic of Korea, Cook Islands, Timor-Leste, Fiji, French Polynesia, Kiribati, New Caledonia, Palau, Papua New Guinea, American Samoa, Solomon Islands, Tonga, Vanuatu, Niue, Samoa, Wallis and Futuna Islands, Micronesia (Federated States of), Nauru, Tuvalu ,Northern Mariana Islands</t>
  </si>
  <si>
    <t>Indonesia, Philippines, Viet Nam</t>
  </si>
  <si>
    <t>Bangladesh, Nepal, Sri Lanka, Pakistan, Bhutan, Maldives</t>
  </si>
  <si>
    <t>Australia, New Zealand</t>
  </si>
  <si>
    <t>Argentina, Venezuela (Bolivarian Republic of), Colombia, Peru, Trinidad and Tobago, Ecuador, Guatemala, Cuba, Bolivia (Plurinational State of), Dominican Republic, Honduras, Paraguay, Uruguay, Costa Rica, El Salvador, Haiti, Panama, Nicaragua, Jamaica, Curaçao, Suriname, Antigua and Barbuda, Aruba, Bahamas, Barbados, Belize, Bermuda, British Virgin Islands, Cayman Islands, Dominica, Falkland Islands (Malvinas), Guyana, Grenada, Guadeloupe, Cooperative Republic of Guyana, Martinique, Montserrat, Puerto Rico, Saba, Bonaire, Sint Eustatius and Saba, Saint Kitts and Nevis, Saint Lucia, Saint Pierre and Miquelon, Saint Vincent and the Grenadines, Saint Martin, Turks and Caicos Islands, Sint Maarten (Dutch part), Anguilla</t>
  </si>
  <si>
    <t>Ukraine, Belarus, Serbia, Bosnia and Herzegovina, Republic of Moldova, Republic of North Macedonia, Kosovo, Albania, Montenegro</t>
  </si>
  <si>
    <t>Norway-Svalbard and Jan Mayen Islands, Switzerland-Liechtenstein, Iceland, United Kingdom of Great Britain and Northern Ireland, Gibraltar, Saint Helena, Liechtenstein</t>
  </si>
  <si>
    <t>Poland, Czechia, Romania, Hungary, Bulgaria, Slovakia, Croatia, Lithuania, Slovenia, Estonia, Latvia</t>
  </si>
  <si>
    <t>Germany, Netherlands, Belgium, Sweden, Austria, Finland, Denmark, Ireland, Luxembourg, Greenland, Faroe Islands, Andorra</t>
  </si>
  <si>
    <t>France-Monaco, Italy-San Marino, Spain, Greece, Portugal, Cyprus, Malta</t>
  </si>
  <si>
    <t>Iran (Islamic Republic of), Saudi Arabia, United Arab Emirates, Iraq, Qatar, Kuwait, Oman, Bahrain, Yemen</t>
  </si>
  <si>
    <t>Turkey, Israel, Syrian Arab Republic, Jordan, Lebanon, State of Palestine</t>
  </si>
  <si>
    <t>Democratic Republic of the Congo, Côte d’Ivoire, Ghana, Cameroon, Gabon, Benin, Senegal, 
Togo, Niger, Congo, Burkina Faso, Cabo Verde, Central African Republic, Chad, Equatorial Guinea, 
Gambia, Guinea, Guinea-Bissau, Liberia, Malawi, Mali, Mauritania, Sao Tome and Principe, Sierra Leone</t>
  </si>
  <si>
    <t>Lighting share assumptions (lightning/street lightning)</t>
  </si>
  <si>
    <t>COACOL</t>
  </si>
  <si>
    <t>Coke oven coke</t>
  </si>
  <si>
    <t>Lignite</t>
  </si>
  <si>
    <t>BIOETH</t>
  </si>
  <si>
    <t>BIORNG</t>
  </si>
  <si>
    <t>BIOJET</t>
  </si>
  <si>
    <t>SRVEFUM</t>
  </si>
  <si>
    <t>Synthetic methane</t>
  </si>
  <si>
    <t>LOG TABLE</t>
  </si>
  <si>
    <t>Date</t>
  </si>
  <si>
    <t>TAB</t>
  </si>
  <si>
    <t>CELL(s)</t>
  </si>
  <si>
    <t>Description of the change</t>
  </si>
  <si>
    <t>Changed value life technologies - reduced decimal numbers</t>
  </si>
  <si>
    <t>H123</t>
  </si>
  <si>
    <t>Rounded number, removed decimal numbers</t>
  </si>
  <si>
    <t>Rounded numbers to 2 decimal numbers</t>
  </si>
  <si>
    <t>H17</t>
  </si>
  <si>
    <t>Row 38</t>
  </si>
  <si>
    <t>OMNIA model</t>
  </si>
  <si>
    <t>Version:</t>
  </si>
  <si>
    <t>Added biomass future technologies option in cooking and thermal uses to match with base year</t>
  </si>
  <si>
    <t>Corrected formula for lighting efficiency</t>
  </si>
  <si>
    <t>Republic of Korea</t>
  </si>
  <si>
    <t>South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</si>
</sst>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 #,##0.00_);_(* \(#,##0.00\);_(* &quot;-&quot;??_);_(@_)"/>
    <numFmt numFmtId="165" formatCode="0.0"/>
    <numFmt numFmtId="166" formatCode="\Te\x\t"/>
    <numFmt numFmtId="167" formatCode="0.0%"/>
    <numFmt numFmtId="168" formatCode="_(* #,##0_);_(* \(#,##0\);_(* &quot;-&quot;??_);_(@_)"/>
    <numFmt numFmtId="169" formatCode="_-* #,##0_-;\-* #,##0_-;_-* &quot;-&quot;??_-;_-@_-"/>
    <numFmt numFmtId="170" formatCode="#,##0.000"/>
    <numFmt numFmtId="171" formatCode="0.0000"/>
    <numFmt numFmtId="172" formatCode="#,##0.0"/>
    <numFmt numFmtId="173" formatCode="#,##0.0000"/>
  </numFmts>
  <fonts count="10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1"/>
      <color theme="0"/>
      <name val="Calibri"/>
      <family val="2"/>
      <scheme val="minor"/>
    </font>
    <font>
      <b/>
      <sz val="18"/>
      <color theme="1"/>
      <name val="Calibri"/>
      <family val="2"/>
      <scheme val="minor"/>
    </font>
    <font>
      <b/>
      <u/>
      <sz val="11"/>
      <name val="Calibri"/>
      <family val="2"/>
      <scheme val="minor"/>
    </font>
    <font>
      <u/>
      <sz val="11"/>
      <color theme="10"/>
      <name val="Calibri"/>
      <family val="2"/>
      <scheme val="minor"/>
    </font>
    <font>
      <sz val="11"/>
      <name val="Calibri"/>
      <family val="2"/>
      <scheme val="minor"/>
    </font>
    <font>
      <b/>
      <sz val="16"/>
      <color theme="1"/>
      <name val="Calibri"/>
      <family val="2"/>
      <scheme val="minor"/>
    </font>
    <font>
      <b/>
      <sz val="11"/>
      <color rgb="FFFF0000"/>
      <name val="Calibri"/>
      <family val="2"/>
      <scheme val="minor"/>
    </font>
    <font>
      <b/>
      <sz val="14"/>
      <color theme="1"/>
      <name val="Calibri"/>
      <family val="2"/>
      <scheme val="minor"/>
    </font>
    <font>
      <b/>
      <sz val="11"/>
      <name val="Calibri"/>
      <family val="2"/>
      <scheme val="minor"/>
    </font>
    <font>
      <sz val="10"/>
      <color theme="1"/>
      <name val="Calibri"/>
      <family val="2"/>
      <scheme val="minor"/>
    </font>
    <font>
      <b/>
      <sz val="20"/>
      <color theme="1"/>
      <name val="Calibri"/>
      <family val="2"/>
      <scheme val="minor"/>
    </font>
    <font>
      <sz val="10"/>
      <name val="Arial"/>
      <family val="2"/>
    </font>
    <font>
      <b/>
      <sz val="11"/>
      <color indexed="12"/>
      <name val="Calibri"/>
      <family val="2"/>
      <scheme val="minor"/>
    </font>
    <font>
      <sz val="8"/>
      <color indexed="81"/>
      <name val="Tahoma"/>
      <family val="2"/>
    </font>
    <font>
      <b/>
      <sz val="8"/>
      <color indexed="81"/>
      <name val="Tahoma"/>
      <family val="2"/>
    </font>
    <font>
      <b/>
      <sz val="11"/>
      <color rgb="FFFA7D00"/>
      <name val="Calibri"/>
      <family val="2"/>
      <scheme val="minor"/>
    </font>
    <font>
      <sz val="11"/>
      <color rgb="FFFF0000"/>
      <name val="Calibri"/>
      <family val="2"/>
      <scheme val="minor"/>
    </font>
    <font>
      <sz val="11"/>
      <color rgb="FF1F497D"/>
      <name val="Calibri"/>
      <family val="2"/>
      <scheme val="minor"/>
    </font>
    <font>
      <sz val="9"/>
      <color indexed="81"/>
      <name val="Tahoma"/>
      <family val="2"/>
    </font>
    <font>
      <b/>
      <sz val="9"/>
      <color indexed="81"/>
      <name val="Tahoma"/>
      <family val="2"/>
    </font>
    <font>
      <b/>
      <sz val="11"/>
      <color theme="1"/>
      <name val="Calibri"/>
      <family val="2"/>
      <scheme val="minor"/>
    </font>
    <font>
      <sz val="10"/>
      <name val="Arial"/>
      <family val="2"/>
    </font>
    <font>
      <b/>
      <sz val="20"/>
      <name val="Calibri"/>
      <family val="2"/>
      <scheme val="minor"/>
    </font>
    <font>
      <sz val="20"/>
      <color rgb="FF1F497D"/>
      <name val="Calibri"/>
      <family val="2"/>
      <scheme val="minor"/>
    </font>
    <font>
      <i/>
      <sz val="10"/>
      <name val="Calibri"/>
      <family val="2"/>
      <scheme val="minor"/>
    </font>
    <font>
      <sz val="10"/>
      <name val="Calibri"/>
      <family val="2"/>
      <scheme val="minor"/>
    </font>
    <font>
      <sz val="12"/>
      <color theme="1"/>
      <name val="Calibri"/>
      <family val="2"/>
      <scheme val="minor"/>
    </font>
    <font>
      <b/>
      <u/>
      <sz val="11"/>
      <color theme="3"/>
      <name val="Calibri"/>
      <family val="2"/>
      <scheme val="minor"/>
    </font>
    <font>
      <sz val="11"/>
      <color theme="3"/>
      <name val="Calibri"/>
      <family val="2"/>
      <scheme val="minor"/>
    </font>
    <font>
      <b/>
      <sz val="14"/>
      <color theme="0"/>
      <name val="Calibri"/>
      <family val="2"/>
      <scheme val="minor"/>
    </font>
    <font>
      <u/>
      <sz val="11"/>
      <color theme="1"/>
      <name val="Calibri"/>
      <family val="2"/>
      <scheme val="minor"/>
    </font>
    <font>
      <vertAlign val="subscript"/>
      <sz val="11"/>
      <color theme="1"/>
      <name val="Calibri"/>
      <family val="2"/>
      <scheme val="minor"/>
    </font>
    <font>
      <sz val="11"/>
      <color rgb="FF000000"/>
      <name val="Calibri"/>
      <family val="2"/>
    </font>
    <font>
      <sz val="11"/>
      <name val="Calibri"/>
      <family val="2"/>
    </font>
    <font>
      <sz val="10"/>
      <color rgb="FFFF0000"/>
      <name val="Calibri"/>
      <family val="2"/>
      <scheme val="minor"/>
    </font>
    <font>
      <sz val="11"/>
      <color indexed="8"/>
      <name val="Calibri"/>
      <family val="2"/>
    </font>
    <font>
      <sz val="11"/>
      <color theme="1"/>
      <name val="Calibri"/>
      <family val="2"/>
      <charset val="162"/>
      <scheme val="minor"/>
    </font>
    <font>
      <i/>
      <sz val="11"/>
      <name val="Calibri"/>
      <family val="2"/>
      <scheme val="minor"/>
    </font>
    <font>
      <b/>
      <sz val="10"/>
      <color theme="0"/>
      <name val="Calibri"/>
      <family val="2"/>
      <scheme val="minor"/>
    </font>
    <font>
      <b/>
      <sz val="10"/>
      <name val="Calibri"/>
      <family val="2"/>
      <scheme val="minor"/>
    </font>
    <font>
      <sz val="8"/>
      <name val="Calibri"/>
      <family val="2"/>
      <scheme val="minor"/>
    </font>
    <font>
      <sz val="12"/>
      <color rgb="FFFF0000"/>
      <name val="Calibri"/>
      <family val="2"/>
      <scheme val="minor"/>
    </font>
    <font>
      <sz val="12"/>
      <name val="Calibri"/>
      <family val="2"/>
      <scheme val="minor"/>
    </font>
    <font>
      <sz val="16"/>
      <color theme="1"/>
      <name val="Calibri"/>
      <family val="2"/>
      <scheme val="minor"/>
    </font>
    <font>
      <sz val="11"/>
      <color theme="0" tint="-0.34998626667073579"/>
      <name val="Calibri"/>
      <family val="2"/>
      <scheme val="minor"/>
    </font>
    <font>
      <i/>
      <sz val="11"/>
      <color theme="1"/>
      <name val="Calibri"/>
      <family val="2"/>
      <scheme val="minor"/>
    </font>
    <font>
      <i/>
      <sz val="11"/>
      <color rgb="FFFF0000"/>
      <name val="Calibri"/>
      <family val="2"/>
      <scheme val="minor"/>
    </font>
    <font>
      <b/>
      <i/>
      <sz val="14"/>
      <color theme="1"/>
      <name val="Calibri"/>
      <family val="2"/>
      <scheme val="minor"/>
    </font>
    <font>
      <i/>
      <sz val="12"/>
      <color theme="1"/>
      <name val="Calibri"/>
      <family val="2"/>
      <scheme val="minor"/>
    </font>
    <font>
      <b/>
      <sz val="20"/>
      <color rgb="FF1F497D"/>
      <name val="Calibri"/>
      <family val="2"/>
      <scheme val="minor"/>
    </font>
    <font>
      <b/>
      <sz val="18"/>
      <color rgb="FFFF0000"/>
      <name val="Calibri"/>
      <family val="2"/>
      <scheme val="minor"/>
    </font>
    <font>
      <b/>
      <sz val="18"/>
      <name val="Calibri"/>
      <family val="2"/>
      <scheme val="minor"/>
    </font>
    <font>
      <sz val="10"/>
      <color rgb="FFFF0000"/>
      <name val="Arial"/>
      <family val="2"/>
    </font>
    <font>
      <b/>
      <u/>
      <sz val="11"/>
      <color theme="1"/>
      <name val="Calibri"/>
      <family val="2"/>
      <scheme val="minor"/>
    </font>
    <font>
      <i/>
      <sz val="10"/>
      <color theme="1"/>
      <name val="Calibri"/>
      <family val="2"/>
      <scheme val="minor"/>
    </font>
    <font>
      <b/>
      <sz val="24"/>
      <color theme="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
      <patternFill patternType="solid">
        <fgColor rgb="FFF2F2F2"/>
      </patternFill>
    </fill>
    <fill>
      <patternFill patternType="solid">
        <fgColor theme="7" tint="0.79998168889431442"/>
        <bgColor indexed="64"/>
      </patternFill>
    </fill>
    <fill>
      <patternFill patternType="solid">
        <fgColor theme="3"/>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rgb="FFFFFFCC"/>
        <bgColor indexed="64"/>
      </patternFill>
    </fill>
    <fill>
      <patternFill patternType="solid">
        <fgColor theme="9" tint="0.79998168889431442"/>
        <bgColor indexed="64"/>
      </patternFill>
    </fill>
    <fill>
      <patternFill patternType="solid">
        <fgColor rgb="FF1F497D"/>
        <bgColor indexed="64"/>
      </patternFill>
    </fill>
    <fill>
      <patternFill patternType="solid">
        <fgColor theme="9" tint="-0.249977111117893"/>
        <bgColor indexed="64"/>
      </patternFill>
    </fill>
    <fill>
      <patternFill patternType="solid">
        <fgColor theme="9" tint="0.39997558519241921"/>
        <bgColor indexed="64"/>
      </patternFill>
    </fill>
  </fills>
  <borders count="41">
    <border>
      <left/>
      <right/>
      <top/>
      <bottom/>
      <diagonal/>
    </border>
    <border>
      <left/>
      <right/>
      <top style="thin">
        <color theme="0"/>
      </top>
      <bottom style="medium">
        <color theme="0"/>
      </bottom>
      <diagonal/>
    </border>
    <border>
      <left/>
      <right/>
      <top/>
      <bottom style="thin">
        <color indexed="64"/>
      </bottom>
      <diagonal/>
    </border>
    <border>
      <left/>
      <right/>
      <top style="medium">
        <color theme="0"/>
      </top>
      <bottom style="thin">
        <color indexed="64"/>
      </bottom>
      <diagonal/>
    </border>
    <border>
      <left style="thin">
        <color rgb="FF7F7F7F"/>
      </left>
      <right style="thin">
        <color rgb="FF7F7F7F"/>
      </right>
      <top style="thin">
        <color rgb="FF7F7F7F"/>
      </top>
      <bottom style="thin">
        <color rgb="FF7F7F7F"/>
      </bottom>
      <diagonal/>
    </border>
    <border>
      <left/>
      <right/>
      <top style="thin">
        <color theme="0"/>
      </top>
      <bottom/>
      <diagonal/>
    </border>
    <border>
      <left/>
      <right/>
      <top style="thin">
        <color indexed="64"/>
      </top>
      <bottom style="thin">
        <color indexed="64"/>
      </bottom>
      <diagonal/>
    </border>
    <border>
      <left/>
      <right/>
      <top style="thin">
        <color indexed="64"/>
      </top>
      <bottom/>
      <diagonal/>
    </border>
    <border>
      <left/>
      <right/>
      <top style="medium">
        <color theme="0"/>
      </top>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bottom style="thin">
        <color theme="4" tint="0.39997558519241921"/>
      </bottom>
      <diagonal/>
    </border>
    <border>
      <left style="thin">
        <color theme="0"/>
      </left>
      <right/>
      <top style="thin">
        <color theme="0"/>
      </top>
      <bottom style="medium">
        <color theme="0"/>
      </bottom>
      <diagonal/>
    </border>
    <border>
      <left/>
      <right style="thin">
        <color theme="0"/>
      </right>
      <top style="thin">
        <color theme="0"/>
      </top>
      <bottom style="medium">
        <color theme="0"/>
      </bottom>
      <diagonal/>
    </border>
    <border>
      <left style="thin">
        <color indexed="64"/>
      </left>
      <right/>
      <top style="thin">
        <color auto="1"/>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37">
    <xf numFmtId="0" fontId="0" fillId="0" borderId="0"/>
    <xf numFmtId="0" fontId="51" fillId="0" borderId="0"/>
    <xf numFmtId="0" fontId="51" fillId="0" borderId="0"/>
    <xf numFmtId="0" fontId="56" fillId="0" borderId="0" applyNumberFormat="0" applyFill="0" applyBorder="0" applyAlignment="0" applyProtection="0"/>
    <xf numFmtId="0" fontId="51" fillId="0" borderId="0"/>
    <xf numFmtId="0" fontId="51" fillId="0" borderId="0"/>
    <xf numFmtId="0" fontId="64" fillId="0" borderId="0"/>
    <xf numFmtId="0" fontId="68" fillId="5" borderId="4" applyNumberFormat="0" applyAlignment="0" applyProtection="0"/>
    <xf numFmtId="43" fontId="64" fillId="0" borderId="0" applyFont="0" applyFill="0" applyBorder="0" applyAlignment="0" applyProtection="0"/>
    <xf numFmtId="9" fontId="64" fillId="0" borderId="0" applyFont="0" applyFill="0" applyBorder="0" applyAlignment="0" applyProtection="0"/>
    <xf numFmtId="0" fontId="64" fillId="0" borderId="0"/>
    <xf numFmtId="0" fontId="74" fillId="0" borderId="0"/>
    <xf numFmtId="9" fontId="74" fillId="0" borderId="0" applyFont="0" applyFill="0" applyBorder="0" applyAlignment="0" applyProtection="0"/>
    <xf numFmtId="164" fontId="74" fillId="0" borderId="0" applyFont="0" applyFill="0" applyBorder="0" applyAlignment="0" applyProtection="0"/>
    <xf numFmtId="9" fontId="79" fillId="0" borderId="0" applyFont="0" applyFill="0" applyBorder="0" applyAlignment="0" applyProtection="0"/>
    <xf numFmtId="0" fontId="79" fillId="0" borderId="0"/>
    <xf numFmtId="0" fontId="49" fillId="0" borderId="0"/>
    <xf numFmtId="0" fontId="49" fillId="0" borderId="0"/>
    <xf numFmtId="0" fontId="49" fillId="0" borderId="0"/>
    <xf numFmtId="0" fontId="49" fillId="0" borderId="0"/>
    <xf numFmtId="0" fontId="49" fillId="0" borderId="0"/>
    <xf numFmtId="164" fontId="49" fillId="0" borderId="0" applyFont="0" applyFill="0" applyBorder="0" applyAlignment="0" applyProtection="0"/>
    <xf numFmtId="0" fontId="88" fillId="0" borderId="0" applyFill="0" applyProtection="0"/>
    <xf numFmtId="9" fontId="49" fillId="0" borderId="0" applyFont="0" applyFill="0" applyBorder="0" applyAlignment="0" applyProtection="0"/>
    <xf numFmtId="0" fontId="89" fillId="0" borderId="0"/>
    <xf numFmtId="0" fontId="45" fillId="0" borderId="0"/>
    <xf numFmtId="164" fontId="45" fillId="0" borderId="0" applyFont="0" applyFill="0" applyBorder="0" applyAlignment="0" applyProtection="0"/>
    <xf numFmtId="0" fontId="40" fillId="0" borderId="0"/>
    <xf numFmtId="9" fontId="40" fillId="0" borderId="0" applyFont="0" applyFill="0" applyBorder="0" applyAlignment="0" applyProtection="0"/>
    <xf numFmtId="0" fontId="39" fillId="0" borderId="0"/>
    <xf numFmtId="43" fontId="79" fillId="0" borderId="0" applyFont="0" applyFill="0" applyBorder="0" applyAlignment="0" applyProtection="0"/>
    <xf numFmtId="0" fontId="64" fillId="0" borderId="0"/>
    <xf numFmtId="0" fontId="29" fillId="0" borderId="0"/>
    <xf numFmtId="0" fontId="27" fillId="0" borderId="0"/>
    <xf numFmtId="0" fontId="79" fillId="0" borderId="0"/>
    <xf numFmtId="0" fontId="64" fillId="0" borderId="0"/>
    <xf numFmtId="0" fontId="7" fillId="0" borderId="0"/>
  </cellStyleXfs>
  <cellXfs count="732">
    <xf numFmtId="0" fontId="0" fillId="0" borderId="0" xfId="0"/>
    <xf numFmtId="0" fontId="62" fillId="4" borderId="3" xfId="0" applyFont="1" applyFill="1" applyBorder="1" applyAlignment="1">
      <alignment horizontal="left" vertical="center" wrapText="1"/>
    </xf>
    <xf numFmtId="0" fontId="62" fillId="4" borderId="2" xfId="0" applyFont="1" applyFill="1" applyBorder="1" applyAlignment="1">
      <alignment horizontal="left" vertical="center" wrapText="1"/>
    </xf>
    <xf numFmtId="0" fontId="51" fillId="0" borderId="0" xfId="0" applyFont="1" applyAlignment="1">
      <alignment horizontal="left" vertical="center"/>
    </xf>
    <xf numFmtId="0" fontId="63" fillId="0" borderId="0" xfId="0" applyFont="1" applyAlignment="1">
      <alignment horizontal="left" vertical="center"/>
    </xf>
    <xf numFmtId="0" fontId="62" fillId="0" borderId="0" xfId="0" applyFont="1" applyAlignment="1">
      <alignment horizontal="left" vertical="center"/>
    </xf>
    <xf numFmtId="0" fontId="62" fillId="4" borderId="2" xfId="0" applyFont="1" applyFill="1" applyBorder="1" applyAlignment="1">
      <alignment horizontal="left" vertical="center"/>
    </xf>
    <xf numFmtId="0" fontId="61" fillId="0" borderId="0" xfId="1" applyFont="1" applyAlignment="1">
      <alignment horizontal="left" vertical="center"/>
    </xf>
    <xf numFmtId="0" fontId="70" fillId="0" borderId="0" xfId="0" applyFont="1" applyAlignment="1">
      <alignment horizontal="left" vertical="center"/>
    </xf>
    <xf numFmtId="0" fontId="0" fillId="0" borderId="0" xfId="0" applyAlignment="1">
      <alignment horizontal="left" vertical="center"/>
    </xf>
    <xf numFmtId="0" fontId="58" fillId="0" borderId="0" xfId="15" applyFont="1" applyAlignment="1">
      <alignment horizontal="left" vertical="center"/>
    </xf>
    <xf numFmtId="0" fontId="79" fillId="0" borderId="0" xfId="15" applyAlignment="1">
      <alignment horizontal="left" vertical="center"/>
    </xf>
    <xf numFmtId="0" fontId="49" fillId="0" borderId="0" xfId="16" applyAlignment="1">
      <alignment vertical="center"/>
    </xf>
    <xf numFmtId="0" fontId="55" fillId="3" borderId="0" xfId="17" applyFont="1" applyFill="1" applyAlignment="1">
      <alignment vertical="center"/>
    </xf>
    <xf numFmtId="0" fontId="57" fillId="3" borderId="0" xfId="3" applyFont="1" applyFill="1" applyBorder="1" applyAlignment="1">
      <alignment vertical="center"/>
    </xf>
    <xf numFmtId="0" fontId="80" fillId="0" borderId="0" xfId="16" applyFont="1" applyAlignment="1">
      <alignment vertical="center"/>
    </xf>
    <xf numFmtId="0" fontId="59" fillId="0" borderId="0" xfId="16" applyFont="1" applyAlignment="1">
      <alignment vertical="center"/>
    </xf>
    <xf numFmtId="0" fontId="81" fillId="0" borderId="0" xfId="16" quotePrefix="1" applyFont="1" applyAlignment="1">
      <alignment vertical="center"/>
    </xf>
    <xf numFmtId="0" fontId="49" fillId="0" borderId="0" xfId="16" applyAlignment="1">
      <alignment horizontal="left" vertical="center"/>
    </xf>
    <xf numFmtId="0" fontId="58" fillId="0" borderId="0" xfId="16" applyFont="1" applyAlignment="1">
      <alignment vertical="center"/>
    </xf>
    <xf numFmtId="0" fontId="82" fillId="7" borderId="10" xfId="16" applyFont="1" applyFill="1" applyBorder="1" applyAlignment="1">
      <alignment vertical="center"/>
    </xf>
    <xf numFmtId="0" fontId="49" fillId="6" borderId="12" xfId="16" applyFill="1" applyBorder="1" applyAlignment="1">
      <alignment vertical="center"/>
    </xf>
    <xf numFmtId="0" fontId="59" fillId="6" borderId="12" xfId="16" applyFont="1" applyFill="1" applyBorder="1" applyAlignment="1">
      <alignment vertical="center"/>
    </xf>
    <xf numFmtId="0" fontId="49" fillId="0" borderId="13" xfId="16" applyBorder="1" applyAlignment="1">
      <alignment vertical="center"/>
    </xf>
    <xf numFmtId="0" fontId="49" fillId="8" borderId="14" xfId="19" applyFill="1" applyBorder="1" applyAlignment="1">
      <alignment vertical="center"/>
    </xf>
    <xf numFmtId="0" fontId="49" fillId="9" borderId="14" xfId="19" applyFill="1" applyBorder="1" applyAlignment="1">
      <alignment vertical="center"/>
    </xf>
    <xf numFmtId="0" fontId="49" fillId="10" borderId="13" xfId="19" applyFill="1" applyBorder="1" applyAlignment="1">
      <alignment vertical="center"/>
    </xf>
    <xf numFmtId="0" fontId="49" fillId="0" borderId="0" xfId="19" applyAlignment="1">
      <alignment vertical="center"/>
    </xf>
    <xf numFmtId="0" fontId="0" fillId="0" borderId="0" xfId="19" applyFont="1" applyAlignment="1">
      <alignment horizontal="left" vertical="center"/>
    </xf>
    <xf numFmtId="0" fontId="53" fillId="7" borderId="5" xfId="16" applyFont="1" applyFill="1" applyBorder="1" applyAlignment="1">
      <alignment horizontal="left" vertical="center"/>
    </xf>
    <xf numFmtId="0" fontId="73" fillId="0" borderId="0" xfId="16" applyFont="1" applyAlignment="1">
      <alignment vertical="center"/>
    </xf>
    <xf numFmtId="0" fontId="49" fillId="9" borderId="13" xfId="16" applyFill="1" applyBorder="1" applyAlignment="1">
      <alignment vertical="center"/>
    </xf>
    <xf numFmtId="0" fontId="49" fillId="0" borderId="0" xfId="16" quotePrefix="1" applyAlignment="1">
      <alignment vertical="center"/>
    </xf>
    <xf numFmtId="0" fontId="49" fillId="9" borderId="6" xfId="16" applyFill="1" applyBorder="1" applyAlignment="1">
      <alignment vertical="center"/>
    </xf>
    <xf numFmtId="0" fontId="49" fillId="9" borderId="11" xfId="16" applyFill="1" applyBorder="1" applyAlignment="1">
      <alignment vertical="center"/>
    </xf>
    <xf numFmtId="0" fontId="49" fillId="8" borderId="13" xfId="16" applyFill="1" applyBorder="1" applyAlignment="1">
      <alignment vertical="center"/>
    </xf>
    <xf numFmtId="0" fontId="49" fillId="8" borderId="6" xfId="16" applyFill="1" applyBorder="1" applyAlignment="1">
      <alignment vertical="center"/>
    </xf>
    <xf numFmtId="0" fontId="49" fillId="8" borderId="11" xfId="16" applyFill="1" applyBorder="1" applyAlignment="1">
      <alignment vertical="center"/>
    </xf>
    <xf numFmtId="0" fontId="49" fillId="8" borderId="10" xfId="16" applyFill="1" applyBorder="1" applyAlignment="1">
      <alignment vertical="center"/>
    </xf>
    <xf numFmtId="0" fontId="49" fillId="0" borderId="12" xfId="16" applyBorder="1" applyAlignment="1">
      <alignment vertical="center"/>
    </xf>
    <xf numFmtId="0" fontId="60" fillId="0" borderId="0" xfId="0" applyFont="1" applyAlignment="1">
      <alignment horizontal="left" vertical="center"/>
    </xf>
    <xf numFmtId="0" fontId="49" fillId="0" borderId="0" xfId="20"/>
    <xf numFmtId="0" fontId="53" fillId="7" borderId="1" xfId="20" applyFont="1" applyFill="1" applyBorder="1" applyAlignment="1">
      <alignment horizontal="left" vertical="center"/>
    </xf>
    <xf numFmtId="0" fontId="61" fillId="0" borderId="0" xfId="0" applyFont="1" applyAlignment="1">
      <alignment horizontal="left" vertical="center" wrapText="1"/>
    </xf>
    <xf numFmtId="0" fontId="85" fillId="0" borderId="0" xfId="0" applyFont="1" applyAlignment="1">
      <alignment vertical="center"/>
    </xf>
    <xf numFmtId="0" fontId="85" fillId="0" borderId="0" xfId="0" applyFont="1" applyAlignment="1">
      <alignment horizontal="left" vertical="center" wrapText="1"/>
    </xf>
    <xf numFmtId="0" fontId="85" fillId="0" borderId="0" xfId="0" applyFont="1" applyAlignment="1">
      <alignment vertical="center" wrapText="1"/>
    </xf>
    <xf numFmtId="0" fontId="61" fillId="0" borderId="0" xfId="0" applyFont="1" applyAlignment="1">
      <alignment vertical="center" wrapText="1"/>
    </xf>
    <xf numFmtId="0" fontId="75" fillId="0" borderId="0" xfId="0" applyFont="1" applyAlignment="1">
      <alignment horizontal="left" vertical="center"/>
    </xf>
    <xf numFmtId="0" fontId="57" fillId="0" borderId="0" xfId="0" applyFont="1" applyAlignment="1">
      <alignment horizontal="left" vertical="center"/>
    </xf>
    <xf numFmtId="0" fontId="61" fillId="0" borderId="0" xfId="0" applyFont="1" applyAlignment="1">
      <alignment horizontal="left" vertical="center"/>
    </xf>
    <xf numFmtId="0" fontId="57" fillId="0" borderId="2" xfId="0" applyFont="1" applyBorder="1" applyAlignment="1">
      <alignment horizontal="left" vertical="center"/>
    </xf>
    <xf numFmtId="0" fontId="49" fillId="0" borderId="0" xfId="0" applyFont="1" applyAlignment="1">
      <alignment horizontal="left" vertical="center"/>
    </xf>
    <xf numFmtId="0" fontId="57" fillId="0" borderId="0" xfId="1" applyFont="1" applyAlignment="1">
      <alignment horizontal="left" vertical="center"/>
    </xf>
    <xf numFmtId="3" fontId="57" fillId="0" borderId="0" xfId="7" applyNumberFormat="1" applyFont="1" applyFill="1" applyBorder="1" applyAlignment="1">
      <alignment horizontal="left" vertical="center"/>
    </xf>
    <xf numFmtId="166" fontId="51" fillId="0" borderId="0" xfId="0" applyNumberFormat="1" applyFont="1" applyAlignment="1">
      <alignment horizontal="left" vertical="center"/>
    </xf>
    <xf numFmtId="0" fontId="57" fillId="0" borderId="7" xfId="0" applyFont="1" applyBorder="1" applyAlignment="1">
      <alignment horizontal="left" vertical="center"/>
    </xf>
    <xf numFmtId="0" fontId="78" fillId="4" borderId="2" xfId="0" applyFont="1" applyFill="1" applyBorder="1" applyAlignment="1">
      <alignment horizontal="left" vertical="center" wrapText="1"/>
    </xf>
    <xf numFmtId="0" fontId="78" fillId="4" borderId="2" xfId="0" applyFont="1" applyFill="1" applyBorder="1" applyAlignment="1">
      <alignment horizontal="left" vertical="center"/>
    </xf>
    <xf numFmtId="0" fontId="54" fillId="0" borderId="0" xfId="0" applyFont="1" applyAlignment="1">
      <alignment horizontal="left" vertical="center"/>
    </xf>
    <xf numFmtId="0" fontId="60" fillId="0" borderId="0" xfId="0" applyFont="1" applyAlignment="1">
      <alignment vertical="center"/>
    </xf>
    <xf numFmtId="0" fontId="61" fillId="0" borderId="7" xfId="0" applyFont="1" applyBorder="1" applyAlignment="1">
      <alignment horizontal="left" vertical="center"/>
    </xf>
    <xf numFmtId="0" fontId="61" fillId="0" borderId="7" xfId="1" applyFont="1" applyBorder="1" applyAlignment="1">
      <alignment horizontal="left" vertical="center"/>
    </xf>
    <xf numFmtId="0" fontId="57" fillId="0" borderId="9" xfId="1" applyFont="1" applyBorder="1" applyAlignment="1">
      <alignment horizontal="left" vertical="center"/>
    </xf>
    <xf numFmtId="0" fontId="73" fillId="0" borderId="7" xfId="0" applyFont="1" applyBorder="1" applyAlignment="1">
      <alignment horizontal="left" vertical="center"/>
    </xf>
    <xf numFmtId="0" fontId="0" fillId="0" borderId="9" xfId="0" applyBorder="1" applyAlignment="1">
      <alignment horizontal="left" vertical="center"/>
    </xf>
    <xf numFmtId="0" fontId="90" fillId="0" borderId="0" xfId="0" applyFont="1" applyAlignment="1">
      <alignment horizontal="left" vertical="center"/>
    </xf>
    <xf numFmtId="0" fontId="61" fillId="0" borderId="6" xfId="0" applyFont="1" applyBorder="1" applyAlignment="1">
      <alignment horizontal="left" vertical="center"/>
    </xf>
    <xf numFmtId="0" fontId="57" fillId="0" borderId="6" xfId="0" applyFont="1" applyBorder="1" applyAlignment="1">
      <alignment horizontal="left" vertical="center"/>
    </xf>
    <xf numFmtId="0" fontId="61" fillId="0" borderId="2" xfId="0" applyFont="1" applyBorder="1" applyAlignment="1">
      <alignment horizontal="left" vertical="center"/>
    </xf>
    <xf numFmtId="3" fontId="61" fillId="0" borderId="2" xfId="7" applyNumberFormat="1" applyFont="1" applyFill="1" applyBorder="1" applyAlignment="1">
      <alignment horizontal="left" vertical="center"/>
    </xf>
    <xf numFmtId="0" fontId="90" fillId="0" borderId="0" xfId="7" applyFont="1" applyFill="1" applyBorder="1" applyAlignment="1">
      <alignment horizontal="left" vertical="center"/>
    </xf>
    <xf numFmtId="2" fontId="90" fillId="0" borderId="0" xfId="7" applyNumberFormat="1" applyFont="1" applyFill="1" applyBorder="1" applyAlignment="1">
      <alignment horizontal="left" vertical="center"/>
    </xf>
    <xf numFmtId="0" fontId="77" fillId="0" borderId="2" xfId="0" applyFont="1" applyBorder="1" applyAlignment="1">
      <alignment horizontal="left" vertical="center"/>
    </xf>
    <xf numFmtId="0" fontId="77" fillId="0" borderId="2" xfId="7" applyFont="1" applyFill="1" applyBorder="1" applyAlignment="1">
      <alignment horizontal="left" vertical="center"/>
    </xf>
    <xf numFmtId="2" fontId="77" fillId="0" borderId="2" xfId="7" applyNumberFormat="1" applyFont="1" applyFill="1" applyBorder="1" applyAlignment="1">
      <alignment horizontal="left" vertical="center"/>
    </xf>
    <xf numFmtId="0" fontId="77" fillId="0" borderId="0" xfId="0" applyFont="1" applyAlignment="1">
      <alignment horizontal="left" vertical="center"/>
    </xf>
    <xf numFmtId="0" fontId="48" fillId="0" borderId="0" xfId="20" applyFont="1" applyAlignment="1">
      <alignment horizontal="left" vertical="center"/>
    </xf>
    <xf numFmtId="0" fontId="48" fillId="0" borderId="6" xfId="20" applyFont="1" applyBorder="1" applyAlignment="1">
      <alignment horizontal="left" vertical="center"/>
    </xf>
    <xf numFmtId="165" fontId="57" fillId="0" borderId="0" xfId="0" applyNumberFormat="1" applyFont="1" applyAlignment="1">
      <alignment horizontal="left" vertical="center"/>
    </xf>
    <xf numFmtId="1" fontId="57" fillId="0" borderId="7" xfId="0" applyNumberFormat="1" applyFont="1" applyBorder="1" applyAlignment="1">
      <alignment horizontal="left" vertical="center"/>
    </xf>
    <xf numFmtId="1" fontId="57" fillId="0" borderId="0" xfId="0" applyNumberFormat="1" applyFont="1" applyAlignment="1">
      <alignment horizontal="left" vertical="center"/>
    </xf>
    <xf numFmtId="1" fontId="61" fillId="0" borderId="0" xfId="0" applyNumberFormat="1" applyFont="1" applyAlignment="1">
      <alignment horizontal="left" vertical="center"/>
    </xf>
    <xf numFmtId="3" fontId="57" fillId="6" borderId="0" xfId="0" applyNumberFormat="1" applyFont="1" applyFill="1" applyAlignment="1">
      <alignment horizontal="left" vertical="center"/>
    </xf>
    <xf numFmtId="3" fontId="57" fillId="0" borderId="0" xfId="0" applyNumberFormat="1" applyFont="1" applyAlignment="1">
      <alignment horizontal="left" vertical="center"/>
    </xf>
    <xf numFmtId="2" fontId="57" fillId="0" borderId="0" xfId="0" applyNumberFormat="1" applyFont="1" applyAlignment="1">
      <alignment horizontal="left" vertical="center"/>
    </xf>
    <xf numFmtId="3" fontId="61" fillId="6" borderId="6" xfId="0" applyNumberFormat="1" applyFont="1" applyFill="1" applyBorder="1" applyAlignment="1">
      <alignment horizontal="left" vertical="center"/>
    </xf>
    <xf numFmtId="1" fontId="57" fillId="0" borderId="6" xfId="0" applyNumberFormat="1" applyFont="1" applyBorder="1" applyAlignment="1">
      <alignment horizontal="left" vertical="center"/>
    </xf>
    <xf numFmtId="0" fontId="48" fillId="0" borderId="0" xfId="0" applyFont="1" applyAlignment="1">
      <alignment horizontal="left" vertical="center"/>
    </xf>
    <xf numFmtId="0" fontId="48" fillId="0" borderId="6" xfId="0" applyFont="1" applyBorder="1" applyAlignment="1">
      <alignment horizontal="left" vertical="center"/>
    </xf>
    <xf numFmtId="0" fontId="48" fillId="0" borderId="2" xfId="0" applyFont="1" applyBorder="1" applyAlignment="1">
      <alignment horizontal="left" vertical="center"/>
    </xf>
    <xf numFmtId="0" fontId="48" fillId="0" borderId="15" xfId="0" applyFont="1" applyBorder="1" applyAlignment="1">
      <alignment horizontal="left" vertical="center"/>
    </xf>
    <xf numFmtId="0" fontId="48" fillId="0" borderId="2" xfId="20" applyFont="1" applyBorder="1" applyAlignment="1">
      <alignment horizontal="left" vertical="center"/>
    </xf>
    <xf numFmtId="0" fontId="50" fillId="0" borderId="0" xfId="0" applyFont="1" applyAlignment="1">
      <alignment horizontal="left" vertical="center"/>
    </xf>
    <xf numFmtId="0" fontId="76" fillId="0" borderId="0" xfId="0" applyFont="1" applyAlignment="1">
      <alignment horizontal="left" vertical="center"/>
    </xf>
    <xf numFmtId="0" fontId="65" fillId="0" borderId="0" xfId="6" applyFont="1" applyAlignment="1">
      <alignment horizontal="left" vertical="center"/>
    </xf>
    <xf numFmtId="0" fontId="53" fillId="7" borderId="1" xfId="0" applyFont="1" applyFill="1" applyBorder="1" applyAlignment="1">
      <alignment horizontal="left" vertical="center"/>
    </xf>
    <xf numFmtId="2" fontId="57" fillId="0" borderId="2" xfId="0" applyNumberFormat="1" applyFont="1" applyBorder="1" applyAlignment="1">
      <alignment horizontal="left" vertical="center"/>
    </xf>
    <xf numFmtId="9" fontId="57" fillId="0" borderId="0" xfId="14" applyFont="1" applyFill="1" applyAlignment="1">
      <alignment horizontal="left" vertical="center"/>
    </xf>
    <xf numFmtId="0" fontId="53" fillId="7" borderId="1" xfId="0" applyFont="1" applyFill="1" applyBorder="1" applyAlignment="1">
      <alignment horizontal="left" vertical="center" wrapText="1"/>
    </xf>
    <xf numFmtId="0" fontId="78" fillId="4" borderId="6" xfId="0" applyFont="1" applyFill="1" applyBorder="1" applyAlignment="1">
      <alignment horizontal="left" vertical="center" wrapText="1"/>
    </xf>
    <xf numFmtId="0" fontId="78" fillId="4" borderId="6" xfId="0" applyFont="1" applyFill="1" applyBorder="1" applyAlignment="1">
      <alignment horizontal="left" vertical="center"/>
    </xf>
    <xf numFmtId="0" fontId="57" fillId="0" borderId="2" xfId="1" applyFont="1" applyBorder="1" applyAlignment="1">
      <alignment horizontal="left" vertical="center"/>
    </xf>
    <xf numFmtId="0" fontId="47" fillId="0" borderId="0" xfId="0" applyFont="1" applyAlignment="1">
      <alignment horizontal="left" vertical="center"/>
    </xf>
    <xf numFmtId="166" fontId="65" fillId="0" borderId="0" xfId="6" applyNumberFormat="1" applyFont="1" applyAlignment="1">
      <alignment horizontal="left" vertical="center"/>
    </xf>
    <xf numFmtId="0" fontId="53" fillId="7" borderId="1" xfId="0" applyFont="1" applyFill="1" applyBorder="1" applyAlignment="1">
      <alignment vertical="center" wrapText="1"/>
    </xf>
    <xf numFmtId="0" fontId="47" fillId="0" borderId="2" xfId="0" applyFont="1" applyBorder="1" applyAlignment="1">
      <alignment horizontal="left" vertical="center"/>
    </xf>
    <xf numFmtId="0" fontId="47" fillId="0" borderId="6" xfId="0" applyFont="1" applyBorder="1" applyAlignment="1">
      <alignment horizontal="left" vertical="center"/>
    </xf>
    <xf numFmtId="9" fontId="47" fillId="0" borderId="6" xfId="14" applyFont="1" applyBorder="1" applyAlignment="1">
      <alignment horizontal="left" vertical="center"/>
    </xf>
    <xf numFmtId="0" fontId="46" fillId="0" borderId="0" xfId="0" applyFont="1" applyAlignment="1">
      <alignment horizontal="left" vertical="center"/>
    </xf>
    <xf numFmtId="167" fontId="47" fillId="0" borderId="0" xfId="14" applyNumberFormat="1" applyFont="1" applyAlignment="1">
      <alignment horizontal="left" vertical="center"/>
    </xf>
    <xf numFmtId="0" fontId="46" fillId="0" borderId="6" xfId="0" applyFont="1" applyBorder="1" applyAlignment="1">
      <alignment horizontal="left" vertical="center"/>
    </xf>
    <xf numFmtId="0" fontId="73" fillId="0" borderId="0" xfId="0" applyFont="1" applyAlignment="1">
      <alignment horizontal="left" vertical="center"/>
    </xf>
    <xf numFmtId="3" fontId="57" fillId="0" borderId="6" xfId="0" applyNumberFormat="1" applyFont="1" applyBorder="1" applyAlignment="1">
      <alignment horizontal="left" vertical="center"/>
    </xf>
    <xf numFmtId="1" fontId="57" fillId="0" borderId="2" xfId="0" applyNumberFormat="1" applyFont="1" applyBorder="1" applyAlignment="1">
      <alignment horizontal="left" vertical="center"/>
    </xf>
    <xf numFmtId="3" fontId="57" fillId="0" borderId="2" xfId="0" applyNumberFormat="1" applyFont="1" applyBorder="1" applyAlignment="1">
      <alignment horizontal="left" vertical="center"/>
    </xf>
    <xf numFmtId="0" fontId="0" fillId="0" borderId="2" xfId="0" applyBorder="1" applyAlignment="1">
      <alignment horizontal="left" vertical="center"/>
    </xf>
    <xf numFmtId="3" fontId="48" fillId="0" borderId="0" xfId="20" applyNumberFormat="1" applyFont="1" applyAlignment="1">
      <alignment horizontal="left" vertical="center"/>
    </xf>
    <xf numFmtId="3" fontId="48" fillId="0" borderId="6" xfId="20" applyNumberFormat="1" applyFont="1" applyBorder="1" applyAlignment="1">
      <alignment horizontal="left" vertical="center"/>
    </xf>
    <xf numFmtId="3" fontId="48" fillId="0" borderId="2" xfId="20" applyNumberFormat="1" applyFont="1" applyBorder="1" applyAlignment="1">
      <alignment horizontal="left" vertical="center"/>
    </xf>
    <xf numFmtId="3" fontId="0" fillId="0" borderId="7" xfId="0" applyNumberFormat="1" applyBorder="1" applyAlignment="1">
      <alignment horizontal="left" vertical="center"/>
    </xf>
    <xf numFmtId="3" fontId="0" fillId="0" borderId="0" xfId="0" applyNumberFormat="1" applyAlignment="1">
      <alignment horizontal="left" vertical="center"/>
    </xf>
    <xf numFmtId="3" fontId="0" fillId="0" borderId="2" xfId="0" applyNumberFormat="1" applyBorder="1" applyAlignment="1">
      <alignment horizontal="left" vertical="center"/>
    </xf>
    <xf numFmtId="0" fontId="46" fillId="8" borderId="0" xfId="16" applyFont="1" applyFill="1" applyAlignment="1">
      <alignment vertical="center"/>
    </xf>
    <xf numFmtId="0" fontId="78" fillId="0" borderId="0" xfId="25" applyFont="1"/>
    <xf numFmtId="0" fontId="45" fillId="0" borderId="0" xfId="25"/>
    <xf numFmtId="0" fontId="78" fillId="0" borderId="0" xfId="25" applyFont="1" applyAlignment="1">
      <alignment horizontal="center"/>
    </xf>
    <xf numFmtId="0" fontId="92" fillId="0" borderId="18" xfId="25" applyFont="1" applyBorder="1"/>
    <xf numFmtId="1" fontId="92" fillId="0" borderId="10" xfId="25" applyNumberFormat="1" applyFont="1" applyBorder="1" applyAlignment="1">
      <alignment horizontal="center"/>
    </xf>
    <xf numFmtId="0" fontId="92" fillId="0" borderId="6" xfId="25" applyFont="1" applyBorder="1"/>
    <xf numFmtId="1" fontId="92" fillId="0" borderId="11" xfId="25" applyNumberFormat="1" applyFont="1" applyBorder="1" applyAlignment="1">
      <alignment horizontal="right"/>
    </xf>
    <xf numFmtId="0" fontId="92" fillId="12" borderId="10" xfId="25" applyFont="1" applyFill="1" applyBorder="1"/>
    <xf numFmtId="0" fontId="78" fillId="0" borderId="20" xfId="25" applyFont="1" applyBorder="1" applyAlignment="1">
      <alignment vertical="center"/>
    </xf>
    <xf numFmtId="1" fontId="78" fillId="0" borderId="13" xfId="25" applyNumberFormat="1" applyFont="1" applyBorder="1"/>
    <xf numFmtId="1" fontId="78" fillId="0" borderId="7" xfId="25" applyNumberFormat="1" applyFont="1" applyBorder="1"/>
    <xf numFmtId="168" fontId="78" fillId="0" borderId="21" xfId="26" applyNumberFormat="1" applyFont="1" applyBorder="1"/>
    <xf numFmtId="168" fontId="78" fillId="0" borderId="13" xfId="26" applyNumberFormat="1" applyFont="1" applyFill="1" applyBorder="1"/>
    <xf numFmtId="168" fontId="78" fillId="0" borderId="6" xfId="26" applyNumberFormat="1" applyFont="1" applyFill="1" applyBorder="1"/>
    <xf numFmtId="168" fontId="78" fillId="0" borderId="11" xfId="26" applyNumberFormat="1" applyFont="1" applyFill="1" applyBorder="1"/>
    <xf numFmtId="168" fontId="78" fillId="0" borderId="0" xfId="26" applyNumberFormat="1" applyFont="1"/>
    <xf numFmtId="0" fontId="78" fillId="0" borderId="10" xfId="25" applyFont="1" applyBorder="1" applyAlignment="1">
      <alignment vertical="center"/>
    </xf>
    <xf numFmtId="168" fontId="78" fillId="0" borderId="21" xfId="25" applyNumberFormat="1" applyFont="1" applyBorder="1"/>
    <xf numFmtId="168" fontId="78" fillId="0" borderId="6" xfId="25" applyNumberFormat="1" applyFont="1" applyBorder="1"/>
    <xf numFmtId="168" fontId="78" fillId="0" borderId="11" xfId="25" applyNumberFormat="1" applyFont="1" applyBorder="1"/>
    <xf numFmtId="0" fontId="78" fillId="0" borderId="13" xfId="25" applyFont="1" applyBorder="1"/>
    <xf numFmtId="2" fontId="78" fillId="0" borderId="7" xfId="25" applyNumberFormat="1" applyFont="1" applyBorder="1"/>
    <xf numFmtId="2" fontId="78" fillId="0" borderId="21" xfId="25" applyNumberFormat="1" applyFont="1" applyBorder="1"/>
    <xf numFmtId="2" fontId="78" fillId="0" borderId="6" xfId="25" applyNumberFormat="1" applyFont="1" applyBorder="1"/>
    <xf numFmtId="2" fontId="78" fillId="0" borderId="11" xfId="25" applyNumberFormat="1" applyFont="1" applyBorder="1"/>
    <xf numFmtId="2" fontId="78" fillId="0" borderId="13" xfId="25" applyNumberFormat="1" applyFont="1" applyBorder="1"/>
    <xf numFmtId="1" fontId="78" fillId="0" borderId="17" xfId="25" applyNumberFormat="1" applyFont="1" applyBorder="1"/>
    <xf numFmtId="0" fontId="87" fillId="0" borderId="0" xfId="25" applyFont="1"/>
    <xf numFmtId="0" fontId="78" fillId="0" borderId="22" xfId="25" applyFont="1" applyBorder="1" applyAlignment="1">
      <alignment vertical="center"/>
    </xf>
    <xf numFmtId="1" fontId="78" fillId="13" borderId="7" xfId="25" applyNumberFormat="1" applyFont="1" applyFill="1" applyBorder="1"/>
    <xf numFmtId="168" fontId="78" fillId="13" borderId="7" xfId="26" applyNumberFormat="1" applyFont="1" applyFill="1" applyBorder="1"/>
    <xf numFmtId="168" fontId="78" fillId="13" borderId="17" xfId="26" applyNumberFormat="1" applyFont="1" applyFill="1" applyBorder="1"/>
    <xf numFmtId="0" fontId="78" fillId="0" borderId="23" xfId="25" applyFont="1" applyBorder="1" applyAlignment="1">
      <alignment horizontal="left" vertical="center" indent="1"/>
    </xf>
    <xf numFmtId="164" fontId="78" fillId="0" borderId="25" xfId="26" applyFont="1" applyFill="1" applyBorder="1"/>
    <xf numFmtId="164" fontId="78" fillId="0" borderId="26" xfId="26" applyFont="1" applyFill="1" applyBorder="1"/>
    <xf numFmtId="164" fontId="78" fillId="0" borderId="27" xfId="26" applyFont="1" applyFill="1" applyBorder="1"/>
    <xf numFmtId="164" fontId="78" fillId="0" borderId="28" xfId="26" applyFont="1" applyFill="1" applyBorder="1"/>
    <xf numFmtId="164" fontId="78" fillId="0" borderId="29" xfId="26" applyFont="1" applyFill="1" applyBorder="1"/>
    <xf numFmtId="164" fontId="78" fillId="0" borderId="30" xfId="26" applyFont="1" applyFill="1" applyBorder="1"/>
    <xf numFmtId="0" fontId="78" fillId="0" borderId="31" xfId="25" applyFont="1" applyBorder="1" applyAlignment="1">
      <alignment horizontal="left" vertical="center" indent="1"/>
    </xf>
    <xf numFmtId="164" fontId="78" fillId="0" borderId="32" xfId="26" applyFont="1" applyFill="1" applyBorder="1"/>
    <xf numFmtId="164" fontId="78" fillId="0" borderId="33" xfId="26" applyFont="1" applyFill="1" applyBorder="1"/>
    <xf numFmtId="164" fontId="78" fillId="0" borderId="34" xfId="26" applyFont="1" applyFill="1" applyBorder="1"/>
    <xf numFmtId="1" fontId="78" fillId="0" borderId="10" xfId="25" applyNumberFormat="1" applyFont="1" applyBorder="1"/>
    <xf numFmtId="1" fontId="78" fillId="0" borderId="6" xfId="25" applyNumberFormat="1" applyFont="1" applyBorder="1"/>
    <xf numFmtId="1" fontId="78" fillId="0" borderId="11" xfId="25" applyNumberFormat="1" applyFont="1" applyBorder="1"/>
    <xf numFmtId="2" fontId="78" fillId="0" borderId="10" xfId="25" applyNumberFormat="1" applyFont="1" applyBorder="1"/>
    <xf numFmtId="0" fontId="46" fillId="0" borderId="2" xfId="0" applyFont="1" applyBorder="1" applyAlignment="1">
      <alignment horizontal="left" vertical="center"/>
    </xf>
    <xf numFmtId="2" fontId="0" fillId="0" borderId="0" xfId="0" applyNumberFormat="1"/>
    <xf numFmtId="0" fontId="60" fillId="0" borderId="2" xfId="0" applyFont="1" applyBorder="1" applyAlignment="1">
      <alignment horizontal="left" vertical="center"/>
    </xf>
    <xf numFmtId="0" fontId="0" fillId="0" borderId="2" xfId="0" applyBorder="1"/>
    <xf numFmtId="0" fontId="52" fillId="0" borderId="6" xfId="0" applyFont="1" applyBorder="1"/>
    <xf numFmtId="0" fontId="52" fillId="0" borderId="0" xfId="0" applyFont="1"/>
    <xf numFmtId="0" fontId="69" fillId="6" borderId="0" xfId="0" applyFont="1" applyFill="1" applyAlignment="1">
      <alignment horizontal="left" vertical="center"/>
    </xf>
    <xf numFmtId="0" fontId="69" fillId="6" borderId="2" xfId="0" applyFont="1" applyFill="1" applyBorder="1" applyAlignment="1">
      <alignment horizontal="left" vertical="center"/>
    </xf>
    <xf numFmtId="0" fontId="69" fillId="6" borderId="6" xfId="0" applyFont="1" applyFill="1" applyBorder="1" applyAlignment="1">
      <alignment horizontal="left" vertical="center"/>
    </xf>
    <xf numFmtId="0" fontId="0" fillId="0" borderId="7" xfId="0" applyBorder="1"/>
    <xf numFmtId="0" fontId="52" fillId="0" borderId="2" xfId="0" applyFont="1" applyBorder="1"/>
    <xf numFmtId="1" fontId="69" fillId="0" borderId="0" xfId="0" applyNumberFormat="1" applyFont="1" applyAlignment="1">
      <alignment horizontal="left" vertical="center"/>
    </xf>
    <xf numFmtId="165" fontId="0" fillId="0" borderId="0" xfId="0" applyNumberFormat="1"/>
    <xf numFmtId="165" fontId="94" fillId="0" borderId="0" xfId="0" applyNumberFormat="1" applyFont="1"/>
    <xf numFmtId="165" fontId="0" fillId="0" borderId="2" xfId="0" applyNumberFormat="1" applyBorder="1"/>
    <xf numFmtId="0" fontId="61" fillId="0" borderId="6" xfId="1" applyFont="1" applyBorder="1" applyAlignment="1">
      <alignment horizontal="left" vertical="center"/>
    </xf>
    <xf numFmtId="0" fontId="69" fillId="0" borderId="0" xfId="16" applyFont="1" applyAlignment="1">
      <alignment vertical="center"/>
    </xf>
    <xf numFmtId="0" fontId="44" fillId="0" borderId="13" xfId="16" applyFont="1" applyBorder="1" applyAlignment="1">
      <alignment horizontal="left" vertical="center" wrapText="1"/>
    </xf>
    <xf numFmtId="0" fontId="57" fillId="0" borderId="13" xfId="16" applyFont="1" applyBorder="1" applyAlignment="1">
      <alignment vertical="center" wrapText="1"/>
    </xf>
    <xf numFmtId="0" fontId="49" fillId="0" borderId="13" xfId="16" applyBorder="1" applyAlignment="1">
      <alignment vertical="center" wrapText="1"/>
    </xf>
    <xf numFmtId="0" fontId="57" fillId="0" borderId="0" xfId="16" applyFont="1" applyAlignment="1">
      <alignment vertical="center" wrapText="1"/>
    </xf>
    <xf numFmtId="0" fontId="49" fillId="0" borderId="0" xfId="16" applyAlignment="1">
      <alignment vertical="center" wrapText="1"/>
    </xf>
    <xf numFmtId="0" fontId="49" fillId="0" borderId="0" xfId="16" applyAlignment="1">
      <alignment horizontal="left" vertical="center" wrapText="1"/>
    </xf>
    <xf numFmtId="0" fontId="49" fillId="0" borderId="12" xfId="16" applyBorder="1" applyAlignment="1">
      <alignment vertical="center" wrapText="1"/>
    </xf>
    <xf numFmtId="0" fontId="56" fillId="0" borderId="13" xfId="3" applyFill="1" applyBorder="1" applyAlignment="1">
      <alignment vertical="center" wrapText="1"/>
    </xf>
    <xf numFmtId="0" fontId="43" fillId="0" borderId="2" xfId="20" applyFont="1" applyBorder="1" applyAlignment="1">
      <alignment horizontal="left" vertical="center"/>
    </xf>
    <xf numFmtId="0" fontId="43" fillId="0" borderId="15" xfId="20" applyFont="1" applyBorder="1" applyAlignment="1">
      <alignment horizontal="left" vertical="center"/>
    </xf>
    <xf numFmtId="0" fontId="42" fillId="0" borderId="12" xfId="16" applyFont="1" applyBorder="1" applyAlignment="1">
      <alignment vertical="center" wrapText="1"/>
    </xf>
    <xf numFmtId="9" fontId="57" fillId="0" borderId="0" xfId="0" applyNumberFormat="1" applyFont="1" applyAlignment="1">
      <alignment horizontal="left" vertical="center"/>
    </xf>
    <xf numFmtId="0" fontId="58" fillId="0" borderId="0" xfId="27" applyFont="1" applyAlignment="1">
      <alignment horizontal="left" vertical="center"/>
    </xf>
    <xf numFmtId="0" fontId="40" fillId="0" borderId="0" xfId="27" applyAlignment="1">
      <alignment horizontal="left" vertical="center"/>
    </xf>
    <xf numFmtId="0" fontId="96" fillId="0" borderId="0" xfId="27" applyFont="1" applyAlignment="1">
      <alignment horizontal="left" vertical="center"/>
    </xf>
    <xf numFmtId="0" fontId="40" fillId="0" borderId="0" xfId="27" applyAlignment="1">
      <alignment vertical="center"/>
    </xf>
    <xf numFmtId="0" fontId="52" fillId="0" borderId="0" xfId="27" applyFont="1" applyAlignment="1">
      <alignment horizontal="left" vertical="center"/>
    </xf>
    <xf numFmtId="0" fontId="79" fillId="0" borderId="0" xfId="27" applyFont="1" applyAlignment="1">
      <alignment horizontal="left" vertical="center"/>
    </xf>
    <xf numFmtId="0" fontId="40" fillId="0" borderId="6" xfId="27" applyBorder="1" applyAlignment="1">
      <alignment horizontal="left" vertical="center"/>
    </xf>
    <xf numFmtId="0" fontId="40" fillId="0" borderId="7" xfId="27" applyBorder="1" applyAlignment="1">
      <alignment vertical="center"/>
    </xf>
    <xf numFmtId="0" fontId="40" fillId="0" borderId="7" xfId="27" applyBorder="1" applyAlignment="1">
      <alignment horizontal="left" vertical="center"/>
    </xf>
    <xf numFmtId="0" fontId="69" fillId="6" borderId="7" xfId="27" applyFont="1" applyFill="1" applyBorder="1" applyAlignment="1">
      <alignment horizontal="left" vertical="center"/>
    </xf>
    <xf numFmtId="0" fontId="40" fillId="0" borderId="9" xfId="27" applyBorder="1" applyAlignment="1">
      <alignment horizontal="left" vertical="center"/>
    </xf>
    <xf numFmtId="0" fontId="57" fillId="0" borderId="0" xfId="27" applyFont="1" applyAlignment="1">
      <alignment horizontal="left" vertical="center"/>
    </xf>
    <xf numFmtId="2" fontId="40" fillId="0" borderId="0" xfId="27" applyNumberFormat="1" applyAlignment="1">
      <alignment horizontal="left" vertical="center"/>
    </xf>
    <xf numFmtId="0" fontId="65" fillId="0" borderId="0" xfId="6" applyFont="1" applyAlignment="1">
      <alignment horizontal="left" vertical="center" wrapText="1"/>
    </xf>
    <xf numFmtId="0" fontId="69" fillId="0" borderId="0" xfId="27" applyFont="1" applyAlignment="1">
      <alignment horizontal="left" vertical="center"/>
    </xf>
    <xf numFmtId="166" fontId="40" fillId="0" borderId="0" xfId="27" applyNumberFormat="1" applyAlignment="1">
      <alignment vertical="center"/>
    </xf>
    <xf numFmtId="0" fontId="53" fillId="7" borderId="1" xfId="27" applyFont="1" applyFill="1" applyBorder="1" applyAlignment="1">
      <alignment horizontal="left" vertical="center"/>
    </xf>
    <xf numFmtId="0" fontId="73" fillId="0" borderId="7" xfId="27" applyFont="1" applyBorder="1" applyAlignment="1">
      <alignment horizontal="left" vertical="center" wrapText="1"/>
    </xf>
    <xf numFmtId="166" fontId="62" fillId="4" borderId="2" xfId="6" applyNumberFormat="1" applyFont="1" applyFill="1" applyBorder="1" applyAlignment="1">
      <alignment horizontal="left" vertical="center" wrapText="1"/>
    </xf>
    <xf numFmtId="0" fontId="62" fillId="4" borderId="6" xfId="27" applyFont="1" applyFill="1" applyBorder="1" applyAlignment="1">
      <alignment horizontal="left" vertical="center" wrapText="1"/>
    </xf>
    <xf numFmtId="0" fontId="73" fillId="0" borderId="0" xfId="27" applyFont="1" applyAlignment="1">
      <alignment horizontal="left" vertical="center"/>
    </xf>
    <xf numFmtId="0" fontId="97" fillId="0" borderId="0" xfId="27" applyFont="1" applyAlignment="1">
      <alignment horizontal="left" vertical="center"/>
    </xf>
    <xf numFmtId="1" fontId="40" fillId="0" borderId="0" xfId="27" applyNumberFormat="1" applyAlignment="1">
      <alignment horizontal="left" vertical="center"/>
    </xf>
    <xf numFmtId="2" fontId="0" fillId="0" borderId="0" xfId="28" applyNumberFormat="1" applyFont="1" applyFill="1" applyBorder="1" applyAlignment="1">
      <alignment horizontal="left" vertical="center"/>
    </xf>
    <xf numFmtId="3" fontId="40" fillId="0" borderId="0" xfId="27" applyNumberFormat="1" applyAlignment="1">
      <alignment horizontal="left" vertical="center"/>
    </xf>
    <xf numFmtId="165" fontId="40" fillId="0" borderId="0" xfId="27" applyNumberFormat="1" applyAlignment="1">
      <alignment horizontal="left" vertical="center"/>
    </xf>
    <xf numFmtId="0" fontId="40" fillId="0" borderId="13" xfId="16" applyFont="1" applyBorder="1" applyAlignment="1">
      <alignment vertical="center"/>
    </xf>
    <xf numFmtId="0" fontId="69" fillId="6" borderId="0" xfId="27" applyFont="1" applyFill="1" applyAlignment="1">
      <alignment horizontal="left" vertical="center"/>
    </xf>
    <xf numFmtId="0" fontId="57" fillId="0" borderId="7" xfId="27" applyFont="1" applyBorder="1" applyAlignment="1">
      <alignment horizontal="left" vertical="center"/>
    </xf>
    <xf numFmtId="2" fontId="40" fillId="0" borderId="7" xfId="27" applyNumberFormat="1" applyBorder="1" applyAlignment="1">
      <alignment horizontal="left" vertical="center"/>
    </xf>
    <xf numFmtId="0" fontId="40" fillId="0" borderId="2" xfId="27" applyBorder="1" applyAlignment="1">
      <alignment vertical="center"/>
    </xf>
    <xf numFmtId="0" fontId="40" fillId="0" borderId="6" xfId="27" applyBorder="1" applyAlignment="1">
      <alignment vertical="center"/>
    </xf>
    <xf numFmtId="0" fontId="40" fillId="0" borderId="0" xfId="27" applyAlignment="1">
      <alignment horizontal="left" vertical="center" wrapText="1"/>
    </xf>
    <xf numFmtId="0" fontId="73" fillId="0" borderId="0" xfId="27" applyFont="1" applyAlignment="1">
      <alignment horizontal="left" vertical="center" wrapText="1"/>
    </xf>
    <xf numFmtId="0" fontId="40" fillId="0" borderId="2" xfId="27" applyBorder="1" applyAlignment="1">
      <alignment horizontal="left" vertical="center"/>
    </xf>
    <xf numFmtId="2" fontId="0" fillId="0" borderId="2" xfId="28" applyNumberFormat="1" applyFont="1" applyFill="1" applyBorder="1" applyAlignment="1">
      <alignment horizontal="left" vertical="center"/>
    </xf>
    <xf numFmtId="2" fontId="57" fillId="0" borderId="0" xfId="27" applyNumberFormat="1" applyFont="1" applyAlignment="1">
      <alignment horizontal="left" vertical="center"/>
    </xf>
    <xf numFmtId="0" fontId="69" fillId="6" borderId="2" xfId="27" applyFont="1" applyFill="1" applyBorder="1" applyAlignment="1">
      <alignment horizontal="left" vertical="center"/>
    </xf>
    <xf numFmtId="0" fontId="73" fillId="0" borderId="7" xfId="27" applyFont="1" applyBorder="1" applyAlignment="1">
      <alignment vertical="center"/>
    </xf>
    <xf numFmtId="0" fontId="73" fillId="0" borderId="7" xfId="27" applyFont="1" applyBorder="1" applyAlignment="1">
      <alignment vertical="center" wrapText="1"/>
    </xf>
    <xf numFmtId="0" fontId="39" fillId="0" borderId="9" xfId="27" applyFont="1" applyBorder="1" applyAlignment="1">
      <alignment horizontal="left" vertical="center"/>
    </xf>
    <xf numFmtId="0" fontId="39" fillId="0" borderId="0" xfId="0" applyFont="1" applyAlignment="1">
      <alignment horizontal="left" vertical="center"/>
    </xf>
    <xf numFmtId="1" fontId="40" fillId="0" borderId="7" xfId="27" applyNumberFormat="1" applyBorder="1" applyAlignment="1">
      <alignment horizontal="left" vertical="center"/>
    </xf>
    <xf numFmtId="49" fontId="39" fillId="0" borderId="0" xfId="29" applyNumberFormat="1" applyAlignment="1">
      <alignment vertical="center"/>
    </xf>
    <xf numFmtId="2" fontId="39" fillId="6" borderId="0" xfId="29" applyNumberFormat="1" applyFill="1" applyAlignment="1">
      <alignment horizontal="left" vertical="center"/>
    </xf>
    <xf numFmtId="0" fontId="57" fillId="6" borderId="7" xfId="27" applyFont="1" applyFill="1" applyBorder="1" applyAlignment="1">
      <alignment horizontal="left" vertical="center"/>
    </xf>
    <xf numFmtId="0" fontId="73" fillId="0" borderId="9" xfId="27" applyFont="1" applyBorder="1" applyAlignment="1">
      <alignment horizontal="left" vertical="center" wrapText="1"/>
    </xf>
    <xf numFmtId="0" fontId="37" fillId="0" borderId="9" xfId="27" applyFont="1" applyBorder="1" applyAlignment="1">
      <alignment horizontal="left" vertical="center" wrapText="1"/>
    </xf>
    <xf numFmtId="0" fontId="57" fillId="6" borderId="0" xfId="27" applyFont="1" applyFill="1" applyAlignment="1">
      <alignment horizontal="left" vertical="center"/>
    </xf>
    <xf numFmtId="0" fontId="92" fillId="0" borderId="0" xfId="25" applyFont="1"/>
    <xf numFmtId="165" fontId="95" fillId="0" borderId="0" xfId="0" applyNumberFormat="1" applyFont="1"/>
    <xf numFmtId="9" fontId="78" fillId="0" borderId="0" xfId="14" applyFont="1"/>
    <xf numFmtId="0" fontId="36" fillId="0" borderId="13" xfId="16" applyFont="1" applyBorder="1" applyAlignment="1">
      <alignment vertical="center"/>
    </xf>
    <xf numFmtId="0" fontId="36" fillId="0" borderId="13" xfId="16" applyFont="1" applyBorder="1" applyAlignment="1">
      <alignment vertical="center" wrapText="1"/>
    </xf>
    <xf numFmtId="0" fontId="35" fillId="0" borderId="0" xfId="16" applyFont="1" applyAlignment="1">
      <alignment vertical="center"/>
    </xf>
    <xf numFmtId="49" fontId="35" fillId="0" borderId="0" xfId="29" applyNumberFormat="1" applyFont="1" applyAlignment="1">
      <alignment vertical="center"/>
    </xf>
    <xf numFmtId="9" fontId="57" fillId="6" borderId="0" xfId="14" applyFont="1" applyFill="1" applyBorder="1" applyAlignment="1">
      <alignment horizontal="left" vertical="center"/>
    </xf>
    <xf numFmtId="49" fontId="34" fillId="0" borderId="0" xfId="29" applyNumberFormat="1" applyFont="1" applyAlignment="1">
      <alignment vertical="center"/>
    </xf>
    <xf numFmtId="0" fontId="34" fillId="0" borderId="13" xfId="16" applyFont="1" applyBorder="1" applyAlignment="1">
      <alignment vertical="center"/>
    </xf>
    <xf numFmtId="9" fontId="57" fillId="0" borderId="2" xfId="0" applyNumberFormat="1" applyFont="1" applyBorder="1" applyAlignment="1">
      <alignment horizontal="left" vertical="center"/>
    </xf>
    <xf numFmtId="9" fontId="48" fillId="6" borderId="0" xfId="14" applyFont="1" applyFill="1" applyAlignment="1">
      <alignment horizontal="left" vertical="center"/>
    </xf>
    <xf numFmtId="43" fontId="45" fillId="0" borderId="0" xfId="25" applyNumberFormat="1"/>
    <xf numFmtId="0" fontId="34" fillId="8" borderId="13" xfId="16" applyFont="1" applyFill="1" applyBorder="1" applyAlignment="1">
      <alignment vertical="center"/>
    </xf>
    <xf numFmtId="0" fontId="34" fillId="8" borderId="10" xfId="16" applyFont="1" applyFill="1" applyBorder="1" applyAlignment="1">
      <alignment vertical="center"/>
    </xf>
    <xf numFmtId="0" fontId="34" fillId="9" borderId="13" xfId="16" applyFont="1" applyFill="1" applyBorder="1" applyAlignment="1">
      <alignment vertical="center"/>
    </xf>
    <xf numFmtId="0" fontId="34" fillId="9" borderId="10" xfId="16" applyFont="1" applyFill="1" applyBorder="1" applyAlignment="1">
      <alignment vertical="center"/>
    </xf>
    <xf numFmtId="9" fontId="69" fillId="0" borderId="0" xfId="14" applyFont="1" applyFill="1" applyBorder="1" applyAlignment="1">
      <alignment horizontal="left" vertical="center"/>
    </xf>
    <xf numFmtId="0" fontId="98" fillId="0" borderId="0" xfId="0" applyFont="1" applyAlignment="1">
      <alignment horizontal="left" vertical="center"/>
    </xf>
    <xf numFmtId="0" fontId="98" fillId="0" borderId="2" xfId="0" applyFont="1" applyBorder="1" applyAlignment="1">
      <alignment horizontal="left" vertical="center"/>
    </xf>
    <xf numFmtId="1" fontId="90" fillId="0" borderId="0" xfId="0" applyNumberFormat="1" applyFont="1" applyAlignment="1">
      <alignment horizontal="left" vertical="center"/>
    </xf>
    <xf numFmtId="0" fontId="90" fillId="0" borderId="2" xfId="0" applyFont="1" applyBorder="1" applyAlignment="1">
      <alignment horizontal="left" vertical="center"/>
    </xf>
    <xf numFmtId="0" fontId="98" fillId="0" borderId="0" xfId="20" applyFont="1" applyAlignment="1">
      <alignment horizontal="left" vertical="center"/>
    </xf>
    <xf numFmtId="0" fontId="48" fillId="2" borderId="6" xfId="0" applyFont="1" applyFill="1" applyBorder="1" applyAlignment="1">
      <alignment horizontal="left" vertical="center"/>
    </xf>
    <xf numFmtId="0" fontId="38" fillId="0" borderId="2" xfId="27" applyFont="1" applyBorder="1" applyAlignment="1">
      <alignment vertical="center" wrapText="1"/>
    </xf>
    <xf numFmtId="165" fontId="99" fillId="6" borderId="0" xfId="1" applyNumberFormat="1" applyFont="1" applyFill="1" applyAlignment="1">
      <alignment horizontal="left" vertical="center"/>
    </xf>
    <xf numFmtId="165" fontId="99" fillId="6" borderId="2" xfId="1" applyNumberFormat="1" applyFont="1" applyFill="1" applyBorder="1" applyAlignment="1">
      <alignment horizontal="left" vertical="center"/>
    </xf>
    <xf numFmtId="0" fontId="98" fillId="0" borderId="2" xfId="20" applyFont="1" applyBorder="1" applyAlignment="1">
      <alignment horizontal="left" vertical="center"/>
    </xf>
    <xf numFmtId="165" fontId="99" fillId="6" borderId="0" xfId="0" applyNumberFormat="1" applyFont="1" applyFill="1" applyAlignment="1">
      <alignment horizontal="left" vertical="center"/>
    </xf>
    <xf numFmtId="165" fontId="99" fillId="6" borderId="2" xfId="0" applyNumberFormat="1" applyFont="1" applyFill="1" applyBorder="1" applyAlignment="1">
      <alignment horizontal="left" vertical="center"/>
    </xf>
    <xf numFmtId="167" fontId="57" fillId="0" borderId="0" xfId="14" applyNumberFormat="1" applyFont="1" applyFill="1" applyAlignment="1">
      <alignment horizontal="left" vertical="center"/>
    </xf>
    <xf numFmtId="167" fontId="57" fillId="0" borderId="2" xfId="14" applyNumberFormat="1" applyFont="1" applyFill="1" applyBorder="1" applyAlignment="1">
      <alignment horizontal="left" vertical="center"/>
    </xf>
    <xf numFmtId="0" fontId="61" fillId="0" borderId="7" xfId="0" applyFont="1" applyBorder="1" applyAlignment="1">
      <alignment horizontal="left" vertical="center" wrapText="1"/>
    </xf>
    <xf numFmtId="0" fontId="57" fillId="0" borderId="2" xfId="27" applyFont="1" applyBorder="1" applyAlignment="1">
      <alignment horizontal="left" vertical="center"/>
    </xf>
    <xf numFmtId="9" fontId="57" fillId="0" borderId="0" xfId="14" applyFont="1" applyFill="1" applyBorder="1" applyAlignment="1">
      <alignment horizontal="left" vertical="center"/>
    </xf>
    <xf numFmtId="9" fontId="57" fillId="0" borderId="2" xfId="14" applyFont="1" applyFill="1" applyBorder="1" applyAlignment="1">
      <alignment horizontal="left" vertical="center"/>
    </xf>
    <xf numFmtId="2" fontId="57" fillId="0" borderId="0" xfId="14" applyNumberFormat="1" applyFont="1" applyFill="1" applyAlignment="1">
      <alignment horizontal="left" vertical="center"/>
    </xf>
    <xf numFmtId="2" fontId="40" fillId="0" borderId="0" xfId="14" applyNumberFormat="1" applyFont="1" applyFill="1" applyBorder="1" applyAlignment="1">
      <alignment horizontal="left" vertical="center"/>
    </xf>
    <xf numFmtId="2" fontId="57" fillId="0" borderId="0" xfId="14" applyNumberFormat="1" applyFont="1" applyFill="1" applyBorder="1" applyAlignment="1">
      <alignment horizontal="left" vertical="center"/>
    </xf>
    <xf numFmtId="2" fontId="57" fillId="0" borderId="7" xfId="14" applyNumberFormat="1" applyFont="1" applyFill="1" applyBorder="1" applyAlignment="1">
      <alignment horizontal="left" vertical="center"/>
    </xf>
    <xf numFmtId="0" fontId="73" fillId="0" borderId="6" xfId="27" applyFont="1" applyBorder="1" applyAlignment="1">
      <alignment horizontal="left" vertical="center"/>
    </xf>
    <xf numFmtId="0" fontId="98" fillId="0" borderId="6" xfId="0" applyFont="1" applyBorder="1" applyAlignment="1">
      <alignment horizontal="left" vertical="center"/>
    </xf>
    <xf numFmtId="2" fontId="57" fillId="0" borderId="2" xfId="14" applyNumberFormat="1" applyFont="1" applyFill="1" applyBorder="1" applyAlignment="1">
      <alignment horizontal="left" vertical="center"/>
    </xf>
    <xf numFmtId="0" fontId="100" fillId="0" borderId="6" xfId="0" applyFont="1" applyBorder="1" applyAlignment="1">
      <alignment horizontal="left" vertical="center"/>
    </xf>
    <xf numFmtId="0" fontId="90" fillId="0" borderId="6" xfId="0" applyFont="1" applyBorder="1" applyAlignment="1">
      <alignment horizontal="left" vertical="center"/>
    </xf>
    <xf numFmtId="0" fontId="101" fillId="0" borderId="6" xfId="0" applyFont="1" applyBorder="1" applyAlignment="1">
      <alignment horizontal="left" vertical="center"/>
    </xf>
    <xf numFmtId="0" fontId="99" fillId="0" borderId="6" xfId="1" applyFont="1" applyBorder="1" applyAlignment="1">
      <alignment horizontal="left" vertical="center"/>
    </xf>
    <xf numFmtId="0" fontId="98" fillId="0" borderId="0" xfId="27" applyFont="1" applyAlignment="1">
      <alignment vertical="center"/>
    </xf>
    <xf numFmtId="2" fontId="40" fillId="0" borderId="0" xfId="14" applyNumberFormat="1" applyFont="1" applyFill="1" applyAlignment="1">
      <alignment horizontal="left" vertical="center"/>
    </xf>
    <xf numFmtId="167" fontId="40" fillId="0" borderId="0" xfId="14" applyNumberFormat="1" applyFont="1" applyFill="1" applyBorder="1" applyAlignment="1">
      <alignment horizontal="left" vertical="center"/>
    </xf>
    <xf numFmtId="2" fontId="40" fillId="0" borderId="2" xfId="27" applyNumberFormat="1" applyBorder="1" applyAlignment="1">
      <alignment horizontal="left" vertical="center"/>
    </xf>
    <xf numFmtId="3" fontId="49" fillId="0" borderId="0" xfId="0" applyNumberFormat="1" applyFont="1" applyAlignment="1">
      <alignment horizontal="left" vertical="center"/>
    </xf>
    <xf numFmtId="9" fontId="99" fillId="6" borderId="0" xfId="14" applyFont="1" applyFill="1" applyAlignment="1">
      <alignment horizontal="left" vertical="center"/>
    </xf>
    <xf numFmtId="3" fontId="47" fillId="0" borderId="0" xfId="14" applyNumberFormat="1" applyFont="1" applyBorder="1" applyAlignment="1">
      <alignment horizontal="left" vertical="center"/>
    </xf>
    <xf numFmtId="1" fontId="57" fillId="6" borderId="7" xfId="27" applyNumberFormat="1" applyFont="1" applyFill="1" applyBorder="1" applyAlignment="1">
      <alignment horizontal="left" vertical="center"/>
    </xf>
    <xf numFmtId="9" fontId="57" fillId="0" borderId="7" xfId="14" applyFont="1" applyFill="1" applyBorder="1" applyAlignment="1">
      <alignment horizontal="left" vertical="center"/>
    </xf>
    <xf numFmtId="1" fontId="57" fillId="6" borderId="0" xfId="27" applyNumberFormat="1" applyFont="1" applyFill="1" applyAlignment="1">
      <alignment horizontal="left" vertical="center"/>
    </xf>
    <xf numFmtId="3" fontId="57" fillId="6" borderId="0" xfId="14" applyNumberFormat="1" applyFont="1" applyFill="1" applyBorder="1" applyAlignment="1">
      <alignment horizontal="left" vertical="center"/>
    </xf>
    <xf numFmtId="3" fontId="57" fillId="6" borderId="7" xfId="14" applyNumberFormat="1" applyFont="1" applyFill="1" applyBorder="1" applyAlignment="1">
      <alignment horizontal="left" vertical="center"/>
    </xf>
    <xf numFmtId="1" fontId="40" fillId="0" borderId="2" xfId="27" applyNumberFormat="1" applyBorder="1" applyAlignment="1">
      <alignment horizontal="left" vertical="center"/>
    </xf>
    <xf numFmtId="0" fontId="40" fillId="6" borderId="0" xfId="27" applyFill="1" applyAlignment="1">
      <alignment vertical="center"/>
    </xf>
    <xf numFmtId="0" fontId="52" fillId="0" borderId="11" xfId="0" applyFont="1" applyBorder="1"/>
    <xf numFmtId="0" fontId="0" fillId="0" borderId="24" xfId="0" applyBorder="1"/>
    <xf numFmtId="0" fontId="0" fillId="0" borderId="19" xfId="0" applyBorder="1"/>
    <xf numFmtId="2" fontId="0" fillId="0" borderId="2" xfId="0" applyNumberFormat="1" applyBorder="1"/>
    <xf numFmtId="3" fontId="0" fillId="0" borderId="0" xfId="0" applyNumberFormat="1"/>
    <xf numFmtId="0" fontId="0" fillId="0" borderId="17" xfId="0" applyBorder="1"/>
    <xf numFmtId="3" fontId="0" fillId="0" borderId="2" xfId="0" applyNumberFormat="1" applyBorder="1"/>
    <xf numFmtId="0" fontId="0" fillId="0" borderId="6" xfId="0" applyBorder="1"/>
    <xf numFmtId="0" fontId="0" fillId="0" borderId="11" xfId="0" applyBorder="1"/>
    <xf numFmtId="9" fontId="0" fillId="0" borderId="0" xfId="0" applyNumberFormat="1"/>
    <xf numFmtId="0" fontId="52" fillId="0" borderId="6" xfId="0" applyFont="1" applyBorder="1" applyAlignment="1">
      <alignment wrapText="1"/>
    </xf>
    <xf numFmtId="0" fontId="0" fillId="0" borderId="0" xfId="0" applyAlignment="1">
      <alignment wrapText="1"/>
    </xf>
    <xf numFmtId="2" fontId="0" fillId="0" borderId="24" xfId="0" applyNumberFormat="1" applyBorder="1"/>
    <xf numFmtId="49" fontId="0" fillId="0" borderId="24" xfId="0" applyNumberFormat="1" applyBorder="1"/>
    <xf numFmtId="49" fontId="0" fillId="0" borderId="0" xfId="0" applyNumberFormat="1"/>
    <xf numFmtId="9" fontId="90" fillId="6" borderId="0" xfId="0" applyNumberFormat="1" applyFont="1" applyFill="1" applyAlignment="1">
      <alignment horizontal="left" vertical="center"/>
    </xf>
    <xf numFmtId="1" fontId="31" fillId="6" borderId="2" xfId="0" applyNumberFormat="1" applyFont="1" applyFill="1" applyBorder="1" applyAlignment="1">
      <alignment horizontal="left" vertical="center"/>
    </xf>
    <xf numFmtId="1" fontId="31" fillId="6" borderId="0" xfId="0" applyNumberFormat="1" applyFont="1" applyFill="1" applyAlignment="1">
      <alignment horizontal="left" vertical="center"/>
    </xf>
    <xf numFmtId="0" fontId="33" fillId="0" borderId="0" xfId="27" applyFont="1" applyAlignment="1">
      <alignment horizontal="left" vertical="center" wrapText="1"/>
    </xf>
    <xf numFmtId="0" fontId="33" fillId="0" borderId="7" xfId="27" applyFont="1" applyBorder="1" applyAlignment="1">
      <alignment horizontal="left" vertical="center" wrapText="1"/>
    </xf>
    <xf numFmtId="0" fontId="33" fillId="0" borderId="2" xfId="27" applyFont="1" applyBorder="1" applyAlignment="1">
      <alignment horizontal="left" vertical="center" wrapText="1"/>
    </xf>
    <xf numFmtId="2" fontId="30" fillId="0" borderId="0" xfId="27" applyNumberFormat="1" applyFont="1" applyAlignment="1">
      <alignment horizontal="left" vertical="center"/>
    </xf>
    <xf numFmtId="0" fontId="102" fillId="3" borderId="0" xfId="0" applyFont="1" applyFill="1"/>
    <xf numFmtId="0" fontId="75" fillId="3" borderId="0" xfId="0" applyFont="1" applyFill="1"/>
    <xf numFmtId="0" fontId="29" fillId="0" borderId="0" xfId="0" applyFont="1"/>
    <xf numFmtId="0" fontId="103" fillId="0" borderId="0" xfId="31" applyFont="1" applyAlignment="1">
      <alignment horizontal="left"/>
    </xf>
    <xf numFmtId="0" fontId="104" fillId="14" borderId="0" xfId="31" applyFont="1" applyFill="1" applyAlignment="1">
      <alignment horizontal="left"/>
    </xf>
    <xf numFmtId="0" fontId="29" fillId="14" borderId="0" xfId="0" applyFont="1" applyFill="1"/>
    <xf numFmtId="0" fontId="104" fillId="15" borderId="0" xfId="31" applyFont="1" applyFill="1" applyAlignment="1">
      <alignment horizontal="left"/>
    </xf>
    <xf numFmtId="0" fontId="29" fillId="15" borderId="0" xfId="0" applyFont="1" applyFill="1"/>
    <xf numFmtId="0" fontId="73" fillId="3" borderId="0" xfId="0" applyFont="1" applyFill="1"/>
    <xf numFmtId="0" fontId="57" fillId="3" borderId="0" xfId="0" applyFont="1" applyFill="1"/>
    <xf numFmtId="0" fontId="70" fillId="3" borderId="2" xfId="0" applyFont="1" applyFill="1" applyBorder="1"/>
    <xf numFmtId="2" fontId="68" fillId="3" borderId="2" xfId="7" applyNumberFormat="1" applyFill="1" applyBorder="1" applyAlignment="1">
      <alignment horizontal="right"/>
    </xf>
    <xf numFmtId="2" fontId="29" fillId="0" borderId="0" xfId="0" applyNumberFormat="1" applyFont="1"/>
    <xf numFmtId="0" fontId="29" fillId="0" borderId="13" xfId="16" applyFont="1" applyBorder="1" applyAlignment="1">
      <alignment vertical="center"/>
    </xf>
    <xf numFmtId="165" fontId="99" fillId="6" borderId="0" xfId="32" applyNumberFormat="1" applyFont="1" applyFill="1" applyAlignment="1">
      <alignment horizontal="left" vertical="center"/>
    </xf>
    <xf numFmtId="0" fontId="46" fillId="0" borderId="7" xfId="0" applyFont="1" applyBorder="1" applyAlignment="1">
      <alignment horizontal="left" vertical="center"/>
    </xf>
    <xf numFmtId="9" fontId="48" fillId="6" borderId="0" xfId="14" applyFont="1" applyFill="1" applyBorder="1" applyAlignment="1">
      <alignment horizontal="left" vertical="center"/>
    </xf>
    <xf numFmtId="1" fontId="48" fillId="0" borderId="0" xfId="30" applyNumberFormat="1" applyFont="1" applyAlignment="1">
      <alignment horizontal="left" vertical="center"/>
    </xf>
    <xf numFmtId="1" fontId="47" fillId="0" borderId="0" xfId="0" applyNumberFormat="1" applyFont="1" applyAlignment="1">
      <alignment horizontal="left" vertical="center"/>
    </xf>
    <xf numFmtId="0" fontId="47" fillId="0" borderId="7" xfId="0" applyFont="1" applyBorder="1" applyAlignment="1">
      <alignment horizontal="left" vertical="center"/>
    </xf>
    <xf numFmtId="1" fontId="47" fillId="0" borderId="2" xfId="0" applyNumberFormat="1" applyFont="1" applyBorder="1" applyAlignment="1">
      <alignment horizontal="left" vertical="center"/>
    </xf>
    <xf numFmtId="9" fontId="47" fillId="0" borderId="0" xfId="14" applyFont="1" applyBorder="1" applyAlignment="1">
      <alignment horizontal="left" vertical="center"/>
    </xf>
    <xf numFmtId="9" fontId="47" fillId="0" borderId="7" xfId="14" applyFont="1" applyBorder="1" applyAlignment="1">
      <alignment horizontal="left" vertical="center"/>
    </xf>
    <xf numFmtId="9" fontId="46" fillId="0" borderId="7" xfId="14" applyFont="1" applyBorder="1" applyAlignment="1">
      <alignment horizontal="left" vertical="center"/>
    </xf>
    <xf numFmtId="9" fontId="47" fillId="0" borderId="2" xfId="14" applyFont="1" applyBorder="1" applyAlignment="1">
      <alignment horizontal="left" vertical="center"/>
    </xf>
    <xf numFmtId="9" fontId="32" fillId="0" borderId="0" xfId="14" applyFont="1" applyBorder="1" applyAlignment="1">
      <alignment horizontal="left" vertical="center"/>
    </xf>
    <xf numFmtId="0" fontId="28" fillId="0" borderId="13" xfId="16" applyFont="1" applyBorder="1" applyAlignment="1">
      <alignment vertical="center" wrapText="1"/>
    </xf>
    <xf numFmtId="0" fontId="57" fillId="0" borderId="0" xfId="0" applyFont="1"/>
    <xf numFmtId="0" fontId="70" fillId="0" borderId="0" xfId="0" applyFont="1"/>
    <xf numFmtId="2" fontId="105" fillId="0" borderId="0" xfId="31" applyNumberFormat="1" applyFont="1" applyAlignment="1">
      <alignment horizontal="right" vertical="center"/>
    </xf>
    <xf numFmtId="0" fontId="68" fillId="0" borderId="0" xfId="7" applyFill="1" applyBorder="1" applyAlignment="1">
      <alignment horizontal="right"/>
    </xf>
    <xf numFmtId="0" fontId="53" fillId="16" borderId="1" xfId="1" applyFont="1" applyFill="1" applyBorder="1" applyAlignment="1">
      <alignment horizontal="left" vertical="center"/>
    </xf>
    <xf numFmtId="2" fontId="69" fillId="14" borderId="0" xfId="31" applyNumberFormat="1" applyFont="1" applyFill="1" applyAlignment="1">
      <alignment horizontal="right" vertical="center"/>
    </xf>
    <xf numFmtId="0" fontId="92" fillId="0" borderId="10" xfId="0" applyFont="1" applyBorder="1"/>
    <xf numFmtId="0" fontId="92" fillId="0" borderId="0" xfId="0" applyFont="1"/>
    <xf numFmtId="0" fontId="92" fillId="0" borderId="14" xfId="0" applyFont="1" applyBorder="1" applyAlignment="1">
      <alignment horizontal="center"/>
    </xf>
    <xf numFmtId="0" fontId="92" fillId="0" borderId="13" xfId="0" applyFont="1" applyBorder="1"/>
    <xf numFmtId="0" fontId="92" fillId="0" borderId="18" xfId="0" applyFont="1" applyBorder="1" applyAlignment="1">
      <alignment horizontal="right"/>
    </xf>
    <xf numFmtId="1" fontId="92" fillId="0" borderId="10" xfId="0" applyNumberFormat="1" applyFont="1" applyBorder="1" applyAlignment="1">
      <alignment horizontal="center"/>
    </xf>
    <xf numFmtId="0" fontId="92" fillId="0" borderId="6" xfId="0" applyFont="1" applyBorder="1"/>
    <xf numFmtId="1" fontId="92" fillId="0" borderId="11" xfId="0" applyNumberFormat="1" applyFont="1" applyBorder="1" applyAlignment="1">
      <alignment horizontal="center"/>
    </xf>
    <xf numFmtId="0" fontId="92" fillId="0" borderId="16" xfId="0" applyFont="1" applyBorder="1" applyAlignment="1">
      <alignment horizontal="right"/>
    </xf>
    <xf numFmtId="0" fontId="92" fillId="18" borderId="10" xfId="0" applyFont="1" applyFill="1" applyBorder="1"/>
    <xf numFmtId="0" fontId="78" fillId="0" borderId="20" xfId="0" applyFont="1" applyBorder="1" applyAlignment="1">
      <alignment vertical="center"/>
    </xf>
    <xf numFmtId="1" fontId="78" fillId="0" borderId="13" xfId="0" applyNumberFormat="1" applyFont="1" applyBorder="1"/>
    <xf numFmtId="1" fontId="78" fillId="0" borderId="7" xfId="0" applyNumberFormat="1" applyFont="1" applyBorder="1"/>
    <xf numFmtId="1" fontId="78" fillId="0" borderId="11" xfId="0" applyNumberFormat="1" applyFont="1" applyBorder="1"/>
    <xf numFmtId="0" fontId="78" fillId="0" borderId="13" xfId="0" applyFont="1" applyBorder="1"/>
    <xf numFmtId="0" fontId="78" fillId="0" borderId="6" xfId="0" applyFont="1" applyBorder="1"/>
    <xf numFmtId="0" fontId="78" fillId="0" borderId="11" xfId="0" applyFont="1" applyBorder="1"/>
    <xf numFmtId="1" fontId="78" fillId="0" borderId="17" xfId="0" applyNumberFormat="1" applyFont="1" applyBorder="1"/>
    <xf numFmtId="2" fontId="78" fillId="0" borderId="13" xfId="0" applyNumberFormat="1" applyFont="1" applyBorder="1"/>
    <xf numFmtId="2" fontId="78" fillId="0" borderId="6" xfId="0" applyNumberFormat="1" applyFont="1" applyBorder="1"/>
    <xf numFmtId="2" fontId="78" fillId="0" borderId="11" xfId="0" applyNumberFormat="1" applyFont="1" applyBorder="1"/>
    <xf numFmtId="1" fontId="78" fillId="0" borderId="12" xfId="0" applyNumberFormat="1" applyFont="1" applyBorder="1" applyAlignment="1">
      <alignment vertical="center"/>
    </xf>
    <xf numFmtId="1" fontId="78" fillId="0" borderId="20" xfId="0" applyNumberFormat="1" applyFont="1" applyBorder="1" applyAlignment="1">
      <alignment vertical="center"/>
    </xf>
    <xf numFmtId="1" fontId="78" fillId="0" borderId="7" xfId="0" applyNumberFormat="1" applyFont="1" applyBorder="1" applyAlignment="1">
      <alignment vertical="center"/>
    </xf>
    <xf numFmtId="1" fontId="78" fillId="0" borderId="17" xfId="0" applyNumberFormat="1" applyFont="1" applyBorder="1" applyAlignment="1">
      <alignment vertical="center"/>
    </xf>
    <xf numFmtId="1" fontId="78" fillId="13" borderId="7" xfId="0" applyNumberFormat="1" applyFont="1" applyFill="1" applyBorder="1"/>
    <xf numFmtId="168" fontId="78" fillId="13" borderId="7" xfId="8" applyNumberFormat="1" applyFont="1" applyFill="1" applyBorder="1"/>
    <xf numFmtId="168" fontId="78" fillId="13" borderId="17" xfId="8" applyNumberFormat="1" applyFont="1" applyFill="1" applyBorder="1"/>
    <xf numFmtId="0" fontId="78" fillId="0" borderId="20" xfId="0" applyFont="1" applyBorder="1" applyAlignment="1">
      <alignment horizontal="left" vertical="center" indent="1"/>
    </xf>
    <xf numFmtId="168" fontId="78" fillId="0" borderId="21" xfId="0" applyNumberFormat="1" applyFont="1" applyBorder="1"/>
    <xf numFmtId="168" fontId="78" fillId="0" borderId="17" xfId="0" applyNumberFormat="1" applyFont="1" applyBorder="1"/>
    <xf numFmtId="2" fontId="78" fillId="0" borderId="7" xfId="0" applyNumberFormat="1" applyFont="1" applyBorder="1"/>
    <xf numFmtId="2" fontId="78" fillId="0" borderId="17" xfId="0" applyNumberFormat="1" applyFont="1" applyBorder="1"/>
    <xf numFmtId="1" fontId="78" fillId="0" borderId="6" xfId="0" applyNumberFormat="1" applyFont="1" applyBorder="1"/>
    <xf numFmtId="2" fontId="0" fillId="0" borderId="0" xfId="0" applyNumberFormat="1" applyAlignment="1">
      <alignment wrapText="1"/>
    </xf>
    <xf numFmtId="0" fontId="0" fillId="0" borderId="0" xfId="0" applyAlignment="1">
      <alignment vertical="top" wrapText="1"/>
    </xf>
    <xf numFmtId="0" fontId="0" fillId="0" borderId="24" xfId="0" applyBorder="1" applyAlignment="1">
      <alignment vertical="top" wrapText="1"/>
    </xf>
    <xf numFmtId="9" fontId="28" fillId="6" borderId="0" xfId="14" applyFont="1" applyFill="1" applyAlignment="1">
      <alignment horizontal="left" vertical="center"/>
    </xf>
    <xf numFmtId="9" fontId="28" fillId="6" borderId="2" xfId="14" applyFont="1" applyFill="1" applyBorder="1" applyAlignment="1">
      <alignment horizontal="left" vertical="center"/>
    </xf>
    <xf numFmtId="1" fontId="69" fillId="6" borderId="2" xfId="0" applyNumberFormat="1" applyFont="1" applyFill="1" applyBorder="1" applyAlignment="1">
      <alignment horizontal="left" vertical="center"/>
    </xf>
    <xf numFmtId="0" fontId="40" fillId="0" borderId="0" xfId="27" applyAlignment="1">
      <alignment vertical="center" wrapText="1"/>
    </xf>
    <xf numFmtId="0" fontId="27" fillId="0" borderId="0" xfId="0" applyFont="1" applyAlignment="1">
      <alignment horizontal="left" vertical="center"/>
    </xf>
    <xf numFmtId="0" fontId="40" fillId="0" borderId="2" xfId="27" applyBorder="1" applyAlignment="1">
      <alignment vertical="center" wrapText="1"/>
    </xf>
    <xf numFmtId="0" fontId="38" fillId="0" borderId="0" xfId="27" applyFont="1" applyAlignment="1">
      <alignment vertical="center" wrapText="1"/>
    </xf>
    <xf numFmtId="0" fontId="40" fillId="0" borderId="7" xfId="27" applyBorder="1" applyAlignment="1">
      <alignment vertical="center" wrapText="1"/>
    </xf>
    <xf numFmtId="1" fontId="69" fillId="6" borderId="0" xfId="27" applyNumberFormat="1" applyFont="1" applyFill="1" applyAlignment="1">
      <alignment horizontal="left" vertical="center"/>
    </xf>
    <xf numFmtId="1" fontId="57" fillId="0" borderId="0" xfId="27" applyNumberFormat="1" applyFont="1" applyAlignment="1">
      <alignment horizontal="left" vertical="center"/>
    </xf>
    <xf numFmtId="0" fontId="40" fillId="6" borderId="0" xfId="27" applyFill="1" applyAlignment="1">
      <alignment horizontal="left" vertical="center"/>
    </xf>
    <xf numFmtId="1" fontId="57" fillId="0" borderId="7" xfId="27" applyNumberFormat="1" applyFont="1" applyBorder="1" applyAlignment="1">
      <alignment horizontal="left" vertical="center"/>
    </xf>
    <xf numFmtId="9" fontId="27" fillId="0" borderId="7" xfId="14" applyFont="1" applyBorder="1" applyAlignment="1">
      <alignment horizontal="left" vertical="center"/>
    </xf>
    <xf numFmtId="1" fontId="57" fillId="6" borderId="2" xfId="27" applyNumberFormat="1" applyFont="1" applyFill="1" applyBorder="1" applyAlignment="1">
      <alignment horizontal="left" vertical="center"/>
    </xf>
    <xf numFmtId="1" fontId="57" fillId="0" borderId="2" xfId="27" applyNumberFormat="1" applyFont="1" applyBorder="1" applyAlignment="1">
      <alignment horizontal="left" vertical="center"/>
    </xf>
    <xf numFmtId="9" fontId="57" fillId="6" borderId="0" xfId="14" applyFont="1" applyFill="1" applyAlignment="1">
      <alignment horizontal="left" vertical="center"/>
    </xf>
    <xf numFmtId="9" fontId="27" fillId="6" borderId="7" xfId="14" applyFont="1" applyFill="1" applyBorder="1" applyAlignment="1">
      <alignment horizontal="left" vertical="center"/>
    </xf>
    <xf numFmtId="9" fontId="27" fillId="6" borderId="0" xfId="14" applyFont="1" applyFill="1" applyBorder="1" applyAlignment="1">
      <alignment horizontal="left" vertical="center"/>
    </xf>
    <xf numFmtId="9" fontId="57" fillId="6" borderId="7" xfId="14" applyFont="1" applyFill="1" applyBorder="1" applyAlignment="1">
      <alignment horizontal="left" vertical="center"/>
    </xf>
    <xf numFmtId="9" fontId="57" fillId="6" borderId="2" xfId="14" applyFont="1" applyFill="1" applyBorder="1" applyAlignment="1">
      <alignment horizontal="left" vertical="center"/>
    </xf>
    <xf numFmtId="2" fontId="27" fillId="0" borderId="0" xfId="14" applyNumberFormat="1" applyFont="1" applyFill="1" applyBorder="1" applyAlignment="1">
      <alignment horizontal="left" vertical="center"/>
    </xf>
    <xf numFmtId="2" fontId="57" fillId="6" borderId="0" xfId="14" applyNumberFormat="1" applyFont="1" applyFill="1" applyBorder="1" applyAlignment="1">
      <alignment horizontal="left" vertical="center"/>
    </xf>
    <xf numFmtId="1" fontId="57" fillId="0" borderId="0" xfId="14" applyNumberFormat="1" applyFont="1" applyFill="1" applyAlignment="1">
      <alignment horizontal="left" vertical="center"/>
    </xf>
    <xf numFmtId="2" fontId="27" fillId="0" borderId="7" xfId="14" applyNumberFormat="1" applyFont="1" applyFill="1" applyBorder="1" applyAlignment="1">
      <alignment horizontal="left" vertical="center"/>
    </xf>
    <xf numFmtId="1" fontId="57" fillId="0" borderId="7" xfId="14" applyNumberFormat="1" applyFont="1" applyFill="1" applyBorder="1" applyAlignment="1">
      <alignment horizontal="left" vertical="center"/>
    </xf>
    <xf numFmtId="1" fontId="57" fillId="0" borderId="0" xfId="14" applyNumberFormat="1" applyFont="1" applyFill="1" applyBorder="1" applyAlignment="1">
      <alignment horizontal="left" vertical="center"/>
    </xf>
    <xf numFmtId="1" fontId="27" fillId="0" borderId="7" xfId="14" applyNumberFormat="1" applyFont="1" applyFill="1" applyBorder="1" applyAlignment="1">
      <alignment horizontal="left" vertical="center"/>
    </xf>
    <xf numFmtId="1" fontId="27" fillId="0" borderId="0" xfId="14" applyNumberFormat="1" applyFont="1" applyFill="1" applyBorder="1" applyAlignment="1">
      <alignment horizontal="left" vertical="center"/>
    </xf>
    <xf numFmtId="1" fontId="57" fillId="0" borderId="2" xfId="14" applyNumberFormat="1" applyFont="1" applyFill="1" applyBorder="1" applyAlignment="1">
      <alignment horizontal="left" vertical="center"/>
    </xf>
    <xf numFmtId="0" fontId="27" fillId="0" borderId="2" xfId="27" applyFont="1" applyBorder="1" applyAlignment="1">
      <alignment vertical="center"/>
    </xf>
    <xf numFmtId="2" fontId="30" fillId="0" borderId="2" xfId="27" applyNumberFormat="1" applyFont="1" applyBorder="1" applyAlignment="1">
      <alignment horizontal="left" vertical="center"/>
    </xf>
    <xf numFmtId="3" fontId="40" fillId="0" borderId="2" xfId="27" applyNumberFormat="1" applyBorder="1" applyAlignment="1">
      <alignment horizontal="left" vertical="center"/>
    </xf>
    <xf numFmtId="3" fontId="69" fillId="6" borderId="2" xfId="14" applyNumberFormat="1" applyFont="1" applyFill="1" applyBorder="1" applyAlignment="1">
      <alignment horizontal="left" vertical="center"/>
    </xf>
    <xf numFmtId="2" fontId="57" fillId="6" borderId="7" xfId="14" applyNumberFormat="1" applyFont="1" applyFill="1" applyBorder="1" applyAlignment="1">
      <alignment horizontal="left" vertical="center"/>
    </xf>
    <xf numFmtId="2" fontId="57" fillId="6" borderId="2" xfId="14" applyNumberFormat="1" applyFont="1" applyFill="1" applyBorder="1" applyAlignment="1">
      <alignment horizontal="left" vertical="center"/>
    </xf>
    <xf numFmtId="2" fontId="30" fillId="0" borderId="7" xfId="27" applyNumberFormat="1" applyFont="1" applyBorder="1" applyAlignment="1">
      <alignment horizontal="left" vertical="center"/>
    </xf>
    <xf numFmtId="3" fontId="40" fillId="0" borderId="7" xfId="27" applyNumberFormat="1" applyBorder="1" applyAlignment="1">
      <alignment horizontal="left" vertical="center"/>
    </xf>
    <xf numFmtId="0" fontId="73" fillId="0" borderId="0" xfId="33" applyFont="1" applyAlignment="1">
      <alignment vertical="center"/>
    </xf>
    <xf numFmtId="0" fontId="27" fillId="0" borderId="0" xfId="33" applyAlignment="1">
      <alignment vertical="center"/>
    </xf>
    <xf numFmtId="0" fontId="73" fillId="0" borderId="2" xfId="33" applyFont="1" applyBorder="1" applyAlignment="1">
      <alignment vertical="center"/>
    </xf>
    <xf numFmtId="0" fontId="27" fillId="0" borderId="2" xfId="33" applyBorder="1" applyAlignment="1">
      <alignment vertical="center"/>
    </xf>
    <xf numFmtId="0" fontId="27" fillId="0" borderId="13" xfId="16" applyFont="1" applyBorder="1" applyAlignment="1">
      <alignment vertical="center"/>
    </xf>
    <xf numFmtId="0" fontId="27" fillId="0" borderId="13" xfId="16" applyFont="1" applyBorder="1" applyAlignment="1">
      <alignment vertical="center" wrapText="1"/>
    </xf>
    <xf numFmtId="9" fontId="27" fillId="0" borderId="0" xfId="14" applyFont="1" applyFill="1" applyBorder="1" applyAlignment="1">
      <alignment horizontal="left" vertical="center"/>
    </xf>
    <xf numFmtId="0" fontId="31" fillId="0" borderId="0" xfId="0" applyFont="1" applyAlignment="1">
      <alignment horizontal="left" vertical="center"/>
    </xf>
    <xf numFmtId="3" fontId="61" fillId="0" borderId="0" xfId="7" applyNumberFormat="1" applyFont="1" applyFill="1" applyBorder="1" applyAlignment="1">
      <alignment horizontal="left" vertical="center"/>
    </xf>
    <xf numFmtId="3" fontId="57" fillId="0" borderId="7" xfId="7" applyNumberFormat="1" applyFont="1" applyFill="1" applyBorder="1" applyAlignment="1">
      <alignment horizontal="left" vertical="center"/>
    </xf>
    <xf numFmtId="0" fontId="26" fillId="0" borderId="0" xfId="20" applyFont="1" applyAlignment="1">
      <alignment horizontal="left" vertical="center"/>
    </xf>
    <xf numFmtId="0" fontId="26" fillId="0" borderId="7" xfId="20" applyFont="1" applyBorder="1" applyAlignment="1">
      <alignment horizontal="left" vertical="center"/>
    </xf>
    <xf numFmtId="0" fontId="26" fillId="0" borderId="2" xfId="20" applyFont="1" applyBorder="1" applyAlignment="1">
      <alignment horizontal="left" vertical="center"/>
    </xf>
    <xf numFmtId="0" fontId="32" fillId="0" borderId="0" xfId="0" applyFont="1" applyAlignment="1">
      <alignment horizontal="left" vertical="center"/>
    </xf>
    <xf numFmtId="167" fontId="40" fillId="0" borderId="2" xfId="14" applyNumberFormat="1" applyFont="1" applyFill="1" applyBorder="1" applyAlignment="1">
      <alignment horizontal="left" vertical="center"/>
    </xf>
    <xf numFmtId="0" fontId="46" fillId="8" borderId="10" xfId="16" applyFont="1" applyFill="1" applyBorder="1" applyAlignment="1">
      <alignment vertical="center"/>
    </xf>
    <xf numFmtId="0" fontId="0" fillId="0" borderId="0" xfId="0" applyAlignment="1">
      <alignment horizontal="left"/>
    </xf>
    <xf numFmtId="169" fontId="0" fillId="0" borderId="0" xfId="30" applyNumberFormat="1" applyFont="1"/>
    <xf numFmtId="0" fontId="73" fillId="0" borderId="35" xfId="0" applyFont="1" applyBorder="1"/>
    <xf numFmtId="0" fontId="56" fillId="0" borderId="0" xfId="3"/>
    <xf numFmtId="11" fontId="0" fillId="0" borderId="0" xfId="0" applyNumberFormat="1"/>
    <xf numFmtId="0" fontId="25" fillId="0" borderId="15" xfId="0" applyFont="1" applyBorder="1" applyAlignment="1">
      <alignment horizontal="left" vertical="center"/>
    </xf>
    <xf numFmtId="0" fontId="25" fillId="0" borderId="2" xfId="0" applyFont="1" applyBorder="1" applyAlignment="1">
      <alignment horizontal="left" vertical="center"/>
    </xf>
    <xf numFmtId="0" fontId="73" fillId="0" borderId="6" xfId="0" applyFont="1" applyBorder="1" applyAlignment="1">
      <alignment horizontal="left" vertical="center"/>
    </xf>
    <xf numFmtId="0" fontId="24" fillId="0" borderId="0" xfId="16" applyFont="1" applyAlignment="1">
      <alignment vertical="center"/>
    </xf>
    <xf numFmtId="0" fontId="24" fillId="0" borderId="13" xfId="16" applyFont="1" applyBorder="1" applyAlignment="1">
      <alignment vertical="center"/>
    </xf>
    <xf numFmtId="0" fontId="70" fillId="6" borderId="0" xfId="0" applyFont="1" applyFill="1"/>
    <xf numFmtId="0" fontId="57" fillId="6" borderId="0" xfId="0" applyFont="1" applyFill="1"/>
    <xf numFmtId="0" fontId="70" fillId="6" borderId="2" xfId="0" applyFont="1" applyFill="1" applyBorder="1"/>
    <xf numFmtId="0" fontId="57" fillId="6" borderId="0" xfId="0" applyFont="1" applyFill="1" applyAlignment="1">
      <alignment horizontal="left" vertical="center"/>
    </xf>
    <xf numFmtId="0" fontId="68" fillId="6" borderId="2" xfId="7" applyFill="1" applyBorder="1" applyAlignment="1">
      <alignment horizontal="right"/>
    </xf>
    <xf numFmtId="0" fontId="23" fillId="0" borderId="13" xfId="16" applyFont="1" applyBorder="1" applyAlignment="1">
      <alignment vertical="center"/>
    </xf>
    <xf numFmtId="9" fontId="87" fillId="6" borderId="0" xfId="14" applyFont="1" applyFill="1" applyAlignment="1">
      <alignment horizontal="left" vertical="center"/>
    </xf>
    <xf numFmtId="0" fontId="23" fillId="0" borderId="6" xfId="0" applyFont="1" applyBorder="1" applyAlignment="1">
      <alignment horizontal="left" vertical="center"/>
    </xf>
    <xf numFmtId="0" fontId="23" fillId="0" borderId="0" xfId="0" applyFont="1" applyAlignment="1">
      <alignment horizontal="left" vertical="center"/>
    </xf>
    <xf numFmtId="0" fontId="23" fillId="0" borderId="2" xfId="0" applyFont="1" applyBorder="1" applyAlignment="1">
      <alignment horizontal="left" vertical="center"/>
    </xf>
    <xf numFmtId="9" fontId="69" fillId="6" borderId="0" xfId="14" applyFont="1" applyFill="1" applyBorder="1" applyAlignment="1">
      <alignment horizontal="left" vertical="center"/>
    </xf>
    <xf numFmtId="2" fontId="99" fillId="6" borderId="6" xfId="1" applyNumberFormat="1" applyFont="1" applyFill="1" applyBorder="1" applyAlignment="1">
      <alignment horizontal="left" vertical="center"/>
    </xf>
    <xf numFmtId="3" fontId="57" fillId="6" borderId="0" xfId="30" applyNumberFormat="1" applyFont="1" applyFill="1" applyAlignment="1">
      <alignment horizontal="left" vertical="center"/>
    </xf>
    <xf numFmtId="3" fontId="57" fillId="6" borderId="7" xfId="30" applyNumberFormat="1" applyFont="1" applyFill="1" applyBorder="1" applyAlignment="1">
      <alignment horizontal="left" vertical="center"/>
    </xf>
    <xf numFmtId="3" fontId="57" fillId="6" borderId="0" xfId="30" applyNumberFormat="1" applyFont="1" applyFill="1" applyBorder="1" applyAlignment="1">
      <alignment horizontal="left" vertical="center"/>
    </xf>
    <xf numFmtId="3" fontId="57" fillId="6" borderId="2" xfId="30" applyNumberFormat="1" applyFont="1" applyFill="1" applyBorder="1" applyAlignment="1">
      <alignment horizontal="left" vertical="center"/>
    </xf>
    <xf numFmtId="0" fontId="27" fillId="0" borderId="2" xfId="0" applyFont="1" applyBorder="1" applyAlignment="1">
      <alignment horizontal="left" vertical="center"/>
    </xf>
    <xf numFmtId="0" fontId="23" fillId="6" borderId="0" xfId="0" applyFont="1" applyFill="1"/>
    <xf numFmtId="0" fontId="50" fillId="6" borderId="0" xfId="0" applyFont="1" applyFill="1" applyAlignment="1">
      <alignment horizontal="left" vertical="center"/>
    </xf>
    <xf numFmtId="0" fontId="57" fillId="6" borderId="2" xfId="0" applyFont="1" applyFill="1" applyBorder="1" applyAlignment="1">
      <alignment horizontal="left" vertical="center"/>
    </xf>
    <xf numFmtId="0" fontId="23" fillId="0" borderId="7" xfId="0" applyFont="1" applyBorder="1" applyAlignment="1">
      <alignment horizontal="left" vertical="center"/>
    </xf>
    <xf numFmtId="3" fontId="47" fillId="0" borderId="7" xfId="30" applyNumberFormat="1" applyFont="1" applyBorder="1" applyAlignment="1">
      <alignment horizontal="left" vertical="center"/>
    </xf>
    <xf numFmtId="3" fontId="47" fillId="0" borderId="0" xfId="30" applyNumberFormat="1" applyFont="1" applyBorder="1" applyAlignment="1">
      <alignment horizontal="left" vertical="center"/>
    </xf>
    <xf numFmtId="3" fontId="47" fillId="0" borderId="2" xfId="30" applyNumberFormat="1" applyFont="1" applyBorder="1" applyAlignment="1">
      <alignment horizontal="left" vertical="center"/>
    </xf>
    <xf numFmtId="3" fontId="47" fillId="0" borderId="6" xfId="30" applyNumberFormat="1" applyFont="1" applyBorder="1" applyAlignment="1">
      <alignment horizontal="left" vertical="center"/>
    </xf>
    <xf numFmtId="9" fontId="22" fillId="0" borderId="7" xfId="14" applyFont="1" applyBorder="1" applyAlignment="1">
      <alignment horizontal="left" vertical="center"/>
    </xf>
    <xf numFmtId="167" fontId="47" fillId="0" borderId="7" xfId="14" applyNumberFormat="1" applyFont="1" applyBorder="1" applyAlignment="1">
      <alignment horizontal="left" vertical="center"/>
    </xf>
    <xf numFmtId="167" fontId="47" fillId="0" borderId="0" xfId="14" applyNumberFormat="1" applyFont="1" applyBorder="1" applyAlignment="1">
      <alignment horizontal="left" vertical="center"/>
    </xf>
    <xf numFmtId="167" fontId="47" fillId="0" borderId="2" xfId="14" applyNumberFormat="1" applyFont="1" applyBorder="1" applyAlignment="1">
      <alignment horizontal="left" vertical="center"/>
    </xf>
    <xf numFmtId="0" fontId="22" fillId="0" borderId="7" xfId="0" applyFont="1" applyBorder="1" applyAlignment="1">
      <alignment horizontal="left" vertical="center"/>
    </xf>
    <xf numFmtId="0" fontId="22" fillId="0" borderId="0" xfId="0" applyFont="1" applyAlignment="1">
      <alignment horizontal="left" vertical="center"/>
    </xf>
    <xf numFmtId="0" fontId="47" fillId="4" borderId="0" xfId="0" applyFont="1" applyFill="1" applyAlignment="1">
      <alignment horizontal="left" vertical="center"/>
    </xf>
    <xf numFmtId="0" fontId="61" fillId="4" borderId="7" xfId="0" applyFont="1" applyFill="1" applyBorder="1" applyAlignment="1">
      <alignment horizontal="left" vertical="center"/>
    </xf>
    <xf numFmtId="0" fontId="73" fillId="4" borderId="7" xfId="0" applyFont="1" applyFill="1" applyBorder="1" applyAlignment="1">
      <alignment horizontal="left" vertical="center"/>
    </xf>
    <xf numFmtId="0" fontId="57" fillId="4" borderId="0" xfId="0" applyFont="1" applyFill="1" applyAlignment="1">
      <alignment horizontal="left" vertical="center"/>
    </xf>
    <xf numFmtId="0" fontId="0" fillId="4" borderId="0" xfId="0" applyFill="1"/>
    <xf numFmtId="0" fontId="0" fillId="4" borderId="9" xfId="0" applyFill="1" applyBorder="1" applyAlignment="1">
      <alignment horizontal="left" vertical="center"/>
    </xf>
    <xf numFmtId="0" fontId="47" fillId="4" borderId="9" xfId="0" applyFont="1" applyFill="1" applyBorder="1" applyAlignment="1">
      <alignment horizontal="left" vertical="center"/>
    </xf>
    <xf numFmtId="1" fontId="57" fillId="4" borderId="0" xfId="0" applyNumberFormat="1" applyFont="1" applyFill="1" applyAlignment="1">
      <alignment horizontal="left" vertical="center"/>
    </xf>
    <xf numFmtId="0" fontId="106" fillId="4" borderId="0" xfId="0" applyFont="1" applyFill="1" applyAlignment="1">
      <alignment horizontal="left" vertical="center"/>
    </xf>
    <xf numFmtId="0" fontId="49" fillId="4" borderId="0" xfId="0" applyFont="1" applyFill="1" applyAlignment="1">
      <alignment horizontal="left" vertical="center"/>
    </xf>
    <xf numFmtId="0" fontId="48" fillId="4" borderId="0" xfId="0" applyFont="1" applyFill="1" applyAlignment="1">
      <alignment horizontal="left" vertical="center"/>
    </xf>
    <xf numFmtId="0" fontId="98" fillId="4" borderId="0" xfId="0" applyFont="1" applyFill="1" applyAlignment="1">
      <alignment horizontal="left" vertical="center"/>
    </xf>
    <xf numFmtId="0" fontId="46" fillId="4" borderId="0" xfId="0" applyFont="1" applyFill="1" applyAlignment="1">
      <alignment horizontal="left" vertical="center"/>
    </xf>
    <xf numFmtId="0" fontId="46" fillId="4" borderId="2" xfId="0" applyFont="1" applyFill="1" applyBorder="1" applyAlignment="1">
      <alignment horizontal="left" vertical="center"/>
    </xf>
    <xf numFmtId="0" fontId="48" fillId="4" borderId="0" xfId="20" applyFont="1" applyFill="1" applyAlignment="1">
      <alignment horizontal="left" vertical="center"/>
    </xf>
    <xf numFmtId="9" fontId="47" fillId="4" borderId="0" xfId="20" applyNumberFormat="1" applyFont="1" applyFill="1" applyAlignment="1">
      <alignment horizontal="left" vertical="center"/>
    </xf>
    <xf numFmtId="0" fontId="98" fillId="4" borderId="0" xfId="20" applyFont="1" applyFill="1" applyAlignment="1">
      <alignment horizontal="left" vertical="center"/>
    </xf>
    <xf numFmtId="3" fontId="57" fillId="6" borderId="0" xfId="27" applyNumberFormat="1" applyFont="1" applyFill="1" applyAlignment="1">
      <alignment horizontal="left" vertical="center"/>
    </xf>
    <xf numFmtId="3" fontId="57" fillId="6" borderId="7" xfId="27" applyNumberFormat="1" applyFont="1" applyFill="1" applyBorder="1" applyAlignment="1">
      <alignment horizontal="left" vertical="center"/>
    </xf>
    <xf numFmtId="0" fontId="73" fillId="0" borderId="6" xfId="0" applyFont="1" applyBorder="1" applyAlignment="1">
      <alignment horizontal="left" vertical="center" wrapText="1"/>
    </xf>
    <xf numFmtId="0" fontId="62" fillId="0" borderId="6" xfId="0" applyFont="1" applyBorder="1" applyAlignment="1">
      <alignment horizontal="left" vertical="center" wrapText="1"/>
    </xf>
    <xf numFmtId="0" fontId="62" fillId="0" borderId="6" xfId="0" applyFont="1" applyBorder="1" applyAlignment="1">
      <alignment horizontal="left" vertical="center"/>
    </xf>
    <xf numFmtId="9" fontId="40" fillId="0" borderId="0" xfId="14" applyFont="1" applyAlignment="1">
      <alignment horizontal="left" vertical="center" wrapText="1"/>
    </xf>
    <xf numFmtId="9" fontId="40" fillId="0" borderId="7" xfId="14" applyFont="1" applyBorder="1" applyAlignment="1">
      <alignment horizontal="left" vertical="center" wrapText="1"/>
    </xf>
    <xf numFmtId="9" fontId="40" fillId="0" borderId="2" xfId="14" applyFont="1" applyBorder="1" applyAlignment="1">
      <alignment horizontal="left" vertical="center" wrapText="1"/>
    </xf>
    <xf numFmtId="9" fontId="40" fillId="0" borderId="0" xfId="14" applyFont="1" applyBorder="1" applyAlignment="1">
      <alignment horizontal="left" vertical="center" wrapText="1"/>
    </xf>
    <xf numFmtId="0" fontId="107" fillId="0" borderId="6" xfId="0" applyFont="1" applyBorder="1" applyAlignment="1">
      <alignment horizontal="left" vertical="center"/>
    </xf>
    <xf numFmtId="0" fontId="98" fillId="0" borderId="6" xfId="27" applyFont="1" applyBorder="1" applyAlignment="1">
      <alignment horizontal="left" vertical="center"/>
    </xf>
    <xf numFmtId="0" fontId="33" fillId="0" borderId="0" xfId="27" applyFont="1" applyAlignment="1">
      <alignment horizontal="left" vertical="center"/>
    </xf>
    <xf numFmtId="0" fontId="33" fillId="0" borderId="2" xfId="27" applyFont="1" applyBorder="1" applyAlignment="1">
      <alignment horizontal="left" vertical="center"/>
    </xf>
    <xf numFmtId="3" fontId="69" fillId="6" borderId="0" xfId="0" applyNumberFormat="1" applyFont="1" applyFill="1" applyAlignment="1">
      <alignment horizontal="left" vertical="center"/>
    </xf>
    <xf numFmtId="3" fontId="57" fillId="3" borderId="0" xfId="0" applyNumberFormat="1" applyFont="1" applyFill="1" applyAlignment="1">
      <alignment horizontal="left" vertical="center"/>
    </xf>
    <xf numFmtId="3" fontId="69" fillId="6" borderId="2" xfId="0" applyNumberFormat="1" applyFont="1" applyFill="1" applyBorder="1" applyAlignment="1">
      <alignment horizontal="left" vertical="center"/>
    </xf>
    <xf numFmtId="3" fontId="57" fillId="3" borderId="2" xfId="0" applyNumberFormat="1" applyFont="1" applyFill="1" applyBorder="1" applyAlignment="1">
      <alignment horizontal="left" vertical="center"/>
    </xf>
    <xf numFmtId="0" fontId="22" fillId="0" borderId="0" xfId="27" applyFont="1" applyAlignment="1">
      <alignment horizontal="left" vertical="center"/>
    </xf>
    <xf numFmtId="0" fontId="22" fillId="0" borderId="0" xfId="27" applyFont="1" applyAlignment="1">
      <alignment horizontal="left" vertical="center" wrapText="1"/>
    </xf>
    <xf numFmtId="0" fontId="22" fillId="0" borderId="0" xfId="0" applyFont="1" applyAlignment="1">
      <alignment vertical="center"/>
    </xf>
    <xf numFmtId="0" fontId="0" fillId="0" borderId="0" xfId="0" applyAlignment="1">
      <alignment vertical="center"/>
    </xf>
    <xf numFmtId="0" fontId="0" fillId="4" borderId="0" xfId="0" applyFill="1" applyAlignment="1">
      <alignment vertical="center"/>
    </xf>
    <xf numFmtId="0" fontId="40" fillId="4" borderId="0" xfId="27" applyFill="1" applyAlignment="1">
      <alignment horizontal="left" vertical="center"/>
    </xf>
    <xf numFmtId="0" fontId="73" fillId="4" borderId="6" xfId="27" applyFont="1" applyFill="1" applyBorder="1" applyAlignment="1">
      <alignment horizontal="left" vertical="center"/>
    </xf>
    <xf numFmtId="0" fontId="40" fillId="4" borderId="9" xfId="27" applyFill="1" applyBorder="1" applyAlignment="1">
      <alignment horizontal="left" vertical="center"/>
    </xf>
    <xf numFmtId="0" fontId="57" fillId="4" borderId="0" xfId="27" applyFont="1" applyFill="1" applyAlignment="1">
      <alignment horizontal="left" vertical="center"/>
    </xf>
    <xf numFmtId="49" fontId="22" fillId="4" borderId="0" xfId="27" quotePrefix="1" applyNumberFormat="1" applyFont="1" applyFill="1" applyAlignment="1">
      <alignment horizontal="left" vertical="center"/>
    </xf>
    <xf numFmtId="0" fontId="37" fillId="4" borderId="0" xfId="27" applyFont="1" applyFill="1" applyAlignment="1">
      <alignment horizontal="left" vertical="center"/>
    </xf>
    <xf numFmtId="49" fontId="40" fillId="4" borderId="0" xfId="27" applyNumberFormat="1" applyFill="1" applyAlignment="1">
      <alignment horizontal="left" vertical="center"/>
    </xf>
    <xf numFmtId="0" fontId="38" fillId="4" borderId="0" xfId="27" applyFont="1" applyFill="1" applyAlignment="1">
      <alignment horizontal="left" vertical="center"/>
    </xf>
    <xf numFmtId="0" fontId="73" fillId="4" borderId="0" xfId="27" applyFont="1" applyFill="1" applyAlignment="1">
      <alignment horizontal="left" vertical="center"/>
    </xf>
    <xf numFmtId="0" fontId="61" fillId="4" borderId="0" xfId="27" applyFont="1" applyFill="1" applyAlignment="1">
      <alignment horizontal="left" vertical="center"/>
    </xf>
    <xf numFmtId="49" fontId="73" fillId="4" borderId="0" xfId="27" applyNumberFormat="1" applyFont="1" applyFill="1" applyAlignment="1">
      <alignment horizontal="left" vertical="center"/>
    </xf>
    <xf numFmtId="0" fontId="65" fillId="4" borderId="0" xfId="6" applyFont="1" applyFill="1" applyAlignment="1">
      <alignment horizontal="left" vertical="center"/>
    </xf>
    <xf numFmtId="0" fontId="27" fillId="4" borderId="0" xfId="27" applyFont="1" applyFill="1" applyAlignment="1">
      <alignment horizontal="left" vertical="center"/>
    </xf>
    <xf numFmtId="0" fontId="22" fillId="0" borderId="6" xfId="0" applyFont="1" applyBorder="1" applyAlignment="1">
      <alignment horizontal="left" vertical="center"/>
    </xf>
    <xf numFmtId="3" fontId="69" fillId="6" borderId="7" xfId="27" applyNumberFormat="1" applyFont="1" applyFill="1" applyBorder="1" applyAlignment="1">
      <alignment horizontal="left" vertical="center"/>
    </xf>
    <xf numFmtId="3" fontId="69" fillId="6" borderId="0" xfId="27" applyNumberFormat="1" applyFont="1" applyFill="1" applyAlignment="1">
      <alignment horizontal="left" vertical="center"/>
    </xf>
    <xf numFmtId="1" fontId="47" fillId="0" borderId="6" xfId="0" applyNumberFormat="1" applyFont="1" applyBorder="1" applyAlignment="1">
      <alignment horizontal="left" vertical="center"/>
    </xf>
    <xf numFmtId="2" fontId="47" fillId="0" borderId="6" xfId="14" applyNumberFormat="1" applyFont="1" applyBorder="1" applyAlignment="1">
      <alignment horizontal="left" vertical="center"/>
    </xf>
    <xf numFmtId="2" fontId="47" fillId="0" borderId="2" xfId="14" applyNumberFormat="1" applyFont="1" applyBorder="1" applyAlignment="1">
      <alignment horizontal="left" vertical="center"/>
    </xf>
    <xf numFmtId="1" fontId="47" fillId="0" borderId="6" xfId="14" applyNumberFormat="1" applyFont="1" applyBorder="1" applyAlignment="1">
      <alignment horizontal="left" vertical="center"/>
    </xf>
    <xf numFmtId="9" fontId="22" fillId="0" borderId="6" xfId="14" applyFont="1" applyBorder="1" applyAlignment="1">
      <alignment horizontal="left" vertical="center"/>
    </xf>
    <xf numFmtId="0" fontId="22" fillId="0" borderId="0" xfId="27" applyFont="1" applyAlignment="1">
      <alignment vertical="center"/>
    </xf>
    <xf numFmtId="2" fontId="48" fillId="6" borderId="6" xfId="14" applyNumberFormat="1" applyFont="1" applyFill="1" applyBorder="1" applyAlignment="1">
      <alignment horizontal="left" vertical="center"/>
    </xf>
    <xf numFmtId="2" fontId="57" fillId="0" borderId="6" xfId="0" applyNumberFormat="1" applyFont="1" applyBorder="1" applyAlignment="1">
      <alignment horizontal="left" vertical="center"/>
    </xf>
    <xf numFmtId="2" fontId="69" fillId="6" borderId="2" xfId="0" applyNumberFormat="1" applyFont="1" applyFill="1" applyBorder="1" applyAlignment="1">
      <alignment horizontal="left" vertical="center"/>
    </xf>
    <xf numFmtId="2" fontId="41" fillId="0" borderId="2" xfId="0" applyNumberFormat="1" applyFont="1" applyBorder="1" applyAlignment="1">
      <alignment horizontal="left" vertical="center"/>
    </xf>
    <xf numFmtId="1" fontId="41" fillId="0" borderId="2" xfId="0" applyNumberFormat="1" applyFont="1" applyBorder="1" applyAlignment="1">
      <alignment horizontal="left" vertical="center"/>
    </xf>
    <xf numFmtId="1" fontId="41" fillId="0" borderId="6" xfId="0" applyNumberFormat="1" applyFont="1" applyBorder="1" applyAlignment="1">
      <alignment horizontal="left" vertical="center"/>
    </xf>
    <xf numFmtId="0" fontId="22" fillId="0" borderId="0" xfId="20" applyFont="1" applyAlignment="1">
      <alignment horizontal="left" vertical="center"/>
    </xf>
    <xf numFmtId="0" fontId="22" fillId="0" borderId="2" xfId="20" applyFont="1" applyBorder="1" applyAlignment="1">
      <alignment horizontal="left" vertical="center"/>
    </xf>
    <xf numFmtId="170" fontId="48" fillId="0" borderId="2" xfId="20" applyNumberFormat="1" applyFont="1" applyBorder="1" applyAlignment="1">
      <alignment horizontal="left" vertical="center"/>
    </xf>
    <xf numFmtId="0" fontId="89" fillId="3" borderId="0" xfId="24" applyFill="1" applyAlignment="1">
      <alignment vertical="center"/>
    </xf>
    <xf numFmtId="0" fontId="46" fillId="4" borderId="6" xfId="0" applyFont="1" applyFill="1" applyBorder="1" applyAlignment="1">
      <alignment horizontal="left" vertical="center"/>
    </xf>
    <xf numFmtId="9" fontId="69" fillId="0" borderId="2" xfId="14" applyFont="1" applyFill="1" applyBorder="1" applyAlignment="1">
      <alignment horizontal="left" vertical="center"/>
    </xf>
    <xf numFmtId="0" fontId="78" fillId="0" borderId="10" xfId="0" applyFont="1" applyBorder="1" applyAlignment="1">
      <alignment vertical="center"/>
    </xf>
    <xf numFmtId="168" fontId="78" fillId="0" borderId="11" xfId="0" applyNumberFormat="1" applyFont="1" applyBorder="1"/>
    <xf numFmtId="0" fontId="22" fillId="0" borderId="9" xfId="0" applyFont="1" applyBorder="1" applyAlignment="1">
      <alignment horizontal="left" vertical="center"/>
    </xf>
    <xf numFmtId="0" fontId="22" fillId="4" borderId="0" xfId="20" applyFont="1" applyFill="1" applyAlignment="1">
      <alignment horizontal="left" vertical="center"/>
    </xf>
    <xf numFmtId="2" fontId="22" fillId="0" borderId="0" xfId="28" applyNumberFormat="1" applyFont="1" applyFill="1" applyBorder="1" applyAlignment="1">
      <alignment horizontal="left" vertical="center"/>
    </xf>
    <xf numFmtId="2" fontId="22" fillId="0" borderId="2" xfId="28" applyNumberFormat="1" applyFont="1" applyFill="1" applyBorder="1" applyAlignment="1">
      <alignment horizontal="left" vertical="center"/>
    </xf>
    <xf numFmtId="0" fontId="22" fillId="8" borderId="13" xfId="16" applyFont="1" applyFill="1" applyBorder="1" applyAlignment="1">
      <alignment vertical="center"/>
    </xf>
    <xf numFmtId="0" fontId="22" fillId="0" borderId="0" xfId="16" applyFont="1" applyAlignment="1">
      <alignment vertical="center"/>
    </xf>
    <xf numFmtId="171" fontId="89" fillId="6" borderId="0" xfId="24" applyNumberFormat="1" applyFill="1" applyAlignment="1">
      <alignment horizontal="left" vertical="center"/>
    </xf>
    <xf numFmtId="0" fontId="73" fillId="4" borderId="0" xfId="0" applyFont="1" applyFill="1" applyAlignment="1">
      <alignment horizontal="left" vertical="center"/>
    </xf>
    <xf numFmtId="0" fontId="21" fillId="4" borderId="9" xfId="0" applyFont="1" applyFill="1" applyBorder="1" applyAlignment="1">
      <alignment horizontal="left" vertical="center"/>
    </xf>
    <xf numFmtId="0" fontId="21" fillId="0" borderId="0" xfId="0" applyFont="1" applyAlignment="1">
      <alignment horizontal="left" vertical="center"/>
    </xf>
    <xf numFmtId="0" fontId="20" fillId="0" borderId="13" xfId="16" applyFont="1" applyBorder="1" applyAlignment="1">
      <alignment vertical="center"/>
    </xf>
    <xf numFmtId="0" fontId="18" fillId="0" borderId="13" xfId="16" applyFont="1" applyBorder="1" applyAlignment="1">
      <alignment vertical="center"/>
    </xf>
    <xf numFmtId="172" fontId="57" fillId="6" borderId="0" xfId="0" applyNumberFormat="1" applyFont="1" applyFill="1" applyAlignment="1">
      <alignment horizontal="left" vertical="center"/>
    </xf>
    <xf numFmtId="172" fontId="61" fillId="6" borderId="6" xfId="0" applyNumberFormat="1" applyFont="1" applyFill="1" applyBorder="1" applyAlignment="1">
      <alignment horizontal="left" vertical="center"/>
    </xf>
    <xf numFmtId="43" fontId="0" fillId="0" borderId="7" xfId="30" applyFont="1" applyBorder="1" applyAlignment="1">
      <alignment horizontal="left" vertical="center"/>
    </xf>
    <xf numFmtId="43" fontId="0" fillId="0" borderId="0" xfId="30" applyFont="1" applyAlignment="1">
      <alignment horizontal="left" vertical="center"/>
    </xf>
    <xf numFmtId="43" fontId="0" fillId="0" borderId="2" xfId="30" applyFont="1" applyBorder="1" applyAlignment="1">
      <alignment horizontal="left" vertical="center"/>
    </xf>
    <xf numFmtId="170" fontId="47" fillId="0" borderId="2" xfId="30" applyNumberFormat="1" applyFont="1" applyBorder="1" applyAlignment="1">
      <alignment horizontal="left" vertical="center"/>
    </xf>
    <xf numFmtId="173" fontId="47" fillId="0" borderId="0" xfId="0" applyNumberFormat="1" applyFont="1" applyAlignment="1">
      <alignment horizontal="left" vertical="center"/>
    </xf>
    <xf numFmtId="173" fontId="47" fillId="0" borderId="0" xfId="30" applyNumberFormat="1" applyFont="1" applyBorder="1" applyAlignment="1">
      <alignment horizontal="left" vertical="center"/>
    </xf>
    <xf numFmtId="173" fontId="47" fillId="0" borderId="2" xfId="0" applyNumberFormat="1" applyFont="1" applyBorder="1" applyAlignment="1">
      <alignment horizontal="left" vertical="center"/>
    </xf>
    <xf numFmtId="173" fontId="47" fillId="0" borderId="2" xfId="30" applyNumberFormat="1" applyFont="1" applyBorder="1" applyAlignment="1">
      <alignment horizontal="left" vertical="center"/>
    </xf>
    <xf numFmtId="167" fontId="17" fillId="0" borderId="2" xfId="14" applyNumberFormat="1" applyFont="1" applyBorder="1" applyAlignment="1">
      <alignment horizontal="left" vertical="center"/>
    </xf>
    <xf numFmtId="43" fontId="57" fillId="0" borderId="0" xfId="30" applyFont="1" applyAlignment="1">
      <alignment horizontal="left" vertical="center"/>
    </xf>
    <xf numFmtId="165" fontId="48" fillId="0" borderId="0" xfId="30" applyNumberFormat="1" applyFont="1" applyAlignment="1">
      <alignment horizontal="left" vertical="center"/>
    </xf>
    <xf numFmtId="1" fontId="57" fillId="0" borderId="0" xfId="30" applyNumberFormat="1" applyFont="1" applyFill="1" applyBorder="1" applyAlignment="1">
      <alignment horizontal="left" vertical="center"/>
    </xf>
    <xf numFmtId="1" fontId="61" fillId="0" borderId="2" xfId="30" applyNumberFormat="1" applyFont="1" applyFill="1" applyBorder="1" applyAlignment="1">
      <alignment horizontal="left" vertical="center"/>
    </xf>
    <xf numFmtId="43" fontId="61" fillId="6" borderId="6" xfId="30" applyFont="1" applyFill="1" applyBorder="1" applyAlignment="1">
      <alignment horizontal="left" vertical="center"/>
    </xf>
    <xf numFmtId="43" fontId="57" fillId="6" borderId="0" xfId="30" applyFont="1" applyFill="1" applyAlignment="1">
      <alignment horizontal="left" vertical="center"/>
    </xf>
    <xf numFmtId="43" fontId="57" fillId="0" borderId="0" xfId="30" applyFont="1" applyFill="1" applyBorder="1" applyAlignment="1">
      <alignment horizontal="left" vertical="center"/>
    </xf>
    <xf numFmtId="0" fontId="49" fillId="0" borderId="10" xfId="16" applyBorder="1" applyAlignment="1">
      <alignment vertical="center"/>
    </xf>
    <xf numFmtId="0" fontId="49" fillId="0" borderId="11" xfId="16" applyBorder="1" applyAlignment="1">
      <alignment vertical="center"/>
    </xf>
    <xf numFmtId="0" fontId="16" fillId="0" borderId="0" xfId="27" applyFont="1" applyAlignment="1">
      <alignment vertical="center"/>
    </xf>
    <xf numFmtId="0" fontId="15" fillId="4" borderId="0" xfId="27" applyFont="1" applyFill="1" applyAlignment="1">
      <alignment horizontal="left" vertical="center"/>
    </xf>
    <xf numFmtId="0" fontId="14" fillId="0" borderId="2" xfId="0" applyFont="1" applyBorder="1" applyAlignment="1">
      <alignment horizontal="left" vertical="center"/>
    </xf>
    <xf numFmtId="3" fontId="13" fillId="6" borderId="0" xfId="14" applyNumberFormat="1" applyFont="1" applyFill="1" applyBorder="1" applyAlignment="1">
      <alignment horizontal="left" vertical="center"/>
    </xf>
    <xf numFmtId="0" fontId="22" fillId="0" borderId="2" xfId="0" applyFont="1" applyBorder="1" applyAlignment="1">
      <alignment horizontal="left" vertical="center"/>
    </xf>
    <xf numFmtId="0" fontId="12" fillId="0" borderId="0" xfId="0" applyFont="1"/>
    <xf numFmtId="0" fontId="12" fillId="0" borderId="0" xfId="0" applyFont="1" applyAlignment="1">
      <alignment horizontal="left" vertical="center"/>
    </xf>
    <xf numFmtId="0" fontId="12" fillId="0" borderId="6" xfId="0" applyFont="1" applyBorder="1" applyAlignment="1">
      <alignment horizontal="left" vertical="center"/>
    </xf>
    <xf numFmtId="14" fontId="0" fillId="3" borderId="0" xfId="0" applyNumberFormat="1" applyFill="1" applyAlignment="1">
      <alignment horizontal="left" vertical="center"/>
    </xf>
    <xf numFmtId="14" fontId="11" fillId="3" borderId="0" xfId="0" applyNumberFormat="1" applyFont="1" applyFill="1" applyAlignment="1">
      <alignment horizontal="left" vertical="center"/>
    </xf>
    <xf numFmtId="0" fontId="55" fillId="3" borderId="0" xfId="35" applyFont="1" applyFill="1" applyAlignment="1">
      <alignment vertical="center"/>
    </xf>
    <xf numFmtId="165" fontId="57" fillId="3" borderId="0" xfId="35" applyNumberFormat="1" applyFont="1" applyFill="1" applyAlignment="1">
      <alignment horizontal="left" vertical="center"/>
    </xf>
    <xf numFmtId="0" fontId="51" fillId="0" borderId="0" xfId="1" applyAlignment="1">
      <alignment vertical="center"/>
    </xf>
    <xf numFmtId="0" fontId="56" fillId="0" borderId="0" xfId="3" applyAlignment="1">
      <alignment vertical="center"/>
    </xf>
    <xf numFmtId="0" fontId="56" fillId="3" borderId="0" xfId="3" applyFill="1" applyAlignment="1">
      <alignment vertical="center"/>
    </xf>
    <xf numFmtId="0" fontId="62" fillId="3" borderId="0" xfId="35" applyFont="1" applyFill="1" applyAlignment="1">
      <alignment vertical="center"/>
    </xf>
    <xf numFmtId="0" fontId="55" fillId="3" borderId="0" xfId="4" applyFont="1" applyFill="1" applyAlignment="1">
      <alignment vertical="center"/>
    </xf>
    <xf numFmtId="0" fontId="58" fillId="0" borderId="0" xfId="0" applyFont="1" applyAlignment="1">
      <alignment vertical="center"/>
    </xf>
    <xf numFmtId="0" fontId="11" fillId="0" borderId="0" xfId="0" applyFont="1" applyAlignment="1">
      <alignment horizontal="left" vertical="center"/>
    </xf>
    <xf numFmtId="0" fontId="11" fillId="0" borderId="2" xfId="0" applyFont="1" applyBorder="1" applyAlignment="1">
      <alignment horizontal="left" vertical="center"/>
    </xf>
    <xf numFmtId="0" fontId="11" fillId="0" borderId="0" xfId="0" applyFont="1" applyAlignment="1">
      <alignment vertical="center"/>
    </xf>
    <xf numFmtId="0" fontId="28" fillId="0" borderId="13" xfId="16" applyFont="1" applyBorder="1" applyAlignment="1">
      <alignment horizontal="left" vertical="center"/>
    </xf>
    <xf numFmtId="0" fontId="10" fillId="0" borderId="0" xfId="0" applyFont="1" applyAlignment="1">
      <alignment horizontal="left" vertical="center"/>
    </xf>
    <xf numFmtId="171" fontId="68" fillId="0" borderId="0" xfId="7" applyNumberFormat="1" applyFill="1" applyBorder="1" applyAlignment="1">
      <alignment horizontal="right"/>
    </xf>
    <xf numFmtId="0" fontId="10" fillId="0" borderId="0" xfId="0" applyFont="1"/>
    <xf numFmtId="171" fontId="29" fillId="0" borderId="0" xfId="0" applyNumberFormat="1" applyFont="1"/>
    <xf numFmtId="173" fontId="57" fillId="0" borderId="0" xfId="0" applyNumberFormat="1" applyFont="1" applyAlignment="1">
      <alignment horizontal="left" vertical="center"/>
    </xf>
    <xf numFmtId="0" fontId="52" fillId="0" borderId="0" xfId="34" applyFont="1"/>
    <xf numFmtId="0" fontId="79" fillId="0" borderId="0" xfId="34"/>
    <xf numFmtId="0" fontId="79" fillId="0" borderId="6" xfId="34" applyBorder="1"/>
    <xf numFmtId="0" fontId="52" fillId="0" borderId="6" xfId="34" applyFont="1" applyBorder="1"/>
    <xf numFmtId="0" fontId="52" fillId="0" borderId="2" xfId="34" applyFont="1" applyBorder="1"/>
    <xf numFmtId="0" fontId="9" fillId="0" borderId="15" xfId="0" applyFont="1" applyBorder="1" applyAlignment="1">
      <alignment horizontal="left" vertical="center"/>
    </xf>
    <xf numFmtId="0" fontId="9" fillId="0" borderId="2" xfId="0" applyFont="1" applyBorder="1" applyAlignment="1">
      <alignment horizontal="left" vertical="center"/>
    </xf>
    <xf numFmtId="0" fontId="8" fillId="0" borderId="13" xfId="16" applyFont="1" applyBorder="1" applyAlignment="1">
      <alignment vertical="center"/>
    </xf>
    <xf numFmtId="0" fontId="60" fillId="0" borderId="0" xfId="36" applyFont="1"/>
    <xf numFmtId="0" fontId="7" fillId="0" borderId="0" xfId="36"/>
    <xf numFmtId="0" fontId="73" fillId="0" borderId="38" xfId="36" applyFont="1" applyBorder="1"/>
    <xf numFmtId="0" fontId="73" fillId="0" borderId="39" xfId="36" applyFont="1" applyBorder="1"/>
    <xf numFmtId="0" fontId="73" fillId="0" borderId="40" xfId="36" applyFont="1" applyBorder="1"/>
    <xf numFmtId="14" fontId="7" fillId="0" borderId="16" xfId="36" applyNumberFormat="1" applyBorder="1" applyAlignment="1">
      <alignment horizontal="center" vertical="center"/>
    </xf>
    <xf numFmtId="0" fontId="7" fillId="0" borderId="0" xfId="36" applyAlignment="1">
      <alignment horizontal="center" vertical="center" wrapText="1"/>
    </xf>
    <xf numFmtId="0" fontId="7" fillId="0" borderId="16" xfId="36" applyBorder="1"/>
    <xf numFmtId="0" fontId="7" fillId="0" borderId="24" xfId="36" applyBorder="1"/>
    <xf numFmtId="0" fontId="7" fillId="0" borderId="18" xfId="36" applyBorder="1"/>
    <xf numFmtId="0" fontId="7" fillId="0" borderId="2" xfId="36" applyBorder="1"/>
    <xf numFmtId="0" fontId="7" fillId="0" borderId="19" xfId="36" applyBorder="1"/>
    <xf numFmtId="0" fontId="6" fillId="0" borderId="0" xfId="36" applyFont="1" applyAlignment="1">
      <alignment horizontal="center" vertical="center"/>
    </xf>
    <xf numFmtId="0" fontId="6" fillId="0" borderId="24" xfId="36" applyFont="1" applyBorder="1" applyAlignment="1">
      <alignment horizontal="center" vertical="center"/>
    </xf>
    <xf numFmtId="2" fontId="69" fillId="6" borderId="6" xfId="0" applyNumberFormat="1" applyFont="1" applyFill="1" applyBorder="1" applyAlignment="1">
      <alignment horizontal="left" vertical="center"/>
    </xf>
    <xf numFmtId="14" fontId="7" fillId="0" borderId="16" xfId="36" applyNumberFormat="1" applyBorder="1"/>
    <xf numFmtId="0" fontId="5" fillId="0" borderId="0" xfId="36" applyFont="1"/>
    <xf numFmtId="0" fontId="5" fillId="0" borderId="24" xfId="36" applyFont="1" applyBorder="1"/>
    <xf numFmtId="49" fontId="4" fillId="4" borderId="0" xfId="27" applyNumberFormat="1" applyFont="1" applyFill="1" applyAlignment="1">
      <alignment horizontal="left" vertical="center"/>
    </xf>
    <xf numFmtId="3" fontId="69" fillId="6" borderId="0" xfId="14" applyNumberFormat="1" applyFont="1" applyFill="1" applyBorder="1" applyAlignment="1">
      <alignment horizontal="left" vertical="center"/>
    </xf>
    <xf numFmtId="0" fontId="3" fillId="4" borderId="0" xfId="27" applyFont="1" applyFill="1" applyAlignment="1">
      <alignment horizontal="left" vertical="center"/>
    </xf>
    <xf numFmtId="3" fontId="69" fillId="6" borderId="0" xfId="30" applyNumberFormat="1" applyFont="1" applyFill="1" applyAlignment="1">
      <alignment horizontal="left" vertical="center"/>
    </xf>
    <xf numFmtId="14" fontId="57" fillId="3" borderId="0" xfId="35" applyNumberFormat="1" applyFont="1" applyFill="1" applyAlignment="1">
      <alignment horizontal="left" vertical="center"/>
    </xf>
    <xf numFmtId="0" fontId="2" fillId="0" borderId="0" xfId="36" applyFont="1"/>
    <xf numFmtId="0" fontId="2" fillId="0" borderId="24" xfId="36" applyFont="1" applyBorder="1"/>
    <xf numFmtId="0" fontId="108" fillId="7" borderId="36" xfId="34" applyFont="1" applyFill="1" applyBorder="1" applyAlignment="1">
      <alignment horizontal="center" vertical="center"/>
    </xf>
    <xf numFmtId="0" fontId="108" fillId="7" borderId="1" xfId="34" applyFont="1" applyFill="1" applyBorder="1" applyAlignment="1">
      <alignment horizontal="center" vertical="center"/>
    </xf>
    <xf numFmtId="0" fontId="108" fillId="7" borderId="37" xfId="34" applyFont="1" applyFill="1" applyBorder="1" applyAlignment="1">
      <alignment horizontal="center" vertical="center"/>
    </xf>
    <xf numFmtId="0" fontId="57" fillId="3" borderId="0" xfId="35" applyFont="1" applyFill="1" applyAlignment="1">
      <alignment vertical="center"/>
    </xf>
    <xf numFmtId="0" fontId="27" fillId="0" borderId="0" xfId="33" applyAlignment="1">
      <alignment vertical="center" wrapText="1"/>
    </xf>
    <xf numFmtId="0" fontId="27" fillId="0" borderId="2" xfId="33" applyBorder="1" applyAlignment="1">
      <alignment vertical="center" wrapText="1"/>
    </xf>
    <xf numFmtId="0" fontId="85" fillId="0" borderId="0" xfId="0" applyFont="1" applyAlignment="1">
      <alignment vertical="center" wrapText="1"/>
    </xf>
    <xf numFmtId="0" fontId="86" fillId="0" borderId="0" xfId="0" applyFont="1" applyAlignment="1">
      <alignment vertical="center" wrapText="1"/>
    </xf>
    <xf numFmtId="0" fontId="85" fillId="0" borderId="8" xfId="0" applyFont="1" applyBorder="1" applyAlignment="1">
      <alignment vertical="center" wrapText="1"/>
    </xf>
    <xf numFmtId="0" fontId="0" fillId="0" borderId="0" xfId="0" applyAlignment="1">
      <alignment horizontal="left" wrapText="1"/>
    </xf>
    <xf numFmtId="0" fontId="15" fillId="0" borderId="13" xfId="16" applyFont="1" applyBorder="1" applyAlignment="1">
      <alignment vertical="center"/>
    </xf>
    <xf numFmtId="0" fontId="49" fillId="0" borderId="13" xfId="16" applyBorder="1" applyAlignment="1">
      <alignment vertical="center"/>
    </xf>
    <xf numFmtId="0" fontId="0" fillId="0" borderId="10" xfId="19" applyFont="1" applyBorder="1" applyAlignment="1">
      <alignment vertical="center"/>
    </xf>
    <xf numFmtId="0" fontId="0" fillId="0" borderId="6" xfId="19" applyFont="1" applyBorder="1" applyAlignment="1">
      <alignment vertical="center"/>
    </xf>
    <xf numFmtId="0" fontId="0" fillId="0" borderId="11" xfId="19" applyFont="1" applyBorder="1" applyAlignment="1">
      <alignment vertical="center"/>
    </xf>
    <xf numFmtId="0" fontId="49" fillId="9" borderId="10" xfId="16" applyFill="1" applyBorder="1" applyAlignment="1">
      <alignment vertical="center"/>
    </xf>
    <xf numFmtId="0" fontId="49" fillId="9" borderId="6" xfId="16" applyFill="1" applyBorder="1" applyAlignment="1">
      <alignment vertical="center"/>
    </xf>
    <xf numFmtId="0" fontId="49" fillId="9" borderId="11" xfId="16" applyFill="1" applyBorder="1" applyAlignment="1">
      <alignment vertical="center"/>
    </xf>
    <xf numFmtId="0" fontId="82" fillId="7" borderId="6" xfId="16" applyFont="1" applyFill="1" applyBorder="1" applyAlignment="1">
      <alignment vertical="center"/>
    </xf>
    <xf numFmtId="0" fontId="82" fillId="7" borderId="11" xfId="16" applyFont="1" applyFill="1" applyBorder="1" applyAlignment="1">
      <alignment vertical="center"/>
    </xf>
    <xf numFmtId="0" fontId="49" fillId="0" borderId="10" xfId="16" applyBorder="1" applyAlignment="1">
      <alignment vertical="center"/>
    </xf>
    <xf numFmtId="0" fontId="49" fillId="0" borderId="6" xfId="16" applyBorder="1" applyAlignment="1">
      <alignment vertical="center"/>
    </xf>
    <xf numFmtId="0" fontId="49" fillId="0" borderId="11" xfId="16" applyBorder="1" applyAlignment="1">
      <alignment vertical="center"/>
    </xf>
    <xf numFmtId="0" fontId="73" fillId="4" borderId="13" xfId="16" applyFont="1" applyFill="1" applyBorder="1" applyAlignment="1">
      <alignment horizontal="left" vertical="center"/>
    </xf>
    <xf numFmtId="0" fontId="49" fillId="0" borderId="10" xfId="16" applyBorder="1" applyAlignment="1">
      <alignment horizontal="center" vertical="center"/>
    </xf>
    <xf numFmtId="0" fontId="49" fillId="0" borderId="11" xfId="16" applyBorder="1" applyAlignment="1">
      <alignment horizontal="center" vertical="center"/>
    </xf>
    <xf numFmtId="0" fontId="19" fillId="0" borderId="13" xfId="16" applyFont="1" applyBorder="1" applyAlignment="1">
      <alignment vertical="center"/>
    </xf>
    <xf numFmtId="0" fontId="73" fillId="4" borderId="10" xfId="16" applyFont="1" applyFill="1" applyBorder="1" applyAlignment="1">
      <alignment horizontal="left" vertical="center"/>
    </xf>
    <xf numFmtId="0" fontId="73" fillId="4" borderId="6" xfId="16" applyFont="1" applyFill="1" applyBorder="1" applyAlignment="1">
      <alignment horizontal="left" vertical="center"/>
    </xf>
    <xf numFmtId="0" fontId="73" fillId="4" borderId="11" xfId="16" applyFont="1" applyFill="1" applyBorder="1" applyAlignment="1">
      <alignment horizontal="left" vertical="center"/>
    </xf>
    <xf numFmtId="0" fontId="73" fillId="4" borderId="6" xfId="27" applyFont="1" applyFill="1" applyBorder="1" applyAlignment="1">
      <alignment horizontal="left" vertical="center"/>
    </xf>
    <xf numFmtId="0" fontId="73" fillId="4" borderId="0" xfId="27" applyFont="1" applyFill="1" applyAlignment="1">
      <alignment horizontal="left" vertical="center"/>
    </xf>
    <xf numFmtId="0" fontId="91" fillId="11" borderId="16" xfId="25" applyFont="1" applyFill="1" applyBorder="1" applyAlignment="1">
      <alignment horizontal="center"/>
    </xf>
    <xf numFmtId="0" fontId="91" fillId="11" borderId="2" xfId="25" applyFont="1" applyFill="1" applyBorder="1" applyAlignment="1">
      <alignment horizontal="center"/>
    </xf>
    <xf numFmtId="0" fontId="92" fillId="0" borderId="6" xfId="25" applyFont="1" applyBorder="1" applyAlignment="1">
      <alignment horizontal="center"/>
    </xf>
    <xf numFmtId="0" fontId="92" fillId="0" borderId="11" xfId="25" applyFont="1" applyBorder="1" applyAlignment="1">
      <alignment horizontal="center"/>
    </xf>
    <xf numFmtId="0" fontId="92" fillId="0" borderId="10" xfId="25" applyFont="1" applyBorder="1" applyAlignment="1">
      <alignment horizontal="center"/>
    </xf>
    <xf numFmtId="0" fontId="92" fillId="0" borderId="17" xfId="25" applyFont="1" applyBorder="1" applyAlignment="1">
      <alignment horizontal="center" vertical="center"/>
    </xf>
    <xf numFmtId="0" fontId="92" fillId="0" borderId="19" xfId="25" applyFont="1" applyBorder="1" applyAlignment="1">
      <alignment horizontal="center" vertical="center"/>
    </xf>
    <xf numFmtId="0" fontId="92" fillId="0" borderId="12" xfId="25" applyFont="1" applyBorder="1" applyAlignment="1">
      <alignment horizontal="center" vertical="center"/>
    </xf>
    <xf numFmtId="0" fontId="92" fillId="0" borderId="14" xfId="25" applyFont="1" applyBorder="1" applyAlignment="1">
      <alignment horizontal="center" vertical="center"/>
    </xf>
    <xf numFmtId="0" fontId="92" fillId="18" borderId="10" xfId="0" applyFont="1" applyFill="1" applyBorder="1" applyAlignment="1">
      <alignment horizontal="center"/>
    </xf>
    <xf numFmtId="0" fontId="92" fillId="18" borderId="6" xfId="0" applyFont="1" applyFill="1" applyBorder="1" applyAlignment="1">
      <alignment horizontal="center"/>
    </xf>
    <xf numFmtId="0" fontId="92" fillId="18" borderId="11" xfId="0" applyFont="1" applyFill="1" applyBorder="1" applyAlignment="1">
      <alignment horizontal="center"/>
    </xf>
    <xf numFmtId="2" fontId="92" fillId="18" borderId="10" xfId="0" applyNumberFormat="1" applyFont="1" applyFill="1" applyBorder="1" applyAlignment="1">
      <alignment horizontal="center"/>
    </xf>
    <xf numFmtId="2" fontId="92" fillId="18" borderId="6" xfId="0" applyNumberFormat="1" applyFont="1" applyFill="1" applyBorder="1" applyAlignment="1">
      <alignment horizontal="center"/>
    </xf>
    <xf numFmtId="2" fontId="92" fillId="18" borderId="11" xfId="0" applyNumberFormat="1" applyFont="1" applyFill="1" applyBorder="1" applyAlignment="1">
      <alignment horizontal="center"/>
    </xf>
    <xf numFmtId="0" fontId="91" fillId="17" borderId="16" xfId="0" applyFont="1" applyFill="1" applyBorder="1" applyAlignment="1">
      <alignment horizontal="center"/>
    </xf>
    <xf numFmtId="0" fontId="91" fillId="17" borderId="2" xfId="0" applyFont="1" applyFill="1" applyBorder="1" applyAlignment="1">
      <alignment horizontal="center"/>
    </xf>
    <xf numFmtId="0" fontId="92" fillId="0" borderId="10" xfId="0" applyFont="1" applyBorder="1" applyAlignment="1">
      <alignment horizontal="center"/>
    </xf>
    <xf numFmtId="0" fontId="92" fillId="0" borderId="6" xfId="0" applyFont="1" applyBorder="1" applyAlignment="1">
      <alignment horizontal="center"/>
    </xf>
    <xf numFmtId="0" fontId="92" fillId="0" borderId="11" xfId="0" applyFont="1" applyBorder="1" applyAlignment="1">
      <alignment horizontal="center"/>
    </xf>
    <xf numFmtId="0" fontId="92" fillId="12" borderId="10" xfId="25" applyFont="1" applyFill="1" applyBorder="1" applyAlignment="1">
      <alignment horizontal="center"/>
    </xf>
    <xf numFmtId="0" fontId="92" fillId="12" borderId="6" xfId="25" applyFont="1" applyFill="1" applyBorder="1" applyAlignment="1">
      <alignment horizontal="center"/>
    </xf>
    <xf numFmtId="0" fontId="92" fillId="12" borderId="11" xfId="25" applyFont="1" applyFill="1" applyBorder="1" applyAlignment="1">
      <alignment horizontal="center"/>
    </xf>
    <xf numFmtId="1" fontId="78" fillId="0" borderId="7" xfId="25" applyNumberFormat="1" applyFont="1" applyBorder="1" applyAlignment="1">
      <alignment horizontal="right" vertical="center"/>
    </xf>
    <xf numFmtId="1" fontId="78" fillId="0" borderId="0" xfId="25" applyNumberFormat="1" applyFont="1" applyAlignment="1">
      <alignment horizontal="right" vertical="center"/>
    </xf>
    <xf numFmtId="1" fontId="78" fillId="0" borderId="2" xfId="25" applyNumberFormat="1" applyFont="1" applyBorder="1" applyAlignment="1">
      <alignment horizontal="right" vertical="center"/>
    </xf>
    <xf numFmtId="1" fontId="78" fillId="0" borderId="20" xfId="25" applyNumberFormat="1" applyFont="1" applyBorder="1" applyAlignment="1">
      <alignment horizontal="right" vertical="center"/>
    </xf>
    <xf numFmtId="0" fontId="45" fillId="0" borderId="16" xfId="25" applyBorder="1" applyAlignment="1">
      <alignment horizontal="right" vertical="center"/>
    </xf>
    <xf numFmtId="0" fontId="45" fillId="0" borderId="18" xfId="25" applyBorder="1" applyAlignment="1">
      <alignment horizontal="right" vertical="center"/>
    </xf>
    <xf numFmtId="0" fontId="45" fillId="0" borderId="0" xfId="25" applyAlignment="1">
      <alignment horizontal="right" vertical="center"/>
    </xf>
    <xf numFmtId="0" fontId="45" fillId="0" borderId="2" xfId="25" applyBorder="1" applyAlignment="1">
      <alignment horizontal="right" vertical="center"/>
    </xf>
    <xf numFmtId="1" fontId="78" fillId="0" borderId="17" xfId="25" applyNumberFormat="1" applyFont="1" applyBorder="1" applyAlignment="1">
      <alignment horizontal="right" vertical="center"/>
    </xf>
    <xf numFmtId="0" fontId="45" fillId="0" borderId="24" xfId="25" applyBorder="1" applyAlignment="1">
      <alignment horizontal="right" vertical="center"/>
    </xf>
    <xf numFmtId="0" fontId="45" fillId="0" borderId="19" xfId="25" applyBorder="1" applyAlignment="1">
      <alignment horizontal="right" vertical="center"/>
    </xf>
    <xf numFmtId="0" fontId="61" fillId="0" borderId="0" xfId="0" applyFont="1" applyAlignment="1">
      <alignment horizontal="center" vertical="center"/>
    </xf>
    <xf numFmtId="0" fontId="1" fillId="0" borderId="0" xfId="33" applyFont="1" applyAlignment="1">
      <alignment vertical="center" wrapText="1"/>
    </xf>
    <xf numFmtId="0" fontId="1" fillId="0" borderId="0" xfId="33" applyFont="1" applyAlignment="1">
      <alignment vertical="center"/>
    </xf>
  </cellXfs>
  <cellStyles count="37">
    <cellStyle name="Calculation" xfId="7" builtinId="22"/>
    <cellStyle name="Comma" xfId="30" builtinId="3"/>
    <cellStyle name="Comma 2" xfId="8" xr:uid="{00000000-0005-0000-0000-000001000000}"/>
    <cellStyle name="Comma 2 2" xfId="26" xr:uid="{C59DE54E-86C7-43F6-BD5B-7C72A045EB56}"/>
    <cellStyle name="Comma 3" xfId="13" xr:uid="{00000000-0005-0000-0000-000002000000}"/>
    <cellStyle name="Comma 4" xfId="21" xr:uid="{B52920D1-A68F-4255-AADA-141716329297}"/>
    <cellStyle name="Hyperlink" xfId="3" builtinId="8"/>
    <cellStyle name="Normal" xfId="0" builtinId="0"/>
    <cellStyle name="Normal 10 2" xfId="6" xr:uid="{00000000-0005-0000-0000-000005000000}"/>
    <cellStyle name="Normal 2" xfId="1" xr:uid="{00000000-0005-0000-0000-000006000000}"/>
    <cellStyle name="Normal 2 10" xfId="35" xr:uid="{3E82E674-24A4-477B-B917-694F1E6FBC92}"/>
    <cellStyle name="Normal 2 10 2" xfId="20" xr:uid="{D0D4795B-909D-4D24-A771-F3CEDDB52C2C}"/>
    <cellStyle name="Normal 2 2" xfId="24" xr:uid="{554B598D-6B3A-451C-8D3A-D113B7F26CA3}"/>
    <cellStyle name="Normal 2 3" xfId="32" xr:uid="{D61C0E38-9446-4CEA-B932-5DACC618263E}"/>
    <cellStyle name="Normal 2 45" xfId="34" xr:uid="{9C052ECE-E9F2-4AE6-AFEB-D16B5C52655D}"/>
    <cellStyle name="Normal 3" xfId="11" xr:uid="{00000000-0005-0000-0000-000007000000}"/>
    <cellStyle name="Normal 3 2" xfId="31" xr:uid="{AF725841-29C6-430E-BF29-A2A3C207C4BD}"/>
    <cellStyle name="Normal 3 28" xfId="5" xr:uid="{00000000-0005-0000-0000-000008000000}"/>
    <cellStyle name="Normal 3 28 2" xfId="19" xr:uid="{115CC548-DD44-4AE7-9D91-DA25F4D952B2}"/>
    <cellStyle name="Normal 3 3" xfId="22" xr:uid="{ADB10CD4-4A6A-4941-9262-C6467B9B731B}"/>
    <cellStyle name="Normal 4" xfId="16" xr:uid="{3C554E17-AC9A-467D-9801-ED38B8AED660}"/>
    <cellStyle name="Normal 5" xfId="25" xr:uid="{BBF2A4A3-4DEB-4198-BD5C-3C5191C038BF}"/>
    <cellStyle name="Normal 5 10" xfId="33" xr:uid="{8EA982F8-F8BE-4C36-AA4B-C490BE38A97A}"/>
    <cellStyle name="Normal 50" xfId="2" xr:uid="{00000000-0005-0000-0000-000009000000}"/>
    <cellStyle name="Normal 50 2" xfId="17" xr:uid="{89B6A7B1-33C8-409A-B1D8-24C07204669F}"/>
    <cellStyle name="Normal 50 7" xfId="4" xr:uid="{00000000-0005-0000-0000-00000A000000}"/>
    <cellStyle name="Normal 50 7 2" xfId="18" xr:uid="{E52643A8-2D10-410D-AE59-B32FE8676BCF}"/>
    <cellStyle name="Normal 56" xfId="15" xr:uid="{50FEA88E-9A10-4705-8C03-887943642E2C}"/>
    <cellStyle name="Normal 6" xfId="27" xr:uid="{653634E8-D455-44A0-8120-AD73C9CC764A}"/>
    <cellStyle name="Normal 62 2" xfId="29" xr:uid="{DC35DA09-7436-4F71-B934-05DD4575A1E7}"/>
    <cellStyle name="Normal 7 13" xfId="36" xr:uid="{1131B413-A973-4C93-B01D-8F613FD5E2FF}"/>
    <cellStyle name="Percent" xfId="14" builtinId="5"/>
    <cellStyle name="Percent 2" xfId="9" xr:uid="{00000000-0005-0000-0000-00000B000000}"/>
    <cellStyle name="Percent 3" xfId="12" xr:uid="{00000000-0005-0000-0000-00000C000000}"/>
    <cellStyle name="Percent 4" xfId="23" xr:uid="{9AABB95B-1902-43DA-A659-85A27138E4B2}"/>
    <cellStyle name="Percent 5" xfId="28" xr:uid="{B0892E7F-840B-4F58-B2D0-8F9E89A02198}"/>
    <cellStyle name="Standard_Sce_D_Extraction" xfId="10" xr:uid="{00000000-0005-0000-0000-00000D000000}"/>
  </cellStyles>
  <dxfs count="0"/>
  <tableStyles count="0" defaultTableStyle="TableStyleMedium2" defaultPivotStyle="PivotStyleLight16"/>
  <colors>
    <mruColors>
      <color rgb="FFBB87AC"/>
      <color rgb="FFD27079"/>
      <color rgb="FFFA7D00"/>
      <color rgb="FFC5D9F2"/>
      <color rgb="FFFFFFCC"/>
      <color rgb="FF1F497D"/>
      <color rgb="FFFFFF99"/>
      <color rgb="FFFDAFA9"/>
      <color rgb="FFE2EFDA"/>
      <color rgb="FFD8E4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90</xdr:row>
      <xdr:rowOff>0</xdr:rowOff>
    </xdr:from>
    <xdr:to>
      <xdr:col>4</xdr:col>
      <xdr:colOff>361950</xdr:colOff>
      <xdr:row>113</xdr:row>
      <xdr:rowOff>22489</xdr:rowOff>
    </xdr:to>
    <xdr:pic>
      <xdr:nvPicPr>
        <xdr:cNvPr id="4" name="Picture 3">
          <a:extLst>
            <a:ext uri="{FF2B5EF4-FFF2-40B4-BE49-F238E27FC236}">
              <a16:creationId xmlns:a16="http://schemas.microsoft.com/office/drawing/2014/main" id="{02ADE9F9-ECD0-F864-3BAF-526CB5CCAE65}"/>
            </a:ext>
          </a:extLst>
        </xdr:cNvPr>
        <xdr:cNvPicPr>
          <a:picLocks noChangeAspect="1"/>
        </xdr:cNvPicPr>
      </xdr:nvPicPr>
      <xdr:blipFill>
        <a:blip xmlns:r="http://schemas.openxmlformats.org/officeDocument/2006/relationships" r:embed="rId1"/>
        <a:stretch>
          <a:fillRect/>
        </a:stretch>
      </xdr:blipFill>
      <xdr:spPr>
        <a:xfrm>
          <a:off x="0" y="18249900"/>
          <a:ext cx="8439150" cy="4403989"/>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reativecommons.org/licenses/by-nc-sa/4.0/" TargetMode="External"/><Relationship Id="rId7" Type="http://schemas.openxmlformats.org/officeDocument/2006/relationships/comments" Target="../comments1.xml"/><Relationship Id="rId2" Type="http://schemas.openxmlformats.org/officeDocument/2006/relationships/hyperlink" Target="https://www.worldbank.org/en/home" TargetMode="External"/><Relationship Id="rId1" Type="http://schemas.openxmlformats.org/officeDocument/2006/relationships/hyperlink" Target="https://www.kapsarc.org/research/projects/global-degree-days-database/"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8" Type="http://schemas.openxmlformats.org/officeDocument/2006/relationships/hyperlink" Target="https://data.oecd.org/gdp/gdp-long-term-forecast.htm" TargetMode="External"/><Relationship Id="rId3" Type="http://schemas.openxmlformats.org/officeDocument/2006/relationships/hyperlink" Target="https://data.oecd.org/gdp/gdp-long-term-forecast.htm" TargetMode="External"/><Relationship Id="rId7" Type="http://schemas.openxmlformats.org/officeDocument/2006/relationships/hyperlink" Target="https://data.oecd.org/gdp/gdp-long-term-forecast.htm" TargetMode="External"/><Relationship Id="rId2" Type="http://schemas.openxmlformats.org/officeDocument/2006/relationships/hyperlink" Target="https://data.oecd.org/gdp/gdp-long-term-forecast.htm" TargetMode="External"/><Relationship Id="rId1" Type="http://schemas.openxmlformats.org/officeDocument/2006/relationships/hyperlink" Target="https://data.oecd.org/gdp/gdp-long-term-forecast.htm" TargetMode="External"/><Relationship Id="rId6" Type="http://schemas.openxmlformats.org/officeDocument/2006/relationships/hyperlink" Target="https://data.oecd.org/gdp/gdp-long-term-forecast.htm" TargetMode="External"/><Relationship Id="rId5" Type="http://schemas.openxmlformats.org/officeDocument/2006/relationships/hyperlink" Target="https://data.oecd.org/gdp/gdp-long-term-forecast.htm" TargetMode="External"/><Relationship Id="rId4" Type="http://schemas.openxmlformats.org/officeDocument/2006/relationships/hyperlink" Target="https://data.oecd.org/gdp/gdp-long-term-forecast.htm" TargetMode="External"/><Relationship Id="rId9" Type="http://schemas.openxmlformats.org/officeDocument/2006/relationships/hyperlink" Target="https://www.pwc.com/gx/en/world-2050/assets/pwc-world-in-2050-summary-report-feb-2017.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ABF34-333F-493D-B878-3E1DE445615F}">
  <sheetPr>
    <tabColor rgb="FFFF0000"/>
  </sheetPr>
  <dimension ref="A1:G144"/>
  <sheetViews>
    <sheetView showGridLines="0" topLeftCell="A123" workbookViewId="0">
      <selection activeCell="B144" sqref="B144"/>
    </sheetView>
  </sheetViews>
  <sheetFormatPr defaultColWidth="8" defaultRowHeight="14.4" x14ac:dyDescent="0.3"/>
  <cols>
    <col min="1" max="1" width="31.69921875" style="12" customWidth="1"/>
    <col min="2" max="4" width="24.69921875" style="12" customWidth="1"/>
    <col min="5" max="5" width="19" style="12" bestFit="1" customWidth="1"/>
    <col min="6" max="16384" width="8" style="12"/>
  </cols>
  <sheetData>
    <row r="1" spans="1:6" ht="31.8" thickBot="1" x14ac:dyDescent="0.35">
      <c r="A1" s="663" t="s">
        <v>764</v>
      </c>
      <c r="B1" s="664"/>
      <c r="C1" s="664"/>
      <c r="D1" s="665"/>
      <c r="F1" s="15"/>
    </row>
    <row r="2" spans="1:6" x14ac:dyDescent="0.3">
      <c r="A2" s="13" t="s">
        <v>26</v>
      </c>
      <c r="B2" s="14" t="s">
        <v>112</v>
      </c>
      <c r="C2" s="16"/>
      <c r="F2" s="17"/>
    </row>
    <row r="3" spans="1:6" x14ac:dyDescent="0.3">
      <c r="A3" s="13" t="s">
        <v>113</v>
      </c>
      <c r="B3" s="12" t="s">
        <v>114</v>
      </c>
      <c r="C3" s="14"/>
      <c r="F3" s="17"/>
    </row>
    <row r="4" spans="1:6" x14ac:dyDescent="0.3">
      <c r="A4" s="13" t="s">
        <v>115</v>
      </c>
      <c r="B4" s="14" t="s">
        <v>501</v>
      </c>
      <c r="C4" s="463" t="s">
        <v>595</v>
      </c>
      <c r="F4" s="17"/>
    </row>
    <row r="5" spans="1:6" x14ac:dyDescent="0.3">
      <c r="A5" s="13" t="s">
        <v>27</v>
      </c>
      <c r="B5" s="18">
        <v>2019</v>
      </c>
      <c r="F5" s="17"/>
    </row>
    <row r="6" spans="1:6" x14ac:dyDescent="0.3">
      <c r="A6" s="619" t="s">
        <v>702</v>
      </c>
      <c r="B6" s="612" t="s">
        <v>697</v>
      </c>
      <c r="F6" s="17"/>
    </row>
    <row r="7" spans="1:6" x14ac:dyDescent="0.3">
      <c r="A7" s="13" t="s">
        <v>116</v>
      </c>
      <c r="B7" s="576" t="s">
        <v>671</v>
      </c>
    </row>
    <row r="8" spans="1:6" ht="15.6" x14ac:dyDescent="0.3">
      <c r="A8" s="613" t="s">
        <v>765</v>
      </c>
      <c r="B8" s="614">
        <v>1</v>
      </c>
      <c r="C8" s="611"/>
      <c r="D8" s="615"/>
    </row>
    <row r="9" spans="1:6" ht="15.6" x14ac:dyDescent="0.3">
      <c r="A9" s="613" t="s">
        <v>754</v>
      </c>
      <c r="B9" s="660">
        <v>45868</v>
      </c>
      <c r="C9" s="611"/>
      <c r="D9" s="615"/>
    </row>
    <row r="10" spans="1:6" ht="15.6" x14ac:dyDescent="0.3">
      <c r="A10" s="613" t="s">
        <v>698</v>
      </c>
      <c r="B10" s="616"/>
      <c r="C10" s="611"/>
      <c r="D10" s="615"/>
    </row>
    <row r="11" spans="1:6" x14ac:dyDescent="0.3">
      <c r="A11" s="613" t="s">
        <v>699</v>
      </c>
      <c r="B11" s="666" t="s">
        <v>700</v>
      </c>
      <c r="C11" s="666"/>
      <c r="D11" s="666"/>
    </row>
    <row r="12" spans="1:6" customFormat="1" ht="15.6" x14ac:dyDescent="0.3">
      <c r="A12" s="615"/>
      <c r="B12" s="617" t="s">
        <v>701</v>
      </c>
      <c r="C12" s="618"/>
      <c r="D12" s="618"/>
    </row>
    <row r="13" spans="1:6" customFormat="1" ht="15.6" x14ac:dyDescent="0.3">
      <c r="A13" s="615"/>
      <c r="B13" s="617"/>
      <c r="C13" s="618"/>
      <c r="D13" s="618"/>
    </row>
    <row r="14" spans="1:6" ht="21" x14ac:dyDescent="0.3">
      <c r="A14" s="620" t="s">
        <v>703</v>
      </c>
    </row>
    <row r="15" spans="1:6" ht="18" x14ac:dyDescent="0.3">
      <c r="A15" s="20" t="s">
        <v>31</v>
      </c>
      <c r="B15" s="681"/>
      <c r="C15" s="681"/>
      <c r="D15" s="682"/>
    </row>
    <row r="16" spans="1:6" x14ac:dyDescent="0.3">
      <c r="A16" s="21" t="s">
        <v>117</v>
      </c>
      <c r="B16" s="683" t="s">
        <v>118</v>
      </c>
      <c r="C16" s="684"/>
      <c r="D16" s="685"/>
    </row>
    <row r="17" spans="1:7" x14ac:dyDescent="0.3">
      <c r="A17" s="22" t="s">
        <v>117</v>
      </c>
      <c r="B17" s="683" t="s">
        <v>119</v>
      </c>
      <c r="C17" s="684"/>
      <c r="D17" s="685"/>
    </row>
    <row r="18" spans="1:7" x14ac:dyDescent="0.3">
      <c r="A18" s="23"/>
      <c r="B18" s="683" t="s">
        <v>120</v>
      </c>
      <c r="C18" s="684"/>
      <c r="D18" s="685"/>
    </row>
    <row r="20" spans="1:7" ht="18" x14ac:dyDescent="0.3">
      <c r="A20" s="20" t="s">
        <v>32</v>
      </c>
      <c r="B20" s="681"/>
      <c r="C20" s="681"/>
      <c r="D20" s="682"/>
    </row>
    <row r="21" spans="1:7" ht="15.6" x14ac:dyDescent="0.3">
      <c r="A21" s="24"/>
      <c r="B21" s="675" t="s">
        <v>33</v>
      </c>
      <c r="C21" s="676"/>
      <c r="D21" s="677"/>
    </row>
    <row r="22" spans="1:7" ht="15.6" x14ac:dyDescent="0.3">
      <c r="A22" s="25"/>
      <c r="B22" s="675" t="s">
        <v>121</v>
      </c>
      <c r="C22" s="676"/>
      <c r="D22" s="677"/>
    </row>
    <row r="23" spans="1:7" ht="15.6" x14ac:dyDescent="0.3">
      <c r="A23" s="26"/>
      <c r="B23" s="675" t="s">
        <v>122</v>
      </c>
      <c r="C23" s="676"/>
      <c r="D23" s="677"/>
    </row>
    <row r="24" spans="1:7" ht="15.6" x14ac:dyDescent="0.3">
      <c r="A24" s="27"/>
      <c r="B24" s="28"/>
      <c r="C24" s="28"/>
    </row>
    <row r="25" spans="1:7" ht="15.6" x14ac:dyDescent="0.3">
      <c r="A25" s="27"/>
      <c r="B25" s="28"/>
      <c r="C25" s="28"/>
    </row>
    <row r="26" spans="1:7" ht="15" customHeight="1" x14ac:dyDescent="0.3">
      <c r="A26" s="19" t="s">
        <v>28</v>
      </c>
    </row>
    <row r="27" spans="1:7" ht="15" customHeight="1" x14ac:dyDescent="0.3">
      <c r="A27" s="29" t="s">
        <v>29</v>
      </c>
      <c r="B27" s="29" t="s">
        <v>30</v>
      </c>
      <c r="C27" s="29"/>
      <c r="D27" s="29"/>
      <c r="F27" s="30"/>
    </row>
    <row r="28" spans="1:7" ht="15" customHeight="1" x14ac:dyDescent="0.3">
      <c r="A28" s="264" t="s">
        <v>431</v>
      </c>
      <c r="B28" s="678" t="s">
        <v>123</v>
      </c>
      <c r="C28" s="679"/>
      <c r="D28" s="680"/>
      <c r="G28" s="32"/>
    </row>
    <row r="29" spans="1:7" ht="15" customHeight="1" x14ac:dyDescent="0.3">
      <c r="A29" s="31" t="s">
        <v>432</v>
      </c>
      <c r="B29" s="265" t="s">
        <v>434</v>
      </c>
      <c r="C29" s="33"/>
      <c r="D29" s="34"/>
      <c r="G29" s="32"/>
    </row>
    <row r="30" spans="1:7" ht="15" customHeight="1" x14ac:dyDescent="0.3">
      <c r="A30" s="264" t="s">
        <v>433</v>
      </c>
      <c r="B30" s="265" t="s">
        <v>435</v>
      </c>
      <c r="C30" s="33"/>
      <c r="D30" s="34"/>
      <c r="G30" s="32"/>
    </row>
    <row r="31" spans="1:7" ht="15" customHeight="1" x14ac:dyDescent="0.3">
      <c r="A31" s="262" t="s">
        <v>436</v>
      </c>
      <c r="B31" s="123" t="s">
        <v>197</v>
      </c>
      <c r="C31" s="36"/>
      <c r="D31" s="37"/>
      <c r="G31" s="32"/>
    </row>
    <row r="32" spans="1:7" ht="15" customHeight="1" x14ac:dyDescent="0.3">
      <c r="A32" s="35" t="s">
        <v>124</v>
      </c>
      <c r="B32" s="38" t="s">
        <v>125</v>
      </c>
      <c r="C32" s="36"/>
      <c r="D32" s="37"/>
      <c r="G32" s="32"/>
    </row>
    <row r="33" spans="1:7" ht="15" customHeight="1" x14ac:dyDescent="0.3">
      <c r="A33" s="575" t="s">
        <v>669</v>
      </c>
      <c r="B33" s="263" t="s">
        <v>429</v>
      </c>
      <c r="C33" s="36"/>
      <c r="D33" s="37"/>
      <c r="G33" s="32"/>
    </row>
    <row r="34" spans="1:7" ht="15" customHeight="1" x14ac:dyDescent="0.3">
      <c r="A34" s="575" t="s">
        <v>670</v>
      </c>
      <c r="B34" s="263" t="s">
        <v>430</v>
      </c>
      <c r="C34" s="36"/>
      <c r="D34" s="37"/>
      <c r="G34" s="32"/>
    </row>
    <row r="35" spans="1:7" ht="15" customHeight="1" x14ac:dyDescent="0.3">
      <c r="A35" s="35" t="s">
        <v>191</v>
      </c>
      <c r="B35" s="454" t="s">
        <v>198</v>
      </c>
      <c r="C35" s="36"/>
      <c r="D35" s="37"/>
      <c r="G35" s="32"/>
    </row>
    <row r="36" spans="1:7" x14ac:dyDescent="0.3">
      <c r="A36" s="27"/>
    </row>
    <row r="37" spans="1:7" ht="21" x14ac:dyDescent="0.3">
      <c r="A37" s="19" t="s">
        <v>126</v>
      </c>
    </row>
    <row r="38" spans="1:7" x14ac:dyDescent="0.3">
      <c r="A38" s="257" t="s">
        <v>427</v>
      </c>
      <c r="B38" s="244">
        <f>1.0778*1.183</f>
        <v>1.2750374000000002</v>
      </c>
      <c r="C38" s="243" t="s">
        <v>411</v>
      </c>
    </row>
    <row r="39" spans="1:7" x14ac:dyDescent="0.3">
      <c r="A39" s="254" t="s">
        <v>425</v>
      </c>
      <c r="B39" s="244">
        <v>1.2</v>
      </c>
      <c r="C39" s="255" t="s">
        <v>411</v>
      </c>
    </row>
    <row r="40" spans="1:7" x14ac:dyDescent="0.3">
      <c r="A40" s="566" t="s">
        <v>661</v>
      </c>
      <c r="B40" s="577">
        <v>3.6000000000000003E-3</v>
      </c>
      <c r="C40" s="255"/>
    </row>
    <row r="41" spans="1:7" customFormat="1" ht="15.6" x14ac:dyDescent="0.3"/>
    <row r="42" spans="1:7" ht="21" x14ac:dyDescent="0.3">
      <c r="A42" s="19" t="s">
        <v>127</v>
      </c>
    </row>
    <row r="43" spans="1:7" x14ac:dyDescent="0.3">
      <c r="A43" s="29" t="s">
        <v>128</v>
      </c>
      <c r="B43" s="29" t="s">
        <v>35</v>
      </c>
      <c r="C43" s="29" t="s">
        <v>30</v>
      </c>
      <c r="D43" s="29"/>
    </row>
    <row r="44" spans="1:7" x14ac:dyDescent="0.3">
      <c r="A44" s="686" t="s">
        <v>129</v>
      </c>
      <c r="B44" s="686"/>
      <c r="C44" s="686"/>
      <c r="D44" s="686"/>
    </row>
    <row r="45" spans="1:7" x14ac:dyDescent="0.3">
      <c r="A45" s="23" t="s">
        <v>110</v>
      </c>
      <c r="B45" s="23" t="s">
        <v>151</v>
      </c>
      <c r="C45" s="674" t="s">
        <v>147</v>
      </c>
      <c r="D45" s="674"/>
    </row>
    <row r="46" spans="1:7" x14ac:dyDescent="0.3">
      <c r="A46" s="23" t="s">
        <v>111</v>
      </c>
      <c r="B46" s="23" t="s">
        <v>148</v>
      </c>
      <c r="C46" s="674"/>
      <c r="D46" s="674"/>
    </row>
    <row r="47" spans="1:7" x14ac:dyDescent="0.3">
      <c r="A47" s="23" t="s">
        <v>109</v>
      </c>
      <c r="B47" s="23" t="s">
        <v>130</v>
      </c>
      <c r="C47" s="674"/>
      <c r="D47" s="674"/>
    </row>
    <row r="48" spans="1:7" x14ac:dyDescent="0.3">
      <c r="A48" s="23" t="s">
        <v>576</v>
      </c>
      <c r="B48" s="23" t="s">
        <v>581</v>
      </c>
      <c r="C48" s="687"/>
      <c r="D48" s="688"/>
    </row>
    <row r="49" spans="1:4" x14ac:dyDescent="0.3">
      <c r="A49" s="23" t="s">
        <v>97</v>
      </c>
      <c r="B49" s="23" t="s">
        <v>131</v>
      </c>
      <c r="C49" s="674"/>
      <c r="D49" s="674"/>
    </row>
    <row r="50" spans="1:4" x14ac:dyDescent="0.3">
      <c r="A50" s="23" t="s">
        <v>132</v>
      </c>
      <c r="B50" s="23" t="s">
        <v>133</v>
      </c>
      <c r="C50" s="674"/>
      <c r="D50" s="674"/>
    </row>
    <row r="51" spans="1:4" x14ac:dyDescent="0.3">
      <c r="A51" s="23" t="s">
        <v>149</v>
      </c>
      <c r="B51" s="23" t="s">
        <v>101</v>
      </c>
      <c r="C51" s="674"/>
      <c r="D51" s="674"/>
    </row>
    <row r="52" spans="1:4" x14ac:dyDescent="0.3">
      <c r="A52" s="686" t="s">
        <v>672</v>
      </c>
      <c r="B52" s="686"/>
      <c r="C52" s="686"/>
      <c r="D52" s="686"/>
    </row>
    <row r="53" spans="1:4" x14ac:dyDescent="0.3">
      <c r="A53" s="581" t="s">
        <v>673</v>
      </c>
      <c r="B53" s="581" t="s">
        <v>678</v>
      </c>
      <c r="C53" s="674"/>
      <c r="D53" s="674"/>
    </row>
    <row r="54" spans="1:4" x14ac:dyDescent="0.3">
      <c r="A54" s="581" t="s">
        <v>679</v>
      </c>
      <c r="B54" s="581" t="s">
        <v>680</v>
      </c>
      <c r="C54" s="689" t="s">
        <v>686</v>
      </c>
      <c r="D54" s="674"/>
    </row>
    <row r="55" spans="1:4" x14ac:dyDescent="0.3">
      <c r="A55" s="581" t="s">
        <v>681</v>
      </c>
      <c r="B55" s="581" t="s">
        <v>682</v>
      </c>
      <c r="C55" s="689" t="s">
        <v>687</v>
      </c>
      <c r="D55" s="674"/>
    </row>
    <row r="56" spans="1:4" x14ac:dyDescent="0.3">
      <c r="A56" s="581" t="s">
        <v>674</v>
      </c>
      <c r="B56" s="581" t="s">
        <v>683</v>
      </c>
      <c r="C56" s="674"/>
      <c r="D56" s="674"/>
    </row>
    <row r="57" spans="1:4" x14ac:dyDescent="0.3">
      <c r="A57" s="581" t="s">
        <v>675</v>
      </c>
      <c r="B57" s="581" t="s">
        <v>684</v>
      </c>
      <c r="C57" s="674"/>
      <c r="D57" s="674"/>
    </row>
    <row r="58" spans="1:4" x14ac:dyDescent="0.3">
      <c r="A58" s="581" t="s">
        <v>676</v>
      </c>
      <c r="B58" s="581" t="s">
        <v>685</v>
      </c>
      <c r="C58" s="674"/>
      <c r="D58" s="674"/>
    </row>
    <row r="59" spans="1:4" x14ac:dyDescent="0.3">
      <c r="A59" s="686" t="s">
        <v>134</v>
      </c>
      <c r="B59" s="686"/>
      <c r="C59" s="686"/>
      <c r="D59" s="686"/>
    </row>
    <row r="60" spans="1:4" x14ac:dyDescent="0.3">
      <c r="A60" s="23" t="s">
        <v>79</v>
      </c>
      <c r="B60" s="23" t="s">
        <v>596</v>
      </c>
      <c r="C60" s="674"/>
      <c r="D60" s="674"/>
    </row>
    <row r="61" spans="1:4" x14ac:dyDescent="0.3">
      <c r="A61" s="23" t="s">
        <v>21</v>
      </c>
      <c r="B61" s="23" t="s">
        <v>597</v>
      </c>
      <c r="C61" s="674"/>
      <c r="D61" s="674"/>
    </row>
    <row r="62" spans="1:4" x14ac:dyDescent="0.3">
      <c r="A62" s="470" t="s">
        <v>646</v>
      </c>
      <c r="B62" s="470" t="s">
        <v>603</v>
      </c>
      <c r="C62" s="674"/>
      <c r="D62" s="674"/>
    </row>
    <row r="63" spans="1:4" x14ac:dyDescent="0.3">
      <c r="A63" s="23" t="s">
        <v>22</v>
      </c>
      <c r="B63" s="23" t="s">
        <v>564</v>
      </c>
      <c r="C63" s="674"/>
      <c r="D63" s="674"/>
    </row>
    <row r="64" spans="1:4" x14ac:dyDescent="0.3">
      <c r="A64" s="23" t="s">
        <v>24</v>
      </c>
      <c r="B64" s="23" t="s">
        <v>598</v>
      </c>
      <c r="C64" s="674"/>
      <c r="D64" s="674"/>
    </row>
    <row r="65" spans="1:4" x14ac:dyDescent="0.3">
      <c r="A65" s="258" t="s">
        <v>23</v>
      </c>
      <c r="B65" s="23" t="s">
        <v>599</v>
      </c>
      <c r="C65" s="673" t="s">
        <v>234</v>
      </c>
      <c r="D65" s="674"/>
    </row>
    <row r="66" spans="1:4" x14ac:dyDescent="0.3">
      <c r="A66" s="345" t="s">
        <v>475</v>
      </c>
      <c r="B66" s="23" t="s">
        <v>600</v>
      </c>
      <c r="C66" s="674"/>
      <c r="D66" s="674"/>
    </row>
    <row r="67" spans="1:4" x14ac:dyDescent="0.3">
      <c r="A67" s="23" t="s">
        <v>0</v>
      </c>
      <c r="B67" s="23" t="s">
        <v>601</v>
      </c>
      <c r="C67" s="674"/>
      <c r="D67" s="674"/>
    </row>
    <row r="68" spans="1:4" x14ac:dyDescent="0.3">
      <c r="A68" s="23" t="s">
        <v>96</v>
      </c>
      <c r="B68" s="23" t="s">
        <v>602</v>
      </c>
      <c r="C68" s="674"/>
      <c r="D68" s="674"/>
    </row>
    <row r="69" spans="1:4" x14ac:dyDescent="0.3">
      <c r="A69" s="23" t="s">
        <v>25</v>
      </c>
      <c r="B69" s="23" t="s">
        <v>604</v>
      </c>
      <c r="C69" s="674"/>
      <c r="D69" s="674"/>
    </row>
    <row r="70" spans="1:4" x14ac:dyDescent="0.3">
      <c r="A70" s="470" t="s">
        <v>106</v>
      </c>
      <c r="B70" s="464" t="s">
        <v>629</v>
      </c>
      <c r="C70" s="674"/>
      <c r="D70" s="674"/>
    </row>
    <row r="71" spans="1:4" x14ac:dyDescent="0.3">
      <c r="A71" s="345" t="s">
        <v>476</v>
      </c>
      <c r="B71" s="464" t="s">
        <v>628</v>
      </c>
      <c r="C71" s="674"/>
      <c r="D71" s="674"/>
    </row>
    <row r="72" spans="1:4" x14ac:dyDescent="0.3">
      <c r="A72" s="226" t="s">
        <v>408</v>
      </c>
      <c r="B72" s="582" t="s">
        <v>688</v>
      </c>
      <c r="C72" s="674"/>
      <c r="D72" s="674"/>
    </row>
    <row r="73" spans="1:4" x14ac:dyDescent="0.3">
      <c r="A73" s="226" t="s">
        <v>693</v>
      </c>
      <c r="B73" s="582" t="s">
        <v>694</v>
      </c>
      <c r="C73" s="601"/>
      <c r="D73" s="602"/>
    </row>
    <row r="74" spans="1:4" x14ac:dyDescent="0.3">
      <c r="A74" s="637" t="s">
        <v>752</v>
      </c>
      <c r="B74" s="637" t="s">
        <v>751</v>
      </c>
      <c r="C74" s="601"/>
      <c r="D74" s="602"/>
    </row>
    <row r="75" spans="1:4" x14ac:dyDescent="0.3">
      <c r="A75" s="690" t="s">
        <v>77</v>
      </c>
      <c r="B75" s="691"/>
      <c r="C75" s="691"/>
      <c r="D75" s="692"/>
    </row>
    <row r="76" spans="1:4" ht="15.6" x14ac:dyDescent="0.3">
      <c r="A76" s="23" t="s">
        <v>135</v>
      </c>
      <c r="B76" s="23" t="s">
        <v>605</v>
      </c>
      <c r="C76" s="674" t="s">
        <v>136</v>
      </c>
      <c r="D76" s="674"/>
    </row>
    <row r="77" spans="1:4" ht="15.6" x14ac:dyDescent="0.3">
      <c r="A77" s="23" t="s">
        <v>137</v>
      </c>
      <c r="B77" s="23" t="s">
        <v>606</v>
      </c>
      <c r="C77" s="683" t="s">
        <v>138</v>
      </c>
      <c r="D77" s="685"/>
    </row>
    <row r="78" spans="1:4" ht="15.6" x14ac:dyDescent="0.3">
      <c r="A78" s="23" t="s">
        <v>139</v>
      </c>
      <c r="B78" s="23" t="s">
        <v>607</v>
      </c>
      <c r="C78" s="683" t="s">
        <v>140</v>
      </c>
      <c r="D78" s="685"/>
    </row>
    <row r="79" spans="1:4" ht="15.6" x14ac:dyDescent="0.3">
      <c r="A79" s="23" t="s">
        <v>141</v>
      </c>
      <c r="B79" s="23" t="s">
        <v>608</v>
      </c>
      <c r="C79" s="683" t="s">
        <v>142</v>
      </c>
      <c r="D79" s="685"/>
    </row>
    <row r="81" spans="1:5" ht="21" x14ac:dyDescent="0.3">
      <c r="A81" s="19" t="s">
        <v>143</v>
      </c>
    </row>
    <row r="82" spans="1:5" x14ac:dyDescent="0.3">
      <c r="A82" s="29" t="s">
        <v>144</v>
      </c>
      <c r="B82" s="29" t="s">
        <v>145</v>
      </c>
      <c r="C82" s="29" t="s">
        <v>88</v>
      </c>
      <c r="D82" s="29" t="s">
        <v>378</v>
      </c>
      <c r="E82" s="29" t="s">
        <v>375</v>
      </c>
    </row>
    <row r="83" spans="1:5" x14ac:dyDescent="0.3">
      <c r="A83" s="23" t="s">
        <v>609</v>
      </c>
      <c r="B83" s="188" t="s">
        <v>368</v>
      </c>
      <c r="C83" s="358" t="s">
        <v>496</v>
      </c>
      <c r="D83" s="358" t="s">
        <v>379</v>
      </c>
      <c r="E83" s="190"/>
    </row>
    <row r="84" spans="1:5" ht="72" x14ac:dyDescent="0.3">
      <c r="A84" s="23" t="s">
        <v>500</v>
      </c>
      <c r="B84" s="188" t="s">
        <v>369</v>
      </c>
      <c r="C84" s="189" t="s">
        <v>373</v>
      </c>
      <c r="D84" s="189" t="s">
        <v>379</v>
      </c>
      <c r="E84" s="189" t="s">
        <v>374</v>
      </c>
    </row>
    <row r="85" spans="1:5" ht="72" x14ac:dyDescent="0.3">
      <c r="A85" s="39" t="s">
        <v>306</v>
      </c>
      <c r="B85" s="188" t="s">
        <v>370</v>
      </c>
      <c r="C85" s="194" t="s">
        <v>286</v>
      </c>
      <c r="D85" s="198" t="s">
        <v>379</v>
      </c>
      <c r="E85" s="194" t="s">
        <v>376</v>
      </c>
    </row>
    <row r="86" spans="1:5" ht="57.6" x14ac:dyDescent="0.3">
      <c r="A86" s="624" t="s">
        <v>495</v>
      </c>
      <c r="B86" s="188" t="s">
        <v>371</v>
      </c>
      <c r="C86" s="189" t="s">
        <v>726</v>
      </c>
      <c r="D86" s="189" t="s">
        <v>379</v>
      </c>
      <c r="E86" s="195" t="s">
        <v>725</v>
      </c>
    </row>
    <row r="87" spans="1:5" ht="57.6" x14ac:dyDescent="0.3">
      <c r="A87" s="252" t="s">
        <v>424</v>
      </c>
      <c r="B87" s="188" t="s">
        <v>372</v>
      </c>
      <c r="C87" s="253" t="s">
        <v>418</v>
      </c>
      <c r="D87" s="253" t="s">
        <v>379</v>
      </c>
      <c r="E87" s="190" t="s">
        <v>419</v>
      </c>
    </row>
    <row r="88" spans="1:5" ht="28.8" x14ac:dyDescent="0.3">
      <c r="A88" s="443" t="s">
        <v>580</v>
      </c>
      <c r="B88" s="188" t="s">
        <v>583</v>
      </c>
      <c r="C88" s="444" t="s">
        <v>578</v>
      </c>
      <c r="D88" s="444" t="s">
        <v>379</v>
      </c>
      <c r="E88" s="195" t="s">
        <v>579</v>
      </c>
    </row>
    <row r="89" spans="1:5" x14ac:dyDescent="0.3">
      <c r="A89" s="192"/>
      <c r="B89" s="193"/>
      <c r="C89" s="191"/>
      <c r="D89" s="191"/>
    </row>
    <row r="90" spans="1:5" ht="21" x14ac:dyDescent="0.3">
      <c r="A90" s="19" t="s">
        <v>146</v>
      </c>
    </row>
    <row r="91" spans="1:5" x14ac:dyDescent="0.3">
      <c r="A91" s="187"/>
    </row>
    <row r="115" spans="1:4" ht="18" x14ac:dyDescent="0.3">
      <c r="A115" s="40" t="s">
        <v>34</v>
      </c>
      <c r="B115" s="9"/>
      <c r="C115" s="9"/>
      <c r="D115" s="41"/>
    </row>
    <row r="116" spans="1:4" ht="15" thickBot="1" x14ac:dyDescent="0.35">
      <c r="A116" s="42" t="s">
        <v>34</v>
      </c>
      <c r="B116" s="42" t="s">
        <v>30</v>
      </c>
      <c r="C116" s="42" t="s">
        <v>150</v>
      </c>
      <c r="D116" s="42"/>
    </row>
    <row r="117" spans="1:4" ht="40.950000000000003" customHeight="1" x14ac:dyDescent="0.3">
      <c r="A117" s="43" t="s">
        <v>457</v>
      </c>
      <c r="B117" s="44" t="s">
        <v>477</v>
      </c>
      <c r="C117" s="671" t="s">
        <v>727</v>
      </c>
      <c r="D117" s="671"/>
    </row>
    <row r="118" spans="1:4" ht="14.4" customHeight="1" x14ac:dyDescent="0.3">
      <c r="A118" s="43" t="s">
        <v>458</v>
      </c>
      <c r="B118" s="45" t="s">
        <v>478</v>
      </c>
      <c r="C118" s="670" t="s">
        <v>728</v>
      </c>
      <c r="D118" s="670"/>
    </row>
    <row r="119" spans="1:4" ht="62.4" customHeight="1" x14ac:dyDescent="0.3">
      <c r="A119" s="43" t="s">
        <v>460</v>
      </c>
      <c r="B119" s="46" t="s">
        <v>480</v>
      </c>
      <c r="C119" s="672" t="s">
        <v>743</v>
      </c>
      <c r="D119" s="672"/>
    </row>
    <row r="120" spans="1:4" ht="14.4" customHeight="1" x14ac:dyDescent="0.3">
      <c r="A120" s="43" t="s">
        <v>459</v>
      </c>
      <c r="B120" s="45" t="s">
        <v>479</v>
      </c>
      <c r="C120" s="669" t="s">
        <v>729</v>
      </c>
      <c r="D120" s="669"/>
    </row>
    <row r="121" spans="1:4" x14ac:dyDescent="0.3">
      <c r="A121" s="43" t="s">
        <v>461</v>
      </c>
      <c r="B121" s="46" t="s">
        <v>481</v>
      </c>
      <c r="C121" s="669" t="s">
        <v>734</v>
      </c>
      <c r="D121" s="669"/>
    </row>
    <row r="122" spans="1:4" x14ac:dyDescent="0.3">
      <c r="A122" s="43" t="s">
        <v>463</v>
      </c>
      <c r="B122" s="45" t="s">
        <v>482</v>
      </c>
      <c r="C122" s="669" t="s">
        <v>730</v>
      </c>
      <c r="D122" s="669"/>
    </row>
    <row r="123" spans="1:4" ht="41.4" customHeight="1" x14ac:dyDescent="0.3">
      <c r="A123" s="47" t="s">
        <v>464</v>
      </c>
      <c r="B123" s="45" t="s">
        <v>483</v>
      </c>
      <c r="C123" s="669" t="s">
        <v>731</v>
      </c>
      <c r="D123" s="669"/>
    </row>
    <row r="124" spans="1:4" ht="14.4" customHeight="1" x14ac:dyDescent="0.3">
      <c r="A124" s="43" t="s">
        <v>465</v>
      </c>
      <c r="B124" s="45" t="s">
        <v>484</v>
      </c>
      <c r="C124" s="669" t="s">
        <v>733</v>
      </c>
      <c r="D124" s="669"/>
    </row>
    <row r="125" spans="1:4" x14ac:dyDescent="0.3">
      <c r="A125" s="43" t="s">
        <v>1</v>
      </c>
      <c r="B125" s="46" t="s">
        <v>90</v>
      </c>
      <c r="C125" s="669" t="s">
        <v>90</v>
      </c>
      <c r="D125" s="669"/>
    </row>
    <row r="126" spans="1:4" ht="14.4" customHeight="1" x14ac:dyDescent="0.3">
      <c r="A126" s="43" t="s">
        <v>2</v>
      </c>
      <c r="B126" s="46" t="s">
        <v>91</v>
      </c>
      <c r="C126" s="46" t="s">
        <v>91</v>
      </c>
      <c r="D126" s="46"/>
    </row>
    <row r="127" spans="1:4" x14ac:dyDescent="0.3">
      <c r="A127" s="43" t="s">
        <v>707</v>
      </c>
      <c r="B127" s="45" t="s">
        <v>715</v>
      </c>
      <c r="C127" s="45" t="s">
        <v>715</v>
      </c>
      <c r="D127" s="45"/>
    </row>
    <row r="128" spans="1:4" x14ac:dyDescent="0.3">
      <c r="A128" s="43" t="s">
        <v>3</v>
      </c>
      <c r="B128" s="45" t="s">
        <v>716</v>
      </c>
      <c r="C128" s="45" t="s">
        <v>716</v>
      </c>
      <c r="D128" s="45"/>
    </row>
    <row r="129" spans="1:4" x14ac:dyDescent="0.3">
      <c r="A129" s="43" t="s">
        <v>467</v>
      </c>
      <c r="B129" s="46" t="s">
        <v>485</v>
      </c>
      <c r="C129" s="669" t="s">
        <v>736</v>
      </c>
      <c r="D129" s="669"/>
    </row>
    <row r="130" spans="1:4" ht="14.4" customHeight="1" x14ac:dyDescent="0.3">
      <c r="A130" s="43" t="s">
        <v>468</v>
      </c>
      <c r="B130" s="46" t="s">
        <v>486</v>
      </c>
      <c r="C130" s="669" t="s">
        <v>737</v>
      </c>
      <c r="D130" s="669"/>
    </row>
    <row r="131" spans="1:4" x14ac:dyDescent="0.3">
      <c r="A131" s="43" t="s">
        <v>469</v>
      </c>
      <c r="B131" s="45" t="s">
        <v>487</v>
      </c>
      <c r="C131" s="669" t="s">
        <v>738</v>
      </c>
      <c r="D131" s="669"/>
    </row>
    <row r="132" spans="1:4" ht="14.4" customHeight="1" x14ac:dyDescent="0.3">
      <c r="A132" s="43" t="s">
        <v>708</v>
      </c>
      <c r="B132" s="46" t="s">
        <v>717</v>
      </c>
      <c r="C132" s="669" t="s">
        <v>740</v>
      </c>
      <c r="D132" s="669"/>
    </row>
    <row r="133" spans="1:4" ht="14.4" customHeight="1" x14ac:dyDescent="0.3">
      <c r="A133" s="47" t="s">
        <v>470</v>
      </c>
      <c r="B133" s="46" t="s">
        <v>488</v>
      </c>
      <c r="C133" s="669" t="s">
        <v>739</v>
      </c>
      <c r="D133" s="669"/>
    </row>
    <row r="134" spans="1:4" x14ac:dyDescent="0.3">
      <c r="A134" s="43" t="s">
        <v>5</v>
      </c>
      <c r="B134" s="46" t="s">
        <v>718</v>
      </c>
      <c r="C134" s="669" t="s">
        <v>732</v>
      </c>
      <c r="D134" s="669"/>
    </row>
    <row r="135" spans="1:4" x14ac:dyDescent="0.3">
      <c r="A135" s="43" t="s">
        <v>6</v>
      </c>
      <c r="B135" s="45" t="s">
        <v>92</v>
      </c>
      <c r="C135" s="669" t="s">
        <v>92</v>
      </c>
      <c r="D135" s="669"/>
    </row>
    <row r="136" spans="1:4" x14ac:dyDescent="0.3">
      <c r="A136" s="43" t="s">
        <v>7</v>
      </c>
      <c r="B136" s="46" t="s">
        <v>93</v>
      </c>
      <c r="C136" s="669" t="s">
        <v>93</v>
      </c>
      <c r="D136" s="669"/>
    </row>
    <row r="137" spans="1:4" ht="28.2" customHeight="1" x14ac:dyDescent="0.3">
      <c r="A137" s="43" t="s">
        <v>8</v>
      </c>
      <c r="B137" s="45" t="s">
        <v>94</v>
      </c>
      <c r="C137" s="669" t="s">
        <v>735</v>
      </c>
      <c r="D137" s="669"/>
    </row>
    <row r="138" spans="1:4" x14ac:dyDescent="0.3">
      <c r="A138" s="47" t="s">
        <v>709</v>
      </c>
      <c r="B138" s="46" t="s">
        <v>719</v>
      </c>
      <c r="C138" s="670" t="s">
        <v>742</v>
      </c>
      <c r="D138" s="670"/>
    </row>
    <row r="139" spans="1:4" x14ac:dyDescent="0.3">
      <c r="A139" s="43" t="s">
        <v>9</v>
      </c>
      <c r="B139" s="44" t="s">
        <v>720</v>
      </c>
      <c r="C139" s="669" t="s">
        <v>741</v>
      </c>
      <c r="D139" s="669"/>
    </row>
    <row r="140" spans="1:4" ht="14.4" customHeight="1" x14ac:dyDescent="0.3">
      <c r="A140" s="439" t="s">
        <v>10</v>
      </c>
      <c r="B140" s="440" t="s">
        <v>95</v>
      </c>
      <c r="C140" s="667" t="s">
        <v>95</v>
      </c>
      <c r="D140" s="667"/>
    </row>
    <row r="141" spans="1:4" ht="14.4" customHeight="1" x14ac:dyDescent="0.3">
      <c r="A141" s="439" t="s">
        <v>710</v>
      </c>
      <c r="B141" s="440" t="s">
        <v>721</v>
      </c>
      <c r="C141" s="667" t="s">
        <v>721</v>
      </c>
      <c r="D141" s="667"/>
    </row>
    <row r="142" spans="1:4" x14ac:dyDescent="0.3">
      <c r="A142" s="439" t="s">
        <v>11</v>
      </c>
      <c r="B142" s="440" t="s">
        <v>722</v>
      </c>
      <c r="C142" s="667" t="s">
        <v>722</v>
      </c>
      <c r="D142" s="667"/>
    </row>
    <row r="143" spans="1:4" x14ac:dyDescent="0.3">
      <c r="A143" s="439" t="s">
        <v>711</v>
      </c>
      <c r="B143" s="731" t="s">
        <v>769</v>
      </c>
      <c r="C143" s="730" t="s">
        <v>768</v>
      </c>
      <c r="D143" s="667"/>
    </row>
    <row r="144" spans="1:4" x14ac:dyDescent="0.3">
      <c r="A144" s="441" t="s">
        <v>13</v>
      </c>
      <c r="B144" s="442" t="s">
        <v>489</v>
      </c>
      <c r="C144" s="668" t="s">
        <v>489</v>
      </c>
      <c r="D144" s="668"/>
    </row>
  </sheetData>
  <sortState xmlns:xlrd2="http://schemas.microsoft.com/office/spreadsheetml/2017/richdata2" ref="A60:C70">
    <sortCondition ref="A60:A70"/>
  </sortState>
  <mergeCells count="70">
    <mergeCell ref="A75:D75"/>
    <mergeCell ref="C76:D76"/>
    <mergeCell ref="C77:D77"/>
    <mergeCell ref="C78:D78"/>
    <mergeCell ref="C79:D79"/>
    <mergeCell ref="A44:D44"/>
    <mergeCell ref="C49:D49"/>
    <mergeCell ref="C50:D50"/>
    <mergeCell ref="A59:D59"/>
    <mergeCell ref="C45:D45"/>
    <mergeCell ref="C46:D46"/>
    <mergeCell ref="C47:D47"/>
    <mergeCell ref="C51:D51"/>
    <mergeCell ref="C48:D48"/>
    <mergeCell ref="A52:D52"/>
    <mergeCell ref="C53:D53"/>
    <mergeCell ref="C54:D54"/>
    <mergeCell ref="C56:D56"/>
    <mergeCell ref="C57:D57"/>
    <mergeCell ref="C58:D58"/>
    <mergeCell ref="C55:D55"/>
    <mergeCell ref="B21:D21"/>
    <mergeCell ref="B22:D22"/>
    <mergeCell ref="B23:D23"/>
    <mergeCell ref="B28:D28"/>
    <mergeCell ref="B15:D15"/>
    <mergeCell ref="B16:D16"/>
    <mergeCell ref="B17:D17"/>
    <mergeCell ref="B18:D18"/>
    <mergeCell ref="B20:D20"/>
    <mergeCell ref="C60:D60"/>
    <mergeCell ref="C61:D61"/>
    <mergeCell ref="C62:D62"/>
    <mergeCell ref="C63:D63"/>
    <mergeCell ref="C64:D64"/>
    <mergeCell ref="C65:D65"/>
    <mergeCell ref="C72:D72"/>
    <mergeCell ref="C66:D66"/>
    <mergeCell ref="C71:D71"/>
    <mergeCell ref="C67:D67"/>
    <mergeCell ref="C68:D68"/>
    <mergeCell ref="C69:D69"/>
    <mergeCell ref="C70:D70"/>
    <mergeCell ref="C117:D117"/>
    <mergeCell ref="C118:D118"/>
    <mergeCell ref="C120:D120"/>
    <mergeCell ref="C121:D121"/>
    <mergeCell ref="C119:D119"/>
    <mergeCell ref="C130:D130"/>
    <mergeCell ref="C131:D131"/>
    <mergeCell ref="C122:D122"/>
    <mergeCell ref="C123:D123"/>
    <mergeCell ref="C124:D124"/>
    <mergeCell ref="C125:D125"/>
    <mergeCell ref="A1:D1"/>
    <mergeCell ref="B11:D11"/>
    <mergeCell ref="C142:D142"/>
    <mergeCell ref="C143:D143"/>
    <mergeCell ref="C144:D144"/>
    <mergeCell ref="C137:D137"/>
    <mergeCell ref="C138:D138"/>
    <mergeCell ref="C139:D139"/>
    <mergeCell ref="C140:D140"/>
    <mergeCell ref="C141:D141"/>
    <mergeCell ref="C132:D132"/>
    <mergeCell ref="C133:D133"/>
    <mergeCell ref="C134:D134"/>
    <mergeCell ref="C135:D135"/>
    <mergeCell ref="C136:D136"/>
    <mergeCell ref="C129:D129"/>
  </mergeCells>
  <phoneticPr fontId="93" type="noConversion"/>
  <hyperlinks>
    <hyperlink ref="E86" r:id="rId1" xr:uid="{8EC2939A-A3C7-4B06-AA32-14FB076D18DD}"/>
    <hyperlink ref="E88" r:id="rId2" xr:uid="{51BFB1B3-BF10-4D77-8E1F-16EA54271A42}"/>
    <hyperlink ref="B12" r:id="rId3" xr:uid="{18C73552-B501-4486-A7FE-7D70269E8A1C}"/>
  </hyperlinks>
  <pageMargins left="0.7" right="0.7" top="0.75" bottom="0.75" header="0.3" footer="0.3"/>
  <pageSetup paperSize="9" orientation="portrait" r:id="rId4"/>
  <drawing r:id="rId5"/>
  <legacy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8BBFB-2CE1-4025-9334-330D891C4D21}">
  <sheetPr>
    <tabColor theme="9" tint="0.59999389629810485"/>
  </sheetPr>
  <dimension ref="A1:AG12"/>
  <sheetViews>
    <sheetView showGridLines="0" tabSelected="1" topLeftCell="P1" workbookViewId="0">
      <pane ySplit="1" topLeftCell="A2" activePane="bottomLeft" state="frozen"/>
      <selection pane="bottomLeft" activeCell="AF5" sqref="AF5"/>
    </sheetView>
  </sheetViews>
  <sheetFormatPr defaultColWidth="9" defaultRowHeight="15.6" x14ac:dyDescent="0.3"/>
  <cols>
    <col min="1" max="1" width="11.59765625" style="9" customWidth="1"/>
    <col min="2" max="2" width="31.8984375" style="9" bestFit="1" customWidth="1"/>
    <col min="3" max="3" width="10.09765625" style="9" bestFit="1" customWidth="1"/>
    <col min="4" max="16384" width="9" style="9"/>
  </cols>
  <sheetData>
    <row r="1" spans="1:33" ht="18" x14ac:dyDescent="0.3">
      <c r="A1" s="40" t="s">
        <v>191</v>
      </c>
    </row>
    <row r="3" spans="1:33" x14ac:dyDescent="0.3">
      <c r="A3" s="104" t="s">
        <v>37</v>
      </c>
    </row>
    <row r="4" spans="1:33" ht="16.2" thickBot="1" x14ac:dyDescent="0.35">
      <c r="A4" s="99" t="s">
        <v>41</v>
      </c>
      <c r="B4" s="99" t="s">
        <v>192</v>
      </c>
      <c r="C4" s="99" t="s">
        <v>43</v>
      </c>
      <c r="D4" s="99" t="s">
        <v>104</v>
      </c>
      <c r="E4" s="99" t="s">
        <v>182</v>
      </c>
      <c r="F4" s="99" t="s">
        <v>457</v>
      </c>
      <c r="G4" s="99" t="s">
        <v>458</v>
      </c>
      <c r="H4" s="99" t="s">
        <v>460</v>
      </c>
      <c r="I4" s="99" t="s">
        <v>459</v>
      </c>
      <c r="J4" s="99" t="s">
        <v>461</v>
      </c>
      <c r="K4" s="99" t="s">
        <v>463</v>
      </c>
      <c r="L4" s="99" t="s">
        <v>464</v>
      </c>
      <c r="M4" s="99" t="s">
        <v>465</v>
      </c>
      <c r="N4" s="99" t="s">
        <v>1</v>
      </c>
      <c r="O4" s="99" t="s">
        <v>2</v>
      </c>
      <c r="P4" s="99" t="s">
        <v>707</v>
      </c>
      <c r="Q4" s="99" t="s">
        <v>3</v>
      </c>
      <c r="R4" s="99" t="s">
        <v>467</v>
      </c>
      <c r="S4" s="99" t="s">
        <v>468</v>
      </c>
      <c r="T4" s="99" t="s">
        <v>469</v>
      </c>
      <c r="U4" s="99" t="s">
        <v>708</v>
      </c>
      <c r="V4" s="99" t="s">
        <v>470</v>
      </c>
      <c r="W4" s="99" t="s">
        <v>5</v>
      </c>
      <c r="X4" s="99" t="s">
        <v>6</v>
      </c>
      <c r="Y4" s="99" t="s">
        <v>7</v>
      </c>
      <c r="Z4" s="99" t="s">
        <v>8</v>
      </c>
      <c r="AA4" s="99" t="s">
        <v>709</v>
      </c>
      <c r="AB4" s="99" t="s">
        <v>9</v>
      </c>
      <c r="AC4" s="99" t="s">
        <v>10</v>
      </c>
      <c r="AD4" s="99" t="s">
        <v>710</v>
      </c>
      <c r="AE4" s="99" t="s">
        <v>11</v>
      </c>
      <c r="AF4" s="99" t="s">
        <v>711</v>
      </c>
      <c r="AG4" s="99" t="s">
        <v>13</v>
      </c>
    </row>
    <row r="5" spans="1:33" ht="55.2" x14ac:dyDescent="0.3">
      <c r="A5" s="2" t="s">
        <v>193</v>
      </c>
      <c r="B5" s="2" t="s">
        <v>30</v>
      </c>
      <c r="C5" s="6" t="s">
        <v>43</v>
      </c>
      <c r="D5" s="6" t="s">
        <v>194</v>
      </c>
      <c r="E5" s="6" t="s">
        <v>49</v>
      </c>
      <c r="F5" s="2" t="s">
        <v>477</v>
      </c>
      <c r="G5" s="2" t="s">
        <v>478</v>
      </c>
      <c r="H5" s="2" t="s">
        <v>480</v>
      </c>
      <c r="I5" s="2" t="s">
        <v>479</v>
      </c>
      <c r="J5" s="2" t="s">
        <v>481</v>
      </c>
      <c r="K5" s="2" t="s">
        <v>482</v>
      </c>
      <c r="L5" s="2" t="s">
        <v>483</v>
      </c>
      <c r="M5" s="2" t="s">
        <v>484</v>
      </c>
      <c r="N5" s="2" t="s">
        <v>90</v>
      </c>
      <c r="O5" s="2" t="s">
        <v>91</v>
      </c>
      <c r="P5" s="2" t="s">
        <v>715</v>
      </c>
      <c r="Q5" s="2" t="s">
        <v>716</v>
      </c>
      <c r="R5" s="2" t="s">
        <v>485</v>
      </c>
      <c r="S5" s="2" t="s">
        <v>486</v>
      </c>
      <c r="T5" s="2" t="s">
        <v>487</v>
      </c>
      <c r="U5" s="2" t="s">
        <v>717</v>
      </c>
      <c r="V5" s="2" t="s">
        <v>488</v>
      </c>
      <c r="W5" s="2" t="s">
        <v>718</v>
      </c>
      <c r="X5" s="2" t="s">
        <v>92</v>
      </c>
      <c r="Y5" s="2" t="s">
        <v>93</v>
      </c>
      <c r="Z5" s="2" t="s">
        <v>94</v>
      </c>
      <c r="AA5" s="2" t="s">
        <v>719</v>
      </c>
      <c r="AB5" s="2" t="s">
        <v>720</v>
      </c>
      <c r="AC5" s="2" t="s">
        <v>95</v>
      </c>
      <c r="AD5" s="2" t="s">
        <v>721</v>
      </c>
      <c r="AE5" s="2" t="s">
        <v>722</v>
      </c>
      <c r="AF5" s="2" t="s">
        <v>769</v>
      </c>
      <c r="AG5" s="2" t="s">
        <v>489</v>
      </c>
    </row>
    <row r="6" spans="1:33" x14ac:dyDescent="0.3">
      <c r="A6" s="9" t="str">
        <f>'Commodities &amp; Processes'!C23</f>
        <v>S-TH</v>
      </c>
      <c r="B6" s="9" t="str">
        <f>'Commodities &amp; Processes'!D23</f>
        <v>Demand for Thermal uses (SRV)</v>
      </c>
      <c r="C6" s="9" t="str">
        <f>IF($A6="","","COM_PROJ")</f>
        <v>COM_PROJ</v>
      </c>
      <c r="D6" s="9">
        <f>IF($A6="","",Legend!$B$5)</f>
        <v>2019</v>
      </c>
      <c r="E6" s="9" t="str">
        <f>'Commodities &amp; Processes'!E23</f>
        <v>PJ</v>
      </c>
      <c r="F6" s="585">
        <f>SUMIFS('Key Inputs_BY Techs'!I:I,'Key Inputs_BY Techs'!$A:$A,"DMD",'Key Inputs_BY Techs'!$C:$C,$A6)</f>
        <v>48.786654612000007</v>
      </c>
      <c r="G6" s="120">
        <f>SUMIFS('Key Inputs_BY Techs'!J:J,'Key Inputs_BY Techs'!$A:$A,"DMD",'Key Inputs_BY Techs'!$C:$C,$A6)</f>
        <v>27.363087626400006</v>
      </c>
      <c r="H6" s="120">
        <f>SUMIFS('Key Inputs_BY Techs'!K:K,'Key Inputs_BY Techs'!$A:$A,"DMD",'Key Inputs_BY Techs'!$C:$C,$A6)</f>
        <v>27.237261480000004</v>
      </c>
      <c r="I6" s="120">
        <f>SUMIFS('Key Inputs_BY Techs'!L:L,'Key Inputs_BY Techs'!$A:$A,"DMD",'Key Inputs_BY Techs'!$C:$C,$A6)</f>
        <v>73.802907453600014</v>
      </c>
      <c r="J6" s="120">
        <f>SUMIFS('Key Inputs_BY Techs'!M:M,'Key Inputs_BY Techs'!$A:$A,"DMD",'Key Inputs_BY Techs'!$C:$C,$A6)</f>
        <v>130.2290869592</v>
      </c>
      <c r="K6" s="120">
        <f>SUMIFS('Key Inputs_BY Techs'!N:N,'Key Inputs_BY Techs'!$A:$A,"DMD",'Key Inputs_BY Techs'!$C:$C,$A6)</f>
        <v>435.24116800192382</v>
      </c>
      <c r="L6" s="120">
        <f>SUMIFS('Key Inputs_BY Techs'!O:O,'Key Inputs_BY Techs'!$A:$A,"DMD",'Key Inputs_BY Techs'!$C:$C,$A6)</f>
        <v>79.219195191011991</v>
      </c>
      <c r="M6" s="120">
        <f>SUMIFS('Key Inputs_BY Techs'!P:P,'Key Inputs_BY Techs'!$A:$A,"DMD",'Key Inputs_BY Techs'!$C:$C,$A6)</f>
        <v>25.7046888888</v>
      </c>
      <c r="N6" s="120">
        <f>SUMIFS('Key Inputs_BY Techs'!Q:Q,'Key Inputs_BY Techs'!$A:$A,"DMD",'Key Inputs_BY Techs'!$C:$C,$A6)</f>
        <v>26.665775900800003</v>
      </c>
      <c r="O6" s="120">
        <f>SUMIFS('Key Inputs_BY Techs'!R:R,'Key Inputs_BY Techs'!$A:$A,"DMD",'Key Inputs_BY Techs'!$C:$C,$A6)</f>
        <v>613.60030279263094</v>
      </c>
      <c r="P6" s="120">
        <f>SUMIFS('Key Inputs_BY Techs'!S:S,'Key Inputs_BY Techs'!$A:$A,"DMD",'Key Inputs_BY Techs'!$C:$C,$A6)</f>
        <v>11.098805284800001</v>
      </c>
      <c r="Q6" s="120">
        <f>SUMIFS('Key Inputs_BY Techs'!T:T,'Key Inputs_BY Techs'!$A:$A,"DMD",'Key Inputs_BY Techs'!$C:$C,$A6)</f>
        <v>30.587907311199999</v>
      </c>
      <c r="R6" s="120">
        <f>SUMIFS('Key Inputs_BY Techs'!U:U,'Key Inputs_BY Techs'!$A:$A,"DMD",'Key Inputs_BY Techs'!$C:$C,$A6)</f>
        <v>146.34361244223385</v>
      </c>
      <c r="S6" s="120">
        <f>SUMIFS('Key Inputs_BY Techs'!V:V,'Key Inputs_BY Techs'!$A:$A,"DMD",'Key Inputs_BY Techs'!$C:$C,$A6)</f>
        <v>467.79573958220408</v>
      </c>
      <c r="T6" s="120">
        <f>SUMIFS('Key Inputs_BY Techs'!W:W,'Key Inputs_BY Techs'!$A:$A,"DMD",'Key Inputs_BY Techs'!$C:$C,$A6)</f>
        <v>410.70354351711984</v>
      </c>
      <c r="U6" s="120">
        <f>SUMIFS('Key Inputs_BY Techs'!X:X,'Key Inputs_BY Techs'!$A:$A,"DMD",'Key Inputs_BY Techs'!$C:$C,$A6)</f>
        <v>944.29127237377043</v>
      </c>
      <c r="V6" s="120">
        <f>SUMIFS('Key Inputs_BY Techs'!Y:Y,'Key Inputs_BY Techs'!$A:$A,"DMD",'Key Inputs_BY Techs'!$C:$C,$A6)</f>
        <v>1075.1916906287895</v>
      </c>
      <c r="W6" s="120">
        <f>SUMIFS('Key Inputs_BY Techs'!Z:Z,'Key Inputs_BY Techs'!$A:$A,"DMD",'Key Inputs_BY Techs'!$C:$C,$A6)</f>
        <v>141.11382385511999</v>
      </c>
      <c r="X6" s="120">
        <f>SUMIFS('Key Inputs_BY Techs'!AA:AA,'Key Inputs_BY Techs'!$A:$A,"DMD",'Key Inputs_BY Techs'!$C:$C,$A6)</f>
        <v>62.398404401999997</v>
      </c>
      <c r="Y6" s="120">
        <f>SUMIFS('Key Inputs_BY Techs'!AB:AB,'Key Inputs_BY Techs'!$A:$A,"DMD",'Key Inputs_BY Techs'!$C:$C,$A6)</f>
        <v>627.82663461995332</v>
      </c>
      <c r="Z6" s="120">
        <f>SUMIFS('Key Inputs_BY Techs'!AC:AC,'Key Inputs_BY Techs'!$A:$A,"DMD",'Key Inputs_BY Techs'!$C:$C,$A6)</f>
        <v>66.74606050550706</v>
      </c>
      <c r="AA6" s="120">
        <f>SUMIFS('Key Inputs_BY Techs'!AD:AD,'Key Inputs_BY Techs'!$A:$A,"DMD",'Key Inputs_BY Techs'!$C:$C,$A6)</f>
        <v>158.9162649216</v>
      </c>
      <c r="AB6" s="120">
        <f>SUMIFS('Key Inputs_BY Techs'!AE:AE,'Key Inputs_BY Techs'!$A:$A,"DMD",'Key Inputs_BY Techs'!$C:$C,$A6)</f>
        <v>202.85081254080004</v>
      </c>
      <c r="AC6" s="120">
        <f>SUMIFS('Key Inputs_BY Techs'!AF:AF,'Key Inputs_BY Techs'!$A:$A,"DMD",'Key Inputs_BY Techs'!$C:$C,$A6)</f>
        <v>24.002440229600001</v>
      </c>
      <c r="AD6" s="120">
        <f>SUMIFS('Key Inputs_BY Techs'!AG:AG,'Key Inputs_BY Techs'!$A:$A,"DMD",'Key Inputs_BY Techs'!$C:$C,$A6)</f>
        <v>24.33777657840001</v>
      </c>
      <c r="AE6" s="120">
        <f>SUMIFS('Key Inputs_BY Techs'!AH:AH,'Key Inputs_BY Techs'!$A:$A,"DMD",'Key Inputs_BY Techs'!$C:$C,$A6)</f>
        <v>914.8509898587522</v>
      </c>
      <c r="AF6" s="120">
        <f>SUMIFS('Key Inputs_BY Techs'!AI:AI,'Key Inputs_BY Techs'!$A:$A,"DMD",'Key Inputs_BY Techs'!$C:$C,$A6)</f>
        <v>239.59485651811437</v>
      </c>
      <c r="AG6" s="120">
        <f>SUMIFS('Key Inputs_BY Techs'!AJ:AJ,'Key Inputs_BY Techs'!$A:$A,"DMD",'Key Inputs_BY Techs'!$C:$C,$A6)</f>
        <v>3634.7390929437634</v>
      </c>
    </row>
    <row r="7" spans="1:33" x14ac:dyDescent="0.3">
      <c r="A7" s="9" t="str">
        <f>'Commodities &amp; Processes'!C24</f>
        <v>S-AC</v>
      </c>
      <c r="B7" s="9" t="str">
        <f>'Commodities &amp; Processes'!D24</f>
        <v>Demand for Air conditioning (SRV)</v>
      </c>
      <c r="C7" s="9" t="str">
        <f t="shared" ref="C7:C12" si="0">IF($A7="","","COM_PROJ")</f>
        <v>COM_PROJ</v>
      </c>
      <c r="D7" s="9">
        <f>IF($A7="","",Legend!$B$5)</f>
        <v>2019</v>
      </c>
      <c r="E7" s="9" t="str">
        <f>'Commodities &amp; Processes'!E24</f>
        <v>PJ</v>
      </c>
      <c r="F7" s="586">
        <f>SUMIFS('Key Inputs_BY Techs'!I:I,'Key Inputs_BY Techs'!$A:$A,"DMD",'Key Inputs_BY Techs'!$C:$C,$A7)</f>
        <v>2.824504467849458</v>
      </c>
      <c r="G7" s="121">
        <f>SUMIFS('Key Inputs_BY Techs'!J:J,'Key Inputs_BY Techs'!$A:$A,"DMD",'Key Inputs_BY Techs'!$C:$C,$A7)</f>
        <v>15.609103638115425</v>
      </c>
      <c r="H7" s="121">
        <f>SUMIFS('Key Inputs_BY Techs'!K:K,'Key Inputs_BY Techs'!$A:$A,"DMD",'Key Inputs_BY Techs'!$C:$C,$A7)</f>
        <v>3.6279172418360872</v>
      </c>
      <c r="I7" s="121">
        <f>SUMIFS('Key Inputs_BY Techs'!L:L,'Key Inputs_BY Techs'!$A:$A,"DMD",'Key Inputs_BY Techs'!$C:$C,$A7)</f>
        <v>9.5092611273470258</v>
      </c>
      <c r="J7" s="121">
        <f>SUMIFS('Key Inputs_BY Techs'!M:M,'Key Inputs_BY Techs'!$A:$A,"DMD",'Key Inputs_BY Techs'!$C:$C,$A7)</f>
        <v>47.928204666255994</v>
      </c>
      <c r="K7" s="121">
        <f>SUMIFS('Key Inputs_BY Techs'!N:N,'Key Inputs_BY Techs'!$A:$A,"DMD",'Key Inputs_BY Techs'!$C:$C,$A7)</f>
        <v>7.5479080739029465</v>
      </c>
      <c r="L7" s="121">
        <f>SUMIFS('Key Inputs_BY Techs'!O:O,'Key Inputs_BY Techs'!$A:$A,"DMD",'Key Inputs_BY Techs'!$C:$C,$A7)</f>
        <v>169.78613920796994</v>
      </c>
      <c r="M7" s="121">
        <f>SUMIFS('Key Inputs_BY Techs'!P:P,'Key Inputs_BY Techs'!$A:$A,"DMD",'Key Inputs_BY Techs'!$C:$C,$A7)</f>
        <v>39.404322436028366</v>
      </c>
      <c r="N7" s="121">
        <f>SUMIFS('Key Inputs_BY Techs'!Q:Q,'Key Inputs_BY Techs'!$A:$A,"DMD",'Key Inputs_BY Techs'!$C:$C,$A7)</f>
        <v>111.51440680799185</v>
      </c>
      <c r="O7" s="121">
        <f>SUMIFS('Key Inputs_BY Techs'!R:R,'Key Inputs_BY Techs'!$A:$A,"DMD",'Key Inputs_BY Techs'!$C:$C,$A7)</f>
        <v>194.44972053038612</v>
      </c>
      <c r="P7" s="121">
        <f>SUMIFS('Key Inputs_BY Techs'!S:S,'Key Inputs_BY Techs'!$A:$A,"DMD",'Key Inputs_BY Techs'!$C:$C,$A7)</f>
        <v>9.7012401305415761</v>
      </c>
      <c r="Q7" s="121">
        <f>SUMIFS('Key Inputs_BY Techs'!T:T,'Key Inputs_BY Techs'!$A:$A,"DMD",'Key Inputs_BY Techs'!$C:$C,$A7)</f>
        <v>8.8912386305765825</v>
      </c>
      <c r="R7" s="121">
        <f>SUMIFS('Key Inputs_BY Techs'!U:U,'Key Inputs_BY Techs'!$A:$A,"DMD",'Key Inputs_BY Techs'!$C:$C,$A7)</f>
        <v>4.9298500161843348</v>
      </c>
      <c r="S7" s="121">
        <f>SUMIFS('Key Inputs_BY Techs'!V:V,'Key Inputs_BY Techs'!$A:$A,"DMD",'Key Inputs_BY Techs'!$C:$C,$A7)</f>
        <v>134.87409865261662</v>
      </c>
      <c r="T7" s="121">
        <f>SUMIFS('Key Inputs_BY Techs'!W:W,'Key Inputs_BY Techs'!$A:$A,"DMD",'Key Inputs_BY Techs'!$C:$C,$A7)</f>
        <v>14.464613285978121</v>
      </c>
      <c r="U7" s="121">
        <f>SUMIFS('Key Inputs_BY Techs'!X:X,'Key Inputs_BY Techs'!$A:$A,"DMD",'Key Inputs_BY Techs'!$C:$C,$A7)</f>
        <v>338.3113011652751</v>
      </c>
      <c r="V7" s="121">
        <f>SUMIFS('Key Inputs_BY Techs'!Y:Y,'Key Inputs_BY Techs'!$A:$A,"DMD",'Key Inputs_BY Techs'!$C:$C,$A7)</f>
        <v>272.69520543145546</v>
      </c>
      <c r="W7" s="121">
        <f>SUMIFS('Key Inputs_BY Techs'!Z:Z,'Key Inputs_BY Techs'!$A:$A,"DMD",'Key Inputs_BY Techs'!$C:$C,$A7)</f>
        <v>141.1007109768311</v>
      </c>
      <c r="X7" s="121">
        <f>SUMIFS('Key Inputs_BY Techs'!AA:AA,'Key Inputs_BY Techs'!$A:$A,"DMD",'Key Inputs_BY Techs'!$C:$C,$A7)</f>
        <v>51.334274013795621</v>
      </c>
      <c r="Y7" s="121">
        <f>SUMIFS('Key Inputs_BY Techs'!AB:AB,'Key Inputs_BY Techs'!$A:$A,"DMD",'Key Inputs_BY Techs'!$C:$C,$A7)</f>
        <v>467.98597337893369</v>
      </c>
      <c r="Z7" s="121">
        <f>SUMIFS('Key Inputs_BY Techs'!AC:AC,'Key Inputs_BY Techs'!$A:$A,"DMD",'Key Inputs_BY Techs'!$C:$C,$A7)</f>
        <v>91.410227230213039</v>
      </c>
      <c r="AA7" s="121">
        <f>SUMIFS('Key Inputs_BY Techs'!AD:AD,'Key Inputs_BY Techs'!$A:$A,"DMD",'Key Inputs_BY Techs'!$C:$C,$A7)</f>
        <v>103.37471841555028</v>
      </c>
      <c r="AB7" s="121">
        <f>SUMIFS('Key Inputs_BY Techs'!AE:AE,'Key Inputs_BY Techs'!$A:$A,"DMD",'Key Inputs_BY Techs'!$C:$C,$A7)</f>
        <v>226.30652092290745</v>
      </c>
      <c r="AC7" s="121">
        <f>SUMIFS('Key Inputs_BY Techs'!AF:AF,'Key Inputs_BY Techs'!$A:$A,"DMD",'Key Inputs_BY Techs'!$C:$C,$A7)</f>
        <v>28.38066262154922</v>
      </c>
      <c r="AD7" s="121">
        <f>SUMIFS('Key Inputs_BY Techs'!AG:AG,'Key Inputs_BY Techs'!$A:$A,"DMD",'Key Inputs_BY Techs'!$C:$C,$A7)</f>
        <v>2.1923162102255351</v>
      </c>
      <c r="AE7" s="121">
        <f>SUMIFS('Key Inputs_BY Techs'!AH:AH,'Key Inputs_BY Techs'!$A:$A,"DMD",'Key Inputs_BY Techs'!$C:$C,$A7)</f>
        <v>18.177143292585477</v>
      </c>
      <c r="AF7" s="121">
        <f>SUMIFS('Key Inputs_BY Techs'!AI:AI,'Key Inputs_BY Techs'!$A:$A,"DMD",'Key Inputs_BY Techs'!$C:$C,$A7)</f>
        <v>253.42910366923257</v>
      </c>
      <c r="AG7" s="121">
        <f>SUMIFS('Key Inputs_BY Techs'!AJ:AJ,'Key Inputs_BY Techs'!$A:$A,"DMD",'Key Inputs_BY Techs'!$C:$C,$A7)</f>
        <v>2821.6602151103234</v>
      </c>
    </row>
    <row r="8" spans="1:33" x14ac:dyDescent="0.3">
      <c r="A8" s="9" t="str">
        <f>'Commodities &amp; Processes'!C25</f>
        <v>S-CK</v>
      </c>
      <c r="B8" s="9" t="str">
        <f>'Commodities &amp; Processes'!D25</f>
        <v>Demand for Cooking (SRV)</v>
      </c>
      <c r="C8" s="9" t="str">
        <f t="shared" si="0"/>
        <v>COM_PROJ</v>
      </c>
      <c r="D8" s="9">
        <f>IF($A8="","",Legend!$B$5)</f>
        <v>2019</v>
      </c>
      <c r="E8" s="9" t="str">
        <f>'Commodities &amp; Processes'!E25</f>
        <v>PJ</v>
      </c>
      <c r="F8" s="586">
        <f>SUMIFS('Key Inputs_BY Techs'!I:I,'Key Inputs_BY Techs'!$A:$A,"DMD",'Key Inputs_BY Techs'!$C:$C,$A8)</f>
        <v>58.954615199999992</v>
      </c>
      <c r="G8" s="121">
        <f>SUMIFS('Key Inputs_BY Techs'!J:J,'Key Inputs_BY Techs'!$A:$A,"DMD",'Key Inputs_BY Techs'!$C:$C,$A8)</f>
        <v>23.514295700000002</v>
      </c>
      <c r="H8" s="121">
        <f>SUMIFS('Key Inputs_BY Techs'!K:K,'Key Inputs_BY Techs'!$A:$A,"DMD",'Key Inputs_BY Techs'!$C:$C,$A8)</f>
        <v>40.542659199999996</v>
      </c>
      <c r="I8" s="121">
        <f>SUMIFS('Key Inputs_BY Techs'!L:L,'Key Inputs_BY Techs'!$A:$A,"DMD",'Key Inputs_BY Techs'!$C:$C,$A8)</f>
        <v>25.033645900000003</v>
      </c>
      <c r="J8" s="121">
        <f>SUMIFS('Key Inputs_BY Techs'!M:M,'Key Inputs_BY Techs'!$A:$A,"DMD",'Key Inputs_BY Techs'!$C:$C,$A8)</f>
        <v>14.6168421</v>
      </c>
      <c r="K8" s="121">
        <f>SUMIFS('Key Inputs_BY Techs'!N:N,'Key Inputs_BY Techs'!$A:$A,"DMD",'Key Inputs_BY Techs'!$C:$C,$A8)</f>
        <v>31.97256324167212</v>
      </c>
      <c r="L8" s="121">
        <f>SUMIFS('Key Inputs_BY Techs'!O:O,'Key Inputs_BY Techs'!$A:$A,"DMD",'Key Inputs_BY Techs'!$C:$C,$A8)</f>
        <v>36.625642999999997</v>
      </c>
      <c r="M8" s="121">
        <f>SUMIFS('Key Inputs_BY Techs'!P:P,'Key Inputs_BY Techs'!$A:$A,"DMD",'Key Inputs_BY Techs'!$C:$C,$A8)</f>
        <v>19.300187299999997</v>
      </c>
      <c r="N8" s="121">
        <f>SUMIFS('Key Inputs_BY Techs'!Q:Q,'Key Inputs_BY Techs'!$A:$A,"DMD",'Key Inputs_BY Techs'!$C:$C,$A8)</f>
        <v>11.584951200000001</v>
      </c>
      <c r="O8" s="121">
        <f>SUMIFS('Key Inputs_BY Techs'!R:R,'Key Inputs_BY Techs'!$A:$A,"DMD",'Key Inputs_BY Techs'!$C:$C,$A8)</f>
        <v>58.0356624</v>
      </c>
      <c r="P8" s="121">
        <f>SUMIFS('Key Inputs_BY Techs'!S:S,'Key Inputs_BY Techs'!$A:$A,"DMD",'Key Inputs_BY Techs'!$C:$C,$A8)</f>
        <v>13.306543999999999</v>
      </c>
      <c r="Q8" s="121">
        <f>SUMIFS('Key Inputs_BY Techs'!T:T,'Key Inputs_BY Techs'!$A:$A,"DMD",'Key Inputs_BY Techs'!$C:$C,$A8)</f>
        <v>12.77712945</v>
      </c>
      <c r="R8" s="121">
        <f>SUMIFS('Key Inputs_BY Techs'!U:U,'Key Inputs_BY Techs'!$A:$A,"DMD",'Key Inputs_BY Techs'!$C:$C,$A8)</f>
        <v>7.747425336081136</v>
      </c>
      <c r="S8" s="121">
        <f>SUMIFS('Key Inputs_BY Techs'!V:V,'Key Inputs_BY Techs'!$A:$A,"DMD",'Key Inputs_BY Techs'!$C:$C,$A8)</f>
        <v>47.091217799999995</v>
      </c>
      <c r="T8" s="121">
        <f>SUMIFS('Key Inputs_BY Techs'!W:W,'Key Inputs_BY Techs'!$A:$A,"DMD",'Key Inputs_BY Techs'!$C:$C,$A8)</f>
        <v>28.494731862085278</v>
      </c>
      <c r="U8" s="121">
        <f>SUMIFS('Key Inputs_BY Techs'!X:X,'Key Inputs_BY Techs'!$A:$A,"DMD",'Key Inputs_BY Techs'!$C:$C,$A8)</f>
        <v>109.77201770000001</v>
      </c>
      <c r="V8" s="121">
        <f>SUMIFS('Key Inputs_BY Techs'!Y:Y,'Key Inputs_BY Techs'!$A:$A,"DMD",'Key Inputs_BY Techs'!$C:$C,$A8)</f>
        <v>99.466966499999998</v>
      </c>
      <c r="W8" s="121">
        <f>SUMIFS('Key Inputs_BY Techs'!Z:Z,'Key Inputs_BY Techs'!$A:$A,"DMD",'Key Inputs_BY Techs'!$C:$C,$A8)</f>
        <v>70.743441499999989</v>
      </c>
      <c r="X8" s="121">
        <f>SUMIFS('Key Inputs_BY Techs'!AA:AA,'Key Inputs_BY Techs'!$A:$A,"DMD",'Key Inputs_BY Techs'!$C:$C,$A8)</f>
        <v>73.265135099999995</v>
      </c>
      <c r="Y8" s="121">
        <f>SUMIFS('Key Inputs_BY Techs'!AB:AB,'Key Inputs_BY Techs'!$A:$A,"DMD",'Key Inputs_BY Techs'!$C:$C,$A8)</f>
        <v>69.896321639999996</v>
      </c>
      <c r="Z8" s="121">
        <f>SUMIFS('Key Inputs_BY Techs'!AC:AC,'Key Inputs_BY Techs'!$A:$A,"DMD",'Key Inputs_BY Techs'!$C:$C,$A8)</f>
        <v>71.585922799999992</v>
      </c>
      <c r="AA8" s="121">
        <f>SUMIFS('Key Inputs_BY Techs'!AD:AD,'Key Inputs_BY Techs'!$A:$A,"DMD",'Key Inputs_BY Techs'!$C:$C,$A8)</f>
        <v>85.537890100000013</v>
      </c>
      <c r="AB8" s="121">
        <f>SUMIFS('Key Inputs_BY Techs'!AE:AE,'Key Inputs_BY Techs'!$A:$A,"DMD",'Key Inputs_BY Techs'!$C:$C,$A8)</f>
        <v>212.28699040000001</v>
      </c>
      <c r="AC8" s="121">
        <f>SUMIFS('Key Inputs_BY Techs'!AF:AF,'Key Inputs_BY Techs'!$A:$A,"DMD",'Key Inputs_BY Techs'!$C:$C,$A8)</f>
        <v>37.911938200000002</v>
      </c>
      <c r="AD8" s="121">
        <f>SUMIFS('Key Inputs_BY Techs'!AG:AG,'Key Inputs_BY Techs'!$A:$A,"DMD",'Key Inputs_BY Techs'!$C:$C,$A8)</f>
        <v>37.5204831</v>
      </c>
      <c r="AE8" s="121">
        <f>SUMIFS('Key Inputs_BY Techs'!AH:AH,'Key Inputs_BY Techs'!$A:$A,"DMD",'Key Inputs_BY Techs'!$C:$C,$A8)</f>
        <v>31.924527065826855</v>
      </c>
      <c r="AF8" s="121">
        <f>SUMIFS('Key Inputs_BY Techs'!AI:AI,'Key Inputs_BY Techs'!$A:$A,"DMD",'Key Inputs_BY Techs'!$C:$C,$A8)</f>
        <v>26.016857300000002</v>
      </c>
      <c r="AG8" s="121">
        <f>SUMIFS('Key Inputs_BY Techs'!AJ:AJ,'Key Inputs_BY Techs'!$A:$A,"DMD",'Key Inputs_BY Techs'!$C:$C,$A8)</f>
        <v>165.88573769217379</v>
      </c>
    </row>
    <row r="9" spans="1:33" x14ac:dyDescent="0.3">
      <c r="A9" s="9" t="str">
        <f>'Commodities &amp; Processes'!C26</f>
        <v>S-SLIG</v>
      </c>
      <c r="B9" s="9" t="str">
        <f>'Commodities &amp; Processes'!D26</f>
        <v>Demand for Street lighting (SRV)</v>
      </c>
      <c r="C9" s="9" t="str">
        <f t="shared" si="0"/>
        <v>COM_PROJ</v>
      </c>
      <c r="D9" s="9">
        <f>IF($A9="","",Legend!$B$5)</f>
        <v>2019</v>
      </c>
      <c r="E9" s="9" t="str">
        <f>'Commodities &amp; Processes'!E26</f>
        <v>Munits</v>
      </c>
      <c r="F9" s="586">
        <f>SUMIFS('Key Inputs_BY Techs'!I:I,'Key Inputs_BY Techs'!$A:$A,"DMD",'Key Inputs_BY Techs'!$C:$C,$A9)</f>
        <v>129.41050165208497</v>
      </c>
      <c r="G9" s="121">
        <f>SUMIFS('Key Inputs_BY Techs'!J:J,'Key Inputs_BY Techs'!$A:$A,"DMD",'Key Inputs_BY Techs'!$C:$C,$A9)</f>
        <v>715.16329860362748</v>
      </c>
      <c r="H9" s="121">
        <f>SUMIFS('Key Inputs_BY Techs'!K:K,'Key Inputs_BY Techs'!$A:$A,"DMD",'Key Inputs_BY Techs'!$C:$C,$A9)</f>
        <v>166.22051604532271</v>
      </c>
      <c r="I9" s="121">
        <f>SUMIFS('Key Inputs_BY Techs'!L:L,'Key Inputs_BY Techs'!$A:$A,"DMD",'Key Inputs_BY Techs'!$C:$C,$A9)</f>
        <v>435.68642458817266</v>
      </c>
      <c r="J9" s="121">
        <f>SUMIFS('Key Inputs_BY Techs'!M:M,'Key Inputs_BY Techs'!$A:$A,"DMD",'Key Inputs_BY Techs'!$C:$C,$A9)</f>
        <v>640.52136744782581</v>
      </c>
      <c r="K9" s="121">
        <f>SUMIFS('Key Inputs_BY Techs'!N:N,'Key Inputs_BY Techs'!$A:$A,"DMD",'Key Inputs_BY Techs'!$C:$C,$A9)</f>
        <v>286.17503578483564</v>
      </c>
      <c r="L9" s="121">
        <f>SUMIFS('Key Inputs_BY Techs'!O:O,'Key Inputs_BY Techs'!$A:$A,"DMD",'Key Inputs_BY Techs'!$C:$C,$A9)</f>
        <v>1192.8123818915822</v>
      </c>
      <c r="M9" s="121">
        <f>SUMIFS('Key Inputs_BY Techs'!P:P,'Key Inputs_BY Techs'!$A:$A,"DMD",'Key Inputs_BY Techs'!$C:$C,$A9)</f>
        <v>275.5799697153937</v>
      </c>
      <c r="N9" s="121">
        <f>SUMIFS('Key Inputs_BY Techs'!Q:Q,'Key Inputs_BY Techs'!$A:$A,"DMD",'Key Inputs_BY Techs'!$C:$C,$A9)</f>
        <v>2792.2912506466223</v>
      </c>
      <c r="O9" s="121">
        <f>SUMIFS('Key Inputs_BY Techs'!R:R,'Key Inputs_BY Techs'!$A:$A,"DMD",'Key Inputs_BY Techs'!$C:$C,$A9)</f>
        <v>1484.2805059307316</v>
      </c>
      <c r="P9" s="121">
        <f>SUMIFS('Key Inputs_BY Techs'!S:S,'Key Inputs_BY Techs'!$A:$A,"DMD",'Key Inputs_BY Techs'!$C:$C,$A9)</f>
        <v>242.9164868677021</v>
      </c>
      <c r="Q9" s="121">
        <f>SUMIFS('Key Inputs_BY Techs'!T:T,'Key Inputs_BY Techs'!$A:$A,"DMD",'Key Inputs_BY Techs'!$C:$C,$A9)</f>
        <v>464.36628228922228</v>
      </c>
      <c r="R9" s="121">
        <f>SUMIFS('Key Inputs_BY Techs'!U:U,'Key Inputs_BY Techs'!$A:$A,"DMD",'Key Inputs_BY Techs'!$C:$C,$A9)</f>
        <v>448.98590828192795</v>
      </c>
      <c r="S9" s="121">
        <f>SUMIFS('Key Inputs_BY Techs'!V:V,'Key Inputs_BY Techs'!$A:$A,"DMD",'Key Inputs_BY Techs'!$C:$C,$A9)</f>
        <v>1354.1068673699256</v>
      </c>
      <c r="T9" s="121">
        <f>SUMIFS('Key Inputs_BY Techs'!W:W,'Key Inputs_BY Techs'!$A:$A,"DMD",'Key Inputs_BY Techs'!$C:$C,$A9)</f>
        <v>1205.4101082942659</v>
      </c>
      <c r="U9" s="121">
        <f>SUMIFS('Key Inputs_BY Techs'!X:X,'Key Inputs_BY Techs'!$A:$A,"DMD",'Key Inputs_BY Techs'!$C:$C,$A9)</f>
        <v>3402.7625768506332</v>
      </c>
      <c r="V9" s="121">
        <f>SUMIFS('Key Inputs_BY Techs'!Y:Y,'Key Inputs_BY Techs'!$A:$A,"DMD",'Key Inputs_BY Techs'!$C:$C,$A9)</f>
        <v>2734.6602498496909</v>
      </c>
      <c r="W9" s="121">
        <f>SUMIFS('Key Inputs_BY Techs'!Z:Z,'Key Inputs_BY Techs'!$A:$A,"DMD",'Key Inputs_BY Techs'!$C:$C,$A9)</f>
        <v>990.20602830322787</v>
      </c>
      <c r="X9" s="121">
        <f>SUMIFS('Key Inputs_BY Techs'!AA:AA,'Key Inputs_BY Techs'!$A:$A,"DMD",'Key Inputs_BY Techs'!$C:$C,$A9)</f>
        <v>1072.4222785259631</v>
      </c>
      <c r="Y9" s="121">
        <f>SUMIFS('Key Inputs_BY Techs'!AB:AB,'Key Inputs_BY Techs'!$A:$A,"DMD",'Key Inputs_BY Techs'!$C:$C,$A9)</f>
        <v>3268.1581374344119</v>
      </c>
      <c r="Z9" s="121">
        <f>SUMIFS('Key Inputs_BY Techs'!AC:AC,'Key Inputs_BY Techs'!$A:$A,"DMD",'Key Inputs_BY Techs'!$C:$C,$A9)</f>
        <v>2288.8879116222952</v>
      </c>
      <c r="AA9" s="121">
        <f>SUMIFS('Key Inputs_BY Techs'!AD:AD,'Key Inputs_BY Techs'!$A:$A,"DMD",'Key Inputs_BY Techs'!$C:$C,$A9)</f>
        <v>952.41521486539227</v>
      </c>
      <c r="AB9" s="121">
        <f>SUMIFS('Key Inputs_BY Techs'!AE:AE,'Key Inputs_BY Techs'!$A:$A,"DMD",'Key Inputs_BY Techs'!$C:$C,$A9)</f>
        <v>2061.3996834967725</v>
      </c>
      <c r="AC9" s="121">
        <f>SUMIFS('Key Inputs_BY Techs'!AF:AF,'Key Inputs_BY Techs'!$A:$A,"DMD",'Key Inputs_BY Techs'!$C:$C,$A9)</f>
        <v>514.37110173437532</v>
      </c>
      <c r="AD9" s="121">
        <f>SUMIFS('Key Inputs_BY Techs'!AG:AG,'Key Inputs_BY Techs'!$A:$A,"DMD",'Key Inputs_BY Techs'!$C:$C,$A9)</f>
        <v>100.44549186402827</v>
      </c>
      <c r="AE9" s="121">
        <f>SUMIFS('Key Inputs_BY Techs'!AH:AH,'Key Inputs_BY Techs'!$A:$A,"DMD",'Key Inputs_BY Techs'!$C:$C,$A9)</f>
        <v>1578.1207171970514</v>
      </c>
      <c r="AF9" s="121">
        <f>SUMIFS('Key Inputs_BY Techs'!AI:AI,'Key Inputs_BY Techs'!$A:$A,"DMD",'Key Inputs_BY Techs'!$C:$C,$A9)</f>
        <v>1942.3756332061475</v>
      </c>
      <c r="AG9" s="121">
        <f>SUMIFS('Key Inputs_BY Techs'!AJ:AJ,'Key Inputs_BY Techs'!$A:$A,"DMD",'Key Inputs_BY Techs'!$C:$C,$A9)</f>
        <v>13938.855831117156</v>
      </c>
    </row>
    <row r="10" spans="1:33" x14ac:dyDescent="0.3">
      <c r="A10" s="9" t="str">
        <f>'Commodities &amp; Processes'!C27</f>
        <v>S-LIG</v>
      </c>
      <c r="B10" s="9" t="str">
        <f>'Commodities &amp; Processes'!D27</f>
        <v>Demand for Lighting (SRV)</v>
      </c>
      <c r="C10" s="9" t="str">
        <f t="shared" si="0"/>
        <v>COM_PROJ</v>
      </c>
      <c r="D10" s="9">
        <f>IF($A10="","",Legend!$B$5)</f>
        <v>2019</v>
      </c>
      <c r="E10" s="9" t="str">
        <f>'Commodities &amp; Processes'!E27</f>
        <v>Munits</v>
      </c>
      <c r="F10" s="586">
        <f>SUMIFS('Key Inputs_BY Techs'!I:I,'Key Inputs_BY Techs'!$A:$A,"DMD",'Key Inputs_BY Techs'!$C:$C,$A10)</f>
        <v>128.79131264896495</v>
      </c>
      <c r="G10" s="121">
        <f>SUMIFS('Key Inputs_BY Techs'!J:J,'Key Inputs_BY Techs'!$A:$A,"DMD",'Key Inputs_BY Techs'!$C:$C,$A10)</f>
        <v>711.74146463901684</v>
      </c>
      <c r="H10" s="121">
        <f>SUMIFS('Key Inputs_BY Techs'!K:K,'Key Inputs_BY Techs'!$A:$A,"DMD",'Key Inputs_BY Techs'!$C:$C,$A10)</f>
        <v>165.42520257142166</v>
      </c>
      <c r="I10" s="121">
        <f>SUMIFS('Key Inputs_BY Techs'!L:L,'Key Inputs_BY Techs'!$A:$A,"DMD",'Key Inputs_BY Techs'!$C:$C,$A10)</f>
        <v>433.60180054708098</v>
      </c>
      <c r="J10" s="121">
        <f>SUMIFS('Key Inputs_BY Techs'!M:M,'Key Inputs_BY Techs'!$A:$A,"DMD",'Key Inputs_BY Techs'!$C:$C,$A10)</f>
        <v>788.18049888439623</v>
      </c>
      <c r="K10" s="121">
        <f>SUMIFS('Key Inputs_BY Techs'!N:N,'Key Inputs_BY Techs'!$A:$A,"DMD",'Key Inputs_BY Techs'!$C:$C,$A10)</f>
        <v>367.17177633729091</v>
      </c>
      <c r="L10" s="121">
        <f>SUMIFS('Key Inputs_BY Techs'!O:O,'Key Inputs_BY Techs'!$A:$A,"DMD",'Key Inputs_BY Techs'!$C:$C,$A10)</f>
        <v>1530.4166553002135</v>
      </c>
      <c r="M10" s="121">
        <f>SUMIFS('Key Inputs_BY Techs'!P:P,'Key Inputs_BY Techs'!$A:$A,"DMD",'Key Inputs_BY Techs'!$C:$C,$A10)</f>
        <v>353.57796575748597</v>
      </c>
      <c r="N10" s="121">
        <f>SUMIFS('Key Inputs_BY Techs'!Q:Q,'Key Inputs_BY Techs'!$A:$A,"DMD",'Key Inputs_BY Techs'!$C:$C,$A10)</f>
        <v>698.07281266165546</v>
      </c>
      <c r="O10" s="121">
        <f>SUMIFS('Key Inputs_BY Techs'!R:R,'Key Inputs_BY Techs'!$A:$A,"DMD",'Key Inputs_BY Techs'!$C:$C,$A10)</f>
        <v>1904.3796341311697</v>
      </c>
      <c r="P10" s="121">
        <f>SUMIFS('Key Inputs_BY Techs'!S:S,'Key Inputs_BY Techs'!$A:$A,"DMD",'Key Inputs_BY Techs'!$C:$C,$A10)</f>
        <v>60.729121716925519</v>
      </c>
      <c r="Q10" s="121">
        <f>SUMIFS('Key Inputs_BY Techs'!T:T,'Key Inputs_BY Techs'!$A:$A,"DMD",'Key Inputs_BY Techs'!$C:$C,$A10)</f>
        <v>595.79687750077528</v>
      </c>
      <c r="R10" s="121">
        <f>SUMIFS('Key Inputs_BY Techs'!U:U,'Key Inputs_BY Techs'!$A:$A,"DMD",'Key Inputs_BY Techs'!$C:$C,$A10)</f>
        <v>576.06336290715376</v>
      </c>
      <c r="S10" s="121">
        <f>SUMIFS('Key Inputs_BY Techs'!V:V,'Key Inputs_BY Techs'!$A:$A,"DMD",'Key Inputs_BY Techs'!$C:$C,$A10)</f>
        <v>1737.3626685472263</v>
      </c>
      <c r="T10" s="121">
        <f>SUMIFS('Key Inputs_BY Techs'!W:W,'Key Inputs_BY Techs'!$A:$A,"DMD",'Key Inputs_BY Techs'!$C:$C,$A10)</f>
        <v>1546.5799435073743</v>
      </c>
      <c r="U10" s="121">
        <f>SUMIFS('Key Inputs_BY Techs'!X:X,'Key Inputs_BY Techs'!$A:$A,"DMD",'Key Inputs_BY Techs'!$C:$C,$A10)</f>
        <v>4365.8538431552106</v>
      </c>
      <c r="V10" s="121">
        <f>SUMIFS('Key Inputs_BY Techs'!Y:Y,'Key Inputs_BY Techs'!$A:$A,"DMD",'Key Inputs_BY Techs'!$C:$C,$A10)</f>
        <v>3508.6570666884754</v>
      </c>
      <c r="W10" s="121">
        <f>SUMIFS('Key Inputs_BY Techs'!Z:Z,'Key Inputs_BY Techs'!$A:$A,"DMD",'Key Inputs_BY Techs'!$C:$C,$A10)</f>
        <v>1270.4661863844374</v>
      </c>
      <c r="X10" s="121">
        <f>SUMIFS('Key Inputs_BY Techs'!AA:AA,'Key Inputs_BY Techs'!$A:$A,"DMD",'Key Inputs_BY Techs'!$C:$C,$A10)</f>
        <v>1375.9522800797999</v>
      </c>
      <c r="Y10" s="121">
        <f>SUMIFS('Key Inputs_BY Techs'!AB:AB,'Key Inputs_BY Techs'!$A:$A,"DMD",'Key Inputs_BY Techs'!$C:$C,$A10)</f>
        <v>4193.1520175476871</v>
      </c>
      <c r="Z10" s="121">
        <f>SUMIFS('Key Inputs_BY Techs'!AC:AC,'Key Inputs_BY Techs'!$A:$A,"DMD",'Key Inputs_BY Techs'!$C:$C,$A10)</f>
        <v>572.22197790557379</v>
      </c>
      <c r="AA10" s="121">
        <f>SUMIFS('Key Inputs_BY Techs'!AD:AD,'Key Inputs_BY Techs'!$A:$A,"DMD",'Key Inputs_BY Techs'!$C:$C,$A10)</f>
        <v>1221.9793571222447</v>
      </c>
      <c r="AB10" s="121">
        <f>SUMIFS('Key Inputs_BY Techs'!AE:AE,'Key Inputs_BY Techs'!$A:$A,"DMD",'Key Inputs_BY Techs'!$C:$C,$A10)</f>
        <v>2644.8421032074766</v>
      </c>
      <c r="AC10" s="121">
        <f>SUMIFS('Key Inputs_BY Techs'!AF:AF,'Key Inputs_BY Techs'!$A:$A,"DMD",'Key Inputs_BY Techs'!$C:$C,$A10)</f>
        <v>128.59277543359383</v>
      </c>
      <c r="AD10" s="121">
        <f>SUMIFS('Key Inputs_BY Techs'!AG:AG,'Key Inputs_BY Techs'!$A:$A,"DMD",'Key Inputs_BY Techs'!$C:$C,$A10)</f>
        <v>99.964891424487476</v>
      </c>
      <c r="AE10" s="121">
        <f>SUMIFS('Key Inputs_BY Techs'!AH:AH,'Key Inputs_BY Techs'!$A:$A,"DMD",'Key Inputs_BY Techs'!$C:$C,$A10)</f>
        <v>2024.7796437547463</v>
      </c>
      <c r="AF10" s="121">
        <f>SUMIFS('Key Inputs_BY Techs'!AI:AI,'Key Inputs_BY Techs'!$A:$A,"DMD",'Key Inputs_BY Techs'!$C:$C,$A10)</f>
        <v>2492.1304180242646</v>
      </c>
      <c r="AG10" s="121">
        <f>SUMIFS('Key Inputs_BY Techs'!AJ:AJ,'Key Inputs_BY Techs'!$A:$A,"DMD",'Key Inputs_BY Techs'!$C:$C,$A10)</f>
        <v>17884.000404104754</v>
      </c>
    </row>
    <row r="11" spans="1:33" x14ac:dyDescent="0.3">
      <c r="A11" s="9" t="str">
        <f>'Commodities &amp; Processes'!C28</f>
        <v>S-EAP</v>
      </c>
      <c r="B11" s="9" t="str">
        <f>'Commodities &amp; Processes'!D28</f>
        <v>Demand for Electric Appliances (SRV)</v>
      </c>
      <c r="C11" s="9" t="str">
        <f t="shared" si="0"/>
        <v>COM_PROJ</v>
      </c>
      <c r="D11" s="9">
        <f>IF($A11="","",Legend!$B$5)</f>
        <v>2019</v>
      </c>
      <c r="E11" s="9" t="str">
        <f>'Commodities &amp; Processes'!E28</f>
        <v>PJ</v>
      </c>
      <c r="F11" s="586">
        <f>SUMIFS('Key Inputs_BY Techs'!I:I,'Key Inputs_BY Techs'!$A:$A,"DMD",'Key Inputs_BY Techs'!$C:$C,$A11)</f>
        <v>13.718000000000002</v>
      </c>
      <c r="G11" s="121">
        <f>SUMIFS('Key Inputs_BY Techs'!J:J,'Key Inputs_BY Techs'!$A:$A,"DMD",'Key Inputs_BY Techs'!$C:$C,$A11)</f>
        <v>75.81</v>
      </c>
      <c r="H11" s="121">
        <f>SUMIFS('Key Inputs_BY Techs'!K:K,'Key Inputs_BY Techs'!$A:$A,"DMD",'Key Inputs_BY Techs'!$C:$C,$A11)</f>
        <v>17.62</v>
      </c>
      <c r="I11" s="121">
        <f>SUMIFS('Key Inputs_BY Techs'!L:L,'Key Inputs_BY Techs'!$A:$A,"DMD",'Key Inputs_BY Techs'!$C:$C,$A11)</f>
        <v>46.184400000000004</v>
      </c>
      <c r="J11" s="121">
        <f>SUMIFS('Key Inputs_BY Techs'!M:M,'Key Inputs_BY Techs'!$A:$A,"DMD",'Key Inputs_BY Techs'!$C:$C,$A11)</f>
        <v>130.93695</v>
      </c>
      <c r="K11" s="121">
        <f>SUMIFS('Key Inputs_BY Techs'!N:N,'Key Inputs_BY Techs'!$A:$A,"DMD",'Key Inputs_BY Techs'!$C:$C,$A11)</f>
        <v>35.926560000000002</v>
      </c>
      <c r="L11" s="121">
        <f>SUMIFS('Key Inputs_BY Techs'!O:O,'Key Inputs_BY Techs'!$A:$A,"DMD",'Key Inputs_BY Techs'!$C:$C,$A11)</f>
        <v>199.66170000000002</v>
      </c>
      <c r="M11" s="121">
        <f>SUMIFS('Key Inputs_BY Techs'!P:P,'Key Inputs_BY Techs'!$A:$A,"DMD",'Key Inputs_BY Techs'!$C:$C,$A11)</f>
        <v>46.128600000000006</v>
      </c>
      <c r="N11" s="121">
        <f>SUMIFS('Key Inputs_BY Techs'!Q:Q,'Key Inputs_BY Techs'!$A:$A,"DMD",'Key Inputs_BY Techs'!$C:$C,$A11)</f>
        <v>223.41043999999999</v>
      </c>
      <c r="O11" s="121">
        <f>SUMIFS('Key Inputs_BY Techs'!R:R,'Key Inputs_BY Techs'!$A:$A,"DMD",'Key Inputs_BY Techs'!$C:$C,$A11)</f>
        <v>108.9692</v>
      </c>
      <c r="P11" s="121">
        <f>SUMIFS('Key Inputs_BY Techs'!S:S,'Key Inputs_BY Techs'!$A:$A,"DMD",'Key Inputs_BY Techs'!$C:$C,$A11)</f>
        <v>19.435679999999998</v>
      </c>
      <c r="Q11" s="121">
        <f>SUMIFS('Key Inputs_BY Techs'!T:T,'Key Inputs_BY Techs'!$A:$A,"DMD",'Key Inputs_BY Techs'!$C:$C,$A11)</f>
        <v>30.227959999999999</v>
      </c>
      <c r="R11" s="121">
        <f>SUMIFS('Key Inputs_BY Techs'!U:U,'Key Inputs_BY Techs'!$A:$A,"DMD",'Key Inputs_BY Techs'!$C:$C,$A11)</f>
        <v>56.365919999999996</v>
      </c>
      <c r="S11" s="121">
        <f>SUMIFS('Key Inputs_BY Techs'!V:V,'Key Inputs_BY Techs'!$A:$A,"DMD",'Key Inputs_BY Techs'!$C:$C,$A11)</f>
        <v>125.92242</v>
      </c>
      <c r="T11" s="121">
        <f>SUMIFS('Key Inputs_BY Techs'!W:W,'Key Inputs_BY Techs'!$A:$A,"DMD",'Key Inputs_BY Techs'!$C:$C,$A11)</f>
        <v>151.3278</v>
      </c>
      <c r="U11" s="121">
        <f>SUMIFS('Key Inputs_BY Techs'!X:X,'Key Inputs_BY Techs'!$A:$A,"DMD",'Key Inputs_BY Techs'!$C:$C,$A11)</f>
        <v>316.43299999999999</v>
      </c>
      <c r="V11" s="121">
        <f>SUMIFS('Key Inputs_BY Techs'!Y:Y,'Key Inputs_BY Techs'!$A:$A,"DMD",'Key Inputs_BY Techs'!$C:$C,$A11)</f>
        <v>254.30418</v>
      </c>
      <c r="W11" s="121">
        <f>SUMIFS('Key Inputs_BY Techs'!Z:Z,'Key Inputs_BY Techs'!$A:$A,"DMD",'Key Inputs_BY Techs'!$C:$C,$A11)</f>
        <v>165.74796000000001</v>
      </c>
      <c r="X11" s="121">
        <f>SUMIFS('Key Inputs_BY Techs'!AA:AA,'Key Inputs_BY Techs'!$A:$A,"DMD",'Key Inputs_BY Techs'!$C:$C,$A11)</f>
        <v>183.24970999999999</v>
      </c>
      <c r="Y11" s="121">
        <f>SUMIFS('Key Inputs_BY Techs'!AB:AB,'Key Inputs_BY Techs'!$A:$A,"DMD",'Key Inputs_BY Techs'!$C:$C,$A11)</f>
        <v>387.49255999999997</v>
      </c>
      <c r="Z11" s="121">
        <f>SUMIFS('Key Inputs_BY Techs'!AC:AC,'Key Inputs_BY Techs'!$A:$A,"DMD",'Key Inputs_BY Techs'!$C:$C,$A11)</f>
        <v>183.13327999999998</v>
      </c>
      <c r="AA11" s="121">
        <f>SUMIFS('Key Inputs_BY Techs'!AD:AD,'Key Inputs_BY Techs'!$A:$A,"DMD",'Key Inputs_BY Techs'!$C:$C,$A11)</f>
        <v>151.30353000000002</v>
      </c>
      <c r="AB11" s="121">
        <f>SUMIFS('Key Inputs_BY Techs'!AE:AE,'Key Inputs_BY Techs'!$A:$A,"DMD",'Key Inputs_BY Techs'!$C:$C,$A11)</f>
        <v>327.48012</v>
      </c>
      <c r="AC11" s="121">
        <f>SUMIFS('Key Inputs_BY Techs'!AF:AF,'Key Inputs_BY Techs'!$A:$A,"DMD",'Key Inputs_BY Techs'!$C:$C,$A11)</f>
        <v>41.351600000000005</v>
      </c>
      <c r="AD11" s="121">
        <f>SUMIFS('Key Inputs_BY Techs'!AG:AG,'Key Inputs_BY Techs'!$A:$A,"DMD",'Key Inputs_BY Techs'!$C:$C,$A11)</f>
        <v>10.647600000000001</v>
      </c>
      <c r="AE11" s="121">
        <f>SUMIFS('Key Inputs_BY Techs'!AH:AH,'Key Inputs_BY Techs'!$A:$A,"DMD",'Key Inputs_BY Techs'!$C:$C,$A11)</f>
        <v>198.11807999999999</v>
      </c>
      <c r="AF11" s="121">
        <f>SUMIFS('Key Inputs_BY Techs'!AI:AI,'Key Inputs_BY Techs'!$A:$A,"DMD",'Key Inputs_BY Techs'!$C:$C,$A11)</f>
        <v>188.48063999999999</v>
      </c>
      <c r="AG11" s="121">
        <f>SUMIFS('Key Inputs_BY Techs'!AJ:AJ,'Key Inputs_BY Techs'!$A:$A,"DMD",'Key Inputs_BY Techs'!$C:$C,$A11)</f>
        <v>983.27207197212283</v>
      </c>
    </row>
    <row r="12" spans="1:33" x14ac:dyDescent="0.3">
      <c r="A12" s="116" t="str">
        <f>'Commodities &amp; Processes'!C29</f>
        <v>S-OTH</v>
      </c>
      <c r="B12" s="116" t="str">
        <f>'Commodities &amp; Processes'!D29</f>
        <v>Demand for Other uses (SRV)</v>
      </c>
      <c r="C12" s="116" t="str">
        <f t="shared" si="0"/>
        <v>COM_PROJ</v>
      </c>
      <c r="D12" s="116">
        <f>IF($A12="","",Legend!$B$5)</f>
        <v>2019</v>
      </c>
      <c r="E12" s="116" t="str">
        <f>'Commodities &amp; Processes'!E29</f>
        <v>PJ</v>
      </c>
      <c r="F12" s="587">
        <f>SUMIFS('Key Inputs_BY Techs'!I:I,'Key Inputs_BY Techs'!$A:$A,"DMD",'Key Inputs_BY Techs'!$C:$C,$A12)</f>
        <v>0</v>
      </c>
      <c r="G12" s="122">
        <f>SUMIFS('Key Inputs_BY Techs'!J:J,'Key Inputs_BY Techs'!$A:$A,"DMD",'Key Inputs_BY Techs'!$C:$C,$A12)</f>
        <v>0</v>
      </c>
      <c r="H12" s="122">
        <f>SUMIFS('Key Inputs_BY Techs'!K:K,'Key Inputs_BY Techs'!$A:$A,"DMD",'Key Inputs_BY Techs'!$C:$C,$A12)</f>
        <v>0</v>
      </c>
      <c r="I12" s="122">
        <f>SUMIFS('Key Inputs_BY Techs'!L:L,'Key Inputs_BY Techs'!$A:$A,"DMD",'Key Inputs_BY Techs'!$C:$C,$A12)</f>
        <v>0</v>
      </c>
      <c r="J12" s="122">
        <f>SUMIFS('Key Inputs_BY Techs'!M:M,'Key Inputs_BY Techs'!$A:$A,"DMD",'Key Inputs_BY Techs'!$C:$C,$A12)</f>
        <v>0</v>
      </c>
      <c r="K12" s="122">
        <f>SUMIFS('Key Inputs_BY Techs'!N:N,'Key Inputs_BY Techs'!$A:$A,"DMD",'Key Inputs_BY Techs'!$C:$C,$A12)</f>
        <v>0</v>
      </c>
      <c r="L12" s="122">
        <f>SUMIFS('Key Inputs_BY Techs'!O:O,'Key Inputs_BY Techs'!$A:$A,"DMD",'Key Inputs_BY Techs'!$C:$C,$A12)</f>
        <v>0</v>
      </c>
      <c r="M12" s="122">
        <f>SUMIFS('Key Inputs_BY Techs'!P:P,'Key Inputs_BY Techs'!$A:$A,"DMD",'Key Inputs_BY Techs'!$C:$C,$A12)</f>
        <v>0</v>
      </c>
      <c r="N12" s="122">
        <f>SUMIFS('Key Inputs_BY Techs'!Q:Q,'Key Inputs_BY Techs'!$A:$A,"DMD",'Key Inputs_BY Techs'!$C:$C,$A12)</f>
        <v>0</v>
      </c>
      <c r="O12" s="122">
        <f>SUMIFS('Key Inputs_BY Techs'!R:R,'Key Inputs_BY Techs'!$A:$A,"DMD",'Key Inputs_BY Techs'!$C:$C,$A12)</f>
        <v>56.872200000000007</v>
      </c>
      <c r="P12" s="122">
        <f>SUMIFS('Key Inputs_BY Techs'!S:S,'Key Inputs_BY Techs'!$A:$A,"DMD",'Key Inputs_BY Techs'!$C:$C,$A12)</f>
        <v>0</v>
      </c>
      <c r="Q12" s="122">
        <f>SUMIFS('Key Inputs_BY Techs'!T:T,'Key Inputs_BY Techs'!$A:$A,"DMD",'Key Inputs_BY Techs'!$C:$C,$A12)</f>
        <v>0</v>
      </c>
      <c r="R12" s="122">
        <f>SUMIFS('Key Inputs_BY Techs'!U:U,'Key Inputs_BY Techs'!$A:$A,"DMD",'Key Inputs_BY Techs'!$C:$C,$A12)</f>
        <v>0</v>
      </c>
      <c r="S12" s="122">
        <f>SUMIFS('Key Inputs_BY Techs'!V:V,'Key Inputs_BY Techs'!$A:$A,"DMD",'Key Inputs_BY Techs'!$C:$C,$A12)</f>
        <v>0</v>
      </c>
      <c r="T12" s="122">
        <f>SUMIFS('Key Inputs_BY Techs'!W:W,'Key Inputs_BY Techs'!$A:$A,"DMD",'Key Inputs_BY Techs'!$C:$C,$A12)</f>
        <v>0</v>
      </c>
      <c r="U12" s="122">
        <f>SUMIFS('Key Inputs_BY Techs'!X:X,'Key Inputs_BY Techs'!$A:$A,"DMD",'Key Inputs_BY Techs'!$C:$C,$A12)</f>
        <v>0</v>
      </c>
      <c r="V12" s="122">
        <f>SUMIFS('Key Inputs_BY Techs'!Y:Y,'Key Inputs_BY Techs'!$A:$A,"DMD",'Key Inputs_BY Techs'!$C:$C,$A12)</f>
        <v>0</v>
      </c>
      <c r="W12" s="122">
        <f>SUMIFS('Key Inputs_BY Techs'!Z:Z,'Key Inputs_BY Techs'!$A:$A,"DMD",'Key Inputs_BY Techs'!$C:$C,$A12)</f>
        <v>0</v>
      </c>
      <c r="X12" s="122">
        <f>SUMIFS('Key Inputs_BY Techs'!AA:AA,'Key Inputs_BY Techs'!$A:$A,"DMD",'Key Inputs_BY Techs'!$C:$C,$A12)</f>
        <v>0</v>
      </c>
      <c r="Y12" s="122">
        <f>SUMIFS('Key Inputs_BY Techs'!AB:AB,'Key Inputs_BY Techs'!$A:$A,"DMD",'Key Inputs_BY Techs'!$C:$C,$A12)</f>
        <v>79.77788000000001</v>
      </c>
      <c r="Z12" s="122">
        <f>SUMIFS('Key Inputs_BY Techs'!AC:AC,'Key Inputs_BY Techs'!$A:$A,"DMD",'Key Inputs_BY Techs'!$C:$C,$A12)</f>
        <v>0</v>
      </c>
      <c r="AA12" s="122">
        <f>SUMIFS('Key Inputs_BY Techs'!AD:AD,'Key Inputs_BY Techs'!$A:$A,"DMD",'Key Inputs_BY Techs'!$C:$C,$A12)</f>
        <v>0</v>
      </c>
      <c r="AB12" s="122">
        <f>SUMIFS('Key Inputs_BY Techs'!AE:AE,'Key Inputs_BY Techs'!$A:$A,"DMD",'Key Inputs_BY Techs'!$C:$C,$A12)</f>
        <v>0</v>
      </c>
      <c r="AC12" s="122">
        <f>SUMIFS('Key Inputs_BY Techs'!AF:AF,'Key Inputs_BY Techs'!$A:$A,"DMD",'Key Inputs_BY Techs'!$C:$C,$A12)</f>
        <v>0</v>
      </c>
      <c r="AD12" s="122">
        <f>SUMIFS('Key Inputs_BY Techs'!AG:AG,'Key Inputs_BY Techs'!$A:$A,"DMD",'Key Inputs_BY Techs'!$C:$C,$A12)</f>
        <v>0</v>
      </c>
      <c r="AE12" s="122">
        <f>SUMIFS('Key Inputs_BY Techs'!AH:AH,'Key Inputs_BY Techs'!$A:$A,"DMD",'Key Inputs_BY Techs'!$C:$C,$A12)</f>
        <v>0</v>
      </c>
      <c r="AF12" s="122">
        <f>SUMIFS('Key Inputs_BY Techs'!AI:AI,'Key Inputs_BY Techs'!$A:$A,"DMD",'Key Inputs_BY Techs'!$C:$C,$A12)</f>
        <v>0</v>
      </c>
      <c r="AG12" s="122">
        <f>SUMIFS('Key Inputs_BY Techs'!AJ:AJ,'Key Inputs_BY Techs'!$A:$A,"DMD",'Key Inputs_BY Techs'!$C:$C,$A12)</f>
        <v>761.53464617891655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AH70"/>
  <sheetViews>
    <sheetView topLeftCell="A3" workbookViewId="0">
      <selection activeCell="F37" sqref="F37"/>
    </sheetView>
  </sheetViews>
  <sheetFormatPr defaultColWidth="9" defaultRowHeight="14.4" x14ac:dyDescent="0.3"/>
  <cols>
    <col min="1" max="1" width="17.09765625" style="49" bestFit="1" customWidth="1"/>
    <col min="2" max="2" width="17.09765625" style="49" customWidth="1"/>
    <col min="3" max="3" width="16.8984375" style="49" bestFit="1" customWidth="1"/>
    <col min="4" max="4" width="39" style="49" bestFit="1" customWidth="1"/>
    <col min="5" max="32" width="9.69921875" style="49" customWidth="1"/>
    <col min="33" max="33" width="9" style="49"/>
    <col min="34" max="34" width="10" style="49" bestFit="1" customWidth="1"/>
    <col min="35" max="16384" width="9" style="49"/>
  </cols>
  <sheetData>
    <row r="1" spans="1:34" ht="21" x14ac:dyDescent="0.3">
      <c r="A1" s="10" t="s">
        <v>609</v>
      </c>
      <c r="B1" s="10"/>
    </row>
    <row r="2" spans="1:34" ht="15.6" x14ac:dyDescent="0.3">
      <c r="A2" s="11" t="s">
        <v>88</v>
      </c>
      <c r="B2" s="49" t="str">
        <f>Legend!B83</f>
        <v>S1</v>
      </c>
    </row>
    <row r="3" spans="1:34" ht="15.6" x14ac:dyDescent="0.3">
      <c r="A3" s="11" t="s">
        <v>104</v>
      </c>
      <c r="B3" s="11">
        <v>2018</v>
      </c>
    </row>
    <row r="5" spans="1:34" x14ac:dyDescent="0.3">
      <c r="A5" s="64" t="s">
        <v>18</v>
      </c>
      <c r="B5" s="64"/>
      <c r="C5" s="64"/>
      <c r="D5" s="64"/>
      <c r="E5" s="64" t="s">
        <v>457</v>
      </c>
      <c r="F5" s="64" t="s">
        <v>458</v>
      </c>
      <c r="G5" s="64" t="s">
        <v>460</v>
      </c>
      <c r="H5" s="64" t="s">
        <v>459</v>
      </c>
      <c r="I5" s="64" t="s">
        <v>461</v>
      </c>
      <c r="J5" s="64" t="s">
        <v>463</v>
      </c>
      <c r="K5" s="64" t="s">
        <v>464</v>
      </c>
      <c r="L5" s="64" t="s">
        <v>465</v>
      </c>
      <c r="M5" s="64" t="s">
        <v>1</v>
      </c>
      <c r="N5" s="64" t="s">
        <v>2</v>
      </c>
      <c r="O5" s="64" t="s">
        <v>707</v>
      </c>
      <c r="P5" s="64" t="s">
        <v>3</v>
      </c>
      <c r="Q5" s="64" t="s">
        <v>467</v>
      </c>
      <c r="R5" s="64" t="s">
        <v>468</v>
      </c>
      <c r="S5" s="64" t="s">
        <v>469</v>
      </c>
      <c r="T5" s="64" t="s">
        <v>708</v>
      </c>
      <c r="U5" s="64" t="s">
        <v>470</v>
      </c>
      <c r="V5" s="64" t="s">
        <v>5</v>
      </c>
      <c r="W5" s="64" t="s">
        <v>6</v>
      </c>
      <c r="X5" s="64" t="s">
        <v>7</v>
      </c>
      <c r="Y5" s="64" t="s">
        <v>8</v>
      </c>
      <c r="Z5" s="64" t="s">
        <v>709</v>
      </c>
      <c r="AA5" s="64" t="s">
        <v>9</v>
      </c>
      <c r="AB5" s="64" t="s">
        <v>10</v>
      </c>
      <c r="AC5" s="64" t="s">
        <v>710</v>
      </c>
      <c r="AD5" s="64" t="s">
        <v>11</v>
      </c>
      <c r="AE5" s="64" t="s">
        <v>711</v>
      </c>
      <c r="AF5" s="64" t="s">
        <v>13</v>
      </c>
      <c r="AG5" s="7"/>
    </row>
    <row r="6" spans="1:34" ht="16.2" thickBot="1" x14ac:dyDescent="0.35">
      <c r="A6" s="65" t="s">
        <v>610</v>
      </c>
      <c r="B6" s="65" t="s">
        <v>105</v>
      </c>
      <c r="C6" s="65" t="s">
        <v>107</v>
      </c>
      <c r="D6" s="65" t="s">
        <v>108</v>
      </c>
      <c r="E6" s="65" t="s">
        <v>15</v>
      </c>
      <c r="F6" s="65" t="s">
        <v>15</v>
      </c>
      <c r="G6" s="65" t="s">
        <v>15</v>
      </c>
      <c r="H6" s="65" t="s">
        <v>15</v>
      </c>
      <c r="I6" s="65" t="s">
        <v>15</v>
      </c>
      <c r="J6" s="65" t="s">
        <v>15</v>
      </c>
      <c r="K6" s="65" t="s">
        <v>15</v>
      </c>
      <c r="L6" s="65" t="s">
        <v>15</v>
      </c>
      <c r="M6" s="65" t="s">
        <v>15</v>
      </c>
      <c r="N6" s="65" t="s">
        <v>15</v>
      </c>
      <c r="O6" s="65" t="s">
        <v>15</v>
      </c>
      <c r="P6" s="65" t="s">
        <v>15</v>
      </c>
      <c r="Q6" s="65" t="s">
        <v>15</v>
      </c>
      <c r="R6" s="65" t="s">
        <v>15</v>
      </c>
      <c r="S6" s="65" t="s">
        <v>15</v>
      </c>
      <c r="T6" s="65" t="s">
        <v>15</v>
      </c>
      <c r="U6" s="65" t="s">
        <v>15</v>
      </c>
      <c r="V6" s="65" t="s">
        <v>15</v>
      </c>
      <c r="W6" s="65" t="s">
        <v>15</v>
      </c>
      <c r="X6" s="65" t="s">
        <v>15</v>
      </c>
      <c r="Y6" s="65" t="s">
        <v>15</v>
      </c>
      <c r="Z6" s="65" t="s">
        <v>15</v>
      </c>
      <c r="AA6" s="65" t="s">
        <v>15</v>
      </c>
      <c r="AB6" s="65" t="s">
        <v>15</v>
      </c>
      <c r="AC6" s="65" t="s">
        <v>15</v>
      </c>
      <c r="AD6" s="65" t="s">
        <v>15</v>
      </c>
      <c r="AE6" s="65" t="s">
        <v>15</v>
      </c>
      <c r="AF6" s="65" t="s">
        <v>15</v>
      </c>
      <c r="AH6" s="65" t="s">
        <v>80</v>
      </c>
    </row>
    <row r="7" spans="1:34" x14ac:dyDescent="0.3">
      <c r="A7" s="49" t="s">
        <v>595</v>
      </c>
      <c r="B7" s="49" t="s">
        <v>501</v>
      </c>
      <c r="C7" s="468" t="s">
        <v>635</v>
      </c>
      <c r="D7" s="49" t="s">
        <v>611</v>
      </c>
      <c r="E7" s="83">
        <v>0</v>
      </c>
      <c r="F7" s="83">
        <v>0</v>
      </c>
      <c r="G7" s="83">
        <v>0</v>
      </c>
      <c r="H7" s="83">
        <v>96.789000000000001</v>
      </c>
      <c r="I7" s="83">
        <v>0.80600000000000005</v>
      </c>
      <c r="J7" s="83">
        <v>56.762</v>
      </c>
      <c r="K7" s="83">
        <v>16.561</v>
      </c>
      <c r="L7" s="83">
        <v>0</v>
      </c>
      <c r="M7" s="83">
        <v>0</v>
      </c>
      <c r="N7" s="83">
        <v>0</v>
      </c>
      <c r="O7" s="83">
        <v>0</v>
      </c>
      <c r="P7" s="83">
        <v>28.456</v>
      </c>
      <c r="Q7" s="83">
        <v>19.155000000000001</v>
      </c>
      <c r="R7" s="83">
        <v>0.65</v>
      </c>
      <c r="S7" s="83">
        <v>25.635000000000002</v>
      </c>
      <c r="T7" s="83">
        <v>1.5</v>
      </c>
      <c r="U7" s="83">
        <v>0.105</v>
      </c>
      <c r="V7" s="83">
        <v>33.131999999999998</v>
      </c>
      <c r="W7" s="83">
        <v>0</v>
      </c>
      <c r="X7" s="83">
        <v>1.2E-2</v>
      </c>
      <c r="Y7" s="83">
        <v>0</v>
      </c>
      <c r="Z7" s="83">
        <v>105.892</v>
      </c>
      <c r="AA7" s="83">
        <v>0</v>
      </c>
      <c r="AB7" s="83">
        <v>0</v>
      </c>
      <c r="AC7" s="83">
        <v>0</v>
      </c>
      <c r="AD7" s="83">
        <v>32.176000000000002</v>
      </c>
      <c r="AE7" s="83">
        <v>0</v>
      </c>
      <c r="AF7" s="83">
        <v>15.938000000000001</v>
      </c>
      <c r="AH7" s="79">
        <f t="shared" ref="AH7:AH14" si="0">SUM(E7:AF7)</f>
        <v>433.56899999999996</v>
      </c>
    </row>
    <row r="8" spans="1:34" x14ac:dyDescent="0.3">
      <c r="A8" s="49" t="s">
        <v>595</v>
      </c>
      <c r="B8" s="49" t="s">
        <v>501</v>
      </c>
      <c r="C8" s="468" t="s">
        <v>649</v>
      </c>
      <c r="D8" s="49" t="s">
        <v>746</v>
      </c>
      <c r="E8" s="83">
        <v>0</v>
      </c>
      <c r="F8" s="83">
        <v>0</v>
      </c>
      <c r="G8" s="83">
        <v>0</v>
      </c>
      <c r="H8" s="83">
        <v>0</v>
      </c>
      <c r="I8" s="83">
        <v>0</v>
      </c>
      <c r="J8" s="83">
        <v>0</v>
      </c>
      <c r="K8" s="83">
        <v>0</v>
      </c>
      <c r="L8" s="83">
        <v>0</v>
      </c>
      <c r="M8" s="83">
        <v>0</v>
      </c>
      <c r="N8" s="83">
        <v>0</v>
      </c>
      <c r="O8" s="83">
        <v>0</v>
      </c>
      <c r="P8" s="83">
        <v>0</v>
      </c>
      <c r="Q8" s="83">
        <v>0</v>
      </c>
      <c r="R8" s="83">
        <v>0</v>
      </c>
      <c r="S8" s="83">
        <v>1.284</v>
      </c>
      <c r="T8" s="83">
        <v>1E-3</v>
      </c>
      <c r="U8" s="83">
        <v>0</v>
      </c>
      <c r="V8" s="83">
        <v>0</v>
      </c>
      <c r="W8" s="83">
        <v>0</v>
      </c>
      <c r="X8" s="83">
        <v>5.1360000000000001</v>
      </c>
      <c r="Y8" s="83">
        <v>0</v>
      </c>
      <c r="Z8" s="83">
        <v>0</v>
      </c>
      <c r="AA8" s="83">
        <v>0</v>
      </c>
      <c r="AB8" s="83">
        <v>0</v>
      </c>
      <c r="AC8" s="83">
        <v>0</v>
      </c>
      <c r="AD8" s="83">
        <v>0</v>
      </c>
      <c r="AE8" s="83">
        <v>0</v>
      </c>
      <c r="AF8" s="83">
        <v>0</v>
      </c>
      <c r="AH8" s="79"/>
    </row>
    <row r="9" spans="1:34" x14ac:dyDescent="0.3">
      <c r="A9" s="49" t="s">
        <v>595</v>
      </c>
      <c r="B9" s="49" t="s">
        <v>501</v>
      </c>
      <c r="C9" s="468" t="s">
        <v>745</v>
      </c>
      <c r="D9" s="49" t="s">
        <v>747</v>
      </c>
      <c r="E9" s="83">
        <v>0</v>
      </c>
      <c r="F9" s="83">
        <v>0</v>
      </c>
      <c r="G9" s="83">
        <v>0</v>
      </c>
      <c r="H9" s="83">
        <v>0</v>
      </c>
      <c r="I9" s="83">
        <v>0.81499999999999995</v>
      </c>
      <c r="J9" s="83">
        <v>8.5779999999999994</v>
      </c>
      <c r="K9" s="83">
        <v>0</v>
      </c>
      <c r="L9" s="83">
        <v>0</v>
      </c>
      <c r="M9" s="83">
        <v>0</v>
      </c>
      <c r="N9" s="83">
        <v>0</v>
      </c>
      <c r="O9" s="83">
        <v>0</v>
      </c>
      <c r="P9" s="83">
        <v>0</v>
      </c>
      <c r="Q9" s="83">
        <v>2.14</v>
      </c>
      <c r="R9" s="83">
        <v>0</v>
      </c>
      <c r="S9" s="83">
        <v>1.593</v>
      </c>
      <c r="T9" s="83">
        <v>4.0000000000000001E-3</v>
      </c>
      <c r="U9" s="83">
        <v>0.219</v>
      </c>
      <c r="V9" s="83">
        <v>0</v>
      </c>
      <c r="W9" s="83">
        <v>0</v>
      </c>
      <c r="X9" s="83">
        <v>0</v>
      </c>
      <c r="Y9" s="83">
        <v>0</v>
      </c>
      <c r="Z9" s="83">
        <v>6.1870000000000003</v>
      </c>
      <c r="AA9" s="83">
        <v>0</v>
      </c>
      <c r="AB9" s="83">
        <v>0</v>
      </c>
      <c r="AC9" s="83">
        <v>0</v>
      </c>
      <c r="AD9" s="83">
        <v>1.02</v>
      </c>
      <c r="AE9" s="83">
        <v>0</v>
      </c>
      <c r="AF9" s="83">
        <v>0</v>
      </c>
      <c r="AH9" s="79"/>
    </row>
    <row r="10" spans="1:34" x14ac:dyDescent="0.3">
      <c r="A10" s="49" t="s">
        <v>595</v>
      </c>
      <c r="B10" s="49" t="s">
        <v>501</v>
      </c>
      <c r="C10" s="468" t="s">
        <v>636</v>
      </c>
      <c r="D10" s="49" t="s">
        <v>612</v>
      </c>
      <c r="E10" s="83">
        <v>10.548</v>
      </c>
      <c r="F10" s="83">
        <v>5.3630000000000004</v>
      </c>
      <c r="G10" s="83">
        <v>0.1</v>
      </c>
      <c r="H10" s="83">
        <v>26.899000000000001</v>
      </c>
      <c r="I10" s="83">
        <v>30.908000000000001</v>
      </c>
      <c r="J10" s="83">
        <v>20.975999999999999</v>
      </c>
      <c r="K10" s="83">
        <v>12.337</v>
      </c>
      <c r="L10" s="83">
        <v>0</v>
      </c>
      <c r="M10" s="83">
        <v>1.4650000000000001</v>
      </c>
      <c r="N10" s="83">
        <v>7.8639999999999999</v>
      </c>
      <c r="O10" s="83">
        <v>18.172999999999998</v>
      </c>
      <c r="P10" s="83">
        <v>0</v>
      </c>
      <c r="Q10" s="83">
        <v>10.042</v>
      </c>
      <c r="R10" s="83">
        <v>70.376999999999995</v>
      </c>
      <c r="S10" s="83">
        <v>14.074999999999999</v>
      </c>
      <c r="T10" s="83">
        <v>139.846</v>
      </c>
      <c r="U10" s="83">
        <v>198.45099999999999</v>
      </c>
      <c r="V10" s="83">
        <v>101.779</v>
      </c>
      <c r="W10" s="83">
        <v>0</v>
      </c>
      <c r="X10" s="83">
        <v>253.642</v>
      </c>
      <c r="Y10" s="83">
        <v>38.195</v>
      </c>
      <c r="Z10" s="83">
        <v>9.6850000000000005</v>
      </c>
      <c r="AA10" s="83">
        <v>29.687999999999999</v>
      </c>
      <c r="AB10" s="83">
        <v>1.3839999999999999</v>
      </c>
      <c r="AC10" s="83">
        <v>0</v>
      </c>
      <c r="AD10" s="83">
        <v>55.624000000000002</v>
      </c>
      <c r="AE10" s="83">
        <v>10.311</v>
      </c>
      <c r="AF10" s="83">
        <v>303.48899999999998</v>
      </c>
      <c r="AH10" s="79">
        <f t="shared" si="0"/>
        <v>1371.221</v>
      </c>
    </row>
    <row r="11" spans="1:34" x14ac:dyDescent="0.3">
      <c r="A11" s="49" t="s">
        <v>595</v>
      </c>
      <c r="B11" s="49" t="s">
        <v>501</v>
      </c>
      <c r="C11" s="468" t="s">
        <v>637</v>
      </c>
      <c r="D11" s="49" t="s">
        <v>613</v>
      </c>
      <c r="E11" s="83">
        <v>34.295000000000002</v>
      </c>
      <c r="F11" s="83">
        <v>189.52500000000001</v>
      </c>
      <c r="G11" s="83">
        <v>44.05</v>
      </c>
      <c r="H11" s="83">
        <v>115.461</v>
      </c>
      <c r="I11" s="83">
        <v>290.971</v>
      </c>
      <c r="J11" s="83">
        <v>99.796000000000006</v>
      </c>
      <c r="K11" s="83">
        <v>475.38499999999999</v>
      </c>
      <c r="L11" s="83">
        <v>109.83</v>
      </c>
      <c r="M11" s="83">
        <v>507.75099999999998</v>
      </c>
      <c r="N11" s="83">
        <v>544.846</v>
      </c>
      <c r="O11" s="83">
        <v>44.171999999999997</v>
      </c>
      <c r="P11" s="83">
        <v>107.95699999999999</v>
      </c>
      <c r="Q11" s="83">
        <v>156.572</v>
      </c>
      <c r="R11" s="83">
        <v>484.31700000000001</v>
      </c>
      <c r="S11" s="83">
        <v>420.35500000000002</v>
      </c>
      <c r="T11" s="83">
        <v>1217.05</v>
      </c>
      <c r="U11" s="83">
        <v>978.09299999999996</v>
      </c>
      <c r="V11" s="83">
        <v>394.63799999999998</v>
      </c>
      <c r="W11" s="83">
        <v>373.97899999999998</v>
      </c>
      <c r="X11" s="83">
        <v>1139.684</v>
      </c>
      <c r="Y11" s="83">
        <v>416.21199999999999</v>
      </c>
      <c r="Z11" s="83">
        <v>369.03300000000002</v>
      </c>
      <c r="AA11" s="83">
        <v>798.73199999999997</v>
      </c>
      <c r="AB11" s="83">
        <v>103.379</v>
      </c>
      <c r="AC11" s="83">
        <v>26.619</v>
      </c>
      <c r="AD11" s="83">
        <v>550.32799999999997</v>
      </c>
      <c r="AE11" s="83">
        <v>589.00199999999995</v>
      </c>
      <c r="AF11" s="83">
        <v>4910.4740000000002</v>
      </c>
      <c r="AH11" s="79">
        <f t="shared" si="0"/>
        <v>15492.506000000001</v>
      </c>
    </row>
    <row r="12" spans="1:34" x14ac:dyDescent="0.3">
      <c r="A12" s="49" t="s">
        <v>595</v>
      </c>
      <c r="B12" s="49" t="s">
        <v>501</v>
      </c>
      <c r="C12" s="468" t="s">
        <v>638</v>
      </c>
      <c r="D12" s="49" t="s">
        <v>614</v>
      </c>
      <c r="E12" s="83">
        <v>1.544</v>
      </c>
      <c r="F12" s="83">
        <v>0</v>
      </c>
      <c r="G12" s="83">
        <v>0.40799999999999997</v>
      </c>
      <c r="H12" s="83">
        <v>3.0790000000000002</v>
      </c>
      <c r="I12" s="83">
        <v>0.69099999999999995</v>
      </c>
      <c r="J12" s="83">
        <v>6.492</v>
      </c>
      <c r="K12" s="83">
        <v>1.2E-2</v>
      </c>
      <c r="L12" s="83">
        <v>0.03</v>
      </c>
      <c r="M12" s="83">
        <v>0</v>
      </c>
      <c r="N12" s="83">
        <v>0</v>
      </c>
      <c r="O12" s="83">
        <v>0</v>
      </c>
      <c r="P12" s="83">
        <v>0</v>
      </c>
      <c r="Q12" s="83">
        <v>0.308</v>
      </c>
      <c r="R12" s="83">
        <v>0</v>
      </c>
      <c r="S12" s="83">
        <v>2.4369999999999998</v>
      </c>
      <c r="T12" s="83">
        <v>2.0369999999999999</v>
      </c>
      <c r="U12" s="83">
        <v>8.1959999999999997</v>
      </c>
      <c r="V12" s="83">
        <v>0.79900000000000004</v>
      </c>
      <c r="W12" s="83">
        <v>0</v>
      </c>
      <c r="X12" s="83">
        <v>0</v>
      </c>
      <c r="Y12" s="83">
        <v>5.7389999999999999</v>
      </c>
      <c r="Z12" s="83">
        <v>9.2999999999999999E-2</v>
      </c>
      <c r="AA12" s="83">
        <v>1.4850000000000001</v>
      </c>
      <c r="AB12" s="83">
        <v>0</v>
      </c>
      <c r="AC12" s="83">
        <v>0</v>
      </c>
      <c r="AD12" s="83">
        <v>0</v>
      </c>
      <c r="AE12" s="83">
        <v>7.0000000000000001E-3</v>
      </c>
      <c r="AF12" s="83">
        <v>79.644999999999996</v>
      </c>
      <c r="AH12" s="79">
        <f t="shared" si="0"/>
        <v>113.002</v>
      </c>
    </row>
    <row r="13" spans="1:34" x14ac:dyDescent="0.3">
      <c r="A13" s="49" t="s">
        <v>595</v>
      </c>
      <c r="B13" s="49" t="s">
        <v>501</v>
      </c>
      <c r="C13" s="468" t="s">
        <v>493</v>
      </c>
      <c r="D13" s="49" t="s">
        <v>615</v>
      </c>
      <c r="E13" s="83">
        <v>0</v>
      </c>
      <c r="F13" s="83">
        <v>0</v>
      </c>
      <c r="G13" s="83">
        <v>0</v>
      </c>
      <c r="H13" s="83">
        <v>0</v>
      </c>
      <c r="I13" s="83">
        <v>2.3780000000000001</v>
      </c>
      <c r="J13" s="83">
        <v>0.372</v>
      </c>
      <c r="K13" s="83">
        <v>0</v>
      </c>
      <c r="L13" s="83">
        <v>0</v>
      </c>
      <c r="M13" s="83">
        <v>0</v>
      </c>
      <c r="N13" s="83">
        <v>0</v>
      </c>
      <c r="O13" s="83">
        <v>0</v>
      </c>
      <c r="P13" s="83">
        <v>0</v>
      </c>
      <c r="Q13" s="83">
        <v>8.7999999999999995E-2</v>
      </c>
      <c r="R13" s="83">
        <v>0.27800000000000002</v>
      </c>
      <c r="S13" s="83">
        <v>4.3099999999999996</v>
      </c>
      <c r="T13" s="83">
        <v>4.3920000000000003</v>
      </c>
      <c r="U13" s="83">
        <v>2.806</v>
      </c>
      <c r="V13" s="83">
        <v>0</v>
      </c>
      <c r="W13" s="83">
        <v>0</v>
      </c>
      <c r="X13" s="83">
        <v>2.101</v>
      </c>
      <c r="Y13" s="83">
        <v>0.10199999999999999</v>
      </c>
      <c r="Z13" s="83">
        <v>0</v>
      </c>
      <c r="AA13" s="83">
        <v>0</v>
      </c>
      <c r="AB13" s="83">
        <v>0</v>
      </c>
      <c r="AC13" s="83">
        <v>0</v>
      </c>
      <c r="AD13" s="83">
        <v>0</v>
      </c>
      <c r="AE13" s="83">
        <v>6.4790000000000001</v>
      </c>
      <c r="AF13" s="83">
        <v>0</v>
      </c>
      <c r="AH13" s="79">
        <f t="shared" si="0"/>
        <v>23.306000000000001</v>
      </c>
    </row>
    <row r="14" spans="1:34" x14ac:dyDescent="0.3">
      <c r="A14" s="49" t="s">
        <v>595</v>
      </c>
      <c r="B14" s="49" t="s">
        <v>501</v>
      </c>
      <c r="C14" s="468" t="s">
        <v>639</v>
      </c>
      <c r="D14" s="49" t="s">
        <v>713</v>
      </c>
      <c r="E14" s="83">
        <v>0</v>
      </c>
      <c r="F14" s="83">
        <v>0</v>
      </c>
      <c r="G14" s="83">
        <v>7.2999999999999995E-2</v>
      </c>
      <c r="H14" s="83">
        <v>0</v>
      </c>
      <c r="I14" s="83">
        <v>0</v>
      </c>
      <c r="J14" s="83">
        <v>0</v>
      </c>
      <c r="K14" s="83">
        <v>0</v>
      </c>
      <c r="L14" s="83">
        <v>0</v>
      </c>
      <c r="M14" s="83">
        <v>0</v>
      </c>
      <c r="N14" s="83">
        <v>0</v>
      </c>
      <c r="O14" s="83">
        <v>0</v>
      </c>
      <c r="P14" s="83">
        <v>0</v>
      </c>
      <c r="Q14" s="83">
        <v>0.56399999999999995</v>
      </c>
      <c r="R14" s="83">
        <v>6.6180000000000003</v>
      </c>
      <c r="S14" s="83">
        <v>8.3640000000000008</v>
      </c>
      <c r="T14" s="83">
        <v>6.0000000000000001E-3</v>
      </c>
      <c r="U14" s="83">
        <v>1.4E-2</v>
      </c>
      <c r="V14" s="83">
        <v>0</v>
      </c>
      <c r="W14" s="83">
        <v>0</v>
      </c>
      <c r="X14" s="83">
        <v>0</v>
      </c>
      <c r="Y14" s="83">
        <v>8.5000000000000006E-2</v>
      </c>
      <c r="Z14" s="83">
        <v>0</v>
      </c>
      <c r="AA14" s="83">
        <v>0</v>
      </c>
      <c r="AB14" s="83">
        <v>0</v>
      </c>
      <c r="AC14" s="83">
        <v>0</v>
      </c>
      <c r="AD14" s="83">
        <v>0</v>
      </c>
      <c r="AE14" s="83">
        <v>0</v>
      </c>
      <c r="AF14" s="83">
        <v>0</v>
      </c>
      <c r="AH14" s="79">
        <f t="shared" si="0"/>
        <v>15.724</v>
      </c>
    </row>
    <row r="15" spans="1:34" x14ac:dyDescent="0.3">
      <c r="C15" s="468" t="s">
        <v>651</v>
      </c>
      <c r="D15" s="49" t="s">
        <v>714</v>
      </c>
      <c r="E15" s="83">
        <v>3.6059999999999999</v>
      </c>
      <c r="F15" s="83">
        <v>3.2000000000000001E-2</v>
      </c>
      <c r="G15" s="83">
        <v>0</v>
      </c>
      <c r="H15" s="83">
        <v>1.675</v>
      </c>
      <c r="I15" s="83">
        <v>0.41399999999999998</v>
      </c>
      <c r="J15" s="83">
        <v>1.0720000000000001</v>
      </c>
      <c r="K15" s="83">
        <v>2.2050000000000001</v>
      </c>
      <c r="L15" s="83">
        <v>0</v>
      </c>
      <c r="M15" s="83">
        <v>0.78400000000000003</v>
      </c>
      <c r="N15" s="83">
        <v>0.51900000000000002</v>
      </c>
      <c r="O15" s="83">
        <v>0.22500000000000001</v>
      </c>
      <c r="P15" s="83">
        <v>0</v>
      </c>
      <c r="Q15" s="83">
        <v>2.2799999999999998</v>
      </c>
      <c r="R15" s="83">
        <v>3.6909999999999998</v>
      </c>
      <c r="S15" s="83">
        <v>0.27100000000000002</v>
      </c>
      <c r="T15" s="83">
        <v>1.3149999999999999</v>
      </c>
      <c r="U15" s="83">
        <v>1.5209999999999999</v>
      </c>
      <c r="V15" s="83">
        <v>7.673</v>
      </c>
      <c r="W15" s="83">
        <v>0</v>
      </c>
      <c r="X15" s="83">
        <v>3.3239999999999998</v>
      </c>
      <c r="Y15" s="83">
        <v>3.286</v>
      </c>
      <c r="Z15" s="83">
        <v>8.6280000000000001</v>
      </c>
      <c r="AA15" s="83">
        <v>2.1749999999999998</v>
      </c>
      <c r="AB15" s="83">
        <v>0</v>
      </c>
      <c r="AC15" s="83">
        <v>0</v>
      </c>
      <c r="AD15" s="83">
        <v>5.8209999999999997</v>
      </c>
      <c r="AE15" s="83">
        <v>1.9710000000000001</v>
      </c>
      <c r="AF15" s="83">
        <v>13.106999999999999</v>
      </c>
      <c r="AH15" s="79"/>
    </row>
    <row r="16" spans="1:34" x14ac:dyDescent="0.3">
      <c r="A16" s="49" t="s">
        <v>595</v>
      </c>
      <c r="B16" s="49" t="s">
        <v>501</v>
      </c>
      <c r="C16" s="468" t="s">
        <v>640</v>
      </c>
      <c r="D16" s="49" t="s">
        <v>616</v>
      </c>
      <c r="E16" s="83">
        <v>0.28699999999999998</v>
      </c>
      <c r="F16" s="83">
        <v>0</v>
      </c>
      <c r="G16" s="83">
        <v>0.35099999999999998</v>
      </c>
      <c r="H16" s="83">
        <v>3.5720000000000001</v>
      </c>
      <c r="I16" s="83">
        <v>0</v>
      </c>
      <c r="J16" s="83">
        <v>1.7000000000000001E-2</v>
      </c>
      <c r="K16" s="83">
        <v>0.79800000000000004</v>
      </c>
      <c r="L16" s="83">
        <v>0</v>
      </c>
      <c r="M16" s="83">
        <v>0</v>
      </c>
      <c r="N16" s="83">
        <v>13.662000000000001</v>
      </c>
      <c r="O16" s="83">
        <v>4.3999999999999997E-2</v>
      </c>
      <c r="P16" s="83">
        <v>0</v>
      </c>
      <c r="Q16" s="83">
        <v>0</v>
      </c>
      <c r="R16" s="83">
        <v>34.753999999999998</v>
      </c>
      <c r="S16" s="83">
        <v>1.4E-2</v>
      </c>
      <c r="T16" s="83">
        <v>0.1</v>
      </c>
      <c r="U16" s="83">
        <v>3.0350000000000001</v>
      </c>
      <c r="V16" s="83">
        <v>1.02</v>
      </c>
      <c r="W16" s="83">
        <v>3.8109999999999999</v>
      </c>
      <c r="X16" s="83">
        <v>148.67699999999999</v>
      </c>
      <c r="Y16" s="83">
        <v>0.33900000000000002</v>
      </c>
      <c r="Z16" s="83">
        <v>8.9999999999999993E-3</v>
      </c>
      <c r="AA16" s="83">
        <v>1.841</v>
      </c>
      <c r="AB16" s="83">
        <v>0</v>
      </c>
      <c r="AC16" s="83">
        <v>4.5999999999999999E-2</v>
      </c>
      <c r="AD16" s="83">
        <v>0</v>
      </c>
      <c r="AE16" s="83">
        <v>13.23</v>
      </c>
      <c r="AF16" s="83">
        <v>0.85899999999999999</v>
      </c>
      <c r="AH16" s="79">
        <f t="shared" ref="AH16:AH26" si="1">SUM(E16:AF16)</f>
        <v>226.46599999999998</v>
      </c>
    </row>
    <row r="17" spans="1:34" x14ac:dyDescent="0.3">
      <c r="A17" s="49" t="s">
        <v>595</v>
      </c>
      <c r="B17" s="49" t="s">
        <v>501</v>
      </c>
      <c r="C17" s="468" t="s">
        <v>641</v>
      </c>
      <c r="D17" s="49" t="s">
        <v>617</v>
      </c>
      <c r="E17" s="83">
        <v>5.7350000000000003</v>
      </c>
      <c r="F17" s="83">
        <v>7.202</v>
      </c>
      <c r="G17" s="83">
        <v>7.44</v>
      </c>
      <c r="H17" s="83">
        <v>2.343</v>
      </c>
      <c r="I17" s="83">
        <v>2.206</v>
      </c>
      <c r="J17" s="83">
        <v>2.1269999999999998</v>
      </c>
      <c r="K17" s="83">
        <v>49.192</v>
      </c>
      <c r="L17" s="83">
        <v>32.979999999999997</v>
      </c>
      <c r="M17" s="83">
        <v>0</v>
      </c>
      <c r="N17" s="83">
        <v>37.676000000000002</v>
      </c>
      <c r="O17" s="83">
        <v>9.0329999999999995</v>
      </c>
      <c r="P17" s="83">
        <v>0</v>
      </c>
      <c r="Q17" s="83">
        <v>3.5910000000000002</v>
      </c>
      <c r="R17" s="83">
        <v>17.670999999999999</v>
      </c>
      <c r="S17" s="83">
        <v>7.1020000000000003</v>
      </c>
      <c r="T17" s="83">
        <v>47.485999999999997</v>
      </c>
      <c r="U17" s="83">
        <v>18.033999999999999</v>
      </c>
      <c r="V17" s="83">
        <v>57.991999999999997</v>
      </c>
      <c r="W17" s="83">
        <v>0</v>
      </c>
      <c r="X17" s="83">
        <v>36.875999999999998</v>
      </c>
      <c r="Y17" s="83">
        <v>33.892000000000003</v>
      </c>
      <c r="Z17" s="83">
        <v>33.966999999999999</v>
      </c>
      <c r="AA17" s="83">
        <v>2.2719999999999998</v>
      </c>
      <c r="AB17" s="83">
        <v>60.478999999999999</v>
      </c>
      <c r="AC17" s="83">
        <v>0</v>
      </c>
      <c r="AD17" s="83">
        <v>0.98899999999999999</v>
      </c>
      <c r="AE17" s="83">
        <v>43.37</v>
      </c>
      <c r="AF17" s="83">
        <v>66.590999999999994</v>
      </c>
      <c r="AH17" s="79">
        <f t="shared" si="1"/>
        <v>586.24599999999987</v>
      </c>
    </row>
    <row r="18" spans="1:34" x14ac:dyDescent="0.3">
      <c r="A18" s="49" t="s">
        <v>595</v>
      </c>
      <c r="B18" s="49" t="s">
        <v>501</v>
      </c>
      <c r="C18" s="468" t="s">
        <v>642</v>
      </c>
      <c r="D18" s="49" t="s">
        <v>618</v>
      </c>
      <c r="E18" s="83">
        <v>0</v>
      </c>
      <c r="F18" s="83">
        <v>8.2539999999999996</v>
      </c>
      <c r="G18" s="83">
        <v>0</v>
      </c>
      <c r="H18" s="83">
        <v>1.2150000000000001</v>
      </c>
      <c r="I18" s="83">
        <v>61.084000000000003</v>
      </c>
      <c r="J18" s="83">
        <v>369.86200000000002</v>
      </c>
      <c r="K18" s="83">
        <v>4.8579999999999997</v>
      </c>
      <c r="L18" s="83">
        <v>7.968</v>
      </c>
      <c r="M18" s="83">
        <v>5.8239999999999998</v>
      </c>
      <c r="N18" s="83">
        <v>591.96</v>
      </c>
      <c r="O18" s="83">
        <v>6.194</v>
      </c>
      <c r="P18" s="83">
        <v>0</v>
      </c>
      <c r="Q18" s="83">
        <v>48.575000000000003</v>
      </c>
      <c r="R18" s="83">
        <v>294.52800000000002</v>
      </c>
      <c r="S18" s="83">
        <v>224.96899999999999</v>
      </c>
      <c r="T18" s="83">
        <v>645.27099999999996</v>
      </c>
      <c r="U18" s="83">
        <v>642.93700000000001</v>
      </c>
      <c r="V18" s="83">
        <v>9.9469999999999992</v>
      </c>
      <c r="W18" s="83">
        <v>97.295000000000002</v>
      </c>
      <c r="X18" s="83">
        <v>384.06599999999997</v>
      </c>
      <c r="Y18" s="83">
        <v>78.608000000000004</v>
      </c>
      <c r="Z18" s="83">
        <v>158.76900000000001</v>
      </c>
      <c r="AA18" s="83">
        <v>540.80200000000002</v>
      </c>
      <c r="AB18" s="83">
        <v>9.8659999999999997</v>
      </c>
      <c r="AC18" s="83">
        <v>0</v>
      </c>
      <c r="AD18" s="83">
        <v>236.07499999999999</v>
      </c>
      <c r="AE18" s="83">
        <v>167.39699999999999</v>
      </c>
      <c r="AF18" s="83">
        <v>3462.2869999999998</v>
      </c>
      <c r="AH18" s="79">
        <f t="shared" si="1"/>
        <v>8058.610999999999</v>
      </c>
    </row>
    <row r="19" spans="1:34" x14ac:dyDescent="0.3">
      <c r="A19" s="49" t="s">
        <v>595</v>
      </c>
      <c r="B19" s="49" t="s">
        <v>501</v>
      </c>
      <c r="C19" s="468" t="s">
        <v>17</v>
      </c>
      <c r="D19" s="49" t="s">
        <v>619</v>
      </c>
      <c r="E19" s="83">
        <v>0</v>
      </c>
      <c r="F19" s="83">
        <v>0.111</v>
      </c>
      <c r="G19" s="83">
        <v>0</v>
      </c>
      <c r="H19" s="83">
        <v>0</v>
      </c>
      <c r="I19" s="83">
        <v>0.47099999999999997</v>
      </c>
      <c r="J19" s="83">
        <v>0.30499999999999999</v>
      </c>
      <c r="K19" s="83">
        <v>0.42599999999999999</v>
      </c>
      <c r="L19" s="83">
        <v>0</v>
      </c>
      <c r="M19" s="83">
        <v>0</v>
      </c>
      <c r="N19" s="83">
        <v>0</v>
      </c>
      <c r="O19" s="83">
        <v>0</v>
      </c>
      <c r="P19" s="83">
        <v>0</v>
      </c>
      <c r="Q19" s="83">
        <v>0.20200000000000001</v>
      </c>
      <c r="R19" s="83">
        <v>1.117</v>
      </c>
      <c r="S19" s="83">
        <v>1.284</v>
      </c>
      <c r="T19" s="83">
        <v>7.0620000000000003</v>
      </c>
      <c r="U19" s="83">
        <v>4.2770000000000001</v>
      </c>
      <c r="V19" s="83">
        <v>0</v>
      </c>
      <c r="W19" s="83">
        <v>0</v>
      </c>
      <c r="X19" s="83">
        <v>0.76600000000000001</v>
      </c>
      <c r="Y19" s="83">
        <v>0.57399999999999995</v>
      </c>
      <c r="Z19" s="83">
        <v>2.5819999999999999</v>
      </c>
      <c r="AA19" s="83">
        <v>0</v>
      </c>
      <c r="AB19" s="83">
        <v>5.1749999999999998</v>
      </c>
      <c r="AC19" s="83">
        <v>0</v>
      </c>
      <c r="AD19" s="83">
        <v>0</v>
      </c>
      <c r="AE19" s="83">
        <v>0.92</v>
      </c>
      <c r="AF19" s="83">
        <v>75.533000000000001</v>
      </c>
      <c r="AH19" s="79">
        <f t="shared" si="1"/>
        <v>100.80500000000001</v>
      </c>
    </row>
    <row r="20" spans="1:34" x14ac:dyDescent="0.3">
      <c r="A20" s="49" t="s">
        <v>595</v>
      </c>
      <c r="B20" s="49" t="s">
        <v>501</v>
      </c>
      <c r="C20" s="468" t="s">
        <v>643</v>
      </c>
      <c r="D20" s="49" t="s">
        <v>712</v>
      </c>
      <c r="E20" s="83">
        <v>43.91</v>
      </c>
      <c r="F20" s="83">
        <v>0</v>
      </c>
      <c r="G20" s="83">
        <v>5.8319999999999999</v>
      </c>
      <c r="H20" s="83">
        <v>2.84</v>
      </c>
      <c r="I20" s="83">
        <v>0</v>
      </c>
      <c r="J20" s="83">
        <v>6.8000000000000005E-2</v>
      </c>
      <c r="K20" s="83">
        <v>1.4510000000000001</v>
      </c>
      <c r="L20" s="83">
        <v>1.742</v>
      </c>
      <c r="M20" s="83">
        <v>0</v>
      </c>
      <c r="N20" s="83">
        <v>0</v>
      </c>
      <c r="O20" s="83">
        <v>0</v>
      </c>
      <c r="P20" s="83">
        <v>29.539000000000001</v>
      </c>
      <c r="Q20" s="83">
        <v>0.11899999999999999</v>
      </c>
      <c r="R20" s="83">
        <v>5.5419999999999998</v>
      </c>
      <c r="S20" s="83">
        <v>0</v>
      </c>
      <c r="T20" s="83">
        <v>0.219</v>
      </c>
      <c r="U20" s="83">
        <v>0</v>
      </c>
      <c r="V20" s="83">
        <v>0.22700000000000001</v>
      </c>
      <c r="W20" s="83">
        <v>0</v>
      </c>
      <c r="X20" s="83">
        <v>1.365</v>
      </c>
      <c r="Y20" s="83">
        <v>0</v>
      </c>
      <c r="Z20" s="83">
        <v>0</v>
      </c>
      <c r="AA20" s="83">
        <v>0</v>
      </c>
      <c r="AB20" s="83">
        <v>0</v>
      </c>
      <c r="AC20" s="83">
        <v>0</v>
      </c>
      <c r="AD20" s="83">
        <v>0</v>
      </c>
      <c r="AE20" s="83">
        <v>0</v>
      </c>
      <c r="AF20" s="83">
        <v>0</v>
      </c>
      <c r="AH20" s="79">
        <f t="shared" si="1"/>
        <v>92.853999999999985</v>
      </c>
    </row>
    <row r="21" spans="1:34" ht="14.25" customHeight="1" x14ac:dyDescent="0.3">
      <c r="A21" s="49" t="s">
        <v>595</v>
      </c>
      <c r="B21" s="49" t="s">
        <v>501</v>
      </c>
      <c r="C21" s="468" t="s">
        <v>594</v>
      </c>
      <c r="D21" s="49" t="s">
        <v>621</v>
      </c>
      <c r="E21" s="83">
        <v>0</v>
      </c>
      <c r="F21" s="83">
        <v>0</v>
      </c>
      <c r="G21" s="83">
        <v>0</v>
      </c>
      <c r="H21" s="83">
        <v>0</v>
      </c>
      <c r="I21" s="83">
        <v>0</v>
      </c>
      <c r="J21" s="83">
        <v>0</v>
      </c>
      <c r="K21" s="83">
        <v>0</v>
      </c>
      <c r="L21" s="83">
        <v>0</v>
      </c>
      <c r="M21" s="83">
        <v>0.154</v>
      </c>
      <c r="N21" s="83">
        <v>0</v>
      </c>
      <c r="O21" s="83">
        <v>0</v>
      </c>
      <c r="P21" s="83">
        <v>0</v>
      </c>
      <c r="Q21" s="83">
        <v>0</v>
      </c>
      <c r="R21" s="83">
        <v>1E-3</v>
      </c>
      <c r="S21" s="83">
        <v>3.1E-2</v>
      </c>
      <c r="T21" s="83">
        <v>1.2629999999999999</v>
      </c>
      <c r="U21" s="83">
        <v>2.7010000000000001</v>
      </c>
      <c r="V21" s="83">
        <v>3.12</v>
      </c>
      <c r="W21" s="83">
        <v>0</v>
      </c>
      <c r="X21" s="83">
        <v>0</v>
      </c>
      <c r="Y21" s="83">
        <v>0.28799999999999998</v>
      </c>
      <c r="Z21" s="83">
        <v>0</v>
      </c>
      <c r="AA21" s="83">
        <v>0</v>
      </c>
      <c r="AB21" s="83">
        <v>0</v>
      </c>
      <c r="AC21" s="83">
        <v>0</v>
      </c>
      <c r="AD21" s="83">
        <v>0</v>
      </c>
      <c r="AE21" s="83">
        <v>0</v>
      </c>
      <c r="AF21" s="83">
        <v>6.6070000000000002</v>
      </c>
      <c r="AH21" s="79">
        <f t="shared" si="1"/>
        <v>14.165000000000001</v>
      </c>
    </row>
    <row r="22" spans="1:34" x14ac:dyDescent="0.3">
      <c r="A22" s="49" t="s">
        <v>595</v>
      </c>
      <c r="B22" s="49" t="s">
        <v>501</v>
      </c>
      <c r="C22" s="468" t="s">
        <v>749</v>
      </c>
      <c r="D22" s="49" t="s">
        <v>622</v>
      </c>
      <c r="E22" s="83">
        <v>0</v>
      </c>
      <c r="F22" s="83">
        <v>0</v>
      </c>
      <c r="G22" s="83">
        <v>0</v>
      </c>
      <c r="H22" s="83">
        <v>0</v>
      </c>
      <c r="I22" s="83">
        <v>0.59499999999999997</v>
      </c>
      <c r="J22" s="83">
        <v>0</v>
      </c>
      <c r="K22" s="83">
        <v>0</v>
      </c>
      <c r="L22" s="83">
        <v>1.2E-2</v>
      </c>
      <c r="M22" s="83">
        <v>0</v>
      </c>
      <c r="N22" s="83">
        <v>0.63800000000000001</v>
      </c>
      <c r="O22" s="83">
        <v>0.35099999999999998</v>
      </c>
      <c r="P22" s="83">
        <v>0</v>
      </c>
      <c r="Q22" s="83">
        <v>5.1999999999999998E-2</v>
      </c>
      <c r="R22" s="83">
        <v>2.0960000000000001</v>
      </c>
      <c r="S22" s="83">
        <v>3.2290000000000001</v>
      </c>
      <c r="T22" s="83">
        <v>6.7270000000000003</v>
      </c>
      <c r="U22" s="83">
        <v>13.744999999999999</v>
      </c>
      <c r="V22" s="83">
        <v>0</v>
      </c>
      <c r="W22" s="83">
        <v>0</v>
      </c>
      <c r="X22" s="83">
        <v>0</v>
      </c>
      <c r="Y22" s="83">
        <v>0</v>
      </c>
      <c r="Z22" s="83">
        <v>0</v>
      </c>
      <c r="AA22" s="83">
        <v>0</v>
      </c>
      <c r="AB22" s="83">
        <v>0</v>
      </c>
      <c r="AC22" s="83">
        <v>0</v>
      </c>
      <c r="AD22" s="83">
        <v>0</v>
      </c>
      <c r="AE22" s="83">
        <v>0.95699999999999996</v>
      </c>
      <c r="AF22" s="83">
        <v>2.2919999999999998</v>
      </c>
      <c r="AH22" s="79">
        <f t="shared" si="1"/>
        <v>30.694000000000003</v>
      </c>
    </row>
    <row r="23" spans="1:34" x14ac:dyDescent="0.3">
      <c r="A23" s="49" t="s">
        <v>595</v>
      </c>
      <c r="B23" s="49" t="s">
        <v>501</v>
      </c>
      <c r="C23" s="468" t="s">
        <v>748</v>
      </c>
      <c r="D23" s="49" t="s">
        <v>623</v>
      </c>
      <c r="E23" s="83">
        <v>0</v>
      </c>
      <c r="F23" s="83">
        <v>0</v>
      </c>
      <c r="G23" s="83">
        <v>0</v>
      </c>
      <c r="H23" s="83">
        <v>0</v>
      </c>
      <c r="I23" s="83">
        <v>0</v>
      </c>
      <c r="J23" s="83">
        <v>0</v>
      </c>
      <c r="K23" s="83">
        <v>0</v>
      </c>
      <c r="L23" s="83">
        <v>0</v>
      </c>
      <c r="M23" s="83">
        <v>0</v>
      </c>
      <c r="N23" s="83">
        <v>0</v>
      </c>
      <c r="O23" s="83">
        <v>0</v>
      </c>
      <c r="P23" s="83">
        <v>0</v>
      </c>
      <c r="Q23" s="83">
        <v>0</v>
      </c>
      <c r="R23" s="83">
        <v>0</v>
      </c>
      <c r="S23" s="83">
        <v>0</v>
      </c>
      <c r="T23" s="83">
        <v>2.8000000000000001E-2</v>
      </c>
      <c r="U23" s="83">
        <v>0.14599999999999999</v>
      </c>
      <c r="V23" s="83">
        <v>0</v>
      </c>
      <c r="W23" s="83">
        <v>0</v>
      </c>
      <c r="X23" s="83">
        <v>0</v>
      </c>
      <c r="Y23" s="83">
        <v>8.0000000000000002E-3</v>
      </c>
      <c r="Z23" s="83">
        <v>0</v>
      </c>
      <c r="AA23" s="83">
        <v>0</v>
      </c>
      <c r="AB23" s="83">
        <v>0</v>
      </c>
      <c r="AC23" s="83">
        <v>0</v>
      </c>
      <c r="AD23" s="83">
        <v>0</v>
      </c>
      <c r="AE23" s="83">
        <v>0</v>
      </c>
      <c r="AF23" s="83">
        <v>0</v>
      </c>
      <c r="AH23" s="79">
        <f t="shared" si="1"/>
        <v>0.182</v>
      </c>
    </row>
    <row r="24" spans="1:34" x14ac:dyDescent="0.3">
      <c r="A24" s="49" t="s">
        <v>595</v>
      </c>
      <c r="B24" s="49" t="s">
        <v>501</v>
      </c>
      <c r="C24" s="468" t="s">
        <v>644</v>
      </c>
      <c r="D24" s="49" t="s">
        <v>624</v>
      </c>
      <c r="E24" s="83">
        <v>0</v>
      </c>
      <c r="F24" s="83">
        <v>0</v>
      </c>
      <c r="G24" s="83">
        <v>0</v>
      </c>
      <c r="H24" s="83">
        <v>0</v>
      </c>
      <c r="I24" s="83">
        <v>0</v>
      </c>
      <c r="J24" s="83">
        <v>109.797</v>
      </c>
      <c r="K24" s="83">
        <v>0.14099999999999999</v>
      </c>
      <c r="L24" s="83">
        <v>0</v>
      </c>
      <c r="M24" s="83">
        <v>0</v>
      </c>
      <c r="N24" s="83">
        <v>0.29199999999999998</v>
      </c>
      <c r="O24" s="83">
        <v>0</v>
      </c>
      <c r="P24" s="83">
        <v>0</v>
      </c>
      <c r="Q24" s="83">
        <v>61.746000000000002</v>
      </c>
      <c r="R24" s="83">
        <v>46.021000000000001</v>
      </c>
      <c r="S24" s="83">
        <v>106.482</v>
      </c>
      <c r="T24" s="83">
        <v>46.923000000000002</v>
      </c>
      <c r="U24" s="83">
        <v>230.5</v>
      </c>
      <c r="V24" s="83">
        <v>0</v>
      </c>
      <c r="W24" s="83">
        <v>0</v>
      </c>
      <c r="X24" s="83">
        <v>21.561</v>
      </c>
      <c r="Y24" s="83">
        <v>2.8000000000000001E-2</v>
      </c>
      <c r="Z24" s="83">
        <v>0</v>
      </c>
      <c r="AA24" s="83">
        <v>0</v>
      </c>
      <c r="AB24" s="83">
        <v>0</v>
      </c>
      <c r="AC24" s="83">
        <v>0</v>
      </c>
      <c r="AD24" s="83">
        <v>791.35</v>
      </c>
      <c r="AE24" s="83">
        <v>13.342000000000001</v>
      </c>
      <c r="AF24" s="83">
        <v>53.012</v>
      </c>
      <c r="AH24" s="79">
        <f t="shared" si="1"/>
        <v>1481.1950000000002</v>
      </c>
    </row>
    <row r="25" spans="1:34" x14ac:dyDescent="0.3">
      <c r="A25" s="49" t="s">
        <v>595</v>
      </c>
      <c r="B25" s="49" t="s">
        <v>501</v>
      </c>
      <c r="C25" s="468" t="s">
        <v>634</v>
      </c>
      <c r="D25" s="49" t="s">
        <v>625</v>
      </c>
      <c r="E25" s="83">
        <v>0</v>
      </c>
      <c r="F25" s="83">
        <v>0</v>
      </c>
      <c r="G25" s="83">
        <v>0</v>
      </c>
      <c r="H25" s="83">
        <v>0</v>
      </c>
      <c r="I25" s="83">
        <v>0</v>
      </c>
      <c r="J25" s="83">
        <v>0</v>
      </c>
      <c r="K25" s="83">
        <v>0</v>
      </c>
      <c r="L25" s="83">
        <v>0</v>
      </c>
      <c r="M25" s="83">
        <v>0</v>
      </c>
      <c r="N25" s="83">
        <v>0</v>
      </c>
      <c r="O25" s="83">
        <v>0</v>
      </c>
      <c r="P25" s="83">
        <v>0</v>
      </c>
      <c r="Q25" s="83">
        <v>0</v>
      </c>
      <c r="R25" s="83">
        <v>0</v>
      </c>
      <c r="S25" s="83">
        <v>0</v>
      </c>
      <c r="T25" s="83">
        <v>0</v>
      </c>
      <c r="U25" s="83">
        <v>0</v>
      </c>
      <c r="V25" s="83">
        <v>0</v>
      </c>
      <c r="W25" s="83">
        <v>0</v>
      </c>
      <c r="X25" s="83">
        <v>0</v>
      </c>
      <c r="Y25" s="83">
        <v>0</v>
      </c>
      <c r="Z25" s="83">
        <v>0</v>
      </c>
      <c r="AA25" s="83">
        <v>0</v>
      </c>
      <c r="AB25" s="83">
        <v>0</v>
      </c>
      <c r="AC25" s="83">
        <v>0</v>
      </c>
      <c r="AD25" s="83">
        <v>0</v>
      </c>
      <c r="AE25" s="83">
        <v>0</v>
      </c>
      <c r="AF25" s="83">
        <v>0</v>
      </c>
      <c r="AH25" s="79">
        <f t="shared" si="1"/>
        <v>0</v>
      </c>
    </row>
    <row r="26" spans="1:34" x14ac:dyDescent="0.3">
      <c r="A26" s="49" t="s">
        <v>595</v>
      </c>
      <c r="B26" s="49" t="s">
        <v>501</v>
      </c>
      <c r="C26" s="468" t="s">
        <v>645</v>
      </c>
      <c r="D26" s="49" t="s">
        <v>626</v>
      </c>
      <c r="E26" s="83">
        <v>115.95399999999999</v>
      </c>
      <c r="F26" s="83">
        <v>33.106000000000002</v>
      </c>
      <c r="G26" s="83">
        <v>99.722999999999999</v>
      </c>
      <c r="H26" s="83">
        <v>0</v>
      </c>
      <c r="I26" s="83">
        <v>0.23200000000000001</v>
      </c>
      <c r="J26" s="83">
        <v>1.0429999999999999</v>
      </c>
      <c r="K26" s="83">
        <v>18.164999999999999</v>
      </c>
      <c r="L26" s="83">
        <v>10.65</v>
      </c>
      <c r="M26" s="83">
        <v>0</v>
      </c>
      <c r="N26" s="83">
        <v>0</v>
      </c>
      <c r="O26" s="83">
        <v>0.47099999999999997</v>
      </c>
      <c r="P26" s="83">
        <v>0</v>
      </c>
      <c r="Q26" s="83">
        <v>11.144</v>
      </c>
      <c r="R26" s="83">
        <v>11.412000000000001</v>
      </c>
      <c r="S26" s="83">
        <v>25.207999999999998</v>
      </c>
      <c r="T26" s="83">
        <v>23.472999999999999</v>
      </c>
      <c r="U26" s="83">
        <v>87.504999999999995</v>
      </c>
      <c r="V26" s="83">
        <v>10.548</v>
      </c>
      <c r="W26" s="83">
        <v>109.744</v>
      </c>
      <c r="X26" s="83">
        <v>61.731999999999999</v>
      </c>
      <c r="Y26" s="83">
        <v>22.074000000000002</v>
      </c>
      <c r="Z26" s="83">
        <v>5.5E-2</v>
      </c>
      <c r="AA26" s="83">
        <v>0</v>
      </c>
      <c r="AB26" s="83">
        <v>0</v>
      </c>
      <c r="AC26" s="83">
        <v>102.673</v>
      </c>
      <c r="AD26" s="83">
        <v>45.021999999999998</v>
      </c>
      <c r="AE26" s="83">
        <v>7.4649999999999999</v>
      </c>
      <c r="AF26" s="83">
        <v>72.344999999999999</v>
      </c>
      <c r="AH26" s="79">
        <f t="shared" si="1"/>
        <v>869.74399999999991</v>
      </c>
    </row>
    <row r="27" spans="1:34" x14ac:dyDescent="0.3">
      <c r="C27" s="468" t="s">
        <v>653</v>
      </c>
      <c r="D27" s="49" t="s">
        <v>620</v>
      </c>
      <c r="E27" s="83">
        <v>0</v>
      </c>
      <c r="F27" s="83">
        <v>0</v>
      </c>
      <c r="G27" s="83">
        <v>0</v>
      </c>
      <c r="H27" s="83">
        <v>0</v>
      </c>
      <c r="I27" s="83">
        <v>0</v>
      </c>
      <c r="J27" s="83">
        <v>0</v>
      </c>
      <c r="K27" s="83">
        <v>0</v>
      </c>
      <c r="L27" s="83">
        <v>0</v>
      </c>
      <c r="M27" s="83">
        <v>0</v>
      </c>
      <c r="N27" s="83">
        <v>0</v>
      </c>
      <c r="O27" s="83">
        <v>0</v>
      </c>
      <c r="P27" s="83">
        <v>0</v>
      </c>
      <c r="Q27" s="83">
        <v>0</v>
      </c>
      <c r="R27" s="83">
        <v>4.8070000000000004</v>
      </c>
      <c r="S27" s="83">
        <v>2.6040000000000001</v>
      </c>
      <c r="T27" s="83">
        <v>4.0720000000000001</v>
      </c>
      <c r="U27" s="83">
        <v>3.5350000000000001</v>
      </c>
      <c r="V27" s="83">
        <v>0</v>
      </c>
      <c r="W27" s="83">
        <v>0</v>
      </c>
      <c r="X27" s="83">
        <v>9.5079999999999991</v>
      </c>
      <c r="Y27" s="83">
        <v>0</v>
      </c>
      <c r="Z27" s="83">
        <v>0</v>
      </c>
      <c r="AA27" s="83">
        <v>0</v>
      </c>
      <c r="AB27" s="83">
        <v>0</v>
      </c>
      <c r="AC27" s="83">
        <v>0</v>
      </c>
      <c r="AD27" s="83">
        <v>2.9569999999999999</v>
      </c>
      <c r="AE27" s="83">
        <v>20.184000000000001</v>
      </c>
      <c r="AF27" s="83">
        <v>8.2319999999999993</v>
      </c>
      <c r="AH27" s="79"/>
    </row>
    <row r="28" spans="1:34" x14ac:dyDescent="0.3">
      <c r="A28" s="49" t="s">
        <v>595</v>
      </c>
      <c r="B28" s="49" t="s">
        <v>501</v>
      </c>
      <c r="C28" s="468" t="s">
        <v>637</v>
      </c>
      <c r="D28" s="49" t="s">
        <v>690</v>
      </c>
      <c r="E28" s="526">
        <v>0</v>
      </c>
      <c r="F28" s="526">
        <v>0</v>
      </c>
      <c r="G28" s="526">
        <v>0</v>
      </c>
      <c r="H28" s="526">
        <v>0</v>
      </c>
      <c r="I28" s="526">
        <v>0</v>
      </c>
      <c r="J28" s="526">
        <v>0</v>
      </c>
      <c r="K28" s="526">
        <v>0</v>
      </c>
      <c r="L28" s="526">
        <v>0</v>
      </c>
      <c r="M28" s="526">
        <v>0</v>
      </c>
      <c r="N28" s="526">
        <v>0</v>
      </c>
      <c r="O28" s="526">
        <v>0</v>
      </c>
      <c r="P28" s="526">
        <v>0</v>
      </c>
      <c r="Q28" s="526">
        <v>0</v>
      </c>
      <c r="R28" s="526">
        <v>0</v>
      </c>
      <c r="S28" s="526">
        <v>0</v>
      </c>
      <c r="T28" s="526">
        <v>0</v>
      </c>
      <c r="U28" s="526">
        <v>0</v>
      </c>
      <c r="V28" s="526">
        <v>0</v>
      </c>
      <c r="W28" s="526">
        <v>0</v>
      </c>
      <c r="X28" s="526">
        <v>0</v>
      </c>
      <c r="Y28" s="526">
        <v>0</v>
      </c>
      <c r="Z28" s="526">
        <v>0</v>
      </c>
      <c r="AA28" s="526">
        <v>0</v>
      </c>
      <c r="AB28" s="526">
        <v>0</v>
      </c>
      <c r="AC28" s="526">
        <v>0</v>
      </c>
      <c r="AD28" s="526">
        <v>0</v>
      </c>
      <c r="AE28" s="526">
        <v>0</v>
      </c>
      <c r="AF28" s="526">
        <v>0</v>
      </c>
      <c r="AH28" s="79"/>
    </row>
    <row r="29" spans="1:34" x14ac:dyDescent="0.3">
      <c r="E29" s="83"/>
      <c r="F29" s="83"/>
      <c r="G29" s="83"/>
      <c r="H29" s="83"/>
      <c r="I29" s="83"/>
      <c r="J29" s="83"/>
      <c r="K29" s="83"/>
      <c r="L29" s="83"/>
      <c r="M29" s="83"/>
      <c r="N29" s="83"/>
      <c r="O29" s="83"/>
      <c r="P29" s="83"/>
      <c r="Q29" s="83"/>
      <c r="R29" s="83"/>
      <c r="S29" s="83"/>
      <c r="T29" s="83"/>
      <c r="U29" s="83"/>
      <c r="V29" s="83"/>
      <c r="W29" s="83"/>
      <c r="X29" s="83"/>
      <c r="Y29" s="83"/>
      <c r="Z29" s="83"/>
      <c r="AA29" s="83"/>
      <c r="AB29" s="83"/>
      <c r="AC29" s="83"/>
      <c r="AD29" s="83"/>
      <c r="AE29" s="83"/>
      <c r="AF29" s="83"/>
      <c r="AH29" s="79"/>
    </row>
    <row r="30" spans="1:34" x14ac:dyDescent="0.3">
      <c r="D30" s="49" t="s">
        <v>691</v>
      </c>
      <c r="E30" s="83">
        <v>14.907</v>
      </c>
      <c r="F30" s="83">
        <v>0.33200000000000002</v>
      </c>
      <c r="G30" s="83">
        <v>7.391</v>
      </c>
      <c r="H30" s="83">
        <v>2.4319999999999999</v>
      </c>
      <c r="I30" s="83">
        <v>0</v>
      </c>
      <c r="J30" s="83">
        <v>2E-3</v>
      </c>
      <c r="K30" s="83">
        <v>0.496</v>
      </c>
      <c r="L30" s="83">
        <v>5.7000000000000002E-2</v>
      </c>
      <c r="M30" s="83">
        <v>3.5619999999999998</v>
      </c>
      <c r="N30" s="83">
        <v>0</v>
      </c>
      <c r="O30" s="83">
        <v>0.17699999999999999</v>
      </c>
      <c r="P30" s="83">
        <v>0</v>
      </c>
      <c r="Q30" s="83">
        <v>0.154</v>
      </c>
      <c r="R30" s="83">
        <v>1E-3</v>
      </c>
      <c r="S30" s="83">
        <v>0.20699999999999999</v>
      </c>
      <c r="T30" s="83">
        <v>0.59299999999999997</v>
      </c>
      <c r="U30" s="83">
        <v>0.33100000000000002</v>
      </c>
      <c r="V30" s="83">
        <v>46.072000000000003</v>
      </c>
      <c r="W30" s="83">
        <v>0</v>
      </c>
      <c r="X30" s="83">
        <v>0</v>
      </c>
      <c r="Y30" s="83">
        <v>6.4260000000000002</v>
      </c>
      <c r="Z30" s="83">
        <v>0</v>
      </c>
      <c r="AA30" s="83">
        <v>0</v>
      </c>
      <c r="AB30" s="83">
        <v>0</v>
      </c>
      <c r="AC30" s="83">
        <v>12.845000000000001</v>
      </c>
      <c r="AD30" s="83">
        <v>0</v>
      </c>
      <c r="AE30" s="83">
        <v>0</v>
      </c>
      <c r="AF30" s="83">
        <v>0</v>
      </c>
      <c r="AH30" s="79"/>
    </row>
    <row r="31" spans="1:34" x14ac:dyDescent="0.3">
      <c r="E31" s="83"/>
      <c r="F31" s="83"/>
      <c r="G31" s="83"/>
      <c r="H31" s="83"/>
      <c r="I31" s="83"/>
      <c r="J31" s="83"/>
      <c r="K31" s="83"/>
      <c r="L31" s="83"/>
      <c r="M31" s="83"/>
      <c r="N31" s="83"/>
      <c r="O31" s="83"/>
      <c r="P31" s="83"/>
      <c r="Q31" s="83"/>
      <c r="R31" s="83"/>
      <c r="S31" s="83"/>
      <c r="T31" s="83"/>
      <c r="U31" s="83"/>
      <c r="V31" s="83"/>
      <c r="W31" s="83"/>
      <c r="X31" s="83"/>
      <c r="Y31" s="83"/>
      <c r="Z31" s="83"/>
      <c r="AA31" s="83"/>
      <c r="AB31" s="83"/>
      <c r="AC31" s="83"/>
      <c r="AD31" s="83"/>
      <c r="AE31" s="83"/>
      <c r="AF31" s="83"/>
      <c r="AH31" s="79"/>
    </row>
    <row r="32" spans="1:34" x14ac:dyDescent="0.3">
      <c r="A32" s="67" t="s">
        <v>103</v>
      </c>
      <c r="B32" s="67"/>
      <c r="C32" s="67"/>
      <c r="D32" s="67"/>
      <c r="E32" s="86">
        <f>SUM(E7:E30)</f>
        <v>230.786</v>
      </c>
      <c r="F32" s="86">
        <f t="shared" ref="F32:AF32" si="2">SUM(F7:F30)</f>
        <v>243.92499999999998</v>
      </c>
      <c r="G32" s="86">
        <f t="shared" si="2"/>
        <v>165.36799999999999</v>
      </c>
      <c r="H32" s="86">
        <f t="shared" si="2"/>
        <v>256.30500000000001</v>
      </c>
      <c r="I32" s="86">
        <f t="shared" si="2"/>
        <v>391.57100000000003</v>
      </c>
      <c r="J32" s="86">
        <f t="shared" si="2"/>
        <v>677.26900000000001</v>
      </c>
      <c r="K32" s="86">
        <f t="shared" si="2"/>
        <v>582.02699999999993</v>
      </c>
      <c r="L32" s="86">
        <f t="shared" si="2"/>
        <v>163.26899999999998</v>
      </c>
      <c r="M32" s="86">
        <f t="shared" si="2"/>
        <v>519.54</v>
      </c>
      <c r="N32" s="86">
        <f t="shared" si="2"/>
        <v>1197.4569999999999</v>
      </c>
      <c r="O32" s="86">
        <f t="shared" si="2"/>
        <v>78.84</v>
      </c>
      <c r="P32" s="86">
        <f t="shared" si="2"/>
        <v>165.952</v>
      </c>
      <c r="Q32" s="86">
        <f t="shared" si="2"/>
        <v>316.73199999999997</v>
      </c>
      <c r="R32" s="86">
        <f t="shared" si="2"/>
        <v>983.8810000000002</v>
      </c>
      <c r="S32" s="86">
        <f t="shared" si="2"/>
        <v>849.45399999999995</v>
      </c>
      <c r="T32" s="86">
        <f t="shared" si="2"/>
        <v>2149.3679999999995</v>
      </c>
      <c r="U32" s="86">
        <f t="shared" si="2"/>
        <v>2196.1509999999998</v>
      </c>
      <c r="V32" s="86">
        <f t="shared" si="2"/>
        <v>666.94699999999989</v>
      </c>
      <c r="W32" s="86">
        <f t="shared" si="2"/>
        <v>584.82899999999995</v>
      </c>
      <c r="X32" s="86">
        <f t="shared" si="2"/>
        <v>2068.4499999999998</v>
      </c>
      <c r="Y32" s="86">
        <f t="shared" si="2"/>
        <v>605.85599999999988</v>
      </c>
      <c r="Z32" s="86">
        <f t="shared" si="2"/>
        <v>694.9</v>
      </c>
      <c r="AA32" s="86">
        <f t="shared" si="2"/>
        <v>1376.9949999999999</v>
      </c>
      <c r="AB32" s="86">
        <f t="shared" si="2"/>
        <v>180.28300000000002</v>
      </c>
      <c r="AC32" s="86">
        <f t="shared" si="2"/>
        <v>142.18299999999999</v>
      </c>
      <c r="AD32" s="86">
        <f t="shared" si="2"/>
        <v>1721.3620000000003</v>
      </c>
      <c r="AE32" s="86">
        <f t="shared" si="2"/>
        <v>874.63499999999999</v>
      </c>
      <c r="AF32" s="86">
        <f t="shared" si="2"/>
        <v>9070.4110000000001</v>
      </c>
      <c r="AH32" s="79">
        <f>SUM(E32:AF32)</f>
        <v>29154.745999999999</v>
      </c>
    </row>
    <row r="33" spans="1:33" x14ac:dyDescent="0.3">
      <c r="E33" s="629"/>
      <c r="F33" s="629"/>
      <c r="G33" s="629"/>
      <c r="H33" s="629"/>
      <c r="I33" s="629"/>
      <c r="J33" s="629"/>
      <c r="K33" s="629"/>
      <c r="L33" s="629"/>
      <c r="M33" s="629"/>
      <c r="N33" s="629"/>
      <c r="O33" s="629"/>
      <c r="P33" s="629"/>
      <c r="Q33" s="629"/>
      <c r="R33" s="629"/>
      <c r="S33" s="629"/>
      <c r="T33" s="629"/>
      <c r="U33" s="629"/>
      <c r="V33" s="629"/>
      <c r="W33" s="629"/>
      <c r="X33" s="629"/>
      <c r="Y33" s="629"/>
      <c r="Z33" s="629"/>
      <c r="AA33" s="629"/>
      <c r="AB33" s="629"/>
      <c r="AC33" s="629"/>
      <c r="AD33" s="629"/>
      <c r="AE33" s="629"/>
      <c r="AF33" s="629"/>
      <c r="AG33" s="629"/>
    </row>
    <row r="34" spans="1:33" x14ac:dyDescent="0.3">
      <c r="E34" s="84"/>
      <c r="F34" s="84"/>
      <c r="G34" s="84"/>
      <c r="H34" s="84"/>
      <c r="I34" s="84"/>
      <c r="J34" s="84"/>
      <c r="K34" s="84"/>
      <c r="L34" s="84"/>
      <c r="M34" s="84"/>
      <c r="N34" s="84"/>
      <c r="O34" s="84"/>
      <c r="P34" s="84"/>
      <c r="Q34" s="84"/>
      <c r="R34" s="84"/>
      <c r="S34" s="84"/>
      <c r="T34" s="84"/>
      <c r="U34" s="84"/>
      <c r="V34" s="84"/>
      <c r="W34" s="84"/>
      <c r="X34" s="84"/>
      <c r="Y34" s="84"/>
      <c r="Z34" s="84"/>
      <c r="AA34" s="84"/>
      <c r="AB34" s="85"/>
      <c r="AC34" s="85"/>
      <c r="AD34" s="85"/>
      <c r="AE34" s="85"/>
      <c r="AF34" s="85"/>
    </row>
    <row r="35" spans="1:33" x14ac:dyDescent="0.3">
      <c r="A35" s="64" t="s">
        <v>377</v>
      </c>
      <c r="B35" s="64"/>
      <c r="C35" s="64"/>
      <c r="D35" s="64"/>
      <c r="E35" s="64" t="s">
        <v>457</v>
      </c>
      <c r="F35" s="64" t="s">
        <v>458</v>
      </c>
      <c r="G35" s="64" t="s">
        <v>460</v>
      </c>
      <c r="H35" s="64" t="s">
        <v>459</v>
      </c>
      <c r="I35" s="64" t="s">
        <v>461</v>
      </c>
      <c r="J35" s="64" t="s">
        <v>463</v>
      </c>
      <c r="K35" s="64" t="s">
        <v>464</v>
      </c>
      <c r="L35" s="64" t="s">
        <v>465</v>
      </c>
      <c r="M35" s="64" t="s">
        <v>1</v>
      </c>
      <c r="N35" s="64" t="s">
        <v>2</v>
      </c>
      <c r="O35" s="64" t="s">
        <v>707</v>
      </c>
      <c r="P35" s="64" t="s">
        <v>3</v>
      </c>
      <c r="Q35" s="64" t="s">
        <v>467</v>
      </c>
      <c r="R35" s="64" t="s">
        <v>468</v>
      </c>
      <c r="S35" s="64" t="s">
        <v>469</v>
      </c>
      <c r="T35" s="64" t="s">
        <v>708</v>
      </c>
      <c r="U35" s="64" t="s">
        <v>470</v>
      </c>
      <c r="V35" s="64" t="s">
        <v>5</v>
      </c>
      <c r="W35" s="64" t="s">
        <v>6</v>
      </c>
      <c r="X35" s="64" t="s">
        <v>7</v>
      </c>
      <c r="Y35" s="64" t="s">
        <v>8</v>
      </c>
      <c r="Z35" s="64" t="s">
        <v>709</v>
      </c>
      <c r="AA35" s="64" t="s">
        <v>9</v>
      </c>
      <c r="AB35" s="64" t="s">
        <v>10</v>
      </c>
      <c r="AC35" s="64" t="s">
        <v>710</v>
      </c>
      <c r="AD35" s="64" t="s">
        <v>11</v>
      </c>
      <c r="AE35" s="64" t="s">
        <v>711</v>
      </c>
      <c r="AF35" s="64" t="s">
        <v>13</v>
      </c>
    </row>
    <row r="36" spans="1:33" ht="16.2" thickBot="1" x14ac:dyDescent="0.35">
      <c r="A36" s="65" t="s">
        <v>610</v>
      </c>
      <c r="B36" s="65" t="s">
        <v>105</v>
      </c>
      <c r="C36" s="65" t="s">
        <v>595</v>
      </c>
      <c r="D36" s="65" t="s">
        <v>627</v>
      </c>
      <c r="E36" s="65" t="s">
        <v>15</v>
      </c>
      <c r="F36" s="65" t="s">
        <v>15</v>
      </c>
      <c r="G36" s="65" t="s">
        <v>15</v>
      </c>
      <c r="H36" s="65" t="s">
        <v>15</v>
      </c>
      <c r="I36" s="65" t="s">
        <v>15</v>
      </c>
      <c r="J36" s="65" t="s">
        <v>15</v>
      </c>
      <c r="K36" s="65" t="s">
        <v>15</v>
      </c>
      <c r="L36" s="65" t="s">
        <v>15</v>
      </c>
      <c r="M36" s="65" t="s">
        <v>15</v>
      </c>
      <c r="N36" s="65" t="s">
        <v>15</v>
      </c>
      <c r="O36" s="65" t="s">
        <v>15</v>
      </c>
      <c r="P36" s="65" t="s">
        <v>15</v>
      </c>
      <c r="Q36" s="65" t="s">
        <v>15</v>
      </c>
      <c r="R36" s="65" t="s">
        <v>15</v>
      </c>
      <c r="S36" s="65" t="s">
        <v>15</v>
      </c>
      <c r="T36" s="65" t="s">
        <v>15</v>
      </c>
      <c r="U36" s="65" t="s">
        <v>15</v>
      </c>
      <c r="V36" s="65" t="s">
        <v>15</v>
      </c>
      <c r="W36" s="65" t="s">
        <v>15</v>
      </c>
      <c r="X36" s="65" t="s">
        <v>15</v>
      </c>
      <c r="Y36" s="65" t="s">
        <v>15</v>
      </c>
      <c r="Z36" s="65" t="s">
        <v>15</v>
      </c>
      <c r="AA36" s="65" t="s">
        <v>15</v>
      </c>
      <c r="AB36" s="65" t="s">
        <v>15</v>
      </c>
      <c r="AC36" s="65" t="s">
        <v>15</v>
      </c>
      <c r="AD36" s="65" t="s">
        <v>15</v>
      </c>
      <c r="AE36" s="65" t="s">
        <v>15</v>
      </c>
      <c r="AF36" s="65" t="s">
        <v>15</v>
      </c>
    </row>
    <row r="37" spans="1:33" x14ac:dyDescent="0.3">
      <c r="A37" s="49" t="s">
        <v>595</v>
      </c>
      <c r="B37" s="49" t="s">
        <v>501</v>
      </c>
      <c r="C37" s="49" t="str">
        <f>Legend!B60</f>
        <v>SRVBGS</v>
      </c>
      <c r="D37" s="49" t="str">
        <f>Legend!A60</f>
        <v>Biogas</v>
      </c>
      <c r="E37" s="583">
        <f>E22</f>
        <v>0</v>
      </c>
      <c r="F37" s="583">
        <f t="shared" ref="F37:AF37" si="3">F22</f>
        <v>0</v>
      </c>
      <c r="G37" s="583">
        <f t="shared" si="3"/>
        <v>0</v>
      </c>
      <c r="H37" s="583">
        <f t="shared" si="3"/>
        <v>0</v>
      </c>
      <c r="I37" s="583">
        <f t="shared" si="3"/>
        <v>0.59499999999999997</v>
      </c>
      <c r="J37" s="583">
        <f t="shared" si="3"/>
        <v>0</v>
      </c>
      <c r="K37" s="583">
        <f t="shared" si="3"/>
        <v>0</v>
      </c>
      <c r="L37" s="583">
        <f t="shared" si="3"/>
        <v>1.2E-2</v>
      </c>
      <c r="M37" s="583">
        <f t="shared" si="3"/>
        <v>0</v>
      </c>
      <c r="N37" s="583">
        <f t="shared" si="3"/>
        <v>0.63800000000000001</v>
      </c>
      <c r="O37" s="583">
        <f t="shared" si="3"/>
        <v>0.35099999999999998</v>
      </c>
      <c r="P37" s="583">
        <f t="shared" si="3"/>
        <v>0</v>
      </c>
      <c r="Q37" s="583">
        <f t="shared" si="3"/>
        <v>5.1999999999999998E-2</v>
      </c>
      <c r="R37" s="583">
        <f t="shared" si="3"/>
        <v>2.0960000000000001</v>
      </c>
      <c r="S37" s="583">
        <f t="shared" si="3"/>
        <v>3.2290000000000001</v>
      </c>
      <c r="T37" s="599">
        <f t="shared" si="3"/>
        <v>6.7270000000000003</v>
      </c>
      <c r="U37" s="583">
        <f t="shared" si="3"/>
        <v>13.744999999999999</v>
      </c>
      <c r="V37" s="583">
        <f t="shared" si="3"/>
        <v>0</v>
      </c>
      <c r="W37" s="583">
        <f t="shared" si="3"/>
        <v>0</v>
      </c>
      <c r="X37" s="583">
        <f t="shared" si="3"/>
        <v>0</v>
      </c>
      <c r="Y37" s="583">
        <f t="shared" si="3"/>
        <v>0</v>
      </c>
      <c r="Z37" s="599">
        <f t="shared" si="3"/>
        <v>0</v>
      </c>
      <c r="AA37" s="599">
        <f t="shared" si="3"/>
        <v>0</v>
      </c>
      <c r="AB37" s="583">
        <f t="shared" si="3"/>
        <v>0</v>
      </c>
      <c r="AC37" s="583">
        <f t="shared" si="3"/>
        <v>0</v>
      </c>
      <c r="AD37" s="583">
        <f t="shared" si="3"/>
        <v>0</v>
      </c>
      <c r="AE37" s="583">
        <f t="shared" si="3"/>
        <v>0.95699999999999996</v>
      </c>
      <c r="AF37" s="583">
        <f t="shared" si="3"/>
        <v>2.2919999999999998</v>
      </c>
    </row>
    <row r="38" spans="1:33" x14ac:dyDescent="0.3">
      <c r="A38" s="49" t="s">
        <v>595</v>
      </c>
      <c r="B38" s="49" t="s">
        <v>501</v>
      </c>
      <c r="C38" s="49" t="str">
        <f>Legend!B61</f>
        <v>SRVCOA</v>
      </c>
      <c r="D38" s="49" t="str">
        <f>Legend!A61</f>
        <v>Coal</v>
      </c>
      <c r="E38" s="583">
        <f>E7+E8+E9</f>
        <v>0</v>
      </c>
      <c r="F38" s="583">
        <f t="shared" ref="F38:AF38" si="4">F7+F8+F9</f>
        <v>0</v>
      </c>
      <c r="G38" s="583">
        <f t="shared" si="4"/>
        <v>0</v>
      </c>
      <c r="H38" s="583">
        <f t="shared" si="4"/>
        <v>96.789000000000001</v>
      </c>
      <c r="I38" s="583">
        <f t="shared" si="4"/>
        <v>1.621</v>
      </c>
      <c r="J38" s="583">
        <f t="shared" si="4"/>
        <v>65.34</v>
      </c>
      <c r="K38" s="583">
        <f t="shared" si="4"/>
        <v>16.561</v>
      </c>
      <c r="L38" s="583">
        <f t="shared" si="4"/>
        <v>0</v>
      </c>
      <c r="M38" s="583">
        <f t="shared" si="4"/>
        <v>0</v>
      </c>
      <c r="N38" s="583">
        <f t="shared" si="4"/>
        <v>0</v>
      </c>
      <c r="O38" s="583">
        <f t="shared" si="4"/>
        <v>0</v>
      </c>
      <c r="P38" s="583">
        <f t="shared" si="4"/>
        <v>28.456</v>
      </c>
      <c r="Q38" s="583">
        <f t="shared" si="4"/>
        <v>21.295000000000002</v>
      </c>
      <c r="R38" s="583">
        <f t="shared" si="4"/>
        <v>0.65</v>
      </c>
      <c r="S38" s="583">
        <f t="shared" si="4"/>
        <v>28.512</v>
      </c>
      <c r="T38" s="583">
        <f t="shared" si="4"/>
        <v>1.5049999999999999</v>
      </c>
      <c r="U38" s="583">
        <f t="shared" si="4"/>
        <v>0.32400000000000001</v>
      </c>
      <c r="V38" s="583">
        <f t="shared" si="4"/>
        <v>33.131999999999998</v>
      </c>
      <c r="W38" s="583">
        <f t="shared" si="4"/>
        <v>0</v>
      </c>
      <c r="X38" s="583">
        <f t="shared" si="4"/>
        <v>5.1479999999999997</v>
      </c>
      <c r="Y38" s="583">
        <f t="shared" si="4"/>
        <v>0</v>
      </c>
      <c r="Z38" s="583">
        <f t="shared" si="4"/>
        <v>112.07899999999999</v>
      </c>
      <c r="AA38" s="583">
        <f t="shared" si="4"/>
        <v>0</v>
      </c>
      <c r="AB38" s="583">
        <f t="shared" si="4"/>
        <v>0</v>
      </c>
      <c r="AC38" s="583">
        <f t="shared" si="4"/>
        <v>0</v>
      </c>
      <c r="AD38" s="583">
        <f t="shared" si="4"/>
        <v>33.196000000000005</v>
      </c>
      <c r="AE38" s="583">
        <f t="shared" si="4"/>
        <v>0</v>
      </c>
      <c r="AF38" s="583">
        <f t="shared" si="4"/>
        <v>15.938000000000001</v>
      </c>
    </row>
    <row r="39" spans="1:33" ht="14.25" customHeight="1" x14ac:dyDescent="0.3">
      <c r="A39" s="49" t="s">
        <v>595</v>
      </c>
      <c r="B39" s="49" t="s">
        <v>501</v>
      </c>
      <c r="C39" s="49" t="str">
        <f>Legend!B62</f>
        <v>SRVOIL</v>
      </c>
      <c r="D39" s="49" t="str">
        <f>Legend!A62</f>
        <v>Oil</v>
      </c>
      <c r="E39" s="583">
        <f>E10+E12+E14+E16+E15</f>
        <v>15.985000000000001</v>
      </c>
      <c r="F39" s="583">
        <f t="shared" ref="F39:AF39" si="5">F10+F12+F14+F16+F15</f>
        <v>5.3950000000000005</v>
      </c>
      <c r="G39" s="583">
        <f t="shared" si="5"/>
        <v>0.93199999999999994</v>
      </c>
      <c r="H39" s="583">
        <f t="shared" si="5"/>
        <v>35.225000000000001</v>
      </c>
      <c r="I39" s="583">
        <f t="shared" si="5"/>
        <v>32.012999999999998</v>
      </c>
      <c r="J39" s="583">
        <f t="shared" si="5"/>
        <v>28.556999999999999</v>
      </c>
      <c r="K39" s="583">
        <f t="shared" si="5"/>
        <v>15.352</v>
      </c>
      <c r="L39" s="583">
        <f t="shared" si="5"/>
        <v>0.03</v>
      </c>
      <c r="M39" s="583">
        <f t="shared" si="5"/>
        <v>2.2490000000000001</v>
      </c>
      <c r="N39" s="583">
        <f t="shared" si="5"/>
        <v>22.044999999999998</v>
      </c>
      <c r="O39" s="583">
        <f t="shared" si="5"/>
        <v>18.442</v>
      </c>
      <c r="P39" s="583">
        <f t="shared" si="5"/>
        <v>0</v>
      </c>
      <c r="Q39" s="583">
        <f t="shared" si="5"/>
        <v>13.193999999999999</v>
      </c>
      <c r="R39" s="583">
        <f t="shared" si="5"/>
        <v>115.44</v>
      </c>
      <c r="S39" s="583">
        <f t="shared" si="5"/>
        <v>25.161000000000001</v>
      </c>
      <c r="T39" s="583">
        <f t="shared" si="5"/>
        <v>143.304</v>
      </c>
      <c r="U39" s="583">
        <f t="shared" si="5"/>
        <v>211.21699999999998</v>
      </c>
      <c r="V39" s="583">
        <f t="shared" si="5"/>
        <v>111.271</v>
      </c>
      <c r="W39" s="583">
        <f t="shared" si="5"/>
        <v>3.8109999999999999</v>
      </c>
      <c r="X39" s="583">
        <f t="shared" si="5"/>
        <v>405.64299999999997</v>
      </c>
      <c r="Y39" s="583">
        <f t="shared" si="5"/>
        <v>47.643999999999998</v>
      </c>
      <c r="Z39" s="583">
        <f t="shared" si="5"/>
        <v>18.414999999999999</v>
      </c>
      <c r="AA39" s="583">
        <f>AA10+AA12+AA14+AA16+AA15</f>
        <v>35.188999999999993</v>
      </c>
      <c r="AB39" s="583">
        <f t="shared" si="5"/>
        <v>1.3839999999999999</v>
      </c>
      <c r="AC39" s="583">
        <f t="shared" si="5"/>
        <v>4.5999999999999999E-2</v>
      </c>
      <c r="AD39" s="583">
        <f t="shared" si="5"/>
        <v>61.445</v>
      </c>
      <c r="AE39" s="583">
        <f t="shared" si="5"/>
        <v>25.519000000000002</v>
      </c>
      <c r="AF39" s="583">
        <f t="shared" si="5"/>
        <v>397.09999999999991</v>
      </c>
    </row>
    <row r="40" spans="1:33" ht="14.25" customHeight="1" x14ac:dyDescent="0.3">
      <c r="A40" s="49" t="s">
        <v>595</v>
      </c>
      <c r="B40" s="49" t="s">
        <v>501</v>
      </c>
      <c r="C40" s="49" t="str">
        <f>Legend!B63</f>
        <v>SRVELC</v>
      </c>
      <c r="D40" s="49" t="str">
        <f>Legend!A63</f>
        <v>Electricity</v>
      </c>
      <c r="E40" s="583">
        <f>E11+E28</f>
        <v>34.295000000000002</v>
      </c>
      <c r="F40" s="583">
        <f t="shared" ref="F40:AF40" si="6">F11+F28</f>
        <v>189.52500000000001</v>
      </c>
      <c r="G40" s="583">
        <f t="shared" si="6"/>
        <v>44.05</v>
      </c>
      <c r="H40" s="583">
        <f t="shared" si="6"/>
        <v>115.461</v>
      </c>
      <c r="I40" s="583">
        <f t="shared" si="6"/>
        <v>290.971</v>
      </c>
      <c r="J40" s="583">
        <f t="shared" si="6"/>
        <v>99.796000000000006</v>
      </c>
      <c r="K40" s="583">
        <f t="shared" si="6"/>
        <v>475.38499999999999</v>
      </c>
      <c r="L40" s="583">
        <f t="shared" si="6"/>
        <v>109.83</v>
      </c>
      <c r="M40" s="583">
        <f t="shared" si="6"/>
        <v>507.75099999999998</v>
      </c>
      <c r="N40" s="583">
        <f t="shared" si="6"/>
        <v>544.846</v>
      </c>
      <c r="O40" s="583">
        <f t="shared" si="6"/>
        <v>44.171999999999997</v>
      </c>
      <c r="P40" s="583">
        <f t="shared" si="6"/>
        <v>107.95699999999999</v>
      </c>
      <c r="Q40" s="583">
        <f t="shared" si="6"/>
        <v>156.572</v>
      </c>
      <c r="R40" s="583">
        <f t="shared" si="6"/>
        <v>484.31700000000001</v>
      </c>
      <c r="S40" s="583">
        <f t="shared" si="6"/>
        <v>420.35500000000002</v>
      </c>
      <c r="T40" s="583">
        <f t="shared" si="6"/>
        <v>1217.05</v>
      </c>
      <c r="U40" s="583">
        <f t="shared" si="6"/>
        <v>978.09299999999996</v>
      </c>
      <c r="V40" s="583">
        <f t="shared" si="6"/>
        <v>394.63799999999998</v>
      </c>
      <c r="W40" s="583">
        <f t="shared" si="6"/>
        <v>373.97899999999998</v>
      </c>
      <c r="X40" s="583">
        <f t="shared" si="6"/>
        <v>1139.684</v>
      </c>
      <c r="Y40" s="583">
        <f t="shared" si="6"/>
        <v>416.21199999999999</v>
      </c>
      <c r="Z40" s="583">
        <f t="shared" si="6"/>
        <v>369.03300000000002</v>
      </c>
      <c r="AA40" s="583">
        <f t="shared" si="6"/>
        <v>798.73199999999997</v>
      </c>
      <c r="AB40" s="583">
        <f t="shared" si="6"/>
        <v>103.379</v>
      </c>
      <c r="AC40" s="583">
        <f t="shared" si="6"/>
        <v>26.619</v>
      </c>
      <c r="AD40" s="583">
        <f t="shared" si="6"/>
        <v>550.32799999999997</v>
      </c>
      <c r="AE40" s="583">
        <f t="shared" si="6"/>
        <v>589.00199999999995</v>
      </c>
      <c r="AF40" s="583">
        <f t="shared" si="6"/>
        <v>4910.4740000000002</v>
      </c>
    </row>
    <row r="41" spans="1:33" x14ac:dyDescent="0.3">
      <c r="A41" s="49" t="s">
        <v>595</v>
      </c>
      <c r="B41" s="49" t="s">
        <v>501</v>
      </c>
      <c r="C41" s="49" t="str">
        <f>Legend!B64</f>
        <v>SRVGEO</v>
      </c>
      <c r="D41" s="49" t="str">
        <f>Legend!A64</f>
        <v>Geothermal</v>
      </c>
      <c r="E41" s="583">
        <f t="shared" ref="E41:AF41" si="7">E13</f>
        <v>0</v>
      </c>
      <c r="F41" s="583">
        <f t="shared" si="7"/>
        <v>0</v>
      </c>
      <c r="G41" s="583">
        <f t="shared" si="7"/>
        <v>0</v>
      </c>
      <c r="H41" s="583">
        <f t="shared" si="7"/>
        <v>0</v>
      </c>
      <c r="I41" s="583">
        <f t="shared" si="7"/>
        <v>2.3780000000000001</v>
      </c>
      <c r="J41" s="583">
        <f t="shared" si="7"/>
        <v>0.372</v>
      </c>
      <c r="K41" s="583">
        <f t="shared" si="7"/>
        <v>0</v>
      </c>
      <c r="L41" s="583">
        <f t="shared" si="7"/>
        <v>0</v>
      </c>
      <c r="M41" s="583">
        <f t="shared" si="7"/>
        <v>0</v>
      </c>
      <c r="N41" s="583">
        <f t="shared" si="7"/>
        <v>0</v>
      </c>
      <c r="O41" s="583">
        <f t="shared" si="7"/>
        <v>0</v>
      </c>
      <c r="P41" s="583">
        <f t="shared" si="7"/>
        <v>0</v>
      </c>
      <c r="Q41" s="583">
        <f t="shared" si="7"/>
        <v>8.7999999999999995E-2</v>
      </c>
      <c r="R41" s="583">
        <f t="shared" si="7"/>
        <v>0.27800000000000002</v>
      </c>
      <c r="S41" s="583">
        <f t="shared" si="7"/>
        <v>4.3099999999999996</v>
      </c>
      <c r="T41" s="599">
        <f t="shared" si="7"/>
        <v>4.3920000000000003</v>
      </c>
      <c r="U41" s="583">
        <f t="shared" si="7"/>
        <v>2.806</v>
      </c>
      <c r="V41" s="583">
        <f t="shared" si="7"/>
        <v>0</v>
      </c>
      <c r="W41" s="583">
        <f t="shared" si="7"/>
        <v>0</v>
      </c>
      <c r="X41" s="583">
        <f t="shared" si="7"/>
        <v>2.101</v>
      </c>
      <c r="Y41" s="583">
        <f t="shared" si="7"/>
        <v>0.10199999999999999</v>
      </c>
      <c r="Z41" s="599">
        <f>Z13</f>
        <v>0</v>
      </c>
      <c r="AA41" s="583">
        <f t="shared" si="7"/>
        <v>0</v>
      </c>
      <c r="AB41" s="583">
        <f t="shared" si="7"/>
        <v>0</v>
      </c>
      <c r="AC41" s="583">
        <f t="shared" si="7"/>
        <v>0</v>
      </c>
      <c r="AD41" s="583">
        <f t="shared" si="7"/>
        <v>0</v>
      </c>
      <c r="AE41" s="583">
        <f t="shared" si="7"/>
        <v>6.4790000000000001</v>
      </c>
      <c r="AF41" s="583">
        <f t="shared" si="7"/>
        <v>0</v>
      </c>
    </row>
    <row r="42" spans="1:33" x14ac:dyDescent="0.3">
      <c r="A42" s="49" t="s">
        <v>595</v>
      </c>
      <c r="B42" s="49" t="s">
        <v>501</v>
      </c>
      <c r="C42" s="49" t="str">
        <f>Legend!B65</f>
        <v>SRVHET</v>
      </c>
      <c r="D42" s="49" t="str">
        <f>Legend!A65</f>
        <v>Heat</v>
      </c>
      <c r="E42" s="583">
        <f t="shared" ref="E42:AF42" si="8">E24</f>
        <v>0</v>
      </c>
      <c r="F42" s="583">
        <f t="shared" si="8"/>
        <v>0</v>
      </c>
      <c r="G42" s="583">
        <f t="shared" si="8"/>
        <v>0</v>
      </c>
      <c r="H42" s="583">
        <f t="shared" si="8"/>
        <v>0</v>
      </c>
      <c r="I42" s="583">
        <f t="shared" si="8"/>
        <v>0</v>
      </c>
      <c r="J42" s="583">
        <f t="shared" si="8"/>
        <v>109.797</v>
      </c>
      <c r="K42" s="583">
        <f t="shared" si="8"/>
        <v>0.14099999999999999</v>
      </c>
      <c r="L42" s="583">
        <f t="shared" si="8"/>
        <v>0</v>
      </c>
      <c r="M42" s="583">
        <f t="shared" si="8"/>
        <v>0</v>
      </c>
      <c r="N42" s="583">
        <f t="shared" si="8"/>
        <v>0.29199999999999998</v>
      </c>
      <c r="O42" s="583">
        <f t="shared" si="8"/>
        <v>0</v>
      </c>
      <c r="P42" s="583">
        <f t="shared" si="8"/>
        <v>0</v>
      </c>
      <c r="Q42" s="583">
        <f t="shared" si="8"/>
        <v>61.746000000000002</v>
      </c>
      <c r="R42" s="583">
        <f t="shared" si="8"/>
        <v>46.021000000000001</v>
      </c>
      <c r="S42" s="583">
        <f t="shared" si="8"/>
        <v>106.482</v>
      </c>
      <c r="T42" s="599">
        <f t="shared" si="8"/>
        <v>46.923000000000002</v>
      </c>
      <c r="U42" s="583">
        <f t="shared" si="8"/>
        <v>230.5</v>
      </c>
      <c r="V42" s="583">
        <f t="shared" si="8"/>
        <v>0</v>
      </c>
      <c r="W42" s="583">
        <f t="shared" si="8"/>
        <v>0</v>
      </c>
      <c r="X42" s="583">
        <f t="shared" si="8"/>
        <v>21.561</v>
      </c>
      <c r="Y42" s="583">
        <f t="shared" si="8"/>
        <v>2.8000000000000001E-2</v>
      </c>
      <c r="Z42" s="599">
        <f t="shared" si="8"/>
        <v>0</v>
      </c>
      <c r="AA42" s="583">
        <f t="shared" si="8"/>
        <v>0</v>
      </c>
      <c r="AB42" s="583">
        <f t="shared" si="8"/>
        <v>0</v>
      </c>
      <c r="AC42" s="583">
        <f t="shared" si="8"/>
        <v>0</v>
      </c>
      <c r="AD42" s="583">
        <f t="shared" si="8"/>
        <v>791.35</v>
      </c>
      <c r="AE42" s="583">
        <f t="shared" si="8"/>
        <v>13.342000000000001</v>
      </c>
      <c r="AF42" s="583">
        <f t="shared" si="8"/>
        <v>53.012</v>
      </c>
    </row>
    <row r="43" spans="1:33" x14ac:dyDescent="0.3">
      <c r="A43" s="49" t="s">
        <v>595</v>
      </c>
      <c r="B43" s="49" t="s">
        <v>501</v>
      </c>
      <c r="C43" s="49" t="str">
        <f>Legend!B66</f>
        <v>SRVBLQ</v>
      </c>
      <c r="D43" s="49" t="str">
        <f>Legend!A66</f>
        <v>Liquid biofuels</v>
      </c>
      <c r="E43" s="583">
        <f t="shared" ref="E43:AF43" si="9">E25+E21+E23</f>
        <v>0</v>
      </c>
      <c r="F43" s="583">
        <f t="shared" si="9"/>
        <v>0</v>
      </c>
      <c r="G43" s="583">
        <f t="shared" si="9"/>
        <v>0</v>
      </c>
      <c r="H43" s="583">
        <f t="shared" si="9"/>
        <v>0</v>
      </c>
      <c r="I43" s="583">
        <f t="shared" si="9"/>
        <v>0</v>
      </c>
      <c r="J43" s="583">
        <f t="shared" si="9"/>
        <v>0</v>
      </c>
      <c r="K43" s="583">
        <f t="shared" si="9"/>
        <v>0</v>
      </c>
      <c r="L43" s="583">
        <f t="shared" si="9"/>
        <v>0</v>
      </c>
      <c r="M43" s="583">
        <f t="shared" si="9"/>
        <v>0.154</v>
      </c>
      <c r="N43" s="583">
        <f t="shared" si="9"/>
        <v>0</v>
      </c>
      <c r="O43" s="583">
        <f t="shared" si="9"/>
        <v>0</v>
      </c>
      <c r="P43" s="583">
        <f t="shared" si="9"/>
        <v>0</v>
      </c>
      <c r="Q43" s="583">
        <f t="shared" si="9"/>
        <v>0</v>
      </c>
      <c r="R43" s="583">
        <f t="shared" si="9"/>
        <v>1E-3</v>
      </c>
      <c r="S43" s="583">
        <f t="shared" si="9"/>
        <v>3.1E-2</v>
      </c>
      <c r="T43" s="599">
        <f t="shared" si="9"/>
        <v>1.2909999999999999</v>
      </c>
      <c r="U43" s="583">
        <f t="shared" si="9"/>
        <v>2.847</v>
      </c>
      <c r="V43" s="583">
        <f t="shared" si="9"/>
        <v>3.12</v>
      </c>
      <c r="W43" s="583">
        <f t="shared" si="9"/>
        <v>0</v>
      </c>
      <c r="X43" s="583">
        <f t="shared" si="9"/>
        <v>0</v>
      </c>
      <c r="Y43" s="583">
        <f t="shared" si="9"/>
        <v>0.29599999999999999</v>
      </c>
      <c r="Z43" s="599">
        <f t="shared" si="9"/>
        <v>0</v>
      </c>
      <c r="AA43" s="583">
        <f t="shared" si="9"/>
        <v>0</v>
      </c>
      <c r="AB43" s="583">
        <f t="shared" si="9"/>
        <v>0</v>
      </c>
      <c r="AC43" s="583">
        <f t="shared" si="9"/>
        <v>0</v>
      </c>
      <c r="AD43" s="583">
        <f t="shared" si="9"/>
        <v>0</v>
      </c>
      <c r="AE43" s="583">
        <f t="shared" si="9"/>
        <v>0</v>
      </c>
      <c r="AF43" s="583">
        <f t="shared" si="9"/>
        <v>6.6070000000000002</v>
      </c>
    </row>
    <row r="44" spans="1:33" x14ac:dyDescent="0.3">
      <c r="A44" s="49" t="s">
        <v>595</v>
      </c>
      <c r="B44" s="49" t="s">
        <v>501</v>
      </c>
      <c r="C44" s="49" t="str">
        <f>Legend!B67</f>
        <v>SRVLPG</v>
      </c>
      <c r="D44" s="49" t="str">
        <f>Legend!A67</f>
        <v>LPG</v>
      </c>
      <c r="E44" s="583">
        <f t="shared" ref="E44:AF44" si="10">E17</f>
        <v>5.7350000000000003</v>
      </c>
      <c r="F44" s="583">
        <f t="shared" si="10"/>
        <v>7.202</v>
      </c>
      <c r="G44" s="583">
        <f t="shared" si="10"/>
        <v>7.44</v>
      </c>
      <c r="H44" s="583">
        <f t="shared" si="10"/>
        <v>2.343</v>
      </c>
      <c r="I44" s="583">
        <f t="shared" si="10"/>
        <v>2.206</v>
      </c>
      <c r="J44" s="583">
        <f t="shared" si="10"/>
        <v>2.1269999999999998</v>
      </c>
      <c r="K44" s="583">
        <f t="shared" si="10"/>
        <v>49.192</v>
      </c>
      <c r="L44" s="583">
        <f t="shared" si="10"/>
        <v>32.979999999999997</v>
      </c>
      <c r="M44" s="583">
        <f t="shared" si="10"/>
        <v>0</v>
      </c>
      <c r="N44" s="583">
        <f t="shared" si="10"/>
        <v>37.676000000000002</v>
      </c>
      <c r="O44" s="583">
        <f t="shared" si="10"/>
        <v>9.0329999999999995</v>
      </c>
      <c r="P44" s="583">
        <f t="shared" si="10"/>
        <v>0</v>
      </c>
      <c r="Q44" s="583">
        <f t="shared" si="10"/>
        <v>3.5910000000000002</v>
      </c>
      <c r="R44" s="583">
        <f t="shared" si="10"/>
        <v>17.670999999999999</v>
      </c>
      <c r="S44" s="583">
        <f t="shared" si="10"/>
        <v>7.1020000000000003</v>
      </c>
      <c r="T44" s="599">
        <f t="shared" si="10"/>
        <v>47.485999999999997</v>
      </c>
      <c r="U44" s="583">
        <f t="shared" si="10"/>
        <v>18.033999999999999</v>
      </c>
      <c r="V44" s="583">
        <f t="shared" si="10"/>
        <v>57.991999999999997</v>
      </c>
      <c r="W44" s="583">
        <f t="shared" si="10"/>
        <v>0</v>
      </c>
      <c r="X44" s="583">
        <f t="shared" si="10"/>
        <v>36.875999999999998</v>
      </c>
      <c r="Y44" s="583">
        <f t="shared" si="10"/>
        <v>33.892000000000003</v>
      </c>
      <c r="Z44" s="599">
        <f t="shared" si="10"/>
        <v>33.966999999999999</v>
      </c>
      <c r="AA44" s="583">
        <f t="shared" si="10"/>
        <v>2.2719999999999998</v>
      </c>
      <c r="AB44" s="583">
        <f t="shared" si="10"/>
        <v>60.478999999999999</v>
      </c>
      <c r="AC44" s="583">
        <f t="shared" si="10"/>
        <v>0</v>
      </c>
      <c r="AD44" s="583">
        <f t="shared" si="10"/>
        <v>0.98899999999999999</v>
      </c>
      <c r="AE44" s="583">
        <f t="shared" si="10"/>
        <v>43.37</v>
      </c>
      <c r="AF44" s="583">
        <f t="shared" si="10"/>
        <v>66.590999999999994</v>
      </c>
    </row>
    <row r="45" spans="1:33" x14ac:dyDescent="0.3">
      <c r="A45" s="49" t="s">
        <v>595</v>
      </c>
      <c r="B45" s="49" t="s">
        <v>501</v>
      </c>
      <c r="C45" s="49" t="str">
        <f>Legend!B68</f>
        <v>SRVGAS</v>
      </c>
      <c r="D45" s="49" t="str">
        <f>Legend!A68</f>
        <v>Natural gas</v>
      </c>
      <c r="E45" s="583">
        <f t="shared" ref="E45:AF45" si="11">E18</f>
        <v>0</v>
      </c>
      <c r="F45" s="583">
        <f t="shared" si="11"/>
        <v>8.2539999999999996</v>
      </c>
      <c r="G45" s="583">
        <f t="shared" si="11"/>
        <v>0</v>
      </c>
      <c r="H45" s="583">
        <f t="shared" si="11"/>
        <v>1.2150000000000001</v>
      </c>
      <c r="I45" s="583">
        <f t="shared" si="11"/>
        <v>61.084000000000003</v>
      </c>
      <c r="J45" s="583">
        <f t="shared" si="11"/>
        <v>369.86200000000002</v>
      </c>
      <c r="K45" s="583">
        <f t="shared" si="11"/>
        <v>4.8579999999999997</v>
      </c>
      <c r="L45" s="583">
        <f t="shared" si="11"/>
        <v>7.968</v>
      </c>
      <c r="M45" s="583">
        <f t="shared" si="11"/>
        <v>5.8239999999999998</v>
      </c>
      <c r="N45" s="583">
        <f t="shared" si="11"/>
        <v>591.96</v>
      </c>
      <c r="O45" s="583">
        <f t="shared" si="11"/>
        <v>6.194</v>
      </c>
      <c r="P45" s="583">
        <f t="shared" si="11"/>
        <v>0</v>
      </c>
      <c r="Q45" s="583">
        <f t="shared" si="11"/>
        <v>48.575000000000003</v>
      </c>
      <c r="R45" s="583">
        <f t="shared" si="11"/>
        <v>294.52800000000002</v>
      </c>
      <c r="S45" s="583">
        <f t="shared" si="11"/>
        <v>224.96899999999999</v>
      </c>
      <c r="T45" s="599">
        <f t="shared" si="11"/>
        <v>645.27099999999996</v>
      </c>
      <c r="U45" s="583">
        <f t="shared" si="11"/>
        <v>642.93700000000001</v>
      </c>
      <c r="V45" s="583">
        <f t="shared" si="11"/>
        <v>9.9469999999999992</v>
      </c>
      <c r="W45" s="583">
        <f t="shared" si="11"/>
        <v>97.295000000000002</v>
      </c>
      <c r="X45" s="583">
        <f t="shared" si="11"/>
        <v>384.06599999999997</v>
      </c>
      <c r="Y45" s="583">
        <f t="shared" si="11"/>
        <v>78.608000000000004</v>
      </c>
      <c r="Z45" s="599">
        <f t="shared" si="11"/>
        <v>158.76900000000001</v>
      </c>
      <c r="AA45" s="583">
        <f t="shared" si="11"/>
        <v>540.80200000000002</v>
      </c>
      <c r="AB45" s="583">
        <f t="shared" si="11"/>
        <v>9.8659999999999997</v>
      </c>
      <c r="AC45" s="583">
        <f t="shared" si="11"/>
        <v>0</v>
      </c>
      <c r="AD45" s="583">
        <f t="shared" si="11"/>
        <v>236.07499999999999</v>
      </c>
      <c r="AE45" s="583">
        <f t="shared" si="11"/>
        <v>167.39699999999999</v>
      </c>
      <c r="AF45" s="583">
        <f t="shared" si="11"/>
        <v>3462.2869999999998</v>
      </c>
    </row>
    <row r="46" spans="1:33" x14ac:dyDescent="0.3">
      <c r="A46" s="49" t="s">
        <v>595</v>
      </c>
      <c r="B46" s="49" t="s">
        <v>501</v>
      </c>
      <c r="C46" s="49" t="str">
        <f>Legend!B69</f>
        <v>SRVSOL</v>
      </c>
      <c r="D46" s="49" t="str">
        <f>Legend!A69</f>
        <v>Solar</v>
      </c>
      <c r="E46" s="583">
        <f t="shared" ref="E46:AF46" si="12">E19</f>
        <v>0</v>
      </c>
      <c r="F46" s="583">
        <f t="shared" si="12"/>
        <v>0.111</v>
      </c>
      <c r="G46" s="583">
        <f t="shared" si="12"/>
        <v>0</v>
      </c>
      <c r="H46" s="583">
        <f t="shared" si="12"/>
        <v>0</v>
      </c>
      <c r="I46" s="583">
        <f t="shared" si="12"/>
        <v>0.47099999999999997</v>
      </c>
      <c r="J46" s="583">
        <f t="shared" si="12"/>
        <v>0.30499999999999999</v>
      </c>
      <c r="K46" s="583">
        <f t="shared" si="12"/>
        <v>0.42599999999999999</v>
      </c>
      <c r="L46" s="583">
        <f t="shared" si="12"/>
        <v>0</v>
      </c>
      <c r="M46" s="583">
        <f t="shared" si="12"/>
        <v>0</v>
      </c>
      <c r="N46" s="583">
        <f t="shared" si="12"/>
        <v>0</v>
      </c>
      <c r="O46" s="583">
        <f t="shared" si="12"/>
        <v>0</v>
      </c>
      <c r="P46" s="583">
        <f t="shared" si="12"/>
        <v>0</v>
      </c>
      <c r="Q46" s="583">
        <f t="shared" si="12"/>
        <v>0.20200000000000001</v>
      </c>
      <c r="R46" s="583">
        <f t="shared" si="12"/>
        <v>1.117</v>
      </c>
      <c r="S46" s="583">
        <f t="shared" si="12"/>
        <v>1.284</v>
      </c>
      <c r="T46" s="599">
        <f t="shared" si="12"/>
        <v>7.0620000000000003</v>
      </c>
      <c r="U46" s="583">
        <f t="shared" si="12"/>
        <v>4.2770000000000001</v>
      </c>
      <c r="V46" s="583">
        <f t="shared" si="12"/>
        <v>0</v>
      </c>
      <c r="W46" s="583">
        <f t="shared" si="12"/>
        <v>0</v>
      </c>
      <c r="X46" s="583">
        <f t="shared" si="12"/>
        <v>0.76600000000000001</v>
      </c>
      <c r="Y46" s="583">
        <f t="shared" si="12"/>
        <v>0.57399999999999995</v>
      </c>
      <c r="Z46" s="599">
        <f t="shared" si="12"/>
        <v>2.5819999999999999</v>
      </c>
      <c r="AA46" s="583">
        <f t="shared" si="12"/>
        <v>0</v>
      </c>
      <c r="AB46" s="583">
        <f t="shared" si="12"/>
        <v>5.1749999999999998</v>
      </c>
      <c r="AC46" s="583">
        <f t="shared" si="12"/>
        <v>0</v>
      </c>
      <c r="AD46" s="583">
        <f t="shared" si="12"/>
        <v>0</v>
      </c>
      <c r="AE46" s="583">
        <f t="shared" si="12"/>
        <v>0.92</v>
      </c>
      <c r="AF46" s="583">
        <f t="shared" si="12"/>
        <v>75.533000000000001</v>
      </c>
    </row>
    <row r="47" spans="1:33" x14ac:dyDescent="0.3">
      <c r="A47" s="49" t="s">
        <v>595</v>
      </c>
      <c r="B47" s="49" t="s">
        <v>501</v>
      </c>
      <c r="C47" s="49" t="str">
        <f>Legend!B70</f>
        <v>SRVBIO</v>
      </c>
      <c r="D47" s="49" t="str">
        <f>Legend!A70</f>
        <v>Biomass</v>
      </c>
      <c r="E47" s="583">
        <f>E26+E30+E20</f>
        <v>174.77099999999999</v>
      </c>
      <c r="F47" s="583">
        <f t="shared" ref="F47:AF47" si="13">F26+F30+F20</f>
        <v>33.438000000000002</v>
      </c>
      <c r="G47" s="583">
        <f t="shared" si="13"/>
        <v>112.946</v>
      </c>
      <c r="H47" s="583">
        <f t="shared" si="13"/>
        <v>5.2720000000000002</v>
      </c>
      <c r="I47" s="583">
        <f t="shared" si="13"/>
        <v>0.23200000000000001</v>
      </c>
      <c r="J47" s="583">
        <f t="shared" si="13"/>
        <v>1.113</v>
      </c>
      <c r="K47" s="583">
        <f t="shared" si="13"/>
        <v>20.111999999999998</v>
      </c>
      <c r="L47" s="583">
        <f t="shared" si="13"/>
        <v>12.449000000000002</v>
      </c>
      <c r="M47" s="583">
        <f t="shared" si="13"/>
        <v>3.5619999999999998</v>
      </c>
      <c r="N47" s="583">
        <f t="shared" si="13"/>
        <v>0</v>
      </c>
      <c r="O47" s="583">
        <f t="shared" si="13"/>
        <v>0.64799999999999991</v>
      </c>
      <c r="P47" s="583">
        <f t="shared" si="13"/>
        <v>29.539000000000001</v>
      </c>
      <c r="Q47" s="583">
        <f t="shared" si="13"/>
        <v>11.417</v>
      </c>
      <c r="R47" s="583">
        <f t="shared" si="13"/>
        <v>16.954999999999998</v>
      </c>
      <c r="S47" s="583">
        <f t="shared" si="13"/>
        <v>25.414999999999999</v>
      </c>
      <c r="T47" s="583">
        <f t="shared" si="13"/>
        <v>24.285</v>
      </c>
      <c r="U47" s="583">
        <f t="shared" si="13"/>
        <v>87.835999999999999</v>
      </c>
      <c r="V47" s="583">
        <f t="shared" si="13"/>
        <v>56.847000000000001</v>
      </c>
      <c r="W47" s="583">
        <f t="shared" si="13"/>
        <v>109.744</v>
      </c>
      <c r="X47" s="583">
        <f t="shared" si="13"/>
        <v>63.097000000000001</v>
      </c>
      <c r="Y47" s="583">
        <f t="shared" si="13"/>
        <v>28.5</v>
      </c>
      <c r="Z47" s="583">
        <f t="shared" si="13"/>
        <v>5.5E-2</v>
      </c>
      <c r="AA47" s="583">
        <f t="shared" si="13"/>
        <v>0</v>
      </c>
      <c r="AB47" s="583">
        <f t="shared" si="13"/>
        <v>0</v>
      </c>
      <c r="AC47" s="583">
        <f t="shared" si="13"/>
        <v>115.518</v>
      </c>
      <c r="AD47" s="583">
        <f t="shared" si="13"/>
        <v>45.021999999999998</v>
      </c>
      <c r="AE47" s="583">
        <f t="shared" si="13"/>
        <v>7.4649999999999999</v>
      </c>
      <c r="AF47" s="583">
        <f t="shared" si="13"/>
        <v>72.344999999999999</v>
      </c>
    </row>
    <row r="48" spans="1:33" x14ac:dyDescent="0.3">
      <c r="A48" s="49" t="s">
        <v>595</v>
      </c>
      <c r="B48" s="49" t="s">
        <v>501</v>
      </c>
      <c r="C48" s="49" t="str">
        <f>Legend!B71</f>
        <v>SRVWAS</v>
      </c>
      <c r="D48" s="49" t="str">
        <f>Legend!A71</f>
        <v>Waste</v>
      </c>
      <c r="E48" s="583">
        <f>E27</f>
        <v>0</v>
      </c>
      <c r="F48" s="583">
        <f t="shared" ref="F48:AF48" si="14">F27</f>
        <v>0</v>
      </c>
      <c r="G48" s="583">
        <f t="shared" si="14"/>
        <v>0</v>
      </c>
      <c r="H48" s="583">
        <f t="shared" si="14"/>
        <v>0</v>
      </c>
      <c r="I48" s="583">
        <f t="shared" si="14"/>
        <v>0</v>
      </c>
      <c r="J48" s="583">
        <f t="shared" si="14"/>
        <v>0</v>
      </c>
      <c r="K48" s="583">
        <f t="shared" si="14"/>
        <v>0</v>
      </c>
      <c r="L48" s="583">
        <f t="shared" si="14"/>
        <v>0</v>
      </c>
      <c r="M48" s="583">
        <f t="shared" si="14"/>
        <v>0</v>
      </c>
      <c r="N48" s="583">
        <f t="shared" si="14"/>
        <v>0</v>
      </c>
      <c r="O48" s="583">
        <f t="shared" si="14"/>
        <v>0</v>
      </c>
      <c r="P48" s="583">
        <f t="shared" si="14"/>
        <v>0</v>
      </c>
      <c r="Q48" s="583">
        <f t="shared" si="14"/>
        <v>0</v>
      </c>
      <c r="R48" s="583">
        <f t="shared" si="14"/>
        <v>4.8070000000000004</v>
      </c>
      <c r="S48" s="583">
        <f t="shared" si="14"/>
        <v>2.6040000000000001</v>
      </c>
      <c r="T48" s="583">
        <f t="shared" si="14"/>
        <v>4.0720000000000001</v>
      </c>
      <c r="U48" s="583">
        <f>U27</f>
        <v>3.5350000000000001</v>
      </c>
      <c r="V48" s="583">
        <f t="shared" si="14"/>
        <v>0</v>
      </c>
      <c r="W48" s="583">
        <f t="shared" si="14"/>
        <v>0</v>
      </c>
      <c r="X48" s="583">
        <f t="shared" si="14"/>
        <v>9.5079999999999991</v>
      </c>
      <c r="Y48" s="583">
        <f t="shared" si="14"/>
        <v>0</v>
      </c>
      <c r="Z48" s="583">
        <f t="shared" si="14"/>
        <v>0</v>
      </c>
      <c r="AA48" s="583">
        <f t="shared" si="14"/>
        <v>0</v>
      </c>
      <c r="AB48" s="583">
        <f t="shared" si="14"/>
        <v>0</v>
      </c>
      <c r="AC48" s="583">
        <f t="shared" si="14"/>
        <v>0</v>
      </c>
      <c r="AD48" s="583">
        <f t="shared" si="14"/>
        <v>2.9569999999999999</v>
      </c>
      <c r="AE48" s="583">
        <f t="shared" si="14"/>
        <v>20.184000000000001</v>
      </c>
      <c r="AF48" s="583">
        <f t="shared" si="14"/>
        <v>8.2319999999999993</v>
      </c>
    </row>
    <row r="49" spans="1:32" x14ac:dyDescent="0.3">
      <c r="A49" s="67" t="s">
        <v>103</v>
      </c>
      <c r="B49" s="67"/>
      <c r="C49" s="67"/>
      <c r="D49" s="67"/>
      <c r="E49" s="584">
        <f t="shared" ref="E49:AF49" si="15">SUM(E37:E48)</f>
        <v>230.786</v>
      </c>
      <c r="F49" s="584">
        <f t="shared" si="15"/>
        <v>243.92500000000001</v>
      </c>
      <c r="G49" s="584">
        <f t="shared" si="15"/>
        <v>165.36799999999999</v>
      </c>
      <c r="H49" s="584">
        <f t="shared" si="15"/>
        <v>256.30500000000001</v>
      </c>
      <c r="I49" s="584">
        <f t="shared" si="15"/>
        <v>391.57100000000003</v>
      </c>
      <c r="J49" s="584">
        <f t="shared" si="15"/>
        <v>677.26900000000012</v>
      </c>
      <c r="K49" s="584">
        <f t="shared" si="15"/>
        <v>582.02699999999993</v>
      </c>
      <c r="L49" s="584">
        <f t="shared" si="15"/>
        <v>163.26900000000001</v>
      </c>
      <c r="M49" s="584">
        <f t="shared" si="15"/>
        <v>519.54</v>
      </c>
      <c r="N49" s="584">
        <f t="shared" si="15"/>
        <v>1197.4570000000001</v>
      </c>
      <c r="O49" s="584">
        <f t="shared" si="15"/>
        <v>78.839999999999989</v>
      </c>
      <c r="P49" s="584">
        <f t="shared" si="15"/>
        <v>165.952</v>
      </c>
      <c r="Q49" s="584">
        <f t="shared" si="15"/>
        <v>316.73199999999997</v>
      </c>
      <c r="R49" s="584">
        <f t="shared" si="15"/>
        <v>983.88100000000009</v>
      </c>
      <c r="S49" s="584">
        <f t="shared" si="15"/>
        <v>849.45399999999984</v>
      </c>
      <c r="T49" s="598">
        <f t="shared" si="15"/>
        <v>2149.3679999999999</v>
      </c>
      <c r="U49" s="598">
        <f t="shared" si="15"/>
        <v>2196.1509999999998</v>
      </c>
      <c r="V49" s="598">
        <f t="shared" si="15"/>
        <v>666.94699999999989</v>
      </c>
      <c r="W49" s="584">
        <f t="shared" si="15"/>
        <v>584.82899999999995</v>
      </c>
      <c r="X49" s="584">
        <f t="shared" si="15"/>
        <v>2068.4499999999998</v>
      </c>
      <c r="Y49" s="584">
        <f t="shared" si="15"/>
        <v>605.85599999999988</v>
      </c>
      <c r="Z49" s="584">
        <f t="shared" si="15"/>
        <v>694.9</v>
      </c>
      <c r="AA49" s="598">
        <f t="shared" si="15"/>
        <v>1376.9949999999999</v>
      </c>
      <c r="AB49" s="584">
        <f t="shared" si="15"/>
        <v>180.28300000000002</v>
      </c>
      <c r="AC49" s="584">
        <f t="shared" si="15"/>
        <v>142.18299999999999</v>
      </c>
      <c r="AD49" s="584">
        <f t="shared" si="15"/>
        <v>1721.3620000000001</v>
      </c>
      <c r="AE49" s="584">
        <f t="shared" si="15"/>
        <v>874.63499999999999</v>
      </c>
      <c r="AF49" s="584">
        <f t="shared" si="15"/>
        <v>9070.4109999999982</v>
      </c>
    </row>
    <row r="50" spans="1:32" x14ac:dyDescent="0.3">
      <c r="A50" s="67" t="s">
        <v>490</v>
      </c>
      <c r="B50" s="68"/>
      <c r="C50" s="68"/>
      <c r="D50" s="68"/>
      <c r="E50" s="113">
        <f t="shared" ref="E50:AF50" si="16">E49-E32</f>
        <v>0</v>
      </c>
      <c r="F50" s="113">
        <f t="shared" si="16"/>
        <v>0</v>
      </c>
      <c r="G50" s="113">
        <f>G49-G32</f>
        <v>0</v>
      </c>
      <c r="H50" s="113">
        <f t="shared" si="16"/>
        <v>0</v>
      </c>
      <c r="I50" s="113">
        <f t="shared" si="16"/>
        <v>0</v>
      </c>
      <c r="J50" s="113">
        <f t="shared" si="16"/>
        <v>0</v>
      </c>
      <c r="K50" s="113">
        <f t="shared" si="16"/>
        <v>0</v>
      </c>
      <c r="L50" s="113">
        <f t="shared" si="16"/>
        <v>0</v>
      </c>
      <c r="M50" s="113">
        <f t="shared" si="16"/>
        <v>0</v>
      </c>
      <c r="N50" s="113">
        <f t="shared" si="16"/>
        <v>0</v>
      </c>
      <c r="O50" s="113">
        <f t="shared" si="16"/>
        <v>0</v>
      </c>
      <c r="P50" s="113">
        <f t="shared" si="16"/>
        <v>0</v>
      </c>
      <c r="Q50" s="113">
        <f t="shared" si="16"/>
        <v>0</v>
      </c>
      <c r="R50" s="113">
        <f t="shared" si="16"/>
        <v>0</v>
      </c>
      <c r="S50" s="113">
        <f t="shared" si="16"/>
        <v>0</v>
      </c>
      <c r="T50" s="113">
        <f t="shared" si="16"/>
        <v>0</v>
      </c>
      <c r="U50" s="113">
        <f t="shared" si="16"/>
        <v>0</v>
      </c>
      <c r="V50" s="113">
        <f t="shared" si="16"/>
        <v>0</v>
      </c>
      <c r="W50" s="113">
        <f t="shared" si="16"/>
        <v>0</v>
      </c>
      <c r="X50" s="113">
        <f t="shared" si="16"/>
        <v>0</v>
      </c>
      <c r="Y50" s="113">
        <f t="shared" si="16"/>
        <v>0</v>
      </c>
      <c r="Z50" s="113">
        <f t="shared" si="16"/>
        <v>0</v>
      </c>
      <c r="AA50" s="113">
        <f t="shared" si="16"/>
        <v>0</v>
      </c>
      <c r="AB50" s="113">
        <f t="shared" si="16"/>
        <v>0</v>
      </c>
      <c r="AC50" s="113">
        <f t="shared" si="16"/>
        <v>0</v>
      </c>
      <c r="AD50" s="113">
        <f t="shared" si="16"/>
        <v>0</v>
      </c>
      <c r="AE50" s="113">
        <f t="shared" si="16"/>
        <v>0</v>
      </c>
      <c r="AF50" s="113">
        <f t="shared" si="16"/>
        <v>0</v>
      </c>
    </row>
    <row r="53" spans="1:32" ht="15.6" x14ac:dyDescent="0.3">
      <c r="P53"/>
      <c r="Q53"/>
    </row>
    <row r="69" spans="1:17" ht="15.6" x14ac:dyDescent="0.3">
      <c r="P69"/>
      <c r="Q69"/>
    </row>
    <row r="70" spans="1:17" ht="15.6" x14ac:dyDescent="0.3">
      <c r="A70"/>
      <c r="B70"/>
      <c r="C7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D579E-903F-4DFE-A56C-2FCE8CA2545E}">
  <sheetPr>
    <tabColor theme="5" tint="0.39997558519241921"/>
  </sheetPr>
  <dimension ref="A1:S72"/>
  <sheetViews>
    <sheetView topLeftCell="A6" workbookViewId="0">
      <selection activeCell="I11" sqref="I11"/>
    </sheetView>
  </sheetViews>
  <sheetFormatPr defaultColWidth="7.8984375" defaultRowHeight="14.4" x14ac:dyDescent="0.3"/>
  <cols>
    <col min="1" max="1" width="30.59765625" style="124" customWidth="1"/>
    <col min="2" max="2" width="6.69921875" style="124" bestFit="1" customWidth="1"/>
    <col min="3" max="3" width="5.19921875" style="124" bestFit="1" customWidth="1"/>
    <col min="4" max="4" width="4.59765625" style="124" bestFit="1" customWidth="1"/>
    <col min="5" max="5" width="5.19921875" style="124" bestFit="1" customWidth="1"/>
    <col min="6" max="8" width="4.19921875" style="124" bestFit="1" customWidth="1"/>
    <col min="9" max="10" width="6.69921875" style="124" bestFit="1" customWidth="1"/>
    <col min="11" max="12" width="5.69921875" style="124" bestFit="1" customWidth="1"/>
    <col min="13" max="13" width="6.69921875" style="124" bestFit="1" customWidth="1"/>
    <col min="14" max="14" width="5.69921875" style="124" bestFit="1" customWidth="1"/>
    <col min="15" max="15" width="5.19921875" style="124" bestFit="1" customWidth="1"/>
    <col min="16" max="16" width="8.3984375" style="125" customWidth="1"/>
    <col min="17" max="17" width="29.8984375" style="125" bestFit="1" customWidth="1"/>
    <col min="18" max="19" width="7.8984375" style="125"/>
    <col min="20" max="16384" width="7.8984375" style="124"/>
  </cols>
  <sheetData>
    <row r="1" spans="1:16" ht="21" x14ac:dyDescent="0.3">
      <c r="A1" s="10" t="s">
        <v>500</v>
      </c>
      <c r="B1" s="11"/>
    </row>
    <row r="2" spans="1:16" ht="15.6" x14ac:dyDescent="0.3">
      <c r="A2" s="11" t="s">
        <v>88</v>
      </c>
      <c r="B2" s="11" t="s">
        <v>370</v>
      </c>
    </row>
    <row r="3" spans="1:16" ht="15.6" x14ac:dyDescent="0.3">
      <c r="A3" s="11" t="s">
        <v>89</v>
      </c>
      <c r="B3" s="11" t="s">
        <v>498</v>
      </c>
    </row>
    <row r="4" spans="1:16" ht="15.6" x14ac:dyDescent="0.3">
      <c r="A4" s="11" t="s">
        <v>104</v>
      </c>
      <c r="B4" s="11"/>
    </row>
    <row r="6" spans="1:16" s="125" customFormat="1" x14ac:dyDescent="0.3">
      <c r="A6" s="710" t="s">
        <v>501</v>
      </c>
      <c r="B6" s="711"/>
      <c r="C6" s="711"/>
      <c r="D6" s="711"/>
      <c r="E6" s="711"/>
      <c r="F6" s="711"/>
      <c r="G6" s="711"/>
      <c r="H6" s="711"/>
      <c r="I6" s="711"/>
      <c r="J6" s="711"/>
      <c r="K6" s="711"/>
      <c r="L6" s="711"/>
      <c r="M6" s="711"/>
      <c r="N6" s="711"/>
      <c r="O6" s="711"/>
      <c r="P6" s="124"/>
    </row>
    <row r="7" spans="1:16" s="125" customFormat="1" x14ac:dyDescent="0.3">
      <c r="A7" s="365"/>
      <c r="B7" s="712" t="s">
        <v>199</v>
      </c>
      <c r="C7" s="713"/>
      <c r="D7" s="713"/>
      <c r="E7" s="713"/>
      <c r="F7" s="713"/>
      <c r="G7" s="713"/>
      <c r="H7" s="714"/>
      <c r="I7" s="712" t="s">
        <v>85</v>
      </c>
      <c r="J7" s="713"/>
      <c r="K7" s="713"/>
      <c r="L7" s="713"/>
      <c r="M7" s="713"/>
      <c r="N7" s="713"/>
      <c r="O7" s="714"/>
      <c r="P7" s="124"/>
    </row>
    <row r="8" spans="1:16" s="125" customFormat="1" x14ac:dyDescent="0.3">
      <c r="A8" s="366"/>
      <c r="B8" s="367" t="s">
        <v>200</v>
      </c>
      <c r="C8" s="712">
        <v>2030</v>
      </c>
      <c r="D8" s="713"/>
      <c r="E8" s="714"/>
      <c r="F8" s="712" t="s">
        <v>201</v>
      </c>
      <c r="G8" s="713"/>
      <c r="H8" s="714"/>
      <c r="I8" s="367" t="s">
        <v>200</v>
      </c>
      <c r="J8" s="712">
        <v>2030</v>
      </c>
      <c r="K8" s="713"/>
      <c r="L8" s="714"/>
      <c r="M8" s="712" t="s">
        <v>201</v>
      </c>
      <c r="N8" s="713"/>
      <c r="O8" s="714"/>
      <c r="P8" s="124"/>
    </row>
    <row r="9" spans="1:16" s="125" customFormat="1" x14ac:dyDescent="0.3">
      <c r="A9" s="368" t="s">
        <v>202</v>
      </c>
      <c r="B9" s="369"/>
      <c r="C9" s="370" t="s">
        <v>203</v>
      </c>
      <c r="D9" s="371"/>
      <c r="E9" s="372" t="s">
        <v>204</v>
      </c>
      <c r="F9" s="370" t="s">
        <v>203</v>
      </c>
      <c r="G9" s="371"/>
      <c r="H9" s="372" t="s">
        <v>204</v>
      </c>
      <c r="I9" s="373"/>
      <c r="J9" s="370" t="s">
        <v>203</v>
      </c>
      <c r="K9" s="371"/>
      <c r="L9" s="372" t="s">
        <v>204</v>
      </c>
      <c r="M9" s="370" t="s">
        <v>203</v>
      </c>
      <c r="N9" s="371"/>
      <c r="O9" s="372" t="s">
        <v>204</v>
      </c>
      <c r="P9" s="124"/>
    </row>
    <row r="10" spans="1:16" s="125" customFormat="1" x14ac:dyDescent="0.3">
      <c r="A10" s="374" t="s">
        <v>205</v>
      </c>
      <c r="B10" s="704" t="s">
        <v>245</v>
      </c>
      <c r="C10" s="705"/>
      <c r="D10" s="705"/>
      <c r="E10" s="705"/>
      <c r="F10" s="705"/>
      <c r="G10" s="705"/>
      <c r="H10" s="706"/>
      <c r="I10" s="707" t="s">
        <v>246</v>
      </c>
      <c r="J10" s="708"/>
      <c r="K10" s="708"/>
      <c r="L10" s="708"/>
      <c r="M10" s="708"/>
      <c r="N10" s="708"/>
      <c r="O10" s="709"/>
      <c r="P10" s="124"/>
    </row>
    <row r="11" spans="1:16" s="125" customFormat="1" x14ac:dyDescent="0.3">
      <c r="A11" s="375" t="s">
        <v>502</v>
      </c>
      <c r="B11" s="376">
        <v>9</v>
      </c>
      <c r="C11" s="377">
        <v>8.4499999999999993</v>
      </c>
      <c r="D11" s="377">
        <v>12.4</v>
      </c>
      <c r="E11" s="378">
        <v>22.712350578248127</v>
      </c>
      <c r="F11" s="377">
        <v>3.7035096934447069</v>
      </c>
      <c r="G11" s="377">
        <v>12.31382</v>
      </c>
      <c r="H11" s="377">
        <v>22.376700077091755</v>
      </c>
      <c r="I11" s="379">
        <v>16.971758702592005</v>
      </c>
      <c r="J11" s="380">
        <v>16.474597046238124</v>
      </c>
      <c r="K11" s="380">
        <v>14.98</v>
      </c>
      <c r="L11" s="381">
        <v>11.79</v>
      </c>
      <c r="M11" s="380">
        <v>16.375164714967344</v>
      </c>
      <c r="N11" s="380">
        <v>10.98</v>
      </c>
      <c r="O11" s="381">
        <v>5.5872375794043414</v>
      </c>
      <c r="P11" s="124"/>
    </row>
    <row r="12" spans="1:16" s="125" customFormat="1" x14ac:dyDescent="0.3">
      <c r="A12" s="374" t="s">
        <v>215</v>
      </c>
      <c r="B12" s="704" t="s">
        <v>212</v>
      </c>
      <c r="C12" s="705"/>
      <c r="D12" s="705"/>
      <c r="E12" s="705"/>
      <c r="F12" s="705"/>
      <c r="G12" s="705"/>
      <c r="H12" s="706"/>
      <c r="I12" s="704" t="s">
        <v>154</v>
      </c>
      <c r="J12" s="705"/>
      <c r="K12" s="705"/>
      <c r="L12" s="705"/>
      <c r="M12" s="705"/>
      <c r="N12" s="705"/>
      <c r="O12" s="706"/>
      <c r="P12" s="124"/>
    </row>
    <row r="13" spans="1:16" s="125" customFormat="1" x14ac:dyDescent="0.3">
      <c r="A13" s="375" t="s">
        <v>503</v>
      </c>
      <c r="B13" s="376">
        <v>117.75</v>
      </c>
      <c r="C13" s="377">
        <v>115.27047804561231</v>
      </c>
      <c r="D13" s="377">
        <v>135.1909761916599</v>
      </c>
      <c r="E13" s="382">
        <v>164.9956714037445</v>
      </c>
      <c r="F13" s="377">
        <v>104.89601489096674</v>
      </c>
      <c r="G13" s="377">
        <v>127.25210162794755</v>
      </c>
      <c r="H13" s="377">
        <v>162.55731172782711</v>
      </c>
      <c r="I13" s="383">
        <v>1.0300800000000001</v>
      </c>
      <c r="J13" s="384">
        <v>1.0300800000000001</v>
      </c>
      <c r="K13" s="384">
        <v>1.0300800000000001</v>
      </c>
      <c r="L13" s="385">
        <v>1.0300800000000001</v>
      </c>
      <c r="M13" s="384">
        <v>1.0300800000000001</v>
      </c>
      <c r="N13" s="384">
        <v>1.0300800000000001</v>
      </c>
      <c r="O13" s="385">
        <v>1.0300800000000001</v>
      </c>
      <c r="P13" s="124"/>
    </row>
    <row r="14" spans="1:16" s="125" customFormat="1" x14ac:dyDescent="0.3">
      <c r="A14" s="375" t="s">
        <v>504</v>
      </c>
      <c r="B14" s="376">
        <v>156</v>
      </c>
      <c r="C14" s="377">
        <v>152.71502823877299</v>
      </c>
      <c r="D14" s="377">
        <v>179.10651622844114</v>
      </c>
      <c r="E14" s="382">
        <v>218.59299141387808</v>
      </c>
      <c r="F14" s="377">
        <v>135.58431270578799</v>
      </c>
      <c r="G14" s="377">
        <v>166.71028317565992</v>
      </c>
      <c r="H14" s="377">
        <v>204.59442546126519</v>
      </c>
      <c r="I14" s="383">
        <v>1.0734999999999999</v>
      </c>
      <c r="J14" s="384">
        <v>1.0734999999999999</v>
      </c>
      <c r="K14" s="384">
        <v>1.0734999999999999</v>
      </c>
      <c r="L14" s="385">
        <v>1.0734999999999999</v>
      </c>
      <c r="M14" s="384">
        <v>1.0734999999999999</v>
      </c>
      <c r="N14" s="384">
        <v>1.0734999999999999</v>
      </c>
      <c r="O14" s="385">
        <v>1.0734999999999999</v>
      </c>
      <c r="P14" s="124"/>
    </row>
    <row r="15" spans="1:16" s="125" customFormat="1" x14ac:dyDescent="0.3">
      <c r="A15" s="375" t="s">
        <v>221</v>
      </c>
      <c r="B15" s="386"/>
      <c r="C15" s="387"/>
      <c r="D15" s="388"/>
      <c r="E15" s="389"/>
      <c r="F15" s="387"/>
      <c r="G15" s="388"/>
      <c r="H15" s="389"/>
      <c r="I15" s="390"/>
      <c r="J15" s="390"/>
      <c r="K15" s="390"/>
      <c r="L15" s="391"/>
      <c r="M15" s="391"/>
      <c r="N15" s="391"/>
      <c r="O15" s="392"/>
      <c r="P15" s="124"/>
    </row>
    <row r="16" spans="1:16" s="125" customFormat="1" x14ac:dyDescent="0.3">
      <c r="A16" s="393" t="s">
        <v>505</v>
      </c>
      <c r="B16" s="386">
        <v>548.72999999999979</v>
      </c>
      <c r="C16" s="387">
        <v>421.97336999999987</v>
      </c>
      <c r="D16" s="388">
        <v>584.5</v>
      </c>
      <c r="E16" s="389">
        <v>756</v>
      </c>
      <c r="F16" s="387">
        <v>186.56819999999993</v>
      </c>
      <c r="G16" s="388">
        <v>470.74999999999989</v>
      </c>
      <c r="H16" s="389">
        <v>669.36187499999994</v>
      </c>
      <c r="I16" s="383">
        <v>2.6526903390105896</v>
      </c>
      <c r="J16" s="384">
        <v>2.8567434420114037</v>
      </c>
      <c r="K16" s="384">
        <v>3.2934170824331472</v>
      </c>
      <c r="L16" s="385">
        <v>3.5841927542093086</v>
      </c>
      <c r="M16" s="384">
        <v>2.8771487523114856</v>
      </c>
      <c r="N16" s="384">
        <v>4.1871696735767152</v>
      </c>
      <c r="O16" s="385">
        <v>4.89727447201955</v>
      </c>
      <c r="P16" s="124"/>
    </row>
    <row r="17" spans="1:17" s="125" customFormat="1" x14ac:dyDescent="0.3">
      <c r="A17" s="393" t="s">
        <v>223</v>
      </c>
      <c r="B17" s="386">
        <v>548.72999999999979</v>
      </c>
      <c r="C17" s="387">
        <v>421.97336999999987</v>
      </c>
      <c r="D17" s="388">
        <v>584.5</v>
      </c>
      <c r="E17" s="389">
        <v>756</v>
      </c>
      <c r="F17" s="387">
        <v>186.56819999999993</v>
      </c>
      <c r="G17" s="388">
        <v>470.74999999999989</v>
      </c>
      <c r="H17" s="389">
        <v>669.36187499999994</v>
      </c>
      <c r="I17" s="383">
        <v>2.3779694578808535</v>
      </c>
      <c r="J17" s="384">
        <v>2.56089018541015</v>
      </c>
      <c r="K17" s="384">
        <v>2.9523405423228444</v>
      </c>
      <c r="L17" s="385">
        <v>3.2130025790520924</v>
      </c>
      <c r="M17" s="384">
        <v>2.5791822581630801</v>
      </c>
      <c r="N17" s="384">
        <v>3.7535333289011628</v>
      </c>
      <c r="O17" s="385">
        <v>4.3900974607031147</v>
      </c>
      <c r="P17" s="124"/>
    </row>
    <row r="18" spans="1:17" s="125" customFormat="1" x14ac:dyDescent="0.3">
      <c r="A18" s="393" t="s">
        <v>224</v>
      </c>
      <c r="B18" s="386">
        <v>548.72999999999979</v>
      </c>
      <c r="C18" s="387">
        <v>421.97336999999987</v>
      </c>
      <c r="D18" s="388">
        <v>584.5</v>
      </c>
      <c r="E18" s="389">
        <v>756</v>
      </c>
      <c r="F18" s="387">
        <v>186.56819999999993</v>
      </c>
      <c r="G18" s="388">
        <v>470.74999999999989</v>
      </c>
      <c r="H18" s="389">
        <v>669.36187499999994</v>
      </c>
      <c r="I18" s="383">
        <v>2.1666666666666665</v>
      </c>
      <c r="J18" s="384">
        <v>2.333333333333333</v>
      </c>
      <c r="K18" s="384">
        <v>2.69</v>
      </c>
      <c r="L18" s="385">
        <v>2.9275000000000002</v>
      </c>
      <c r="M18" s="384">
        <v>2.35</v>
      </c>
      <c r="N18" s="384">
        <v>3.42</v>
      </c>
      <c r="O18" s="385">
        <v>4</v>
      </c>
      <c r="P18" s="124"/>
    </row>
    <row r="19" spans="1:17" s="125" customFormat="1" x14ac:dyDescent="0.3">
      <c r="A19" s="393" t="s">
        <v>225</v>
      </c>
      <c r="B19" s="386">
        <v>548.72999999999979</v>
      </c>
      <c r="C19" s="387">
        <v>421.97336999999987</v>
      </c>
      <c r="D19" s="388">
        <v>584.5</v>
      </c>
      <c r="E19" s="389">
        <v>756</v>
      </c>
      <c r="F19" s="387">
        <v>186.56819999999993</v>
      </c>
      <c r="G19" s="388">
        <v>470.74999999999989</v>
      </c>
      <c r="H19" s="389">
        <v>669.36187499999994</v>
      </c>
      <c r="I19" s="383">
        <v>1.9768086876483704</v>
      </c>
      <c r="J19" s="384">
        <v>2.1288708943905528</v>
      </c>
      <c r="K19" s="384">
        <v>2.4542840168188231</v>
      </c>
      <c r="L19" s="385">
        <v>2.6709726614264331</v>
      </c>
      <c r="M19" s="384">
        <v>2.1440771150647713</v>
      </c>
      <c r="N19" s="384">
        <v>3.1203164823495819</v>
      </c>
      <c r="O19" s="385">
        <v>3.6494929618123764</v>
      </c>
      <c r="P19" s="124"/>
    </row>
    <row r="20" spans="1:17" s="125" customFormat="1" x14ac:dyDescent="0.3">
      <c r="A20" s="375" t="s">
        <v>226</v>
      </c>
      <c r="B20" s="376">
        <v>725.19999999999993</v>
      </c>
      <c r="C20" s="377">
        <v>592.71496940954842</v>
      </c>
      <c r="D20" s="377">
        <v>772.64502487562174</v>
      </c>
      <c r="E20" s="382">
        <v>999.34925373134331</v>
      </c>
      <c r="F20" s="377">
        <v>340.84399999999994</v>
      </c>
      <c r="G20" s="377">
        <v>671.79587999999978</v>
      </c>
      <c r="H20" s="377">
        <v>836.54306400000007</v>
      </c>
      <c r="I20" s="383">
        <v>3.3</v>
      </c>
      <c r="J20" s="384">
        <v>3.5538461538461537</v>
      </c>
      <c r="K20" s="384">
        <v>4.0970769230769237</v>
      </c>
      <c r="L20" s="385">
        <v>4.5199999999999996</v>
      </c>
      <c r="M20" s="384">
        <v>3.5792307692307697</v>
      </c>
      <c r="N20" s="384">
        <v>4.9800000000000004</v>
      </c>
      <c r="O20" s="385">
        <v>5.7290557761904788</v>
      </c>
      <c r="P20" s="124"/>
    </row>
    <row r="21" spans="1:17" s="125" customFormat="1" x14ac:dyDescent="0.3">
      <c r="A21" s="375" t="s">
        <v>227</v>
      </c>
      <c r="B21" s="376">
        <v>1186.5</v>
      </c>
      <c r="C21" s="377">
        <v>969.52594805128672</v>
      </c>
      <c r="D21" s="377">
        <v>1263.8442403367778</v>
      </c>
      <c r="E21" s="382">
        <v>1634.672789896671</v>
      </c>
      <c r="F21" s="377">
        <v>842.41499999999996</v>
      </c>
      <c r="G21" s="377">
        <v>1098.8815384615384</v>
      </c>
      <c r="H21" s="377">
        <v>1152.8055013316625</v>
      </c>
      <c r="I21" s="383">
        <v>3.6</v>
      </c>
      <c r="J21" s="384">
        <v>3.8769230769230769</v>
      </c>
      <c r="K21" s="384">
        <v>4.4695384615384626</v>
      </c>
      <c r="L21" s="385">
        <v>4.9309090909090907</v>
      </c>
      <c r="M21" s="384">
        <v>3.904615384615385</v>
      </c>
      <c r="N21" s="384">
        <v>5.4327272727272735</v>
      </c>
      <c r="O21" s="385">
        <v>5.9373850771428591</v>
      </c>
      <c r="P21" s="124"/>
    </row>
    <row r="22" spans="1:17" s="125" customFormat="1" x14ac:dyDescent="0.3">
      <c r="A22" s="375" t="s">
        <v>234</v>
      </c>
      <c r="B22" s="376">
        <v>73.110606415447904</v>
      </c>
      <c r="C22" s="377">
        <v>59.740943950730397</v>
      </c>
      <c r="D22" s="377">
        <v>77.876459187267528</v>
      </c>
      <c r="E22" s="378">
        <v>100.72643823023826</v>
      </c>
      <c r="F22" s="377">
        <v>72.37950035129343</v>
      </c>
      <c r="G22" s="377">
        <v>92.314655974608826</v>
      </c>
      <c r="H22" s="377">
        <v>105.02368735879418</v>
      </c>
      <c r="I22" s="383">
        <v>0.72320888520081605</v>
      </c>
      <c r="J22" s="384">
        <v>0.73199999999999998</v>
      </c>
      <c r="K22" s="384">
        <v>0.74299999999999999</v>
      </c>
      <c r="L22" s="385">
        <v>0.754</v>
      </c>
      <c r="M22" s="384">
        <v>0.73928355408032642</v>
      </c>
      <c r="N22" s="384">
        <v>0.7569999999999999</v>
      </c>
      <c r="O22" s="385">
        <v>0.78</v>
      </c>
      <c r="P22" s="124"/>
    </row>
    <row r="23" spans="1:17" s="125" customFormat="1" x14ac:dyDescent="0.3">
      <c r="A23" s="374" t="s">
        <v>111</v>
      </c>
      <c r="B23" s="704" t="s">
        <v>212</v>
      </c>
      <c r="C23" s="705"/>
      <c r="D23" s="705"/>
      <c r="E23" s="705"/>
      <c r="F23" s="705"/>
      <c r="G23" s="705"/>
      <c r="H23" s="706"/>
      <c r="I23" s="704" t="s">
        <v>154</v>
      </c>
      <c r="J23" s="705"/>
      <c r="K23" s="705"/>
      <c r="L23" s="705"/>
      <c r="M23" s="705"/>
      <c r="N23" s="705"/>
      <c r="O23" s="706"/>
      <c r="P23" s="124"/>
    </row>
    <row r="24" spans="1:17" s="125" customFormat="1" x14ac:dyDescent="0.3">
      <c r="A24" s="375" t="s">
        <v>506</v>
      </c>
      <c r="B24" s="376">
        <v>136.5</v>
      </c>
      <c r="C24" s="377">
        <v>125.51175000000001</v>
      </c>
      <c r="D24" s="377">
        <v>176.91663888888897</v>
      </c>
      <c r="E24" s="394">
        <v>229.36467234141801</v>
      </c>
      <c r="F24" s="377">
        <v>105.105</v>
      </c>
      <c r="G24" s="377">
        <v>160</v>
      </c>
      <c r="H24" s="377">
        <v>225.97504664179118</v>
      </c>
      <c r="I24" s="383">
        <v>2.7453024909845536</v>
      </c>
      <c r="J24" s="384">
        <v>2.9049093100084065</v>
      </c>
      <c r="K24" s="384">
        <v>3.356374807987712</v>
      </c>
      <c r="L24" s="385">
        <v>3.7211981566820276</v>
      </c>
      <c r="M24" s="384">
        <v>2.9368306738131773</v>
      </c>
      <c r="N24" s="384">
        <v>4.0860215053763422</v>
      </c>
      <c r="O24" s="385">
        <v>5.2777777777777803</v>
      </c>
      <c r="P24" s="124"/>
    </row>
    <row r="25" spans="1:17" s="125" customFormat="1" ht="12.75" customHeight="1" x14ac:dyDescent="0.3">
      <c r="A25" s="375" t="s">
        <v>507</v>
      </c>
      <c r="B25" s="376">
        <v>577.5</v>
      </c>
      <c r="C25" s="377">
        <v>501.14</v>
      </c>
      <c r="D25" s="377">
        <v>524</v>
      </c>
      <c r="E25" s="395">
        <v>574.49</v>
      </c>
      <c r="F25" s="377">
        <v>334.87</v>
      </c>
      <c r="G25" s="377">
        <v>351.12</v>
      </c>
      <c r="H25" s="377">
        <v>387.50399999999979</v>
      </c>
      <c r="I25" s="383">
        <v>1.3</v>
      </c>
      <c r="J25" s="396">
        <v>1.3149999999999999</v>
      </c>
      <c r="K25" s="396">
        <v>1.4824553646498577</v>
      </c>
      <c r="L25" s="385">
        <v>1.5980626248400593</v>
      </c>
      <c r="M25" s="396">
        <v>1.353981733898618</v>
      </c>
      <c r="N25" s="396">
        <v>1.7136698850302605</v>
      </c>
      <c r="O25" s="397">
        <v>2.1440557223015881</v>
      </c>
      <c r="P25" s="124"/>
    </row>
    <row r="26" spans="1:17" s="125" customFormat="1" ht="12.75" customHeight="1" x14ac:dyDescent="0.3">
      <c r="A26" s="569" t="s">
        <v>508</v>
      </c>
      <c r="B26" s="376">
        <v>154.97178061351693</v>
      </c>
      <c r="C26" s="398">
        <v>149</v>
      </c>
      <c r="D26" s="398">
        <v>163.44999999999999</v>
      </c>
      <c r="E26" s="570">
        <v>186.75</v>
      </c>
      <c r="F26" s="398">
        <v>144.12375597057076</v>
      </c>
      <c r="G26" s="398">
        <v>151</v>
      </c>
      <c r="H26" s="398">
        <v>153.63241020871368</v>
      </c>
      <c r="I26" s="383">
        <v>0.71134074574423733</v>
      </c>
      <c r="J26" s="384">
        <v>0.71499999999999997</v>
      </c>
      <c r="K26" s="384">
        <v>0.72499999999999998</v>
      </c>
      <c r="L26" s="385">
        <v>0.74099999999999999</v>
      </c>
      <c r="M26" s="384">
        <v>0.72499999999999998</v>
      </c>
      <c r="N26" s="384">
        <v>0.745</v>
      </c>
      <c r="O26" s="385">
        <v>0.76719989623252371</v>
      </c>
      <c r="P26" s="151"/>
    </row>
    <row r="27" spans="1:17" s="125" customFormat="1" ht="12.75" customHeight="1" x14ac:dyDescent="0.3">
      <c r="P27" s="124"/>
    </row>
    <row r="28" spans="1:17" s="125" customFormat="1" ht="12.75" customHeight="1" x14ac:dyDescent="0.3">
      <c r="P28" s="124"/>
    </row>
    <row r="29" spans="1:17" s="125" customFormat="1" ht="12.75" customHeight="1" x14ac:dyDescent="0.3">
      <c r="A29" s="695" t="s">
        <v>36</v>
      </c>
      <c r="B29" s="696"/>
      <c r="C29" s="696"/>
      <c r="D29" s="696"/>
      <c r="E29" s="696"/>
      <c r="F29" s="696"/>
      <c r="G29" s="696"/>
      <c r="H29" s="696"/>
      <c r="I29" s="696"/>
      <c r="J29" s="696"/>
      <c r="K29" s="696"/>
      <c r="L29" s="696"/>
      <c r="M29" s="696"/>
      <c r="N29" s="696"/>
      <c r="O29" s="696"/>
      <c r="P29" s="124"/>
    </row>
    <row r="30" spans="1:17" s="125" customFormat="1" ht="12.75" customHeight="1" x14ac:dyDescent="0.3">
      <c r="A30" s="124"/>
      <c r="B30" s="697" t="s">
        <v>199</v>
      </c>
      <c r="C30" s="697"/>
      <c r="D30" s="697"/>
      <c r="E30" s="697"/>
      <c r="F30" s="697"/>
      <c r="G30" s="697"/>
      <c r="H30" s="698"/>
      <c r="I30" s="699" t="s">
        <v>85</v>
      </c>
      <c r="J30" s="697"/>
      <c r="K30" s="697"/>
      <c r="L30" s="697"/>
      <c r="M30" s="697"/>
      <c r="N30" s="697"/>
      <c r="O30" s="698"/>
      <c r="P30" s="124"/>
    </row>
    <row r="31" spans="1:17" s="125" customFormat="1" ht="12.75" customHeight="1" x14ac:dyDescent="0.3">
      <c r="A31" s="126"/>
      <c r="B31" s="700" t="s">
        <v>200</v>
      </c>
      <c r="C31" s="699">
        <v>2030</v>
      </c>
      <c r="D31" s="697"/>
      <c r="E31" s="698"/>
      <c r="F31" s="699" t="s">
        <v>201</v>
      </c>
      <c r="G31" s="697"/>
      <c r="H31" s="698"/>
      <c r="I31" s="702" t="s">
        <v>200</v>
      </c>
      <c r="J31" s="699">
        <v>2030</v>
      </c>
      <c r="K31" s="697"/>
      <c r="L31" s="698"/>
      <c r="M31" s="699" t="s">
        <v>201</v>
      </c>
      <c r="N31" s="697"/>
      <c r="O31" s="698"/>
      <c r="P31" s="124"/>
      <c r="Q31" s="125">
        <f>'S2'!I11*Legend!$B$40</f>
        <v>6.1098331329331228E-2</v>
      </c>
    </row>
    <row r="32" spans="1:17" s="125" customFormat="1" x14ac:dyDescent="0.3">
      <c r="A32" s="127" t="s">
        <v>202</v>
      </c>
      <c r="B32" s="701"/>
      <c r="C32" s="128" t="s">
        <v>203</v>
      </c>
      <c r="D32" s="129"/>
      <c r="E32" s="130" t="s">
        <v>204</v>
      </c>
      <c r="F32" s="128" t="s">
        <v>203</v>
      </c>
      <c r="G32" s="129"/>
      <c r="H32" s="130" t="s">
        <v>204</v>
      </c>
      <c r="I32" s="703"/>
      <c r="J32" s="128" t="s">
        <v>203</v>
      </c>
      <c r="K32" s="129"/>
      <c r="L32" s="130" t="s">
        <v>204</v>
      </c>
      <c r="M32" s="128" t="s">
        <v>203</v>
      </c>
      <c r="N32" s="129"/>
      <c r="O32" s="130" t="s">
        <v>204</v>
      </c>
      <c r="P32" s="124"/>
      <c r="Q32" s="125">
        <f>'S2'!I39*Legend!$B$40/10</f>
        <v>1.5659378495642508E-2</v>
      </c>
    </row>
    <row r="33" spans="1:18" s="125" customFormat="1" x14ac:dyDescent="0.3">
      <c r="A33" s="131" t="s">
        <v>205</v>
      </c>
      <c r="B33" s="715" t="s">
        <v>245</v>
      </c>
      <c r="C33" s="716"/>
      <c r="D33" s="716"/>
      <c r="E33" s="716"/>
      <c r="F33" s="716"/>
      <c r="G33" s="716"/>
      <c r="H33" s="717"/>
      <c r="I33" s="715" t="s">
        <v>246</v>
      </c>
      <c r="J33" s="716"/>
      <c r="K33" s="716"/>
      <c r="L33" s="716"/>
      <c r="M33" s="716"/>
      <c r="N33" s="716"/>
      <c r="O33" s="717"/>
      <c r="P33" s="124"/>
    </row>
    <row r="34" spans="1:18" s="125" customFormat="1" x14ac:dyDescent="0.3">
      <c r="A34" s="132" t="s">
        <v>206</v>
      </c>
      <c r="B34" s="133">
        <v>553.74676338809297</v>
      </c>
      <c r="C34" s="134">
        <v>495.33816407290061</v>
      </c>
      <c r="D34" s="134">
        <v>684.53550567704769</v>
      </c>
      <c r="E34" s="135">
        <v>802.61163378996969</v>
      </c>
      <c r="F34" s="134">
        <v>386.86505105897191</v>
      </c>
      <c r="G34" s="134">
        <v>679.77798391259216</v>
      </c>
      <c r="H34" s="134">
        <v>790.75037811819686</v>
      </c>
      <c r="I34" s="136">
        <v>316.07116911688223</v>
      </c>
      <c r="J34" s="134">
        <v>279.60141883416503</v>
      </c>
      <c r="K34" s="134">
        <v>226.11245175284651</v>
      </c>
      <c r="L34" s="135">
        <v>213.5</v>
      </c>
      <c r="M34" s="137">
        <v>272.30746877762158</v>
      </c>
      <c r="N34" s="137">
        <v>175.4</v>
      </c>
      <c r="O34" s="138">
        <v>143.66871323494644</v>
      </c>
      <c r="P34" s="124"/>
      <c r="R34" s="261"/>
    </row>
    <row r="35" spans="1:18" s="125" customFormat="1" x14ac:dyDescent="0.3">
      <c r="A35" s="132" t="s">
        <v>207</v>
      </c>
      <c r="B35" s="133">
        <v>489</v>
      </c>
      <c r="C35" s="134">
        <v>470.46402978332208</v>
      </c>
      <c r="D35" s="134">
        <v>542.59440000000006</v>
      </c>
      <c r="E35" s="135">
        <v>764.75296799999978</v>
      </c>
      <c r="F35" s="134">
        <v>436.04008509528597</v>
      </c>
      <c r="G35" s="134">
        <v>538.82336892000001</v>
      </c>
      <c r="H35" s="134">
        <v>753.45119999999986</v>
      </c>
      <c r="I35" s="136">
        <v>249.32479624683927</v>
      </c>
      <c r="J35" s="134">
        <v>234.78084979910693</v>
      </c>
      <c r="K35" s="134">
        <v>214.41932477228173</v>
      </c>
      <c r="L35" s="135">
        <v>185</v>
      </c>
      <c r="M35" s="137">
        <v>231.87286050956001</v>
      </c>
      <c r="N35" s="137">
        <v>199.87537832454944</v>
      </c>
      <c r="O35" s="138">
        <v>132.97322466498099</v>
      </c>
      <c r="P35" s="124"/>
    </row>
    <row r="36" spans="1:18" s="125" customFormat="1" x14ac:dyDescent="0.3">
      <c r="A36" s="132" t="s">
        <v>208</v>
      </c>
      <c r="B36" s="133">
        <v>573.75</v>
      </c>
      <c r="C36" s="134">
        <v>546.65822146779669</v>
      </c>
      <c r="D36" s="134">
        <v>732.66666666666663</v>
      </c>
      <c r="E36" s="135">
        <v>866.67498216249965</v>
      </c>
      <c r="F36" s="134">
        <v>496.34491847941933</v>
      </c>
      <c r="G36" s="134">
        <v>727.57463333333328</v>
      </c>
      <c r="H36" s="134">
        <v>853.86697749999973</v>
      </c>
      <c r="I36" s="136">
        <v>218.6638114606707</v>
      </c>
      <c r="J36" s="134">
        <v>215.4</v>
      </c>
      <c r="K36" s="134">
        <v>171</v>
      </c>
      <c r="L36" s="135">
        <v>152</v>
      </c>
      <c r="M36" s="139">
        <v>210.45</v>
      </c>
      <c r="N36" s="137">
        <v>115</v>
      </c>
      <c r="O36" s="138">
        <v>72.051869639148492</v>
      </c>
      <c r="P36" s="124"/>
    </row>
    <row r="37" spans="1:18" s="125" customFormat="1" x14ac:dyDescent="0.3">
      <c r="A37" s="132" t="s">
        <v>209</v>
      </c>
      <c r="B37" s="133">
        <v>584.601315871255</v>
      </c>
      <c r="C37" s="134">
        <v>538.75182657659184</v>
      </c>
      <c r="D37" s="134">
        <v>603.93213271606453</v>
      </c>
      <c r="E37" s="135">
        <v>795.11624971649383</v>
      </c>
      <c r="F37" s="134">
        <v>453.60277502936003</v>
      </c>
      <c r="G37" s="134">
        <v>538</v>
      </c>
      <c r="H37" s="134">
        <v>783.36576326748173</v>
      </c>
      <c r="I37" s="136">
        <v>211.87260834959164</v>
      </c>
      <c r="J37" s="134">
        <v>197.96591204865317</v>
      </c>
      <c r="K37" s="134">
        <v>175.87880615892738</v>
      </c>
      <c r="L37" s="135">
        <v>144.25</v>
      </c>
      <c r="M37" s="137">
        <v>195.18457278846546</v>
      </c>
      <c r="N37" s="137">
        <v>155.42778218695906</v>
      </c>
      <c r="O37" s="138">
        <v>84.462729004229104</v>
      </c>
      <c r="P37" s="124"/>
    </row>
    <row r="38" spans="1:18" s="125" customFormat="1" x14ac:dyDescent="0.3">
      <c r="A38" s="131" t="s">
        <v>97</v>
      </c>
      <c r="B38" s="715" t="s">
        <v>210</v>
      </c>
      <c r="C38" s="716"/>
      <c r="D38" s="716"/>
      <c r="E38" s="716"/>
      <c r="F38" s="716"/>
      <c r="G38" s="716"/>
      <c r="H38" s="717"/>
      <c r="I38" s="715" t="s">
        <v>211</v>
      </c>
      <c r="J38" s="716"/>
      <c r="K38" s="716"/>
      <c r="L38" s="716"/>
      <c r="M38" s="716"/>
      <c r="N38" s="716"/>
      <c r="O38" s="717"/>
      <c r="P38" s="124"/>
    </row>
    <row r="39" spans="1:18" s="125" customFormat="1" x14ac:dyDescent="0.3">
      <c r="A39" s="140" t="s">
        <v>97</v>
      </c>
      <c r="B39" s="133">
        <v>4.5</v>
      </c>
      <c r="C39" s="134">
        <v>3.5012586309862614</v>
      </c>
      <c r="D39" s="134">
        <v>5.9786250037715636</v>
      </c>
      <c r="E39" s="141">
        <v>11.05</v>
      </c>
      <c r="F39" s="134">
        <v>1.6464532313893177</v>
      </c>
      <c r="G39" s="134">
        <v>5.24</v>
      </c>
      <c r="H39" s="134">
        <v>10.712250036905628</v>
      </c>
      <c r="I39" s="133">
        <v>43.498273599006957</v>
      </c>
      <c r="J39" s="134">
        <v>37.859608502839393</v>
      </c>
      <c r="K39" s="134">
        <v>30.561564821228224</v>
      </c>
      <c r="L39" s="141">
        <v>25.42</v>
      </c>
      <c r="M39" s="142">
        <v>36.731875483605876</v>
      </c>
      <c r="N39" s="142">
        <v>26.413118357619226</v>
      </c>
      <c r="O39" s="143">
        <v>13.919447551682225</v>
      </c>
      <c r="P39" s="124"/>
    </row>
    <row r="40" spans="1:18" s="125" customFormat="1" x14ac:dyDescent="0.3">
      <c r="A40" s="131" t="s">
        <v>109</v>
      </c>
      <c r="B40" s="715" t="s">
        <v>212</v>
      </c>
      <c r="C40" s="716"/>
      <c r="D40" s="716"/>
      <c r="E40" s="716"/>
      <c r="F40" s="716"/>
      <c r="G40" s="716"/>
      <c r="H40" s="717"/>
      <c r="I40" s="715" t="s">
        <v>154</v>
      </c>
      <c r="J40" s="716"/>
      <c r="K40" s="716"/>
      <c r="L40" s="716"/>
      <c r="M40" s="716"/>
      <c r="N40" s="716"/>
      <c r="O40" s="717"/>
      <c r="P40" s="124"/>
    </row>
    <row r="41" spans="1:18" s="125" customFormat="1" x14ac:dyDescent="0.3">
      <c r="A41" s="132" t="s">
        <v>213</v>
      </c>
      <c r="B41" s="133">
        <v>182.50000000000009</v>
      </c>
      <c r="C41" s="134">
        <v>171.22025974664405</v>
      </c>
      <c r="D41" s="134">
        <v>187</v>
      </c>
      <c r="E41" s="141">
        <v>260</v>
      </c>
      <c r="F41" s="134">
        <v>150.27217070469709</v>
      </c>
      <c r="G41" s="134">
        <v>180</v>
      </c>
      <c r="H41" s="134">
        <v>231.07449494949509</v>
      </c>
      <c r="I41" s="144">
        <v>0.79</v>
      </c>
      <c r="J41" s="145">
        <v>0.79790000000000005</v>
      </c>
      <c r="K41" s="145">
        <v>0.82</v>
      </c>
      <c r="L41" s="146">
        <v>0.87</v>
      </c>
      <c r="M41" s="147">
        <v>0.79947999999999997</v>
      </c>
      <c r="N41" s="147">
        <v>0.87</v>
      </c>
      <c r="O41" s="148">
        <v>0.92983000000000005</v>
      </c>
      <c r="P41" s="124"/>
    </row>
    <row r="42" spans="1:18" s="125" customFormat="1" x14ac:dyDescent="0.3">
      <c r="A42" s="132" t="s">
        <v>214</v>
      </c>
      <c r="B42" s="133">
        <v>190.5</v>
      </c>
      <c r="C42" s="134">
        <v>178.72580537937355</v>
      </c>
      <c r="D42" s="134">
        <v>195.19726027397252</v>
      </c>
      <c r="E42" s="143">
        <v>258</v>
      </c>
      <c r="F42" s="134">
        <v>156.85944394106733</v>
      </c>
      <c r="G42" s="134">
        <v>187.89041095890406</v>
      </c>
      <c r="H42" s="134">
        <v>240.03526526886213</v>
      </c>
      <c r="I42" s="144">
        <v>0.42</v>
      </c>
      <c r="J42" s="145">
        <v>0.42419999999999997</v>
      </c>
      <c r="K42" s="145">
        <v>0.43594936708860749</v>
      </c>
      <c r="L42" s="146">
        <v>0.45</v>
      </c>
      <c r="M42" s="147">
        <v>0.42799999999999999</v>
      </c>
      <c r="N42" s="147">
        <v>0.45500000000000002</v>
      </c>
      <c r="O42" s="148">
        <v>0.46566844919786099</v>
      </c>
      <c r="P42" s="124"/>
    </row>
    <row r="43" spans="1:18" s="125" customFormat="1" x14ac:dyDescent="0.3">
      <c r="A43" s="131" t="s">
        <v>215</v>
      </c>
      <c r="B43" s="715" t="s">
        <v>212</v>
      </c>
      <c r="C43" s="716"/>
      <c r="D43" s="716"/>
      <c r="E43" s="716"/>
      <c r="F43" s="716"/>
      <c r="G43" s="716"/>
      <c r="H43" s="717"/>
      <c r="I43" s="715" t="s">
        <v>154</v>
      </c>
      <c r="J43" s="716"/>
      <c r="K43" s="716"/>
      <c r="L43" s="716"/>
      <c r="M43" s="716"/>
      <c r="N43" s="716"/>
      <c r="O43" s="717"/>
      <c r="P43" s="124"/>
    </row>
    <row r="44" spans="1:18" s="125" customFormat="1" x14ac:dyDescent="0.3">
      <c r="A44" s="132" t="s">
        <v>216</v>
      </c>
      <c r="B44" s="133">
        <v>157</v>
      </c>
      <c r="C44" s="134">
        <v>153.69397072748308</v>
      </c>
      <c r="D44" s="134">
        <v>180.2546349222132</v>
      </c>
      <c r="E44" s="141">
        <v>219.99422853832601</v>
      </c>
      <c r="F44" s="134">
        <v>147.55420207852313</v>
      </c>
      <c r="G44" s="134">
        <v>179.00186520950382</v>
      </c>
      <c r="H44" s="134">
        <v>216.74308230376948</v>
      </c>
      <c r="I44" s="149">
        <v>0.86580000000000013</v>
      </c>
      <c r="J44" s="147">
        <v>0.98790000000000011</v>
      </c>
      <c r="K44" s="147">
        <v>0.98790000000000011</v>
      </c>
      <c r="L44" s="148">
        <v>0.98790000000000011</v>
      </c>
      <c r="M44" s="147">
        <v>0.98790000000000011</v>
      </c>
      <c r="N44" s="147">
        <v>0.98790000000000011</v>
      </c>
      <c r="O44" s="148">
        <v>0.98790000000000011</v>
      </c>
      <c r="P44" s="124"/>
    </row>
    <row r="45" spans="1:18" s="125" customFormat="1" x14ac:dyDescent="0.3">
      <c r="A45" s="132" t="s">
        <v>217</v>
      </c>
      <c r="B45" s="133">
        <v>177</v>
      </c>
      <c r="C45" s="134">
        <v>190.89378529846624</v>
      </c>
      <c r="D45" s="134">
        <v>223.88314528555145</v>
      </c>
      <c r="E45" s="150">
        <v>273.24123926734762</v>
      </c>
      <c r="F45" s="134">
        <v>170.79153802536734</v>
      </c>
      <c r="G45" s="134">
        <v>210</v>
      </c>
      <c r="H45" s="134">
        <v>236.89880842883338</v>
      </c>
      <c r="I45" s="149">
        <v>1.0323</v>
      </c>
      <c r="J45" s="147">
        <v>1.0767000000000002</v>
      </c>
      <c r="K45" s="147">
        <v>1.0767000000000002</v>
      </c>
      <c r="L45" s="148">
        <v>1.0767000000000002</v>
      </c>
      <c r="M45" s="147">
        <v>1.0767000000000002</v>
      </c>
      <c r="N45" s="147">
        <v>1.0767000000000002</v>
      </c>
      <c r="O45" s="148">
        <v>1.0767000000000002</v>
      </c>
      <c r="P45" s="124"/>
    </row>
    <row r="46" spans="1:18" s="125" customFormat="1" x14ac:dyDescent="0.3">
      <c r="A46" s="132" t="s">
        <v>218</v>
      </c>
      <c r="B46" s="133">
        <v>161.52884615384613</v>
      </c>
      <c r="C46" s="134">
        <v>158.12745065231428</v>
      </c>
      <c r="D46" s="134">
        <v>185.45428785266165</v>
      </c>
      <c r="E46" s="150">
        <v>226.34021590000847</v>
      </c>
      <c r="F46" s="134">
        <v>152.76019285569538</v>
      </c>
      <c r="G46" s="134">
        <v>173.95414201183428</v>
      </c>
      <c r="H46" s="134">
        <v>222.99528660099355</v>
      </c>
      <c r="I46" s="149">
        <v>0.94340000000000002</v>
      </c>
      <c r="J46" s="147">
        <v>0.94340000000000002</v>
      </c>
      <c r="K46" s="147">
        <v>0.94340000000000002</v>
      </c>
      <c r="L46" s="148">
        <v>0.94340000000000002</v>
      </c>
      <c r="M46" s="147">
        <v>0.94340000000000002</v>
      </c>
      <c r="N46" s="147">
        <v>0.94340000000000002</v>
      </c>
      <c r="O46" s="148">
        <v>0.94340000000000002</v>
      </c>
      <c r="P46" s="124"/>
    </row>
    <row r="47" spans="1:18" s="125" customFormat="1" x14ac:dyDescent="0.3">
      <c r="A47" s="132" t="s">
        <v>219</v>
      </c>
      <c r="B47" s="133">
        <v>200.62499999999997</v>
      </c>
      <c r="C47" s="134">
        <v>196.4003367974604</v>
      </c>
      <c r="D47" s="134">
        <v>230.34131293801923</v>
      </c>
      <c r="E47" s="150">
        <v>281.1231980923672</v>
      </c>
      <c r="F47" s="134">
        <v>176.44345126106163</v>
      </c>
      <c r="G47" s="134">
        <v>216.05769230769226</v>
      </c>
      <c r="H47" s="134">
        <v>243.73242790274199</v>
      </c>
      <c r="I47" s="149">
        <v>0.98580000000000001</v>
      </c>
      <c r="J47" s="147">
        <v>1.0176000000000001</v>
      </c>
      <c r="K47" s="147">
        <v>1.0176000000000001</v>
      </c>
      <c r="L47" s="148">
        <v>1.0176000000000001</v>
      </c>
      <c r="M47" s="147">
        <v>1.0176000000000001</v>
      </c>
      <c r="N47" s="147">
        <v>1.0176000000000001</v>
      </c>
      <c r="O47" s="148">
        <v>1.0176000000000001</v>
      </c>
      <c r="P47" s="124"/>
    </row>
    <row r="48" spans="1:18" s="125" customFormat="1" x14ac:dyDescent="0.3">
      <c r="A48" s="132" t="s">
        <v>220</v>
      </c>
      <c r="B48" s="133">
        <v>410</v>
      </c>
      <c r="C48" s="134">
        <v>401.3664203711341</v>
      </c>
      <c r="D48" s="134">
        <v>470.72866444654403</v>
      </c>
      <c r="E48" s="150">
        <v>610</v>
      </c>
      <c r="F48" s="134">
        <v>373.46336424368275</v>
      </c>
      <c r="G48" s="134">
        <v>441.53846153846149</v>
      </c>
      <c r="H48" s="134">
        <v>590</v>
      </c>
      <c r="I48" s="149">
        <v>0.72</v>
      </c>
      <c r="J48" s="147">
        <v>0.73766867964059801</v>
      </c>
      <c r="K48" s="147">
        <v>0.77208496722682796</v>
      </c>
      <c r="L48" s="148">
        <v>0.79301947715886789</v>
      </c>
      <c r="M48" s="147">
        <v>0.74120241556871758</v>
      </c>
      <c r="N48" s="147">
        <v>0.78500000000000003</v>
      </c>
      <c r="O48" s="148">
        <v>0.81</v>
      </c>
      <c r="P48" s="124"/>
    </row>
    <row r="49" spans="1:16" s="125" customFormat="1" x14ac:dyDescent="0.3">
      <c r="A49" s="152" t="s">
        <v>221</v>
      </c>
      <c r="B49" s="718">
        <v>784</v>
      </c>
      <c r="C49" s="721">
        <v>603</v>
      </c>
      <c r="D49" s="718">
        <v>835</v>
      </c>
      <c r="E49" s="726">
        <v>1080</v>
      </c>
      <c r="F49" s="721">
        <v>267</v>
      </c>
      <c r="G49" s="718">
        <v>673</v>
      </c>
      <c r="H49" s="726">
        <v>1030</v>
      </c>
      <c r="I49" s="153"/>
      <c r="J49" s="153"/>
      <c r="K49" s="153"/>
      <c r="L49" s="154"/>
      <c r="M49" s="154"/>
      <c r="N49" s="154"/>
      <c r="O49" s="155"/>
      <c r="P49" s="124"/>
    </row>
    <row r="50" spans="1:16" s="125" customFormat="1" x14ac:dyDescent="0.3">
      <c r="A50" s="156" t="s">
        <v>222</v>
      </c>
      <c r="B50" s="719"/>
      <c r="C50" s="722"/>
      <c r="D50" s="724"/>
      <c r="E50" s="727"/>
      <c r="F50" s="722"/>
      <c r="G50" s="724"/>
      <c r="H50" s="727"/>
      <c r="I50" s="157">
        <v>2.6526903390105896</v>
      </c>
      <c r="J50" s="157">
        <v>2.8567434420114037</v>
      </c>
      <c r="K50" s="158">
        <v>3.2934170824331472</v>
      </c>
      <c r="L50" s="158">
        <v>3.5841927542093086</v>
      </c>
      <c r="M50" s="157">
        <v>2.8771487523114856</v>
      </c>
      <c r="N50" s="158">
        <v>4.1871696735767152</v>
      </c>
      <c r="O50" s="159">
        <v>4.89727447201955</v>
      </c>
      <c r="P50" s="124"/>
    </row>
    <row r="51" spans="1:16" s="125" customFormat="1" ht="8.25" customHeight="1" x14ac:dyDescent="0.3">
      <c r="A51" s="156" t="s">
        <v>223</v>
      </c>
      <c r="B51" s="719"/>
      <c r="C51" s="722"/>
      <c r="D51" s="724"/>
      <c r="E51" s="727"/>
      <c r="F51" s="722"/>
      <c r="G51" s="724"/>
      <c r="H51" s="727"/>
      <c r="I51" s="160">
        <v>2.3779694578808535</v>
      </c>
      <c r="J51" s="160">
        <v>2.56089018541015</v>
      </c>
      <c r="K51" s="161">
        <v>2.9523405423228444</v>
      </c>
      <c r="L51" s="161">
        <v>3.2130025790520924</v>
      </c>
      <c r="M51" s="160">
        <v>2.5791822581630801</v>
      </c>
      <c r="N51" s="161">
        <v>3.7535333289011628</v>
      </c>
      <c r="O51" s="162">
        <v>4.3900974607031147</v>
      </c>
    </row>
    <row r="52" spans="1:16" s="125" customFormat="1" ht="10.5" customHeight="1" x14ac:dyDescent="0.3">
      <c r="A52" s="156" t="s">
        <v>224</v>
      </c>
      <c r="B52" s="719"/>
      <c r="C52" s="722"/>
      <c r="D52" s="724"/>
      <c r="E52" s="727"/>
      <c r="F52" s="722"/>
      <c r="G52" s="724"/>
      <c r="H52" s="727"/>
      <c r="I52" s="160">
        <v>2.1666666666666665</v>
      </c>
      <c r="J52" s="160">
        <v>2.333333333333333</v>
      </c>
      <c r="K52" s="161">
        <v>2.69</v>
      </c>
      <c r="L52" s="161">
        <v>2.9275000000000002</v>
      </c>
      <c r="M52" s="160">
        <v>2.35</v>
      </c>
      <c r="N52" s="161">
        <v>3.42</v>
      </c>
      <c r="O52" s="162">
        <v>4</v>
      </c>
    </row>
    <row r="53" spans="1:16" s="125" customFormat="1" x14ac:dyDescent="0.3">
      <c r="A53" s="163" t="s">
        <v>225</v>
      </c>
      <c r="B53" s="720"/>
      <c r="C53" s="723"/>
      <c r="D53" s="725"/>
      <c r="E53" s="728"/>
      <c r="F53" s="723"/>
      <c r="G53" s="725"/>
      <c r="H53" s="728"/>
      <c r="I53" s="164">
        <v>1.9768086876483704</v>
      </c>
      <c r="J53" s="164">
        <v>2.1288708943905528</v>
      </c>
      <c r="K53" s="165">
        <v>2.4542840168188231</v>
      </c>
      <c r="L53" s="165">
        <v>2.6709726614264331</v>
      </c>
      <c r="M53" s="164">
        <v>2.1440771150647713</v>
      </c>
      <c r="N53" s="165">
        <v>3.1203164823495819</v>
      </c>
      <c r="O53" s="166">
        <v>3.6494929618123764</v>
      </c>
    </row>
    <row r="54" spans="1:16" s="125" customFormat="1" x14ac:dyDescent="0.3">
      <c r="A54" s="132" t="s">
        <v>226</v>
      </c>
      <c r="B54" s="133">
        <v>1036</v>
      </c>
      <c r="C54" s="134">
        <v>846.73567058506922</v>
      </c>
      <c r="D54" s="134">
        <v>1103.778606965174</v>
      </c>
      <c r="E54" s="150">
        <v>1427.6417910447763</v>
      </c>
      <c r="F54" s="134">
        <v>486.91999999999996</v>
      </c>
      <c r="G54" s="134">
        <v>959.70839999999976</v>
      </c>
      <c r="H54" s="134">
        <v>1286.989329230769</v>
      </c>
      <c r="I54" s="149">
        <v>3.3</v>
      </c>
      <c r="J54" s="147">
        <v>3.5538461538461537</v>
      </c>
      <c r="K54" s="147">
        <v>4.0970769230769237</v>
      </c>
      <c r="L54" s="148">
        <v>4.5199999999999996</v>
      </c>
      <c r="M54" s="147">
        <v>3.5792307692307697</v>
      </c>
      <c r="N54" s="147">
        <v>4.9800000000000004</v>
      </c>
      <c r="O54" s="148">
        <v>5.7290557761904788</v>
      </c>
    </row>
    <row r="55" spans="1:16" s="125" customFormat="1" x14ac:dyDescent="0.3">
      <c r="A55" s="132" t="s">
        <v>227</v>
      </c>
      <c r="B55" s="133">
        <v>1695</v>
      </c>
      <c r="C55" s="134">
        <v>1385.0370686446954</v>
      </c>
      <c r="D55" s="134">
        <v>1805.4917719096827</v>
      </c>
      <c r="E55" s="150">
        <v>2335.24684270953</v>
      </c>
      <c r="F55" s="134">
        <v>1203.45</v>
      </c>
      <c r="G55" s="134">
        <v>1569.8307692307692</v>
      </c>
      <c r="H55" s="134">
        <v>1773.546925125635</v>
      </c>
      <c r="I55" s="149">
        <v>3.6</v>
      </c>
      <c r="J55" s="147">
        <v>3.8769230769230769</v>
      </c>
      <c r="K55" s="147">
        <v>4.4695384615384626</v>
      </c>
      <c r="L55" s="148">
        <v>4.9309090909090907</v>
      </c>
      <c r="M55" s="147">
        <v>3.904615384615385</v>
      </c>
      <c r="N55" s="147">
        <v>5.4327272727272735</v>
      </c>
      <c r="O55" s="148">
        <v>5.9373850771428591</v>
      </c>
    </row>
    <row r="56" spans="1:16" s="125" customFormat="1" x14ac:dyDescent="0.3">
      <c r="A56" s="132" t="s">
        <v>228</v>
      </c>
      <c r="B56" s="133">
        <v>1175.8499999999997</v>
      </c>
      <c r="C56" s="134">
        <v>904.22864999999979</v>
      </c>
      <c r="D56" s="134">
        <v>1194.05</v>
      </c>
      <c r="E56" s="150">
        <v>1512</v>
      </c>
      <c r="F56" s="134">
        <v>399.78899999999993</v>
      </c>
      <c r="G56" s="134">
        <v>941.49999999999989</v>
      </c>
      <c r="H56" s="134">
        <v>1338.7237499999999</v>
      </c>
      <c r="I56" s="149">
        <v>1.3</v>
      </c>
      <c r="J56" s="147">
        <v>1.4</v>
      </c>
      <c r="K56" s="147">
        <v>1.6140000000000003</v>
      </c>
      <c r="L56" s="148">
        <v>1.7806060606060605</v>
      </c>
      <c r="M56" s="147">
        <v>1.4100000000000001</v>
      </c>
      <c r="N56" s="147">
        <v>1.9618181818181821</v>
      </c>
      <c r="O56" s="148">
        <v>2.1440557223015881</v>
      </c>
    </row>
    <row r="57" spans="1:16" x14ac:dyDescent="0.3">
      <c r="A57" s="132" t="s">
        <v>229</v>
      </c>
      <c r="B57" s="133">
        <v>60</v>
      </c>
      <c r="C57" s="134">
        <v>60.168015346810236</v>
      </c>
      <c r="D57" s="134">
        <v>75.607443047202423</v>
      </c>
      <c r="E57" s="150">
        <v>79.820676305999996</v>
      </c>
      <c r="F57" s="134">
        <v>60.480043848029261</v>
      </c>
      <c r="G57" s="134">
        <v>69</v>
      </c>
      <c r="H57" s="134">
        <v>78.641060400000001</v>
      </c>
      <c r="I57" s="149">
        <v>0.99</v>
      </c>
      <c r="J57" s="147">
        <v>0.99249999999999994</v>
      </c>
      <c r="K57" s="147">
        <v>0.99249999999999994</v>
      </c>
      <c r="L57" s="148">
        <v>0.99249999999999994</v>
      </c>
      <c r="M57" s="147">
        <v>0.99299999999999999</v>
      </c>
      <c r="N57" s="147">
        <v>0.99299999999999999</v>
      </c>
      <c r="O57" s="148">
        <v>0.99299999999999999</v>
      </c>
    </row>
    <row r="58" spans="1:16" x14ac:dyDescent="0.3">
      <c r="A58" s="132" t="s">
        <v>230</v>
      </c>
      <c r="B58" s="133">
        <v>134</v>
      </c>
      <c r="C58" s="134">
        <v>133.38345999350824</v>
      </c>
      <c r="D58" s="134">
        <v>168.29251382054542</v>
      </c>
      <c r="E58" s="150">
        <v>221.15856696226879</v>
      </c>
      <c r="F58" s="134">
        <v>132.23845712430924</v>
      </c>
      <c r="G58" s="134">
        <v>161</v>
      </c>
      <c r="H58" s="134">
        <v>217.89021375592986</v>
      </c>
      <c r="I58" s="149">
        <v>0.82442990892595702</v>
      </c>
      <c r="J58" s="147">
        <v>0.87254104141950006</v>
      </c>
      <c r="K58" s="147">
        <v>0.90800000000000003</v>
      </c>
      <c r="L58" s="148">
        <v>0.93438810741687939</v>
      </c>
      <c r="M58" s="147">
        <v>0.88216326791820865</v>
      </c>
      <c r="N58" s="147">
        <v>0.95</v>
      </c>
      <c r="O58" s="148">
        <v>1.0266666666666699</v>
      </c>
    </row>
    <row r="59" spans="1:16" x14ac:dyDescent="0.3">
      <c r="A59" s="132" t="s">
        <v>231</v>
      </c>
      <c r="B59" s="133">
        <v>1250</v>
      </c>
      <c r="C59" s="134">
        <v>1158</v>
      </c>
      <c r="D59" s="134">
        <v>1382.5757575757577</v>
      </c>
      <c r="E59" s="150">
        <v>1635</v>
      </c>
      <c r="F59" s="167">
        <v>859.5</v>
      </c>
      <c r="G59" s="168">
        <v>1080</v>
      </c>
      <c r="H59" s="169">
        <v>1211.9318181818182</v>
      </c>
      <c r="I59" s="149">
        <v>0.57999999999999996</v>
      </c>
      <c r="J59" s="147">
        <v>0.59450000000000003</v>
      </c>
      <c r="K59" s="147">
        <v>0.61265400000000003</v>
      </c>
      <c r="L59" s="148">
        <v>0.624</v>
      </c>
      <c r="M59" s="147">
        <v>0.59739999999999993</v>
      </c>
      <c r="N59" s="147">
        <v>0.63</v>
      </c>
      <c r="O59" s="148">
        <v>0.64608810000000005</v>
      </c>
    </row>
    <row r="60" spans="1:16" x14ac:dyDescent="0.3">
      <c r="A60" s="132" t="s">
        <v>232</v>
      </c>
      <c r="B60" s="133">
        <v>2800</v>
      </c>
      <c r="C60" s="134">
        <v>2345</v>
      </c>
      <c r="D60" s="134">
        <v>2840</v>
      </c>
      <c r="E60" s="150">
        <v>3145</v>
      </c>
      <c r="F60" s="134">
        <v>1945</v>
      </c>
      <c r="G60" s="134">
        <v>2450</v>
      </c>
      <c r="H60" s="134">
        <v>2975</v>
      </c>
      <c r="I60" s="149">
        <v>0.65</v>
      </c>
      <c r="J60" s="147">
        <v>0.66</v>
      </c>
      <c r="K60" s="147">
        <v>0.68200000000000005</v>
      </c>
      <c r="L60" s="148">
        <v>0.69199999999999995</v>
      </c>
      <c r="M60" s="147">
        <v>0.66200000000000003</v>
      </c>
      <c r="N60" s="147">
        <v>0.69599999999999995</v>
      </c>
      <c r="O60" s="148">
        <v>0.71</v>
      </c>
    </row>
    <row r="61" spans="1:16" x14ac:dyDescent="0.3">
      <c r="A61" s="132" t="s">
        <v>233</v>
      </c>
      <c r="B61" s="133">
        <v>10000</v>
      </c>
      <c r="C61" s="134">
        <v>8456</v>
      </c>
      <c r="D61" s="134">
        <v>9945</v>
      </c>
      <c r="E61" s="150">
        <v>11467</v>
      </c>
      <c r="F61" s="134">
        <v>3502</v>
      </c>
      <c r="G61" s="134">
        <v>4576</v>
      </c>
      <c r="H61" s="134">
        <v>5600</v>
      </c>
      <c r="I61" s="149">
        <v>0.65</v>
      </c>
      <c r="J61" s="147">
        <v>0.68500000000000005</v>
      </c>
      <c r="K61" s="147">
        <v>0.70799999999999996</v>
      </c>
      <c r="L61" s="148">
        <v>0.72900000000000009</v>
      </c>
      <c r="M61" s="147">
        <v>0.70499999999999996</v>
      </c>
      <c r="N61" s="147">
        <v>0.73399999999999999</v>
      </c>
      <c r="O61" s="148">
        <v>0.75</v>
      </c>
    </row>
    <row r="62" spans="1:16" x14ac:dyDescent="0.3">
      <c r="A62" s="132" t="s">
        <v>234</v>
      </c>
      <c r="B62" s="133">
        <v>91.388258019309873</v>
      </c>
      <c r="C62" s="134">
        <v>88.303426133864662</v>
      </c>
      <c r="D62" s="134">
        <v>106.88</v>
      </c>
      <c r="E62" s="169">
        <v>133.2488033364701</v>
      </c>
      <c r="F62" s="134">
        <v>82.57445263232357</v>
      </c>
      <c r="G62" s="134">
        <v>100.05</v>
      </c>
      <c r="H62" s="134">
        <v>131.27960919849272</v>
      </c>
      <c r="I62" s="149">
        <v>0.72320888520081605</v>
      </c>
      <c r="J62" s="147">
        <v>0.73199999999999998</v>
      </c>
      <c r="K62" s="147">
        <v>0.74299999999999999</v>
      </c>
      <c r="L62" s="148">
        <v>0.754</v>
      </c>
      <c r="M62" s="147">
        <v>0.73928355408032642</v>
      </c>
      <c r="N62" s="147">
        <v>0.7569999999999999</v>
      </c>
      <c r="O62" s="148">
        <v>0.78</v>
      </c>
    </row>
    <row r="63" spans="1:16" x14ac:dyDescent="0.3">
      <c r="A63" s="131" t="s">
        <v>235</v>
      </c>
      <c r="B63" s="715" t="s">
        <v>212</v>
      </c>
      <c r="C63" s="716"/>
      <c r="D63" s="716"/>
      <c r="E63" s="716"/>
      <c r="F63" s="716"/>
      <c r="G63" s="716"/>
      <c r="H63" s="717"/>
      <c r="I63" s="715" t="s">
        <v>154</v>
      </c>
      <c r="J63" s="716"/>
      <c r="K63" s="716"/>
      <c r="L63" s="716"/>
      <c r="M63" s="716"/>
      <c r="N63" s="716"/>
      <c r="O63" s="717"/>
    </row>
    <row r="64" spans="1:16" x14ac:dyDescent="0.3">
      <c r="A64" s="132" t="s">
        <v>236</v>
      </c>
      <c r="B64" s="133">
        <v>341.66666666666669</v>
      </c>
      <c r="C64" s="134">
        <v>334.47201697594511</v>
      </c>
      <c r="D64" s="134">
        <v>392.27388703878677</v>
      </c>
      <c r="E64" s="150">
        <v>478.75601751971163</v>
      </c>
      <c r="F64" s="134">
        <v>323.11916499825645</v>
      </c>
      <c r="G64" s="134">
        <v>390</v>
      </c>
      <c r="H64" s="134">
        <v>491.66666666666669</v>
      </c>
      <c r="I64" s="149">
        <v>0.7</v>
      </c>
      <c r="J64" s="147">
        <v>0.71717788298391472</v>
      </c>
      <c r="K64" s="147">
        <v>0.75063816258163818</v>
      </c>
      <c r="L64" s="148">
        <v>0.77099115834889931</v>
      </c>
      <c r="M64" s="147">
        <v>0.72061345958069767</v>
      </c>
      <c r="N64" s="147">
        <v>0.77</v>
      </c>
      <c r="O64" s="148">
        <v>0.8</v>
      </c>
    </row>
    <row r="65" spans="1:15" x14ac:dyDescent="0.3">
      <c r="A65" s="132" t="s">
        <v>237</v>
      </c>
      <c r="B65" s="133">
        <v>110</v>
      </c>
      <c r="C65" s="134">
        <v>109</v>
      </c>
      <c r="D65" s="134">
        <v>122</v>
      </c>
      <c r="E65" s="150">
        <v>149</v>
      </c>
      <c r="F65" s="134">
        <v>91.517418210210877</v>
      </c>
      <c r="G65" s="134">
        <v>110</v>
      </c>
      <c r="H65" s="134">
        <v>139.76174850000004</v>
      </c>
      <c r="I65" s="149">
        <v>0.9</v>
      </c>
      <c r="J65" s="147">
        <v>0.90500000000000003</v>
      </c>
      <c r="K65" s="147">
        <v>0.93</v>
      </c>
      <c r="L65" s="148">
        <v>0.94888810741687935</v>
      </c>
      <c r="M65" s="147">
        <v>0.91839130434782579</v>
      </c>
      <c r="N65" s="147">
        <v>0.95901918158567745</v>
      </c>
      <c r="O65" s="148">
        <v>0.99</v>
      </c>
    </row>
    <row r="66" spans="1:15" x14ac:dyDescent="0.3">
      <c r="A66" s="132" t="s">
        <v>238</v>
      </c>
      <c r="B66" s="133">
        <v>188.4</v>
      </c>
      <c r="C66" s="134">
        <v>183.30821335503271</v>
      </c>
      <c r="D66" s="134">
        <v>224</v>
      </c>
      <c r="E66" s="150">
        <v>263.99307424599118</v>
      </c>
      <c r="F66" s="134">
        <v>173.85203815723628</v>
      </c>
      <c r="G66" s="134">
        <v>207</v>
      </c>
      <c r="H66" s="134">
        <v>260.09169876452336</v>
      </c>
      <c r="I66" s="149">
        <v>0.77341399253596699</v>
      </c>
      <c r="J66" s="147">
        <v>0.81101166044663908</v>
      </c>
      <c r="K66" s="147">
        <v>0.86364839552158024</v>
      </c>
      <c r="L66" s="148">
        <v>0.88244722947691623</v>
      </c>
      <c r="M66" s="147">
        <v>0.81853119402877361</v>
      </c>
      <c r="N66" s="147">
        <v>0.90124606343225233</v>
      </c>
      <c r="O66" s="148">
        <v>0.99</v>
      </c>
    </row>
    <row r="67" spans="1:15" x14ac:dyDescent="0.3">
      <c r="A67" s="132" t="s">
        <v>239</v>
      </c>
      <c r="B67" s="133">
        <v>254</v>
      </c>
      <c r="C67" s="134">
        <v>240.3751175273552</v>
      </c>
      <c r="D67" s="134">
        <v>290.47722222222217</v>
      </c>
      <c r="E67" s="150">
        <v>342.88729999999987</v>
      </c>
      <c r="F67" s="134">
        <v>215.07176436387198</v>
      </c>
      <c r="G67" s="134">
        <v>288.4584055277777</v>
      </c>
      <c r="H67" s="134">
        <v>337.81999999999988</v>
      </c>
      <c r="I67" s="149">
        <v>0.57999999999999996</v>
      </c>
      <c r="J67" s="147">
        <v>0.59450000000000003</v>
      </c>
      <c r="K67" s="147">
        <v>0.61265400000000003</v>
      </c>
      <c r="L67" s="148">
        <v>0.625</v>
      </c>
      <c r="M67" s="147">
        <v>0.59739999999999993</v>
      </c>
      <c r="N67" s="147">
        <v>0.629</v>
      </c>
      <c r="O67" s="148">
        <v>0.64608810000000005</v>
      </c>
    </row>
    <row r="68" spans="1:15" x14ac:dyDescent="0.3">
      <c r="A68" s="132" t="s">
        <v>240</v>
      </c>
      <c r="B68" s="133">
        <v>317.5</v>
      </c>
      <c r="C68" s="134">
        <v>310.80182672963031</v>
      </c>
      <c r="D68" s="134">
        <v>352</v>
      </c>
      <c r="E68" s="150">
        <v>382</v>
      </c>
      <c r="F68" s="134">
        <v>298.362362084658</v>
      </c>
      <c r="G68" s="134">
        <v>300</v>
      </c>
      <c r="H68" s="134">
        <v>319.26304075300436</v>
      </c>
      <c r="I68" s="149">
        <v>2.4</v>
      </c>
      <c r="J68" s="147">
        <v>2.5999999999999996</v>
      </c>
      <c r="K68" s="147">
        <v>2.88</v>
      </c>
      <c r="L68" s="148">
        <v>3.01</v>
      </c>
      <c r="M68" s="147">
        <v>2.6399999999999997</v>
      </c>
      <c r="N68" s="147">
        <v>3.0799999999999996</v>
      </c>
      <c r="O68" s="148">
        <v>3.6</v>
      </c>
    </row>
    <row r="69" spans="1:15" x14ac:dyDescent="0.3">
      <c r="A69" s="132" t="s">
        <v>241</v>
      </c>
      <c r="B69" s="133">
        <v>85</v>
      </c>
      <c r="C69" s="134">
        <v>82.130805248444076</v>
      </c>
      <c r="D69" s="134">
        <v>94</v>
      </c>
      <c r="E69" s="150">
        <v>117.19112568888652</v>
      </c>
      <c r="F69" s="134">
        <v>68.008292086972972</v>
      </c>
      <c r="G69" s="134">
        <v>76</v>
      </c>
      <c r="H69" s="134">
        <v>92</v>
      </c>
      <c r="I69" s="149">
        <v>0.72320888520081605</v>
      </c>
      <c r="J69" s="147">
        <v>0.73199999999999998</v>
      </c>
      <c r="K69" s="147">
        <v>0.74299999999999999</v>
      </c>
      <c r="L69" s="148">
        <v>0.754</v>
      </c>
      <c r="M69" s="147">
        <v>0.73928355408032642</v>
      </c>
      <c r="N69" s="147">
        <v>0.7569999999999999</v>
      </c>
      <c r="O69" s="148">
        <v>0.78</v>
      </c>
    </row>
    <row r="70" spans="1:15" x14ac:dyDescent="0.3">
      <c r="A70" s="131" t="s">
        <v>242</v>
      </c>
      <c r="B70" s="715" t="s">
        <v>212</v>
      </c>
      <c r="C70" s="716"/>
      <c r="D70" s="716"/>
      <c r="E70" s="716"/>
      <c r="F70" s="716"/>
      <c r="G70" s="716"/>
      <c r="H70" s="717"/>
      <c r="I70" s="715" t="s">
        <v>154</v>
      </c>
      <c r="J70" s="716"/>
      <c r="K70" s="716"/>
      <c r="L70" s="716"/>
      <c r="M70" s="716"/>
      <c r="N70" s="716"/>
      <c r="O70" s="717"/>
    </row>
    <row r="71" spans="1:15" x14ac:dyDescent="0.3">
      <c r="A71" s="132" t="s">
        <v>243</v>
      </c>
      <c r="B71" s="133">
        <v>195</v>
      </c>
      <c r="C71" s="134">
        <v>188.85750000000002</v>
      </c>
      <c r="D71" s="134">
        <v>262</v>
      </c>
      <c r="E71" s="150">
        <v>352.86872667910461</v>
      </c>
      <c r="F71" s="134">
        <v>177.45000000000002</v>
      </c>
      <c r="G71" s="134">
        <v>250</v>
      </c>
      <c r="H71" s="134">
        <v>347.65391791044794</v>
      </c>
      <c r="I71" s="149">
        <v>2.34</v>
      </c>
      <c r="J71" s="147">
        <v>2.42</v>
      </c>
      <c r="K71" s="147">
        <v>2.93</v>
      </c>
      <c r="L71" s="148">
        <v>3.34</v>
      </c>
      <c r="M71" s="147">
        <v>2.556</v>
      </c>
      <c r="N71" s="147">
        <v>3.75</v>
      </c>
      <c r="O71" s="148">
        <v>4.32</v>
      </c>
    </row>
    <row r="72" spans="1:15" x14ac:dyDescent="0.3">
      <c r="A72" s="140" t="s">
        <v>244</v>
      </c>
      <c r="B72" s="133">
        <v>434.45291952340818</v>
      </c>
      <c r="C72" s="167">
        <v>420.76765255842082</v>
      </c>
      <c r="D72" s="168">
        <v>583.72648674427148</v>
      </c>
      <c r="E72" s="169">
        <v>786.17871032945925</v>
      </c>
      <c r="F72" s="168">
        <v>395.35215676630145</v>
      </c>
      <c r="G72" s="168">
        <v>556.99092246590794</v>
      </c>
      <c r="H72" s="168">
        <v>774.56030574330953</v>
      </c>
      <c r="I72" s="170">
        <v>2.5</v>
      </c>
      <c r="J72" s="147">
        <v>2.5854700854700856</v>
      </c>
      <c r="K72" s="147">
        <v>3.1303418803418808</v>
      </c>
      <c r="L72" s="148">
        <v>3.5683760683760686</v>
      </c>
      <c r="M72" s="147">
        <v>2.7307692307692308</v>
      </c>
      <c r="N72" s="147">
        <v>3.67</v>
      </c>
      <c r="O72" s="148">
        <v>4.3401937698412718</v>
      </c>
    </row>
  </sheetData>
  <mergeCells count="41">
    <mergeCell ref="B70:H70"/>
    <mergeCell ref="I70:O70"/>
    <mergeCell ref="B40:H40"/>
    <mergeCell ref="I40:O40"/>
    <mergeCell ref="B43:H43"/>
    <mergeCell ref="I43:O43"/>
    <mergeCell ref="B49:B53"/>
    <mergeCell ref="C49:C53"/>
    <mergeCell ref="D49:D53"/>
    <mergeCell ref="E49:E53"/>
    <mergeCell ref="F49:F53"/>
    <mergeCell ref="G49:G53"/>
    <mergeCell ref="H49:H53"/>
    <mergeCell ref="B33:H33"/>
    <mergeCell ref="I33:O33"/>
    <mergeCell ref="B38:H38"/>
    <mergeCell ref="I38:O38"/>
    <mergeCell ref="B63:H63"/>
    <mergeCell ref="I63:O63"/>
    <mergeCell ref="A6:O6"/>
    <mergeCell ref="B7:H7"/>
    <mergeCell ref="I7:O7"/>
    <mergeCell ref="C8:E8"/>
    <mergeCell ref="F8:H8"/>
    <mergeCell ref="J8:L8"/>
    <mergeCell ref="M8:O8"/>
    <mergeCell ref="B10:H10"/>
    <mergeCell ref="I10:O10"/>
    <mergeCell ref="B12:H12"/>
    <mergeCell ref="I12:O12"/>
    <mergeCell ref="B23:H23"/>
    <mergeCell ref="I23:O23"/>
    <mergeCell ref="A29:O29"/>
    <mergeCell ref="B30:H30"/>
    <mergeCell ref="I30:O30"/>
    <mergeCell ref="B31:B32"/>
    <mergeCell ref="C31:E31"/>
    <mergeCell ref="F31:H31"/>
    <mergeCell ref="I31:I32"/>
    <mergeCell ref="J31:L31"/>
    <mergeCell ref="M31:O3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96371-3CF1-4448-9B28-8B54FD3618C4}">
  <sheetPr>
    <tabColor theme="5" tint="0.39997558519241921"/>
  </sheetPr>
  <dimension ref="A1:S96"/>
  <sheetViews>
    <sheetView topLeftCell="A45" workbookViewId="0">
      <selection activeCell="F32" sqref="F31:F32"/>
    </sheetView>
  </sheetViews>
  <sheetFormatPr defaultColWidth="9" defaultRowHeight="15.6" x14ac:dyDescent="0.3"/>
  <cols>
    <col min="1" max="1" width="67" bestFit="1" customWidth="1"/>
    <col min="2" max="2" width="38.8984375" bestFit="1" customWidth="1"/>
    <col min="3" max="3" width="19" customWidth="1"/>
    <col min="4" max="4" width="26.8984375" customWidth="1"/>
    <col min="5" max="5" width="15.69921875" bestFit="1" customWidth="1"/>
    <col min="6" max="6" width="18.5" customWidth="1"/>
    <col min="7" max="7" width="20.19921875" bestFit="1" customWidth="1"/>
    <col min="8" max="8" width="18.5" bestFit="1" customWidth="1"/>
    <col min="9" max="9" width="15.69921875" bestFit="1" customWidth="1"/>
    <col min="10" max="10" width="7.8984375" bestFit="1" customWidth="1"/>
  </cols>
  <sheetData>
    <row r="1" spans="1:9" ht="21" x14ac:dyDescent="0.3">
      <c r="A1" s="10" t="s">
        <v>306</v>
      </c>
      <c r="B1" s="11"/>
    </row>
    <row r="2" spans="1:9" x14ac:dyDescent="0.3">
      <c r="A2" s="11" t="s">
        <v>88</v>
      </c>
      <c r="B2" t="str">
        <f>Legend!B85</f>
        <v>S3</v>
      </c>
    </row>
    <row r="3" spans="1:9" x14ac:dyDescent="0.3">
      <c r="A3" s="11" t="s">
        <v>89</v>
      </c>
      <c r="B3" s="11" t="str">
        <f>Legend!$C$4</f>
        <v>SRV</v>
      </c>
    </row>
    <row r="4" spans="1:9" x14ac:dyDescent="0.3">
      <c r="A4" s="11"/>
      <c r="B4" s="11"/>
    </row>
    <row r="6" spans="1:9" x14ac:dyDescent="0.3">
      <c r="A6" s="181" t="s">
        <v>308</v>
      </c>
      <c r="B6" s="174"/>
      <c r="C6" s="174"/>
      <c r="D6" s="174"/>
      <c r="E6" s="174"/>
      <c r="F6" s="174"/>
      <c r="G6" s="174"/>
      <c r="H6" s="174"/>
      <c r="I6" s="174"/>
    </row>
    <row r="7" spans="1:9" x14ac:dyDescent="0.3">
      <c r="A7" s="175" t="s">
        <v>247</v>
      </c>
      <c r="B7" s="175" t="s">
        <v>248</v>
      </c>
      <c r="C7" s="175" t="s">
        <v>326</v>
      </c>
      <c r="D7" s="175" t="s">
        <v>327</v>
      </c>
      <c r="E7" s="175" t="s">
        <v>328</v>
      </c>
      <c r="F7" s="175" t="s">
        <v>329</v>
      </c>
      <c r="G7" s="175" t="s">
        <v>330</v>
      </c>
      <c r="H7" s="175" t="s">
        <v>331</v>
      </c>
      <c r="I7" s="310" t="s">
        <v>332</v>
      </c>
    </row>
    <row r="8" spans="1:9" x14ac:dyDescent="0.3">
      <c r="A8" t="s">
        <v>253</v>
      </c>
      <c r="B8" t="s">
        <v>249</v>
      </c>
      <c r="C8">
        <v>20</v>
      </c>
      <c r="D8">
        <v>115</v>
      </c>
      <c r="E8">
        <v>5</v>
      </c>
      <c r="F8">
        <v>15</v>
      </c>
      <c r="G8">
        <v>0.75</v>
      </c>
      <c r="I8" s="311"/>
    </row>
    <row r="9" spans="1:9" x14ac:dyDescent="0.3">
      <c r="B9" t="s">
        <v>251</v>
      </c>
      <c r="C9">
        <v>20</v>
      </c>
      <c r="D9">
        <v>125</v>
      </c>
      <c r="E9">
        <v>5</v>
      </c>
      <c r="F9">
        <v>15</v>
      </c>
      <c r="G9">
        <v>0.9</v>
      </c>
      <c r="I9" s="311"/>
    </row>
    <row r="10" spans="1:9" x14ac:dyDescent="0.3">
      <c r="B10" t="s">
        <v>252</v>
      </c>
      <c r="C10">
        <v>20</v>
      </c>
      <c r="D10">
        <v>125</v>
      </c>
      <c r="E10">
        <v>5</v>
      </c>
      <c r="F10">
        <v>15</v>
      </c>
      <c r="G10">
        <v>0.75</v>
      </c>
      <c r="I10" s="311"/>
    </row>
    <row r="11" spans="1:9" x14ac:dyDescent="0.3">
      <c r="B11" t="s">
        <v>254</v>
      </c>
      <c r="C11">
        <v>20</v>
      </c>
      <c r="D11">
        <v>135</v>
      </c>
      <c r="E11">
        <v>5</v>
      </c>
      <c r="F11">
        <v>15</v>
      </c>
      <c r="G11">
        <v>0.86</v>
      </c>
      <c r="I11" s="311"/>
    </row>
    <row r="12" spans="1:9" x14ac:dyDescent="0.3">
      <c r="B12" t="s">
        <v>255</v>
      </c>
      <c r="C12">
        <v>20</v>
      </c>
      <c r="D12">
        <v>596</v>
      </c>
      <c r="E12">
        <v>13</v>
      </c>
      <c r="F12">
        <v>15</v>
      </c>
      <c r="G12">
        <v>0.7</v>
      </c>
      <c r="I12" s="311"/>
    </row>
    <row r="13" spans="1:9" x14ac:dyDescent="0.3">
      <c r="B13" t="s">
        <v>256</v>
      </c>
      <c r="C13">
        <v>20</v>
      </c>
      <c r="D13">
        <v>596</v>
      </c>
      <c r="E13">
        <v>13</v>
      </c>
      <c r="F13">
        <v>15</v>
      </c>
      <c r="G13">
        <v>0.85</v>
      </c>
      <c r="I13" s="311"/>
    </row>
    <row r="14" spans="1:9" x14ac:dyDescent="0.3">
      <c r="A14" s="174"/>
      <c r="B14" s="174" t="s">
        <v>257</v>
      </c>
      <c r="C14" s="174">
        <v>20</v>
      </c>
      <c r="D14" s="174">
        <v>115</v>
      </c>
      <c r="E14" s="174">
        <v>5</v>
      </c>
      <c r="F14" s="174">
        <v>15</v>
      </c>
      <c r="G14" s="174">
        <v>0.75</v>
      </c>
      <c r="H14" s="174"/>
      <c r="I14" s="312"/>
    </row>
    <row r="15" spans="1:9" x14ac:dyDescent="0.3">
      <c r="A15" t="s">
        <v>333</v>
      </c>
      <c r="B15" t="s">
        <v>258</v>
      </c>
      <c r="C15">
        <v>20</v>
      </c>
      <c r="D15">
        <v>120</v>
      </c>
      <c r="E15">
        <v>5</v>
      </c>
      <c r="F15">
        <v>18</v>
      </c>
      <c r="G15">
        <v>0.78</v>
      </c>
      <c r="I15" s="311"/>
    </row>
    <row r="16" spans="1:9" x14ac:dyDescent="0.3">
      <c r="B16" t="s">
        <v>259</v>
      </c>
      <c r="C16">
        <v>20</v>
      </c>
      <c r="D16">
        <v>130</v>
      </c>
      <c r="E16">
        <v>5</v>
      </c>
      <c r="F16">
        <v>18</v>
      </c>
      <c r="G16" s="172" t="s">
        <v>260</v>
      </c>
      <c r="I16" s="311"/>
    </row>
    <row r="17" spans="1:9" x14ac:dyDescent="0.3">
      <c r="B17" t="s">
        <v>261</v>
      </c>
      <c r="C17">
        <v>20</v>
      </c>
      <c r="D17">
        <v>145</v>
      </c>
      <c r="E17">
        <v>5</v>
      </c>
      <c r="F17">
        <v>17</v>
      </c>
      <c r="G17">
        <v>0.78</v>
      </c>
      <c r="I17" s="311"/>
    </row>
    <row r="18" spans="1:9" x14ac:dyDescent="0.3">
      <c r="A18" s="174"/>
      <c r="B18" s="174" t="s">
        <v>262</v>
      </c>
      <c r="C18" s="174">
        <v>20</v>
      </c>
      <c r="D18" s="174">
        <v>165</v>
      </c>
      <c r="E18" s="174">
        <v>5</v>
      </c>
      <c r="F18" s="174">
        <v>17</v>
      </c>
      <c r="G18" s="313" t="s">
        <v>263</v>
      </c>
      <c r="H18" s="174"/>
      <c r="I18" s="312"/>
    </row>
    <row r="19" spans="1:9" x14ac:dyDescent="0.3">
      <c r="A19" t="s">
        <v>334</v>
      </c>
      <c r="B19" t="s">
        <v>249</v>
      </c>
      <c r="C19">
        <v>120</v>
      </c>
      <c r="D19">
        <v>70</v>
      </c>
      <c r="E19">
        <v>2</v>
      </c>
      <c r="F19">
        <v>25</v>
      </c>
      <c r="G19">
        <v>0.75</v>
      </c>
      <c r="I19" s="311"/>
    </row>
    <row r="20" spans="1:9" x14ac:dyDescent="0.3">
      <c r="B20" t="s">
        <v>264</v>
      </c>
      <c r="C20">
        <v>120</v>
      </c>
      <c r="D20">
        <v>80</v>
      </c>
      <c r="E20">
        <v>2</v>
      </c>
      <c r="F20">
        <v>25</v>
      </c>
      <c r="G20">
        <v>0.9</v>
      </c>
      <c r="I20" s="311"/>
    </row>
    <row r="21" spans="1:9" x14ac:dyDescent="0.3">
      <c r="B21" t="s">
        <v>252</v>
      </c>
      <c r="C21">
        <v>120</v>
      </c>
      <c r="D21">
        <v>75</v>
      </c>
      <c r="E21">
        <v>2</v>
      </c>
      <c r="F21">
        <v>25</v>
      </c>
      <c r="G21">
        <v>0.75</v>
      </c>
      <c r="I21" s="311"/>
    </row>
    <row r="22" spans="1:9" x14ac:dyDescent="0.3">
      <c r="B22" t="s">
        <v>254</v>
      </c>
      <c r="C22">
        <v>120</v>
      </c>
      <c r="D22">
        <v>90</v>
      </c>
      <c r="E22">
        <v>2</v>
      </c>
      <c r="F22">
        <v>25</v>
      </c>
      <c r="G22">
        <v>0.86</v>
      </c>
      <c r="I22" s="311"/>
    </row>
    <row r="23" spans="1:9" x14ac:dyDescent="0.3">
      <c r="B23" t="s">
        <v>265</v>
      </c>
      <c r="C23">
        <v>120</v>
      </c>
      <c r="D23">
        <v>375</v>
      </c>
      <c r="E23">
        <v>10</v>
      </c>
      <c r="F23">
        <v>25</v>
      </c>
      <c r="G23">
        <v>0.7</v>
      </c>
      <c r="I23" s="311"/>
    </row>
    <row r="24" spans="1:9" x14ac:dyDescent="0.3">
      <c r="B24" t="s">
        <v>256</v>
      </c>
      <c r="C24">
        <v>120</v>
      </c>
      <c r="D24">
        <v>375</v>
      </c>
      <c r="E24">
        <v>10</v>
      </c>
      <c r="F24">
        <v>25</v>
      </c>
      <c r="G24">
        <v>0.85</v>
      </c>
      <c r="I24" s="311"/>
    </row>
    <row r="25" spans="1:9" x14ac:dyDescent="0.3">
      <c r="A25" s="174"/>
      <c r="B25" s="174" t="s">
        <v>257</v>
      </c>
      <c r="C25" s="174">
        <v>120</v>
      </c>
      <c r="D25" s="174">
        <v>100</v>
      </c>
      <c r="E25" s="174">
        <v>2</v>
      </c>
      <c r="F25" s="174">
        <v>25</v>
      </c>
      <c r="G25" s="174">
        <v>0.75</v>
      </c>
      <c r="H25" s="174"/>
      <c r="I25" s="312"/>
    </row>
    <row r="26" spans="1:9" x14ac:dyDescent="0.3">
      <c r="A26" t="s">
        <v>335</v>
      </c>
      <c r="B26" t="s">
        <v>266</v>
      </c>
      <c r="C26">
        <v>12</v>
      </c>
      <c r="D26" s="314">
        <v>1500</v>
      </c>
      <c r="E26">
        <v>15</v>
      </c>
      <c r="F26">
        <v>15</v>
      </c>
      <c r="G26">
        <v>2.5</v>
      </c>
      <c r="H26">
        <v>2.5</v>
      </c>
      <c r="I26" s="311"/>
    </row>
    <row r="27" spans="1:9" x14ac:dyDescent="0.3">
      <c r="B27" t="s">
        <v>267</v>
      </c>
      <c r="C27">
        <v>12</v>
      </c>
      <c r="D27" s="314">
        <v>1625</v>
      </c>
      <c r="E27">
        <v>15</v>
      </c>
      <c r="F27">
        <v>15</v>
      </c>
      <c r="G27" t="s">
        <v>268</v>
      </c>
      <c r="H27" t="s">
        <v>269</v>
      </c>
      <c r="I27" s="311"/>
    </row>
    <row r="28" spans="1:9" x14ac:dyDescent="0.3">
      <c r="B28" t="s">
        <v>270</v>
      </c>
      <c r="C28">
        <v>12</v>
      </c>
      <c r="D28" s="314">
        <v>1275</v>
      </c>
      <c r="E28">
        <v>15</v>
      </c>
      <c r="F28">
        <v>15</v>
      </c>
      <c r="G28" t="s">
        <v>271</v>
      </c>
      <c r="H28" t="s">
        <v>272</v>
      </c>
      <c r="I28" s="311"/>
    </row>
    <row r="29" spans="1:9" x14ac:dyDescent="0.3">
      <c r="B29" t="s">
        <v>273</v>
      </c>
      <c r="C29">
        <v>12</v>
      </c>
      <c r="D29">
        <v>600</v>
      </c>
      <c r="E29">
        <v>15</v>
      </c>
      <c r="F29">
        <v>15</v>
      </c>
      <c r="G29" t="s">
        <v>271</v>
      </c>
      <c r="H29" t="s">
        <v>272</v>
      </c>
      <c r="I29" s="311"/>
    </row>
    <row r="30" spans="1:9" x14ac:dyDescent="0.3">
      <c r="A30" s="174"/>
      <c r="B30" s="174" t="s">
        <v>274</v>
      </c>
      <c r="C30" s="174">
        <v>12</v>
      </c>
      <c r="D30" s="174">
        <v>700</v>
      </c>
      <c r="E30" s="174">
        <v>15</v>
      </c>
      <c r="F30" s="174">
        <v>15</v>
      </c>
      <c r="G30" s="174" t="s">
        <v>275</v>
      </c>
      <c r="H30" s="174">
        <v>0.63</v>
      </c>
      <c r="I30" s="312"/>
    </row>
    <row r="31" spans="1:9" x14ac:dyDescent="0.3">
      <c r="A31" t="s">
        <v>509</v>
      </c>
      <c r="B31" t="s">
        <v>510</v>
      </c>
      <c r="C31">
        <v>300</v>
      </c>
      <c r="D31">
        <v>535</v>
      </c>
      <c r="E31" t="s">
        <v>511</v>
      </c>
      <c r="F31">
        <v>20</v>
      </c>
      <c r="G31" t="s">
        <v>271</v>
      </c>
      <c r="H31" t="s">
        <v>512</v>
      </c>
      <c r="I31" s="311"/>
    </row>
    <row r="32" spans="1:9" x14ac:dyDescent="0.3">
      <c r="A32" s="174"/>
      <c r="B32" s="174" t="s">
        <v>513</v>
      </c>
      <c r="C32" s="174">
        <v>300</v>
      </c>
      <c r="D32" s="174">
        <v>670</v>
      </c>
      <c r="E32" s="174">
        <v>4</v>
      </c>
      <c r="F32" s="174">
        <v>20</v>
      </c>
      <c r="G32" s="174">
        <v>3.2</v>
      </c>
      <c r="H32" s="174" t="s">
        <v>512</v>
      </c>
      <c r="I32" s="312"/>
    </row>
    <row r="33" spans="1:10" x14ac:dyDescent="0.3">
      <c r="A33" s="180" t="s">
        <v>276</v>
      </c>
      <c r="B33" s="180" t="s">
        <v>277</v>
      </c>
      <c r="C33" s="180">
        <v>20</v>
      </c>
      <c r="D33" s="180">
        <v>275</v>
      </c>
      <c r="E33" s="180">
        <v>10</v>
      </c>
      <c r="F33" s="180">
        <v>15</v>
      </c>
      <c r="G33" s="180">
        <v>1</v>
      </c>
      <c r="H33" s="180"/>
      <c r="I33" s="315"/>
    </row>
    <row r="34" spans="1:10" x14ac:dyDescent="0.3">
      <c r="A34" s="174"/>
      <c r="B34" s="174" t="s">
        <v>278</v>
      </c>
      <c r="C34" s="174" t="s">
        <v>279</v>
      </c>
      <c r="D34" s="316">
        <v>1402</v>
      </c>
      <c r="E34" s="174">
        <v>15</v>
      </c>
      <c r="F34" s="174">
        <v>20</v>
      </c>
      <c r="G34" s="174" t="s">
        <v>250</v>
      </c>
      <c r="H34" s="174"/>
      <c r="I34" s="312"/>
    </row>
    <row r="35" spans="1:10" x14ac:dyDescent="0.3">
      <c r="A35" t="s">
        <v>280</v>
      </c>
      <c r="B35" t="s">
        <v>281</v>
      </c>
      <c r="C35">
        <v>12</v>
      </c>
      <c r="D35">
        <v>440</v>
      </c>
      <c r="E35">
        <v>15</v>
      </c>
      <c r="F35">
        <v>14</v>
      </c>
      <c r="G35" t="s">
        <v>250</v>
      </c>
      <c r="H35" t="s">
        <v>271</v>
      </c>
      <c r="I35" s="311"/>
    </row>
    <row r="36" spans="1:10" x14ac:dyDescent="0.3">
      <c r="A36" s="174"/>
      <c r="B36" s="174" t="s">
        <v>282</v>
      </c>
      <c r="C36" s="174">
        <v>12</v>
      </c>
      <c r="D36" s="174">
        <v>440</v>
      </c>
      <c r="E36" s="174">
        <v>15</v>
      </c>
      <c r="F36" s="174">
        <v>14</v>
      </c>
      <c r="G36" s="174" t="s">
        <v>250</v>
      </c>
      <c r="H36" s="174" t="s">
        <v>271</v>
      </c>
      <c r="I36" s="312"/>
    </row>
    <row r="37" spans="1:10" x14ac:dyDescent="0.3">
      <c r="A37" t="s">
        <v>284</v>
      </c>
      <c r="B37" t="s">
        <v>283</v>
      </c>
      <c r="C37">
        <v>20</v>
      </c>
      <c r="D37">
        <v>120</v>
      </c>
      <c r="F37">
        <v>20</v>
      </c>
      <c r="G37" t="s">
        <v>250</v>
      </c>
      <c r="I37" s="311"/>
    </row>
    <row r="38" spans="1:10" x14ac:dyDescent="0.3">
      <c r="A38" s="174"/>
      <c r="B38" s="174" t="s">
        <v>285</v>
      </c>
      <c r="C38" s="174">
        <v>12</v>
      </c>
      <c r="D38" s="174">
        <v>250</v>
      </c>
      <c r="E38" s="174"/>
      <c r="F38" s="174">
        <v>20</v>
      </c>
      <c r="G38" s="174" t="s">
        <v>250</v>
      </c>
      <c r="H38" s="174"/>
      <c r="I38" s="312"/>
    </row>
    <row r="41" spans="1:10" x14ac:dyDescent="0.3">
      <c r="A41" s="181" t="s">
        <v>309</v>
      </c>
      <c r="B41" s="174"/>
      <c r="C41" s="174"/>
      <c r="D41" s="174"/>
      <c r="E41" s="174"/>
      <c r="F41" s="174"/>
      <c r="G41" s="174"/>
      <c r="H41" s="174"/>
      <c r="I41" s="174"/>
      <c r="J41" s="174"/>
    </row>
    <row r="42" spans="1:10" x14ac:dyDescent="0.3">
      <c r="A42" s="175" t="s">
        <v>287</v>
      </c>
      <c r="B42" s="317"/>
      <c r="C42" s="317"/>
      <c r="D42" s="317"/>
      <c r="E42" s="317"/>
      <c r="F42" s="317"/>
      <c r="G42" s="317"/>
      <c r="H42" s="317"/>
      <c r="I42" s="317"/>
      <c r="J42" s="318"/>
    </row>
    <row r="43" spans="1:10" x14ac:dyDescent="0.3">
      <c r="A43" s="175" t="s">
        <v>288</v>
      </c>
      <c r="B43" s="175" t="s">
        <v>289</v>
      </c>
      <c r="C43" s="175" t="s">
        <v>290</v>
      </c>
      <c r="D43" s="175" t="s">
        <v>291</v>
      </c>
      <c r="E43" s="175" t="s">
        <v>292</v>
      </c>
      <c r="F43" s="175" t="s">
        <v>293</v>
      </c>
      <c r="G43" s="175" t="s">
        <v>294</v>
      </c>
      <c r="H43" s="175" t="s">
        <v>307</v>
      </c>
      <c r="I43" s="175"/>
      <c r="J43" s="310"/>
    </row>
    <row r="44" spans="1:10" x14ac:dyDescent="0.3">
      <c r="A44" t="s">
        <v>295</v>
      </c>
      <c r="B44">
        <v>25</v>
      </c>
      <c r="C44">
        <v>47</v>
      </c>
      <c r="D44">
        <v>29</v>
      </c>
      <c r="E44">
        <v>18</v>
      </c>
      <c r="F44">
        <v>62</v>
      </c>
      <c r="G44" t="s">
        <v>336</v>
      </c>
      <c r="H44">
        <v>28</v>
      </c>
      <c r="J44" s="311"/>
    </row>
    <row r="45" spans="1:10" x14ac:dyDescent="0.3">
      <c r="A45" t="s">
        <v>296</v>
      </c>
      <c r="F45">
        <v>40</v>
      </c>
      <c r="J45" s="311"/>
    </row>
    <row r="46" spans="1:10" x14ac:dyDescent="0.3">
      <c r="A46" t="s">
        <v>297</v>
      </c>
      <c r="F46">
        <v>5.4</v>
      </c>
      <c r="J46" s="311"/>
    </row>
    <row r="47" spans="1:10" x14ac:dyDescent="0.3">
      <c r="A47" t="s">
        <v>298</v>
      </c>
      <c r="B47" s="314">
        <v>31000</v>
      </c>
      <c r="C47" s="314">
        <v>35000</v>
      </c>
      <c r="D47" s="314">
        <v>22000</v>
      </c>
      <c r="E47" s="314">
        <v>22000</v>
      </c>
      <c r="F47" s="314">
        <v>40000</v>
      </c>
      <c r="G47" s="314" t="s">
        <v>338</v>
      </c>
      <c r="H47" s="314">
        <v>35000</v>
      </c>
      <c r="J47" s="311"/>
    </row>
    <row r="48" spans="1:10" x14ac:dyDescent="0.3">
      <c r="A48" t="s">
        <v>299</v>
      </c>
      <c r="B48" s="319">
        <v>0.4</v>
      </c>
      <c r="C48" s="319">
        <v>0.45</v>
      </c>
      <c r="D48" s="319">
        <v>0.35</v>
      </c>
      <c r="E48" t="s">
        <v>337</v>
      </c>
      <c r="F48" s="319">
        <v>0.5</v>
      </c>
      <c r="G48" s="319">
        <v>0.25</v>
      </c>
      <c r="H48" t="s">
        <v>250</v>
      </c>
      <c r="J48" s="311"/>
    </row>
    <row r="49" spans="1:19" x14ac:dyDescent="0.3">
      <c r="A49" t="s">
        <v>300</v>
      </c>
      <c r="B49">
        <v>10</v>
      </c>
      <c r="C49">
        <v>10</v>
      </c>
      <c r="D49">
        <v>12</v>
      </c>
      <c r="E49">
        <v>10</v>
      </c>
      <c r="F49">
        <v>10</v>
      </c>
      <c r="G49">
        <v>10</v>
      </c>
      <c r="H49">
        <v>12</v>
      </c>
      <c r="J49" s="311"/>
    </row>
    <row r="50" spans="1:19" x14ac:dyDescent="0.3">
      <c r="A50" s="175" t="s">
        <v>301</v>
      </c>
      <c r="B50" s="175"/>
      <c r="C50" s="175"/>
      <c r="D50" s="175"/>
      <c r="E50" s="175"/>
      <c r="F50" s="175"/>
      <c r="G50" s="175"/>
      <c r="H50" s="175"/>
      <c r="I50" s="175"/>
      <c r="J50" s="310"/>
    </row>
    <row r="51" spans="1:19" x14ac:dyDescent="0.3">
      <c r="A51" s="175" t="s">
        <v>288</v>
      </c>
      <c r="B51" s="175" t="s">
        <v>289</v>
      </c>
      <c r="C51" s="175" t="s">
        <v>290</v>
      </c>
      <c r="D51" s="175" t="s">
        <v>291</v>
      </c>
      <c r="E51" s="175" t="s">
        <v>292</v>
      </c>
      <c r="F51" s="175" t="s">
        <v>293</v>
      </c>
      <c r="G51" s="175" t="s">
        <v>302</v>
      </c>
      <c r="H51" s="320" t="s">
        <v>307</v>
      </c>
      <c r="I51" s="175" t="s">
        <v>303</v>
      </c>
      <c r="J51" s="310"/>
    </row>
    <row r="52" spans="1:19" x14ac:dyDescent="0.3">
      <c r="A52" t="s">
        <v>295</v>
      </c>
      <c r="B52">
        <v>15</v>
      </c>
      <c r="C52">
        <v>16</v>
      </c>
      <c r="D52">
        <v>12</v>
      </c>
      <c r="E52">
        <v>12</v>
      </c>
      <c r="F52">
        <v>26</v>
      </c>
      <c r="G52" t="s">
        <v>304</v>
      </c>
      <c r="H52">
        <v>16</v>
      </c>
      <c r="I52" t="s">
        <v>305</v>
      </c>
      <c r="J52" s="311"/>
    </row>
    <row r="53" spans="1:19" x14ac:dyDescent="0.3">
      <c r="A53" t="s">
        <v>296</v>
      </c>
      <c r="F53">
        <v>40</v>
      </c>
      <c r="J53" s="311"/>
    </row>
    <row r="54" spans="1:19" x14ac:dyDescent="0.3">
      <c r="A54" t="s">
        <v>297</v>
      </c>
      <c r="F54">
        <v>4.2</v>
      </c>
      <c r="J54" s="311"/>
    </row>
    <row r="55" spans="1:19" x14ac:dyDescent="0.3">
      <c r="A55" t="s">
        <v>298</v>
      </c>
      <c r="B55" s="314">
        <v>13100</v>
      </c>
      <c r="C55" s="314">
        <v>15000</v>
      </c>
      <c r="D55" s="314">
        <v>4500</v>
      </c>
      <c r="E55" s="314">
        <v>11200</v>
      </c>
      <c r="F55" s="314">
        <v>170000</v>
      </c>
      <c r="G55" s="321" t="s">
        <v>339</v>
      </c>
      <c r="H55" s="314">
        <v>20000</v>
      </c>
      <c r="I55">
        <v>2000</v>
      </c>
      <c r="J55" s="311"/>
    </row>
    <row r="56" spans="1:19" x14ac:dyDescent="0.3">
      <c r="A56" t="s">
        <v>299</v>
      </c>
      <c r="B56" s="319">
        <v>0.68</v>
      </c>
      <c r="C56" s="319">
        <v>0.75</v>
      </c>
      <c r="D56" s="319">
        <v>0.75</v>
      </c>
      <c r="E56" t="s">
        <v>340</v>
      </c>
      <c r="F56" s="319">
        <v>0.65</v>
      </c>
      <c r="G56" s="319">
        <v>0.5</v>
      </c>
      <c r="J56" s="311"/>
    </row>
    <row r="57" spans="1:19" x14ac:dyDescent="0.3">
      <c r="A57" s="174" t="s">
        <v>300</v>
      </c>
      <c r="B57" s="174">
        <v>10</v>
      </c>
      <c r="C57" s="174">
        <v>10</v>
      </c>
      <c r="D57" s="174">
        <v>12</v>
      </c>
      <c r="E57" s="174">
        <v>10</v>
      </c>
      <c r="F57" s="174">
        <v>10</v>
      </c>
      <c r="G57" s="174">
        <v>10</v>
      </c>
      <c r="H57" s="174">
        <v>12</v>
      </c>
      <c r="I57" s="174">
        <v>10</v>
      </c>
      <c r="J57" s="312"/>
      <c r="S57">
        <v>7</v>
      </c>
    </row>
    <row r="60" spans="1:19" x14ac:dyDescent="0.3">
      <c r="A60" s="181" t="s">
        <v>323</v>
      </c>
      <c r="B60" s="181"/>
      <c r="C60" s="181"/>
      <c r="D60" s="181"/>
      <c r="E60" s="181"/>
      <c r="F60" s="176"/>
    </row>
    <row r="61" spans="1:19" x14ac:dyDescent="0.3">
      <c r="A61" s="175" t="s">
        <v>99</v>
      </c>
      <c r="B61" s="175" t="s">
        <v>310</v>
      </c>
      <c r="C61" s="175" t="s">
        <v>311</v>
      </c>
      <c r="D61" s="175" t="s">
        <v>312</v>
      </c>
      <c r="E61" s="310" t="s">
        <v>324</v>
      </c>
    </row>
    <row r="62" spans="1:19" x14ac:dyDescent="0.3">
      <c r="A62" t="s">
        <v>313</v>
      </c>
      <c r="B62" t="s">
        <v>314</v>
      </c>
      <c r="C62">
        <v>15.7</v>
      </c>
      <c r="D62">
        <v>3</v>
      </c>
      <c r="E62" s="311"/>
    </row>
    <row r="63" spans="1:19" x14ac:dyDescent="0.3">
      <c r="B63" t="s">
        <v>315</v>
      </c>
      <c r="C63">
        <v>14.2</v>
      </c>
      <c r="D63">
        <v>3</v>
      </c>
      <c r="E63" s="311"/>
    </row>
    <row r="64" spans="1:19" x14ac:dyDescent="0.3">
      <c r="A64" t="s">
        <v>106</v>
      </c>
      <c r="B64" t="s">
        <v>316</v>
      </c>
      <c r="C64">
        <v>45.1</v>
      </c>
      <c r="D64">
        <v>3</v>
      </c>
      <c r="E64" s="311"/>
    </row>
    <row r="65" spans="1:5" x14ac:dyDescent="0.3">
      <c r="A65" t="s">
        <v>20</v>
      </c>
      <c r="B65" t="s">
        <v>317</v>
      </c>
      <c r="C65">
        <v>60.2</v>
      </c>
      <c r="D65">
        <v>7</v>
      </c>
      <c r="E65" s="311" t="s">
        <v>318</v>
      </c>
    </row>
    <row r="66" spans="1:5" x14ac:dyDescent="0.3">
      <c r="B66" t="s">
        <v>319</v>
      </c>
      <c r="C66">
        <v>40.4</v>
      </c>
      <c r="D66">
        <v>7</v>
      </c>
      <c r="E66" s="311"/>
    </row>
    <row r="67" spans="1:5" x14ac:dyDescent="0.3">
      <c r="A67" t="s">
        <v>0</v>
      </c>
      <c r="B67" t="s">
        <v>320</v>
      </c>
      <c r="C67">
        <v>60.4</v>
      </c>
      <c r="D67">
        <v>20</v>
      </c>
      <c r="E67" s="311" t="s">
        <v>321</v>
      </c>
    </row>
    <row r="68" spans="1:5" x14ac:dyDescent="0.3">
      <c r="A68" s="174" t="s">
        <v>22</v>
      </c>
      <c r="B68" s="174" t="s">
        <v>322</v>
      </c>
      <c r="C68" s="174">
        <v>71.3</v>
      </c>
      <c r="D68" s="174">
        <v>7</v>
      </c>
      <c r="E68" s="312"/>
    </row>
    <row r="71" spans="1:5" x14ac:dyDescent="0.3">
      <c r="A71" s="181" t="s">
        <v>348</v>
      </c>
      <c r="B71" s="174"/>
      <c r="C71" s="174"/>
      <c r="D71" s="174"/>
      <c r="E71" s="174"/>
    </row>
    <row r="72" spans="1:5" x14ac:dyDescent="0.3">
      <c r="A72" s="175" t="s">
        <v>288</v>
      </c>
      <c r="B72" s="175" t="s">
        <v>341</v>
      </c>
      <c r="C72" s="175" t="s">
        <v>342</v>
      </c>
      <c r="D72" s="175" t="s">
        <v>343</v>
      </c>
      <c r="E72" s="310" t="s">
        <v>344</v>
      </c>
    </row>
    <row r="73" spans="1:5" x14ac:dyDescent="0.3">
      <c r="A73" t="s">
        <v>352</v>
      </c>
      <c r="B73" s="172"/>
      <c r="C73" s="172"/>
      <c r="D73" s="172"/>
      <c r="E73" s="322"/>
    </row>
    <row r="74" spans="1:5" x14ac:dyDescent="0.3">
      <c r="A74" t="s">
        <v>345</v>
      </c>
      <c r="B74" s="172" t="s">
        <v>349</v>
      </c>
      <c r="C74" s="172" t="s">
        <v>350</v>
      </c>
      <c r="D74" s="172" t="s">
        <v>353</v>
      </c>
      <c r="E74" s="323" t="s">
        <v>354</v>
      </c>
    </row>
    <row r="75" spans="1:5" x14ac:dyDescent="0.3">
      <c r="B75" s="172"/>
      <c r="C75" s="172"/>
      <c r="D75" s="172">
        <v>25</v>
      </c>
      <c r="E75" s="311">
        <v>16</v>
      </c>
    </row>
    <row r="76" spans="1:5" x14ac:dyDescent="0.3">
      <c r="B76" s="172"/>
      <c r="C76" s="172"/>
      <c r="D76" s="172"/>
      <c r="E76" s="311"/>
    </row>
    <row r="77" spans="1:5" x14ac:dyDescent="0.3">
      <c r="A77" t="s">
        <v>346</v>
      </c>
      <c r="B77" s="324" t="s">
        <v>351</v>
      </c>
      <c r="C77" s="324" t="s">
        <v>360</v>
      </c>
      <c r="D77" s="172" t="s">
        <v>357</v>
      </c>
      <c r="E77" s="322" t="s">
        <v>355</v>
      </c>
    </row>
    <row r="78" spans="1:5" x14ac:dyDescent="0.3">
      <c r="A78" t="s">
        <v>347</v>
      </c>
      <c r="B78" s="172">
        <v>1</v>
      </c>
      <c r="C78" s="172" t="s">
        <v>359</v>
      </c>
      <c r="D78" s="172" t="s">
        <v>358</v>
      </c>
      <c r="E78" s="322" t="s">
        <v>356</v>
      </c>
    </row>
    <row r="79" spans="1:5" x14ac:dyDescent="0.3">
      <c r="B79" s="172"/>
      <c r="C79" s="172"/>
      <c r="D79" s="172"/>
      <c r="E79" s="322">
        <v>50</v>
      </c>
    </row>
    <row r="80" spans="1:5" ht="31.2" x14ac:dyDescent="0.3">
      <c r="A80" t="s">
        <v>514</v>
      </c>
      <c r="B80" s="172" t="s">
        <v>515</v>
      </c>
      <c r="C80" s="399" t="s">
        <v>516</v>
      </c>
      <c r="D80" s="172" t="s">
        <v>517</v>
      </c>
      <c r="E80" s="322" t="s">
        <v>518</v>
      </c>
    </row>
    <row r="81" spans="1:5" x14ac:dyDescent="0.3">
      <c r="A81" t="s">
        <v>519</v>
      </c>
      <c r="B81" s="172">
        <v>100</v>
      </c>
      <c r="C81" s="172" t="s">
        <v>520</v>
      </c>
      <c r="D81" s="172" t="s">
        <v>521</v>
      </c>
      <c r="E81" s="322">
        <v>80</v>
      </c>
    </row>
    <row r="85" spans="1:5" x14ac:dyDescent="0.3">
      <c r="A85" s="176" t="s">
        <v>522</v>
      </c>
    </row>
    <row r="86" spans="1:5" x14ac:dyDescent="0.3">
      <c r="A86" s="175" t="s">
        <v>288</v>
      </c>
      <c r="B86" s="175" t="s">
        <v>523</v>
      </c>
      <c r="C86" s="175" t="s">
        <v>524</v>
      </c>
      <c r="D86" s="175" t="s">
        <v>525</v>
      </c>
      <c r="E86" s="175" t="s">
        <v>526</v>
      </c>
    </row>
    <row r="87" spans="1:5" x14ac:dyDescent="0.3">
      <c r="A87" t="s">
        <v>527</v>
      </c>
      <c r="B87" t="s">
        <v>528</v>
      </c>
      <c r="C87" t="s">
        <v>529</v>
      </c>
      <c r="D87" t="s">
        <v>530</v>
      </c>
      <c r="E87" t="s">
        <v>531</v>
      </c>
    </row>
    <row r="88" spans="1:5" ht="31.2" x14ac:dyDescent="0.3">
      <c r="A88" t="s">
        <v>532</v>
      </c>
      <c r="B88" t="s">
        <v>533</v>
      </c>
      <c r="C88" t="s">
        <v>534</v>
      </c>
      <c r="D88" t="s">
        <v>535</v>
      </c>
      <c r="E88" s="321" t="s">
        <v>536</v>
      </c>
    </row>
    <row r="89" spans="1:5" x14ac:dyDescent="0.3">
      <c r="A89" t="s">
        <v>537</v>
      </c>
      <c r="B89" t="s">
        <v>538</v>
      </c>
      <c r="C89">
        <v>30</v>
      </c>
      <c r="D89">
        <v>30</v>
      </c>
      <c r="E89" t="s">
        <v>531</v>
      </c>
    </row>
    <row r="90" spans="1:5" x14ac:dyDescent="0.3">
      <c r="A90" t="s">
        <v>347</v>
      </c>
      <c r="B90" t="s">
        <v>539</v>
      </c>
      <c r="C90" t="s">
        <v>540</v>
      </c>
      <c r="D90" t="s">
        <v>541</v>
      </c>
      <c r="E90" t="s">
        <v>542</v>
      </c>
    </row>
    <row r="91" spans="1:5" x14ac:dyDescent="0.3">
      <c r="A91" s="175" t="s">
        <v>543</v>
      </c>
      <c r="B91" s="175" t="s">
        <v>544</v>
      </c>
      <c r="C91" s="175" t="s">
        <v>545</v>
      </c>
      <c r="D91" s="175" t="s">
        <v>546</v>
      </c>
      <c r="E91" s="310" t="s">
        <v>547</v>
      </c>
    </row>
    <row r="92" spans="1:5" ht="78" x14ac:dyDescent="0.3">
      <c r="A92" t="s">
        <v>548</v>
      </c>
      <c r="B92" s="400" t="s">
        <v>549</v>
      </c>
      <c r="C92" s="400" t="s">
        <v>550</v>
      </c>
      <c r="D92" s="400" t="s">
        <v>551</v>
      </c>
      <c r="E92" s="401" t="s">
        <v>552</v>
      </c>
    </row>
    <row r="93" spans="1:5" ht="31.2" x14ac:dyDescent="0.3">
      <c r="A93" t="s">
        <v>527</v>
      </c>
      <c r="B93" t="s">
        <v>553</v>
      </c>
      <c r="C93" t="s">
        <v>554</v>
      </c>
      <c r="D93" s="321" t="s">
        <v>555</v>
      </c>
      <c r="E93" s="323" t="s">
        <v>556</v>
      </c>
    </row>
    <row r="94" spans="1:5" ht="31.2" x14ac:dyDescent="0.3">
      <c r="A94" t="s">
        <v>346</v>
      </c>
      <c r="B94" t="s">
        <v>533</v>
      </c>
      <c r="C94" t="s">
        <v>557</v>
      </c>
      <c r="D94" s="321" t="s">
        <v>536</v>
      </c>
      <c r="E94" s="311" t="s">
        <v>558</v>
      </c>
    </row>
    <row r="95" spans="1:5" x14ac:dyDescent="0.3">
      <c r="A95" t="s">
        <v>347</v>
      </c>
      <c r="B95" t="s">
        <v>559</v>
      </c>
      <c r="C95" t="s">
        <v>560</v>
      </c>
      <c r="D95" t="s">
        <v>561</v>
      </c>
      <c r="E95" s="311" t="s">
        <v>562</v>
      </c>
    </row>
    <row r="96" spans="1:5" x14ac:dyDescent="0.3">
      <c r="A96" s="174"/>
      <c r="B96" s="174"/>
      <c r="C96" s="174"/>
      <c r="D96" s="174"/>
      <c r="E96" s="312">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2B1D0-080F-4015-B618-842038B1EA16}">
  <sheetPr>
    <tabColor theme="5" tint="0.39997558519241921"/>
  </sheetPr>
  <dimension ref="A1:AC10"/>
  <sheetViews>
    <sheetView topLeftCell="B1" workbookViewId="0">
      <selection activeCell="C19" sqref="C19"/>
    </sheetView>
  </sheetViews>
  <sheetFormatPr defaultRowHeight="15.6" x14ac:dyDescent="0.3"/>
  <cols>
    <col min="1" max="1" width="23.69921875" bestFit="1" customWidth="1"/>
    <col min="3" max="3" width="23.69921875" bestFit="1" customWidth="1"/>
    <col min="4" max="4" width="10.5" bestFit="1" customWidth="1"/>
    <col min="5" max="5" width="10.8984375" bestFit="1" customWidth="1"/>
    <col min="6" max="6" width="11" bestFit="1" customWidth="1"/>
    <col min="7" max="17" width="9.3984375" bestFit="1" customWidth="1"/>
  </cols>
  <sheetData>
    <row r="1" spans="1:29" ht="21" x14ac:dyDescent="0.3">
      <c r="A1" s="10" t="s">
        <v>365</v>
      </c>
    </row>
    <row r="2" spans="1:29" x14ac:dyDescent="0.3">
      <c r="A2" s="11" t="s">
        <v>88</v>
      </c>
      <c r="B2" t="s">
        <v>372</v>
      </c>
    </row>
    <row r="3" spans="1:29" x14ac:dyDescent="0.3">
      <c r="A3" s="11" t="s">
        <v>104</v>
      </c>
      <c r="B3" s="11" t="s">
        <v>724</v>
      </c>
    </row>
    <row r="4" spans="1:29" x14ac:dyDescent="0.3">
      <c r="A4" s="11"/>
      <c r="B4" s="11"/>
    </row>
    <row r="5" spans="1:29" x14ac:dyDescent="0.3">
      <c r="A5" s="11"/>
      <c r="B5" s="11"/>
    </row>
    <row r="7" spans="1:29" ht="18" x14ac:dyDescent="0.3">
      <c r="A7" s="40" t="s">
        <v>18</v>
      </c>
    </row>
    <row r="8" spans="1:29" x14ac:dyDescent="0.3">
      <c r="A8" s="186"/>
      <c r="B8" s="186" t="s">
        <v>457</v>
      </c>
      <c r="C8" s="186" t="s">
        <v>458</v>
      </c>
      <c r="D8" s="186" t="s">
        <v>460</v>
      </c>
      <c r="E8" s="186" t="s">
        <v>459</v>
      </c>
      <c r="F8" s="186" t="s">
        <v>461</v>
      </c>
      <c r="G8" s="186" t="s">
        <v>463</v>
      </c>
      <c r="H8" s="186" t="s">
        <v>464</v>
      </c>
      <c r="I8" s="186" t="s">
        <v>465</v>
      </c>
      <c r="J8" s="186" t="s">
        <v>1</v>
      </c>
      <c r="K8" s="186" t="s">
        <v>2</v>
      </c>
      <c r="L8" s="186" t="s">
        <v>707</v>
      </c>
      <c r="M8" s="186" t="s">
        <v>3</v>
      </c>
      <c r="N8" s="186" t="s">
        <v>467</v>
      </c>
      <c r="O8" s="186" t="s">
        <v>468</v>
      </c>
      <c r="P8" s="186" t="s">
        <v>469</v>
      </c>
      <c r="Q8" s="186" t="s">
        <v>708</v>
      </c>
      <c r="R8" s="186" t="s">
        <v>470</v>
      </c>
      <c r="S8" s="186" t="s">
        <v>5</v>
      </c>
      <c r="T8" s="186" t="s">
        <v>6</v>
      </c>
      <c r="U8" s="186" t="s">
        <v>7</v>
      </c>
      <c r="V8" s="186" t="s">
        <v>8</v>
      </c>
      <c r="W8" s="186" t="s">
        <v>709</v>
      </c>
      <c r="X8" s="186" t="s">
        <v>9</v>
      </c>
      <c r="Y8" s="186" t="s">
        <v>10</v>
      </c>
      <c r="Z8" s="186" t="s">
        <v>710</v>
      </c>
      <c r="AA8" s="186" t="s">
        <v>11</v>
      </c>
      <c r="AB8" s="186" t="s">
        <v>711</v>
      </c>
      <c r="AC8" s="186" t="s">
        <v>13</v>
      </c>
    </row>
    <row r="9" spans="1:29" x14ac:dyDescent="0.3">
      <c r="A9" t="s">
        <v>363</v>
      </c>
      <c r="B9" s="183">
        <v>1.667</v>
      </c>
      <c r="C9" s="183">
        <v>1.3220000000000001</v>
      </c>
      <c r="D9" s="183">
        <v>2.04</v>
      </c>
      <c r="E9" s="183">
        <v>1.18</v>
      </c>
      <c r="F9" s="183">
        <v>0.61199999999999999</v>
      </c>
      <c r="G9" s="183">
        <v>0.504</v>
      </c>
      <c r="H9" s="183">
        <v>1.8240000000000001</v>
      </c>
      <c r="I9" s="183">
        <v>2.399</v>
      </c>
      <c r="J9" s="183">
        <v>1.579</v>
      </c>
      <c r="K9" s="183">
        <v>0.19600000000000001</v>
      </c>
      <c r="L9" s="183">
        <v>0.23300000000000001</v>
      </c>
      <c r="M9" s="183">
        <v>0.78100000000000003</v>
      </c>
      <c r="N9" s="183">
        <v>0.31</v>
      </c>
      <c r="O9" s="183">
        <v>6.4000000000000001E-2</v>
      </c>
      <c r="P9" s="183">
        <v>0.32300000000000001</v>
      </c>
      <c r="Q9" s="183">
        <v>0.38400000000000001</v>
      </c>
      <c r="R9" s="183">
        <v>0.13200000000000001</v>
      </c>
      <c r="S9" s="183">
        <v>2.5070000000000001</v>
      </c>
      <c r="T9" s="183">
        <v>2.7</v>
      </c>
      <c r="U9" s="183">
        <v>0.58799999999999997</v>
      </c>
      <c r="V9" s="183">
        <v>1.302</v>
      </c>
      <c r="W9" s="183">
        <v>0.78200000000000003</v>
      </c>
      <c r="X9" s="183">
        <v>2.0880000000000001</v>
      </c>
      <c r="Y9" s="183">
        <v>0.98599999999999999</v>
      </c>
      <c r="Z9" s="183">
        <v>2.577</v>
      </c>
      <c r="AA9" s="183">
        <v>0.23300000000000001</v>
      </c>
      <c r="AB9" s="183">
        <v>0.47499999999999998</v>
      </c>
      <c r="AC9" s="183">
        <v>0.72899999999999998</v>
      </c>
    </row>
    <row r="10" spans="1:29" x14ac:dyDescent="0.3">
      <c r="A10" s="174" t="s">
        <v>364</v>
      </c>
      <c r="B10" s="185">
        <v>0.105</v>
      </c>
      <c r="C10" s="185">
        <v>1.0349999999999999</v>
      </c>
      <c r="D10" s="185">
        <v>4.2999999999999997E-2</v>
      </c>
      <c r="E10" s="185">
        <v>0.38800000000000001</v>
      </c>
      <c r="F10" s="185">
        <v>0.72699999999999998</v>
      </c>
      <c r="G10" s="185">
        <v>2.7759999999999998</v>
      </c>
      <c r="H10" s="185">
        <v>6.4000000000000001E-2</v>
      </c>
      <c r="I10" s="185">
        <v>0.58699999999999997</v>
      </c>
      <c r="J10" s="185">
        <v>8.7999999999999995E-2</v>
      </c>
      <c r="K10" s="185">
        <v>4.524</v>
      </c>
      <c r="L10" s="185">
        <v>2.5880000000000001</v>
      </c>
      <c r="M10" s="185">
        <v>2.1709999999999998</v>
      </c>
      <c r="N10" s="185">
        <v>3.1240000000000001</v>
      </c>
      <c r="O10" s="185">
        <v>2.6240000000000001</v>
      </c>
      <c r="P10" s="185">
        <v>5.4649999999999999</v>
      </c>
      <c r="Q10" s="185">
        <v>2.0529999999999999</v>
      </c>
      <c r="R10" s="185">
        <v>3.0470000000000002</v>
      </c>
      <c r="S10" s="185">
        <v>2.3E-2</v>
      </c>
      <c r="T10" s="185">
        <v>0.30399999999999999</v>
      </c>
      <c r="U10" s="185">
        <v>1.653</v>
      </c>
      <c r="V10" s="185">
        <v>0.41099999999999998</v>
      </c>
      <c r="W10" s="185">
        <v>1.9670000000000001</v>
      </c>
      <c r="X10" s="185">
        <v>1.2490000000000001</v>
      </c>
      <c r="Y10" s="185">
        <v>0.40500000000000003</v>
      </c>
      <c r="Z10" s="185">
        <v>5.1999999999999998E-2</v>
      </c>
      <c r="AA10" s="185">
        <v>4.7969999999999997</v>
      </c>
      <c r="AB10" s="185">
        <v>2.0939999999999999</v>
      </c>
      <c r="AC10" s="185">
        <v>2.347</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E6771-0D8D-45C0-BDE1-CE3D9AF8995D}">
  <sheetPr>
    <tabColor theme="5" tint="0.39997558519241921"/>
  </sheetPr>
  <dimension ref="A1:X23"/>
  <sheetViews>
    <sheetView workbookViewId="0">
      <selection activeCell="B6" sqref="B6"/>
    </sheetView>
  </sheetViews>
  <sheetFormatPr defaultRowHeight="15.6" x14ac:dyDescent="0.3"/>
  <cols>
    <col min="1" max="1" width="32.19921875" bestFit="1" customWidth="1"/>
    <col min="3" max="3" width="23.69921875" bestFit="1" customWidth="1"/>
    <col min="4" max="4" width="10.5" bestFit="1" customWidth="1"/>
    <col min="5" max="5" width="10.8984375" bestFit="1" customWidth="1"/>
    <col min="6" max="6" width="11" bestFit="1" customWidth="1"/>
    <col min="7" max="17" width="9.3984375" bestFit="1" customWidth="1"/>
  </cols>
  <sheetData>
    <row r="1" spans="1:24" ht="21" x14ac:dyDescent="0.3">
      <c r="A1" s="10" t="s">
        <v>424</v>
      </c>
    </row>
    <row r="2" spans="1:24" x14ac:dyDescent="0.3">
      <c r="A2" s="11" t="s">
        <v>88</v>
      </c>
      <c r="B2" t="str">
        <f>Legend!B87</f>
        <v>S5</v>
      </c>
    </row>
    <row r="3" spans="1:24" x14ac:dyDescent="0.3">
      <c r="A3" s="11" t="s">
        <v>104</v>
      </c>
      <c r="B3" s="11">
        <v>2022</v>
      </c>
    </row>
    <row r="4" spans="1:24" x14ac:dyDescent="0.3">
      <c r="A4" s="11"/>
      <c r="B4" s="11"/>
    </row>
    <row r="5" spans="1:24" x14ac:dyDescent="0.3">
      <c r="A5" s="11"/>
      <c r="B5" s="11"/>
    </row>
    <row r="6" spans="1:24" x14ac:dyDescent="0.3">
      <c r="A6" s="249" t="s">
        <v>421</v>
      </c>
      <c r="B6" s="251">
        <f>0.1</f>
        <v>0.1</v>
      </c>
    </row>
    <row r="7" spans="1:24" ht="18" x14ac:dyDescent="0.3">
      <c r="A7" s="40"/>
    </row>
    <row r="8" spans="1:24" x14ac:dyDescent="0.3">
      <c r="A8" s="7"/>
      <c r="B8" s="7"/>
      <c r="C8" s="7"/>
      <c r="D8" s="7"/>
      <c r="E8" s="7"/>
      <c r="F8" s="7"/>
      <c r="G8" s="7"/>
      <c r="H8" s="7"/>
      <c r="I8" s="7"/>
      <c r="J8" s="7"/>
      <c r="K8" s="7"/>
      <c r="L8" s="7"/>
      <c r="M8" s="7"/>
      <c r="N8" s="7"/>
      <c r="O8" s="7"/>
      <c r="P8" s="7"/>
      <c r="Q8" s="7"/>
      <c r="R8" s="7"/>
      <c r="S8" s="7"/>
      <c r="T8" s="7"/>
      <c r="U8" s="7"/>
      <c r="V8" s="7"/>
      <c r="W8" s="7"/>
      <c r="X8" s="7"/>
    </row>
    <row r="9" spans="1:24" x14ac:dyDescent="0.3">
      <c r="B9" s="183"/>
      <c r="C9" s="183"/>
      <c r="D9" s="183"/>
      <c r="E9" s="183"/>
      <c r="F9" s="183"/>
      <c r="G9" s="183"/>
      <c r="H9" s="183"/>
      <c r="I9" s="183"/>
      <c r="J9" s="183"/>
      <c r="K9" s="183"/>
      <c r="L9" s="183"/>
      <c r="M9" s="183"/>
      <c r="N9" s="183"/>
      <c r="O9" s="183"/>
      <c r="P9" s="183"/>
      <c r="Q9" s="183"/>
      <c r="R9" s="183"/>
      <c r="S9" s="183"/>
      <c r="T9" s="183"/>
      <c r="U9" s="183"/>
      <c r="V9" s="183"/>
      <c r="W9" s="183"/>
      <c r="X9" s="183"/>
    </row>
    <row r="10" spans="1:24" x14ac:dyDescent="0.3">
      <c r="B10" s="183"/>
      <c r="C10" s="183"/>
      <c r="D10" s="183"/>
      <c r="E10" s="183"/>
      <c r="F10" s="183"/>
      <c r="G10" s="183"/>
      <c r="H10" s="183"/>
      <c r="I10" s="183"/>
      <c r="J10" s="183"/>
      <c r="K10" s="183"/>
      <c r="L10" s="183"/>
      <c r="M10" s="183"/>
      <c r="N10" s="183"/>
      <c r="O10" s="183"/>
      <c r="P10" s="183"/>
      <c r="Q10" s="183"/>
      <c r="R10" s="183"/>
      <c r="S10" s="183"/>
      <c r="T10" s="183"/>
      <c r="U10" s="183"/>
      <c r="V10" s="183"/>
      <c r="W10" s="183"/>
      <c r="X10" s="183"/>
    </row>
    <row r="14" spans="1:24" ht="18" x14ac:dyDescent="0.3">
      <c r="A14" s="40"/>
      <c r="D14" s="40"/>
    </row>
    <row r="15" spans="1:24" x14ac:dyDescent="0.3">
      <c r="A15" s="176"/>
      <c r="B15" s="176"/>
      <c r="C15" s="176"/>
      <c r="D15" s="176"/>
      <c r="E15" s="176"/>
      <c r="F15" s="176"/>
      <c r="G15" s="176"/>
      <c r="H15" s="176"/>
      <c r="I15" s="176"/>
      <c r="J15" s="176"/>
      <c r="K15" s="176"/>
      <c r="L15" s="176"/>
      <c r="M15" s="176"/>
      <c r="N15" s="176"/>
      <c r="O15" s="176"/>
      <c r="P15" s="176"/>
      <c r="Q15" s="176"/>
    </row>
    <row r="16" spans="1:24" x14ac:dyDescent="0.3">
      <c r="C16" s="183"/>
      <c r="D16" s="183"/>
      <c r="E16" s="183"/>
      <c r="F16" s="183"/>
      <c r="G16" s="184"/>
      <c r="H16" s="183"/>
      <c r="I16" s="184"/>
      <c r="J16" s="183"/>
      <c r="K16" s="184"/>
      <c r="L16" s="183"/>
      <c r="M16" s="183"/>
      <c r="N16" s="183"/>
      <c r="O16" s="183"/>
      <c r="P16" s="183"/>
      <c r="Q16" s="184"/>
    </row>
    <row r="17" spans="1:24" x14ac:dyDescent="0.3">
      <c r="C17" s="183"/>
      <c r="D17" s="183"/>
      <c r="E17" s="183"/>
      <c r="F17" s="183"/>
      <c r="G17" s="183"/>
      <c r="H17" s="183"/>
      <c r="I17" s="183"/>
      <c r="J17" s="183"/>
      <c r="K17" s="184"/>
      <c r="L17" s="183"/>
      <c r="M17" s="183"/>
      <c r="N17" s="183"/>
      <c r="O17" s="183"/>
      <c r="P17" s="183"/>
      <c r="Q17" s="184"/>
    </row>
    <row r="20" spans="1:24" ht="18" x14ac:dyDescent="0.3">
      <c r="A20" s="40"/>
      <c r="D20" s="40"/>
    </row>
    <row r="21" spans="1:24" x14ac:dyDescent="0.3">
      <c r="A21" s="176"/>
      <c r="B21" s="7"/>
      <c r="C21" s="7"/>
      <c r="D21" s="7"/>
      <c r="E21" s="7"/>
      <c r="F21" s="7"/>
      <c r="G21" s="7"/>
      <c r="H21" s="7"/>
      <c r="I21" s="7"/>
      <c r="J21" s="7"/>
      <c r="K21" s="7"/>
      <c r="L21" s="7"/>
      <c r="M21" s="7"/>
      <c r="N21" s="7"/>
      <c r="O21" s="7"/>
      <c r="P21" s="7"/>
      <c r="Q21" s="7"/>
      <c r="R21" s="7"/>
      <c r="S21" s="7"/>
      <c r="T21" s="7"/>
      <c r="U21" s="7"/>
      <c r="V21" s="7"/>
      <c r="W21" s="7"/>
      <c r="X21" s="7"/>
    </row>
    <row r="22" spans="1:24" x14ac:dyDescent="0.3">
      <c r="B22" s="183"/>
      <c r="C22" s="183"/>
      <c r="D22" s="183"/>
      <c r="E22" s="183"/>
      <c r="F22" s="183"/>
      <c r="G22" s="183"/>
      <c r="H22" s="183"/>
      <c r="I22" s="183"/>
      <c r="J22" s="183"/>
      <c r="K22" s="183"/>
      <c r="L22" s="183"/>
      <c r="M22" s="183"/>
      <c r="N22" s="250"/>
      <c r="O22" s="250"/>
      <c r="P22" s="250"/>
      <c r="Q22" s="250"/>
      <c r="R22" s="183"/>
      <c r="S22" s="183"/>
      <c r="T22" s="183"/>
      <c r="U22" s="183"/>
      <c r="V22" s="183"/>
      <c r="W22" s="183"/>
      <c r="X22" s="183"/>
    </row>
    <row r="23" spans="1:24" x14ac:dyDescent="0.3">
      <c r="B23" s="183"/>
      <c r="C23" s="183"/>
      <c r="D23" s="183"/>
      <c r="E23" s="183"/>
      <c r="F23" s="183"/>
      <c r="G23" s="183"/>
      <c r="H23" s="183"/>
      <c r="I23" s="183"/>
      <c r="J23" s="183"/>
      <c r="K23" s="183"/>
      <c r="L23" s="183"/>
      <c r="M23" s="183"/>
      <c r="N23" s="250"/>
      <c r="O23" s="250"/>
      <c r="P23" s="250"/>
      <c r="Q23" s="250"/>
      <c r="R23" s="183"/>
      <c r="S23" s="183"/>
      <c r="T23" s="183"/>
      <c r="U23" s="183"/>
      <c r="V23" s="183"/>
      <c r="W23" s="183"/>
      <c r="X23" s="18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0D49A-5236-4E92-88EF-8F6DE27F8D80}">
  <sheetPr>
    <tabColor theme="5" tint="0.39997558519241921"/>
  </sheetPr>
  <dimension ref="A1:AC27"/>
  <sheetViews>
    <sheetView zoomScale="70" zoomScaleNormal="70" workbookViewId="0">
      <selection activeCell="D13" sqref="D13"/>
    </sheetView>
  </sheetViews>
  <sheetFormatPr defaultRowHeight="15.6" x14ac:dyDescent="0.3"/>
  <cols>
    <col min="1" max="1" width="11.5" bestFit="1" customWidth="1"/>
    <col min="2" max="2" width="15.3984375" bestFit="1" customWidth="1"/>
    <col min="3" max="3" width="12.59765625" bestFit="1" customWidth="1"/>
    <col min="4" max="4" width="11.5" bestFit="1" customWidth="1"/>
    <col min="5" max="5" width="12.59765625" bestFit="1" customWidth="1"/>
    <col min="6" max="6" width="11.5" bestFit="1" customWidth="1"/>
    <col min="7" max="19" width="12.59765625" bestFit="1" customWidth="1"/>
    <col min="20" max="20" width="11.5" bestFit="1" customWidth="1"/>
    <col min="21" max="21" width="12.59765625" bestFit="1" customWidth="1"/>
    <col min="22" max="22" width="11.5" bestFit="1" customWidth="1"/>
    <col min="23" max="29" width="12.59765625" bestFit="1" customWidth="1"/>
  </cols>
  <sheetData>
    <row r="1" spans="1:29" ht="21" x14ac:dyDescent="0.3">
      <c r="A1" s="10" t="s">
        <v>580</v>
      </c>
    </row>
    <row r="2" spans="1:29" x14ac:dyDescent="0.3">
      <c r="A2" s="11" t="s">
        <v>88</v>
      </c>
      <c r="B2" t="str">
        <f>Legend!B88</f>
        <v>S6</v>
      </c>
    </row>
    <row r="3" spans="1:29" x14ac:dyDescent="0.3">
      <c r="A3" s="11" t="s">
        <v>104</v>
      </c>
      <c r="B3" s="11">
        <v>2021</v>
      </c>
    </row>
    <row r="4" spans="1:29" x14ac:dyDescent="0.3">
      <c r="A4" s="11"/>
    </row>
    <row r="6" spans="1:29" s="631" customFormat="1" x14ac:dyDescent="0.3">
      <c r="A6" s="630" t="s">
        <v>589</v>
      </c>
    </row>
    <row r="7" spans="1:29" s="631" customFormat="1" x14ac:dyDescent="0.3">
      <c r="A7" s="632"/>
      <c r="B7" s="633" t="s">
        <v>457</v>
      </c>
      <c r="C7" s="633" t="s">
        <v>458</v>
      </c>
      <c r="D7" s="633" t="s">
        <v>460</v>
      </c>
      <c r="E7" s="633" t="s">
        <v>459</v>
      </c>
      <c r="F7" s="633" t="s">
        <v>461</v>
      </c>
      <c r="G7" s="633" t="s">
        <v>463</v>
      </c>
      <c r="H7" s="633" t="s">
        <v>464</v>
      </c>
      <c r="I7" s="633" t="s">
        <v>465</v>
      </c>
      <c r="J7" s="633" t="s">
        <v>1</v>
      </c>
      <c r="K7" s="633" t="s">
        <v>2</v>
      </c>
      <c r="L7" s="633" t="s">
        <v>707</v>
      </c>
      <c r="M7" s="633" t="s">
        <v>3</v>
      </c>
      <c r="N7" s="633" t="s">
        <v>467</v>
      </c>
      <c r="O7" s="633" t="s">
        <v>468</v>
      </c>
      <c r="P7" s="633" t="s">
        <v>469</v>
      </c>
      <c r="Q7" s="633" t="s">
        <v>708</v>
      </c>
      <c r="R7" s="633" t="s">
        <v>470</v>
      </c>
      <c r="S7" s="633" t="s">
        <v>5</v>
      </c>
      <c r="T7" s="633" t="s">
        <v>6</v>
      </c>
      <c r="U7" s="633" t="s">
        <v>7</v>
      </c>
      <c r="V7" s="633" t="s">
        <v>8</v>
      </c>
      <c r="W7" s="633" t="s">
        <v>709</v>
      </c>
      <c r="X7" s="633" t="s">
        <v>9</v>
      </c>
      <c r="Y7" s="633" t="s">
        <v>10</v>
      </c>
      <c r="Z7" s="633" t="s">
        <v>710</v>
      </c>
      <c r="AA7" s="633" t="s">
        <v>11</v>
      </c>
      <c r="AB7" s="633" t="s">
        <v>711</v>
      </c>
      <c r="AC7" s="633" t="s">
        <v>13</v>
      </c>
    </row>
    <row r="8" spans="1:29" s="631" customFormat="1" x14ac:dyDescent="0.3">
      <c r="A8" s="633">
        <v>2019</v>
      </c>
      <c r="B8" s="632">
        <v>901583380156.76245</v>
      </c>
      <c r="C8" s="632">
        <v>1081310822026.0332</v>
      </c>
      <c r="D8" s="632">
        <v>962108767624.83118</v>
      </c>
      <c r="E8" s="632">
        <v>1375030034573.4192</v>
      </c>
      <c r="F8" s="632">
        <v>1467533691512.4668</v>
      </c>
      <c r="G8" s="632">
        <v>1255896157531.4299</v>
      </c>
      <c r="H8" s="632">
        <v>3337484156561.6187</v>
      </c>
      <c r="I8" s="632">
        <v>2476628403620.2266</v>
      </c>
      <c r="J8" s="632">
        <v>3110058648864.814</v>
      </c>
      <c r="K8" s="632">
        <v>1848819479308.7036</v>
      </c>
      <c r="L8" s="632">
        <v>472366977046.32922</v>
      </c>
      <c r="M8" s="632">
        <v>22940028175853.219</v>
      </c>
      <c r="N8" s="632">
        <v>1213236003080.9631</v>
      </c>
      <c r="O8" s="632">
        <v>4102785300270.4492</v>
      </c>
      <c r="P8" s="632">
        <v>3170041389754.5645</v>
      </c>
      <c r="Q8" s="632">
        <v>8310056119860.9102</v>
      </c>
      <c r="R8" s="632">
        <v>8197206902457.8848</v>
      </c>
      <c r="S8" s="632">
        <v>5142389980089.5186</v>
      </c>
      <c r="T8" s="632">
        <v>9152232057232.4707</v>
      </c>
      <c r="U8" s="632">
        <v>5274812557081.9053</v>
      </c>
      <c r="V8" s="632">
        <v>3632848035382.708</v>
      </c>
      <c r="W8" s="632">
        <v>2925540395312.3643</v>
      </c>
      <c r="X8" s="632">
        <v>4688198448419.7002</v>
      </c>
      <c r="Y8" s="632">
        <v>2570997785177.1157</v>
      </c>
      <c r="Z8" s="632">
        <v>1032048476470.2283</v>
      </c>
      <c r="AA8" s="632">
        <v>4000008260827.5322</v>
      </c>
      <c r="AB8" s="632">
        <v>2213390745844.1982</v>
      </c>
      <c r="AC8" s="632">
        <v>20511077482157.891</v>
      </c>
    </row>
    <row r="9" spans="1:29" s="631" customFormat="1" x14ac:dyDescent="0.3"/>
    <row r="10" spans="1:29" s="631" customFormat="1" x14ac:dyDescent="0.3">
      <c r="A10" s="631" t="s">
        <v>577</v>
      </c>
    </row>
    <row r="11" spans="1:29" s="631" customFormat="1" x14ac:dyDescent="0.3"/>
    <row r="12" spans="1:29" s="631" customFormat="1" x14ac:dyDescent="0.3"/>
    <row r="13" spans="1:29" s="631" customFormat="1" x14ac:dyDescent="0.3"/>
    <row r="14" spans="1:29" s="631" customFormat="1" x14ac:dyDescent="0.3">
      <c r="A14" s="634" t="s">
        <v>587</v>
      </c>
    </row>
    <row r="15" spans="1:29" s="631" customFormat="1" x14ac:dyDescent="0.3">
      <c r="A15" s="632"/>
      <c r="B15" s="633" t="s">
        <v>457</v>
      </c>
      <c r="C15" s="633" t="s">
        <v>458</v>
      </c>
      <c r="D15" s="633" t="s">
        <v>460</v>
      </c>
      <c r="E15" s="633" t="s">
        <v>459</v>
      </c>
      <c r="F15" s="633" t="s">
        <v>461</v>
      </c>
      <c r="G15" s="633" t="s">
        <v>463</v>
      </c>
      <c r="H15" s="633" t="s">
        <v>464</v>
      </c>
      <c r="I15" s="633" t="s">
        <v>465</v>
      </c>
      <c r="J15" s="633" t="s">
        <v>1</v>
      </c>
      <c r="K15" s="633" t="s">
        <v>2</v>
      </c>
      <c r="L15" s="633" t="s">
        <v>707</v>
      </c>
      <c r="M15" s="633" t="s">
        <v>3</v>
      </c>
      <c r="N15" s="633" t="s">
        <v>467</v>
      </c>
      <c r="O15" s="633" t="s">
        <v>468</v>
      </c>
      <c r="P15" s="633" t="s">
        <v>469</v>
      </c>
      <c r="Q15" s="633" t="s">
        <v>708</v>
      </c>
      <c r="R15" s="633" t="s">
        <v>470</v>
      </c>
      <c r="S15" s="633" t="s">
        <v>5</v>
      </c>
      <c r="T15" s="633" t="s">
        <v>6</v>
      </c>
      <c r="U15" s="633" t="s">
        <v>7</v>
      </c>
      <c r="V15" s="633" t="s">
        <v>8</v>
      </c>
      <c r="W15" s="633" t="s">
        <v>709</v>
      </c>
      <c r="X15" s="633" t="s">
        <v>9</v>
      </c>
      <c r="Y15" s="633" t="s">
        <v>10</v>
      </c>
      <c r="Z15" s="633" t="s">
        <v>710</v>
      </c>
      <c r="AA15" s="633" t="s">
        <v>11</v>
      </c>
      <c r="AB15" s="633" t="s">
        <v>711</v>
      </c>
      <c r="AC15" s="633" t="s">
        <v>13</v>
      </c>
    </row>
    <row r="16" spans="1:29" s="631" customFormat="1" x14ac:dyDescent="0.3">
      <c r="A16" s="633">
        <v>2019</v>
      </c>
      <c r="B16" s="632">
        <v>336554966</v>
      </c>
      <c r="C16" s="632">
        <v>97628178</v>
      </c>
      <c r="D16" s="632">
        <v>362313724</v>
      </c>
      <c r="E16" s="632">
        <v>220449861</v>
      </c>
      <c r="F16" s="632">
        <v>30314026</v>
      </c>
      <c r="G16" s="632">
        <v>131612621</v>
      </c>
      <c r="H16" s="632">
        <v>227619415</v>
      </c>
      <c r="I16" s="632">
        <v>440212457</v>
      </c>
      <c r="J16" s="632">
        <v>211782878</v>
      </c>
      <c r="K16" s="632">
        <v>37601230</v>
      </c>
      <c r="L16" s="632">
        <v>19039485</v>
      </c>
      <c r="M16" s="632">
        <v>1415252900</v>
      </c>
      <c r="N16" s="632">
        <v>79572069</v>
      </c>
      <c r="O16" s="632">
        <v>81191233</v>
      </c>
      <c r="P16" s="632">
        <v>96944390</v>
      </c>
      <c r="Q16" s="632">
        <v>197026840</v>
      </c>
      <c r="R16" s="632">
        <v>148160241</v>
      </c>
      <c r="S16" s="632">
        <v>475740398</v>
      </c>
      <c r="T16" s="632">
        <v>1383112050</v>
      </c>
      <c r="U16" s="632">
        <v>126633000</v>
      </c>
      <c r="V16" s="632">
        <v>289313996</v>
      </c>
      <c r="W16" s="632">
        <v>128212281</v>
      </c>
      <c r="X16" s="632">
        <v>218058723</v>
      </c>
      <c r="Y16" s="632">
        <v>125085311</v>
      </c>
      <c r="Z16" s="632">
        <v>203304492</v>
      </c>
      <c r="AA16" s="632">
        <v>144406261</v>
      </c>
      <c r="AB16" s="632">
        <v>51764822</v>
      </c>
      <c r="AC16" s="632">
        <v>328329953</v>
      </c>
    </row>
    <row r="17" spans="1:29" s="631" customFormat="1" x14ac:dyDescent="0.3"/>
    <row r="18" spans="1:29" s="631" customFormat="1" x14ac:dyDescent="0.3">
      <c r="A18" s="631" t="s">
        <v>577</v>
      </c>
    </row>
    <row r="19" spans="1:29" s="631" customFormat="1" x14ac:dyDescent="0.3"/>
    <row r="20" spans="1:29" s="631" customFormat="1" x14ac:dyDescent="0.3"/>
    <row r="21" spans="1:29" s="631" customFormat="1" x14ac:dyDescent="0.3"/>
    <row r="22" spans="1:29" s="631" customFormat="1" x14ac:dyDescent="0.3">
      <c r="A22" s="634" t="s">
        <v>590</v>
      </c>
    </row>
    <row r="23" spans="1:29" s="631" customFormat="1" x14ac:dyDescent="0.3">
      <c r="A23" s="632"/>
      <c r="B23" s="633" t="s">
        <v>457</v>
      </c>
      <c r="C23" s="633" t="s">
        <v>458</v>
      </c>
      <c r="D23" s="633" t="s">
        <v>460</v>
      </c>
      <c r="E23" s="633" t="s">
        <v>459</v>
      </c>
      <c r="F23" s="633" t="s">
        <v>461</v>
      </c>
      <c r="G23" s="633" t="s">
        <v>463</v>
      </c>
      <c r="H23" s="633" t="s">
        <v>464</v>
      </c>
      <c r="I23" s="633" t="s">
        <v>465</v>
      </c>
      <c r="J23" s="633" t="s">
        <v>1</v>
      </c>
      <c r="K23" s="633" t="s">
        <v>2</v>
      </c>
      <c r="L23" s="633" t="s">
        <v>707</v>
      </c>
      <c r="M23" s="633" t="s">
        <v>3</v>
      </c>
      <c r="N23" s="633" t="s">
        <v>467</v>
      </c>
      <c r="O23" s="633" t="s">
        <v>468</v>
      </c>
      <c r="P23" s="633" t="s">
        <v>469</v>
      </c>
      <c r="Q23" s="633" t="s">
        <v>708</v>
      </c>
      <c r="R23" s="633" t="s">
        <v>470</v>
      </c>
      <c r="S23" s="633" t="s">
        <v>5</v>
      </c>
      <c r="T23" s="633" t="s">
        <v>6</v>
      </c>
      <c r="U23" s="633" t="s">
        <v>7</v>
      </c>
      <c r="V23" s="633" t="s">
        <v>8</v>
      </c>
      <c r="W23" s="633" t="s">
        <v>709</v>
      </c>
      <c r="X23" s="633" t="s">
        <v>9</v>
      </c>
      <c r="Y23" s="633" t="s">
        <v>10</v>
      </c>
      <c r="Z23" s="633" t="s">
        <v>710</v>
      </c>
      <c r="AA23" s="633" t="s">
        <v>11</v>
      </c>
      <c r="AB23" s="633" t="s">
        <v>711</v>
      </c>
      <c r="AC23" s="633" t="s">
        <v>13</v>
      </c>
    </row>
    <row r="24" spans="1:29" s="631" customFormat="1" x14ac:dyDescent="0.3">
      <c r="A24" s="633">
        <v>2019</v>
      </c>
      <c r="B24" s="632">
        <f t="shared" ref="B24:AC24" si="0">B8/B16</f>
        <v>2678.8592391673769</v>
      </c>
      <c r="C24" s="632">
        <f t="shared" si="0"/>
        <v>11075.806638796774</v>
      </c>
      <c r="D24" s="632">
        <f t="shared" si="0"/>
        <v>2655.4576983808406</v>
      </c>
      <c r="E24" s="632">
        <f t="shared" si="0"/>
        <v>6237.3821799480256</v>
      </c>
      <c r="F24" s="632">
        <f t="shared" si="0"/>
        <v>48411.045484768889</v>
      </c>
      <c r="G24" s="632">
        <f t="shared" si="0"/>
        <v>9542.3687180534907</v>
      </c>
      <c r="H24" s="632">
        <f t="shared" si="0"/>
        <v>14662.563633078569</v>
      </c>
      <c r="I24" s="632">
        <f t="shared" si="0"/>
        <v>5625.9843724054963</v>
      </c>
      <c r="J24" s="632">
        <f t="shared" si="0"/>
        <v>14685.12789246737</v>
      </c>
      <c r="K24" s="632">
        <f t="shared" si="0"/>
        <v>49169.122374685714</v>
      </c>
      <c r="L24" s="632">
        <f t="shared" si="0"/>
        <v>24809.86103596443</v>
      </c>
      <c r="M24" s="632">
        <f t="shared" si="0"/>
        <v>16209.137021272465</v>
      </c>
      <c r="N24" s="632">
        <f t="shared" si="0"/>
        <v>15247.008382815371</v>
      </c>
      <c r="O24" s="632">
        <f t="shared" si="0"/>
        <v>50532.368442667314</v>
      </c>
      <c r="P24" s="632">
        <f t="shared" si="0"/>
        <v>32699.585708410403</v>
      </c>
      <c r="Q24" s="632">
        <f t="shared" si="0"/>
        <v>42177.279602418181</v>
      </c>
      <c r="R24" s="632">
        <f t="shared" si="0"/>
        <v>55326.630458557942</v>
      </c>
      <c r="S24" s="632">
        <f t="shared" si="0"/>
        <v>10809.235460574695</v>
      </c>
      <c r="T24" s="632">
        <f t="shared" si="0"/>
        <v>6617.1298682796314</v>
      </c>
      <c r="U24" s="632">
        <f t="shared" si="0"/>
        <v>41654.328311592595</v>
      </c>
      <c r="V24" s="632">
        <f t="shared" si="0"/>
        <v>12556.765609717368</v>
      </c>
      <c r="W24" s="632">
        <f t="shared" si="0"/>
        <v>22817.942029378326</v>
      </c>
      <c r="X24" s="632">
        <f t="shared" si="0"/>
        <v>21499.70606046198</v>
      </c>
      <c r="Y24" s="632">
        <f t="shared" si="0"/>
        <v>20553.954454149422</v>
      </c>
      <c r="Z24" s="632">
        <f t="shared" si="0"/>
        <v>5076.3682903289136</v>
      </c>
      <c r="AA24" s="632">
        <f t="shared" si="0"/>
        <v>27699.687209736232</v>
      </c>
      <c r="AB24" s="632">
        <f t="shared" si="0"/>
        <v>42758.588947609984</v>
      </c>
      <c r="AC24" s="632">
        <f t="shared" si="0"/>
        <v>62470.929912866923</v>
      </c>
    </row>
    <row r="25" spans="1:29" s="631" customFormat="1" x14ac:dyDescent="0.3"/>
    <row r="27" spans="1:29" x14ac:dyDescent="0.3">
      <c r="A27" t="s">
        <v>577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D92B3-7BB7-4581-87E9-112725991FB2}">
  <sheetPr>
    <tabColor theme="5" tint="0.39997558519241921"/>
  </sheetPr>
  <dimension ref="B1:AF65"/>
  <sheetViews>
    <sheetView topLeftCell="A44" zoomScale="70" zoomScaleNormal="70" workbookViewId="0">
      <selection activeCell="A72" sqref="A72:XFD76"/>
    </sheetView>
  </sheetViews>
  <sheetFormatPr defaultColWidth="9" defaultRowHeight="14.4" x14ac:dyDescent="0.3"/>
  <cols>
    <col min="1" max="1" width="1.8984375" style="334" bestFit="1" customWidth="1"/>
    <col min="2" max="2" width="17.19921875" style="334" customWidth="1"/>
    <col min="3" max="3" width="13.3984375" style="334" customWidth="1"/>
    <col min="4" max="4" width="14" style="334" customWidth="1"/>
    <col min="5" max="16384" width="9" style="334"/>
  </cols>
  <sheetData>
    <row r="1" spans="2:32" ht="25.8" x14ac:dyDescent="0.5">
      <c r="B1" s="332" t="s">
        <v>497</v>
      </c>
      <c r="C1" s="332" t="s">
        <v>582</v>
      </c>
      <c r="D1" s="333" t="s">
        <v>584</v>
      </c>
    </row>
    <row r="3" spans="2:32" ht="23.4" x14ac:dyDescent="0.45">
      <c r="E3" s="335" t="s">
        <v>453</v>
      </c>
    </row>
    <row r="4" spans="2:32" ht="23.4" x14ac:dyDescent="0.45">
      <c r="E4" s="336" t="s">
        <v>454</v>
      </c>
      <c r="F4" s="337"/>
      <c r="G4" s="337"/>
      <c r="H4" s="337"/>
      <c r="I4" s="337"/>
      <c r="J4" s="337"/>
      <c r="K4" s="337"/>
    </row>
    <row r="5" spans="2:32" ht="23.4" x14ac:dyDescent="0.45">
      <c r="E5" s="338" t="s">
        <v>455</v>
      </c>
      <c r="F5" s="339"/>
      <c r="G5" s="339"/>
      <c r="H5" s="339"/>
      <c r="I5" s="339"/>
      <c r="J5" s="339"/>
      <c r="K5" s="339"/>
      <c r="L5" s="339"/>
      <c r="M5" s="339"/>
      <c r="N5" s="339"/>
      <c r="O5" s="339"/>
      <c r="P5" s="339"/>
      <c r="Q5" s="339"/>
      <c r="R5" s="339"/>
      <c r="S5" s="339"/>
      <c r="T5" s="339"/>
    </row>
    <row r="7" spans="2:32" ht="15" thickBot="1" x14ac:dyDescent="0.35">
      <c r="B7" s="340" t="s">
        <v>89</v>
      </c>
      <c r="C7" s="340" t="s">
        <v>456</v>
      </c>
      <c r="D7" s="340" t="s">
        <v>98</v>
      </c>
      <c r="E7" s="363" t="s">
        <v>457</v>
      </c>
      <c r="F7" s="363" t="s">
        <v>458</v>
      </c>
      <c r="G7" s="363" t="s">
        <v>460</v>
      </c>
      <c r="H7" s="363" t="s">
        <v>459</v>
      </c>
      <c r="I7" s="363" t="s">
        <v>461</v>
      </c>
      <c r="J7" s="363" t="s">
        <v>463</v>
      </c>
      <c r="K7" s="363" t="s">
        <v>464</v>
      </c>
      <c r="L7" s="363" t="s">
        <v>465</v>
      </c>
      <c r="M7" s="363" t="s">
        <v>1</v>
      </c>
      <c r="N7" s="363" t="s">
        <v>2</v>
      </c>
      <c r="O7" s="363" t="s">
        <v>707</v>
      </c>
      <c r="P7" s="363" t="s">
        <v>3</v>
      </c>
      <c r="Q7" s="363" t="s">
        <v>467</v>
      </c>
      <c r="R7" s="363" t="s">
        <v>468</v>
      </c>
      <c r="S7" s="363" t="s">
        <v>469</v>
      </c>
      <c r="T7" s="363" t="s">
        <v>708</v>
      </c>
      <c r="U7" s="363" t="s">
        <v>470</v>
      </c>
      <c r="V7" s="363" t="s">
        <v>5</v>
      </c>
      <c r="W7" s="363" t="s">
        <v>6</v>
      </c>
      <c r="X7" s="363" t="s">
        <v>7</v>
      </c>
      <c r="Y7" s="363" t="s">
        <v>8</v>
      </c>
      <c r="Z7" s="363" t="s">
        <v>709</v>
      </c>
      <c r="AA7" s="363" t="s">
        <v>9</v>
      </c>
      <c r="AB7" s="363" t="s">
        <v>10</v>
      </c>
      <c r="AC7" s="363" t="s">
        <v>710</v>
      </c>
      <c r="AD7" s="363" t="s">
        <v>11</v>
      </c>
      <c r="AE7" s="363" t="s">
        <v>711</v>
      </c>
      <c r="AF7" s="363" t="s">
        <v>13</v>
      </c>
    </row>
    <row r="8" spans="2:32" x14ac:dyDescent="0.3">
      <c r="B8" s="341" t="s">
        <v>498</v>
      </c>
      <c r="C8" s="465" t="s">
        <v>602</v>
      </c>
      <c r="D8" s="465" t="s">
        <v>563</v>
      </c>
      <c r="E8" s="364">
        <v>0.1</v>
      </c>
      <c r="F8" s="364">
        <v>0.1</v>
      </c>
      <c r="G8" s="364">
        <v>0.1</v>
      </c>
      <c r="H8" s="364">
        <v>0.1</v>
      </c>
      <c r="I8" s="364">
        <v>0.55000000000000004</v>
      </c>
      <c r="J8" s="364">
        <v>0.7</v>
      </c>
      <c r="K8" s="364">
        <v>0.08</v>
      </c>
      <c r="L8" s="364">
        <v>0.08</v>
      </c>
      <c r="M8" s="364">
        <v>0.1</v>
      </c>
      <c r="N8" s="364">
        <v>0.75</v>
      </c>
      <c r="O8" s="364">
        <v>0.1</v>
      </c>
      <c r="P8" s="364">
        <v>0.15</v>
      </c>
      <c r="Q8" s="364">
        <v>0.7</v>
      </c>
      <c r="R8" s="364">
        <v>0.52500000000000002</v>
      </c>
      <c r="S8" s="364">
        <v>0.7</v>
      </c>
      <c r="T8" s="364">
        <v>0.52500000000000002</v>
      </c>
      <c r="U8" s="364">
        <v>0.52500000000000002</v>
      </c>
      <c r="V8" s="364">
        <v>0.08</v>
      </c>
      <c r="W8" s="364">
        <v>0.05</v>
      </c>
      <c r="X8" s="364">
        <v>0.12</v>
      </c>
      <c r="Y8" s="364">
        <v>0.1</v>
      </c>
      <c r="Z8" s="364">
        <v>0.05</v>
      </c>
      <c r="AA8" s="364">
        <v>0.05</v>
      </c>
      <c r="AB8" s="364">
        <v>0.1</v>
      </c>
      <c r="AC8" s="364">
        <v>0.1</v>
      </c>
      <c r="AD8" s="364">
        <v>0.7</v>
      </c>
      <c r="AE8" s="364">
        <v>0.3</v>
      </c>
      <c r="AF8" s="364">
        <v>0.56526787496912123</v>
      </c>
    </row>
    <row r="9" spans="2:32" x14ac:dyDescent="0.3">
      <c r="B9" s="341" t="s">
        <v>498</v>
      </c>
      <c r="C9" s="466" t="s">
        <v>602</v>
      </c>
      <c r="D9" s="465" t="s">
        <v>630</v>
      </c>
      <c r="E9" s="364">
        <v>0</v>
      </c>
      <c r="F9" s="364">
        <v>0</v>
      </c>
      <c r="G9" s="364">
        <v>0</v>
      </c>
      <c r="H9" s="364">
        <v>0</v>
      </c>
      <c r="I9" s="364">
        <v>0</v>
      </c>
      <c r="J9" s="364">
        <v>0.01</v>
      </c>
      <c r="K9" s="364">
        <v>0.02</v>
      </c>
      <c r="L9" s="364">
        <v>0.02</v>
      </c>
      <c r="M9" s="364">
        <v>0</v>
      </c>
      <c r="N9" s="364">
        <v>0</v>
      </c>
      <c r="O9" s="364">
        <v>0</v>
      </c>
      <c r="P9" s="364">
        <v>0.05</v>
      </c>
      <c r="Q9" s="364">
        <v>0.01</v>
      </c>
      <c r="R9" s="364">
        <v>5.0000000000000001E-3</v>
      </c>
      <c r="S9" s="364">
        <v>0.01</v>
      </c>
      <c r="T9" s="364">
        <v>5.0000000000000001E-3</v>
      </c>
      <c r="U9" s="364">
        <v>5.0000000000000001E-3</v>
      </c>
      <c r="V9" s="364">
        <v>0.02</v>
      </c>
      <c r="W9" s="364">
        <v>0</v>
      </c>
      <c r="X9" s="364">
        <v>0.06</v>
      </c>
      <c r="Y9" s="364">
        <v>0</v>
      </c>
      <c r="Z9" s="364">
        <v>0.01</v>
      </c>
      <c r="AA9" s="364">
        <v>0.01</v>
      </c>
      <c r="AB9" s="364">
        <v>0</v>
      </c>
      <c r="AC9" s="364">
        <v>0</v>
      </c>
      <c r="AD9" s="364">
        <v>0.01</v>
      </c>
      <c r="AE9" s="364">
        <v>0.05</v>
      </c>
      <c r="AF9" s="364">
        <v>6.1803959920273691E-3</v>
      </c>
    </row>
    <row r="10" spans="2:32" x14ac:dyDescent="0.3">
      <c r="B10" s="341" t="s">
        <v>498</v>
      </c>
      <c r="C10" s="466" t="s">
        <v>602</v>
      </c>
      <c r="D10" s="465" t="s">
        <v>563</v>
      </c>
      <c r="E10" s="364">
        <v>0.2</v>
      </c>
      <c r="F10" s="364">
        <v>0.2</v>
      </c>
      <c r="G10" s="364">
        <v>0.2</v>
      </c>
      <c r="H10" s="364">
        <v>0.2</v>
      </c>
      <c r="I10" s="364">
        <v>0.35</v>
      </c>
      <c r="J10" s="364">
        <v>0.1</v>
      </c>
      <c r="K10" s="364">
        <v>0.4</v>
      </c>
      <c r="L10" s="364">
        <v>0.4</v>
      </c>
      <c r="M10" s="364">
        <v>0.2</v>
      </c>
      <c r="N10" s="364">
        <v>0.1</v>
      </c>
      <c r="O10" s="364">
        <v>0.2</v>
      </c>
      <c r="P10" s="364">
        <v>0.25</v>
      </c>
      <c r="Q10" s="364">
        <v>0.1</v>
      </c>
      <c r="R10" s="364">
        <v>0.27</v>
      </c>
      <c r="S10" s="364">
        <v>0.1</v>
      </c>
      <c r="T10" s="364">
        <v>0.27</v>
      </c>
      <c r="U10" s="364">
        <v>0.27</v>
      </c>
      <c r="V10" s="364">
        <v>0.4</v>
      </c>
      <c r="W10" s="364">
        <v>0.25</v>
      </c>
      <c r="X10" s="364">
        <v>0.39</v>
      </c>
      <c r="Y10" s="364">
        <v>0.2</v>
      </c>
      <c r="Z10" s="364">
        <v>0.15</v>
      </c>
      <c r="AA10" s="364">
        <v>0.15</v>
      </c>
      <c r="AB10" s="364">
        <v>0.2</v>
      </c>
      <c r="AC10" s="364">
        <v>0.2</v>
      </c>
      <c r="AD10" s="364">
        <v>0.1</v>
      </c>
      <c r="AE10" s="364">
        <v>0.4</v>
      </c>
      <c r="AF10" s="364">
        <v>0.26468642453242008</v>
      </c>
    </row>
    <row r="11" spans="2:32" x14ac:dyDescent="0.3">
      <c r="B11" s="341" t="s">
        <v>498</v>
      </c>
      <c r="C11" s="466" t="s">
        <v>602</v>
      </c>
      <c r="D11" s="465" t="s">
        <v>631</v>
      </c>
      <c r="E11" s="364">
        <v>0.7</v>
      </c>
      <c r="F11" s="364">
        <v>0.7</v>
      </c>
      <c r="G11" s="364">
        <v>0.7</v>
      </c>
      <c r="H11" s="364">
        <v>0.7</v>
      </c>
      <c r="I11" s="364">
        <v>0.1</v>
      </c>
      <c r="J11" s="364">
        <v>0.19</v>
      </c>
      <c r="K11" s="364">
        <v>0.5</v>
      </c>
      <c r="L11" s="364">
        <v>0.5</v>
      </c>
      <c r="M11" s="364">
        <v>0.7</v>
      </c>
      <c r="N11" s="364">
        <v>0.1</v>
      </c>
      <c r="O11" s="364">
        <v>0.7</v>
      </c>
      <c r="P11" s="364">
        <v>0.55000000000000004</v>
      </c>
      <c r="Q11" s="364">
        <v>0.19</v>
      </c>
      <c r="R11" s="364">
        <v>0.2</v>
      </c>
      <c r="S11" s="364">
        <v>0.19</v>
      </c>
      <c r="T11" s="364">
        <v>0.2</v>
      </c>
      <c r="U11" s="364">
        <v>0.2</v>
      </c>
      <c r="V11" s="364">
        <v>0.5</v>
      </c>
      <c r="W11" s="364">
        <v>0.7</v>
      </c>
      <c r="X11" s="364">
        <v>0.43</v>
      </c>
      <c r="Y11" s="364">
        <v>0.7</v>
      </c>
      <c r="Z11" s="364">
        <v>0.79</v>
      </c>
      <c r="AA11" s="364">
        <v>0.79</v>
      </c>
      <c r="AB11" s="364">
        <v>0.7</v>
      </c>
      <c r="AC11" s="364">
        <v>0.7</v>
      </c>
      <c r="AD11" s="364">
        <v>0.19</v>
      </c>
      <c r="AE11" s="364">
        <v>0.25</v>
      </c>
      <c r="AF11" s="364">
        <v>8.4512505456649664E-2</v>
      </c>
    </row>
    <row r="12" spans="2:32" x14ac:dyDescent="0.3">
      <c r="B12" s="341" t="s">
        <v>498</v>
      </c>
      <c r="C12" s="466" t="s">
        <v>602</v>
      </c>
      <c r="D12" s="465" t="s">
        <v>632</v>
      </c>
      <c r="E12" s="364">
        <v>0</v>
      </c>
      <c r="F12" s="364">
        <v>0</v>
      </c>
      <c r="G12" s="364">
        <v>0</v>
      </c>
      <c r="H12" s="364">
        <v>0</v>
      </c>
      <c r="I12" s="364">
        <v>0</v>
      </c>
      <c r="J12" s="364">
        <v>0</v>
      </c>
      <c r="K12" s="364">
        <v>0</v>
      </c>
      <c r="L12" s="364">
        <v>0</v>
      </c>
      <c r="M12" s="364">
        <v>0</v>
      </c>
      <c r="N12" s="364">
        <v>0.05</v>
      </c>
      <c r="O12" s="364">
        <v>0</v>
      </c>
      <c r="P12" s="364">
        <v>0</v>
      </c>
      <c r="Q12" s="364">
        <v>0</v>
      </c>
      <c r="R12" s="364">
        <v>0</v>
      </c>
      <c r="S12" s="364">
        <v>0</v>
      </c>
      <c r="T12" s="364">
        <v>0</v>
      </c>
      <c r="U12" s="364">
        <v>0</v>
      </c>
      <c r="V12" s="364">
        <v>0</v>
      </c>
      <c r="W12" s="364">
        <v>0</v>
      </c>
      <c r="X12" s="364">
        <v>0</v>
      </c>
      <c r="Y12" s="364">
        <v>0</v>
      </c>
      <c r="Z12" s="364">
        <v>0</v>
      </c>
      <c r="AA12" s="364">
        <v>0</v>
      </c>
      <c r="AB12" s="364">
        <v>0</v>
      </c>
      <c r="AC12" s="364">
        <v>0</v>
      </c>
      <c r="AD12" s="364">
        <v>0</v>
      </c>
      <c r="AE12" s="364">
        <v>0</v>
      </c>
      <c r="AF12" s="364">
        <v>7.9352799049781569E-2</v>
      </c>
    </row>
    <row r="13" spans="2:32" x14ac:dyDescent="0.3">
      <c r="B13" s="342"/>
      <c r="C13" s="467"/>
      <c r="D13" s="469" t="s">
        <v>474</v>
      </c>
      <c r="E13" s="343">
        <f>IF(E$7="","",IF(SUM(E8:E12)=0,"",IF(SUM(E8:E12)&lt;&gt;1,"CHECK",SUM(E8:E12))))</f>
        <v>1</v>
      </c>
      <c r="F13" s="343">
        <f t="shared" ref="F13:AF13" si="0">IF(F$7="","",IF(SUM(F8:F12)=0,"",IF(SUM(F8:F12)&lt;&gt;1,"CHECK",SUM(F8:F12))))</f>
        <v>1</v>
      </c>
      <c r="G13" s="343">
        <f t="shared" si="0"/>
        <v>1</v>
      </c>
      <c r="H13" s="343">
        <f t="shared" si="0"/>
        <v>1</v>
      </c>
      <c r="I13" s="343">
        <f t="shared" si="0"/>
        <v>1</v>
      </c>
      <c r="J13" s="343">
        <f t="shared" si="0"/>
        <v>1</v>
      </c>
      <c r="K13" s="343">
        <f t="shared" si="0"/>
        <v>1</v>
      </c>
      <c r="L13" s="343">
        <f t="shared" si="0"/>
        <v>1</v>
      </c>
      <c r="M13" s="343">
        <f t="shared" si="0"/>
        <v>1</v>
      </c>
      <c r="N13" s="343">
        <f t="shared" si="0"/>
        <v>1</v>
      </c>
      <c r="O13" s="343">
        <f t="shared" si="0"/>
        <v>1</v>
      </c>
      <c r="P13" s="343">
        <f t="shared" si="0"/>
        <v>1</v>
      </c>
      <c r="Q13" s="343">
        <f t="shared" si="0"/>
        <v>1</v>
      </c>
      <c r="R13" s="343">
        <f t="shared" si="0"/>
        <v>1</v>
      </c>
      <c r="S13" s="343">
        <f t="shared" si="0"/>
        <v>1</v>
      </c>
      <c r="T13" s="343">
        <f t="shared" si="0"/>
        <v>1</v>
      </c>
      <c r="U13" s="343">
        <f t="shared" si="0"/>
        <v>1</v>
      </c>
      <c r="V13" s="343">
        <f t="shared" si="0"/>
        <v>1</v>
      </c>
      <c r="W13" s="343">
        <f t="shared" si="0"/>
        <v>1</v>
      </c>
      <c r="X13" s="343">
        <f t="shared" si="0"/>
        <v>1</v>
      </c>
      <c r="Y13" s="343">
        <f t="shared" si="0"/>
        <v>1</v>
      </c>
      <c r="Z13" s="343">
        <f t="shared" si="0"/>
        <v>1</v>
      </c>
      <c r="AA13" s="343">
        <f t="shared" si="0"/>
        <v>1</v>
      </c>
      <c r="AB13" s="343">
        <f t="shared" si="0"/>
        <v>1</v>
      </c>
      <c r="AC13" s="343">
        <f t="shared" si="0"/>
        <v>1</v>
      </c>
      <c r="AD13" s="343">
        <f t="shared" si="0"/>
        <v>1</v>
      </c>
      <c r="AE13" s="343">
        <f t="shared" si="0"/>
        <v>1</v>
      </c>
      <c r="AF13" s="343">
        <f t="shared" si="0"/>
        <v>0.99999999999999989</v>
      </c>
    </row>
    <row r="14" spans="2:32" x14ac:dyDescent="0.3">
      <c r="B14" s="341" t="s">
        <v>498</v>
      </c>
      <c r="C14" s="465" t="s">
        <v>603</v>
      </c>
      <c r="D14" s="465" t="s">
        <v>563</v>
      </c>
      <c r="E14" s="364">
        <v>0.3</v>
      </c>
      <c r="F14" s="364">
        <v>0.3</v>
      </c>
      <c r="G14" s="364">
        <v>0.3</v>
      </c>
      <c r="H14" s="364">
        <v>0.3</v>
      </c>
      <c r="I14" s="364">
        <v>0.8</v>
      </c>
      <c r="J14" s="364">
        <v>0.75</v>
      </c>
      <c r="K14" s="364">
        <v>0.2</v>
      </c>
      <c r="L14" s="364">
        <v>0.2</v>
      </c>
      <c r="M14" s="364">
        <v>0.1</v>
      </c>
      <c r="N14" s="364">
        <v>0.8</v>
      </c>
      <c r="O14" s="364">
        <v>0.1</v>
      </c>
      <c r="P14" s="364">
        <v>0.15</v>
      </c>
      <c r="Q14" s="364">
        <v>0.75</v>
      </c>
      <c r="R14" s="364">
        <v>0.7</v>
      </c>
      <c r="S14" s="364">
        <v>0.75</v>
      </c>
      <c r="T14" s="364">
        <v>0.7</v>
      </c>
      <c r="U14" s="364">
        <v>0.7</v>
      </c>
      <c r="V14" s="364">
        <v>0.2</v>
      </c>
      <c r="W14" s="364">
        <v>0.1</v>
      </c>
      <c r="X14" s="364">
        <v>0.6</v>
      </c>
      <c r="Y14" s="364">
        <v>0.1</v>
      </c>
      <c r="Z14" s="364">
        <v>0.1</v>
      </c>
      <c r="AA14" s="364">
        <v>0.1</v>
      </c>
      <c r="AB14" s="364">
        <v>0.1</v>
      </c>
      <c r="AC14" s="364">
        <v>0.3</v>
      </c>
      <c r="AD14" s="364">
        <v>0.75</v>
      </c>
      <c r="AE14" s="364">
        <v>0.6</v>
      </c>
      <c r="AF14" s="364">
        <v>0.66</v>
      </c>
    </row>
    <row r="15" spans="2:32" x14ac:dyDescent="0.3">
      <c r="B15" s="341" t="s">
        <v>498</v>
      </c>
      <c r="C15" s="465" t="s">
        <v>603</v>
      </c>
      <c r="D15" s="465" t="s">
        <v>630</v>
      </c>
      <c r="E15" s="364">
        <v>0</v>
      </c>
      <c r="F15" s="364">
        <v>0</v>
      </c>
      <c r="G15" s="364">
        <v>0</v>
      </c>
      <c r="H15" s="364">
        <v>0</v>
      </c>
      <c r="I15" s="364">
        <v>0</v>
      </c>
      <c r="J15" s="364">
        <v>0</v>
      </c>
      <c r="K15" s="364">
        <v>0</v>
      </c>
      <c r="L15" s="364">
        <v>0</v>
      </c>
      <c r="M15" s="364">
        <v>0</v>
      </c>
      <c r="N15" s="364">
        <v>0</v>
      </c>
      <c r="O15" s="364">
        <v>0</v>
      </c>
      <c r="P15" s="364">
        <v>0</v>
      </c>
      <c r="Q15" s="364">
        <v>0</v>
      </c>
      <c r="R15" s="364">
        <v>0</v>
      </c>
      <c r="S15" s="364">
        <v>0</v>
      </c>
      <c r="T15" s="364">
        <v>0</v>
      </c>
      <c r="U15" s="364">
        <v>0</v>
      </c>
      <c r="V15" s="364">
        <v>0</v>
      </c>
      <c r="W15" s="364">
        <v>0</v>
      </c>
      <c r="X15" s="364">
        <v>0</v>
      </c>
      <c r="Y15" s="364">
        <v>0</v>
      </c>
      <c r="Z15" s="364">
        <v>0</v>
      </c>
      <c r="AA15" s="364">
        <v>0</v>
      </c>
      <c r="AB15" s="364">
        <v>0</v>
      </c>
      <c r="AC15" s="364">
        <v>0</v>
      </c>
      <c r="AD15" s="364">
        <v>0</v>
      </c>
      <c r="AE15" s="364">
        <v>0</v>
      </c>
      <c r="AF15" s="364">
        <v>0</v>
      </c>
    </row>
    <row r="16" spans="2:32" x14ac:dyDescent="0.3">
      <c r="B16" s="341" t="s">
        <v>498</v>
      </c>
      <c r="C16" s="465" t="s">
        <v>603</v>
      </c>
      <c r="D16" s="465" t="s">
        <v>563</v>
      </c>
      <c r="E16" s="364">
        <v>0.7</v>
      </c>
      <c r="F16" s="364">
        <v>0.7</v>
      </c>
      <c r="G16" s="364">
        <v>0.7</v>
      </c>
      <c r="H16" s="364">
        <v>0.7</v>
      </c>
      <c r="I16" s="364">
        <v>0.2</v>
      </c>
      <c r="J16" s="364">
        <v>0.25</v>
      </c>
      <c r="K16" s="364">
        <v>0.5</v>
      </c>
      <c r="L16" s="364">
        <v>0.5</v>
      </c>
      <c r="M16" s="364">
        <v>0.4</v>
      </c>
      <c r="N16" s="364">
        <v>0.2</v>
      </c>
      <c r="O16" s="364">
        <v>0.4</v>
      </c>
      <c r="P16" s="364">
        <v>0.35</v>
      </c>
      <c r="Q16" s="364">
        <v>0.25</v>
      </c>
      <c r="R16" s="364">
        <v>0.3</v>
      </c>
      <c r="S16" s="364">
        <v>0.25</v>
      </c>
      <c r="T16" s="364">
        <v>0.3</v>
      </c>
      <c r="U16" s="364">
        <v>0.3</v>
      </c>
      <c r="V16" s="364">
        <v>0.5</v>
      </c>
      <c r="W16" s="364">
        <v>0.4</v>
      </c>
      <c r="X16" s="364">
        <v>0.4</v>
      </c>
      <c r="Y16" s="364">
        <v>0.4</v>
      </c>
      <c r="Z16" s="364">
        <v>0.3</v>
      </c>
      <c r="AA16" s="364">
        <v>0.3</v>
      </c>
      <c r="AB16" s="364">
        <v>0.3</v>
      </c>
      <c r="AC16" s="364">
        <v>0.7</v>
      </c>
      <c r="AD16" s="364">
        <v>0.25</v>
      </c>
      <c r="AE16" s="364">
        <v>0.4</v>
      </c>
      <c r="AF16" s="364">
        <v>0.27</v>
      </c>
    </row>
    <row r="17" spans="2:32" x14ac:dyDescent="0.3">
      <c r="B17" s="341" t="s">
        <v>498</v>
      </c>
      <c r="C17" s="465" t="s">
        <v>603</v>
      </c>
      <c r="D17" s="465" t="s">
        <v>631</v>
      </c>
      <c r="E17" s="364">
        <v>0</v>
      </c>
      <c r="F17" s="364">
        <v>0</v>
      </c>
      <c r="G17" s="364">
        <v>0</v>
      </c>
      <c r="H17" s="364">
        <v>0</v>
      </c>
      <c r="I17" s="364">
        <v>0</v>
      </c>
      <c r="J17" s="364">
        <v>0</v>
      </c>
      <c r="K17" s="364">
        <v>0.3</v>
      </c>
      <c r="L17" s="364">
        <v>0.3</v>
      </c>
      <c r="M17" s="364">
        <v>0.5</v>
      </c>
      <c r="N17" s="364">
        <v>0</v>
      </c>
      <c r="O17" s="364">
        <v>0.5</v>
      </c>
      <c r="P17" s="364">
        <v>0.5</v>
      </c>
      <c r="Q17" s="364">
        <v>0</v>
      </c>
      <c r="R17" s="364">
        <v>0</v>
      </c>
      <c r="S17" s="364">
        <v>0</v>
      </c>
      <c r="T17" s="364">
        <v>0</v>
      </c>
      <c r="U17" s="364">
        <v>0</v>
      </c>
      <c r="V17" s="364">
        <v>0.3</v>
      </c>
      <c r="W17" s="364">
        <v>0.5</v>
      </c>
      <c r="X17" s="364">
        <v>0</v>
      </c>
      <c r="Y17" s="364">
        <v>0.5</v>
      </c>
      <c r="Z17" s="364">
        <v>0.6</v>
      </c>
      <c r="AA17" s="364">
        <v>0.6</v>
      </c>
      <c r="AB17" s="364">
        <v>0.6</v>
      </c>
      <c r="AC17" s="364">
        <v>0</v>
      </c>
      <c r="AD17" s="364">
        <v>0</v>
      </c>
      <c r="AE17" s="364">
        <v>0</v>
      </c>
      <c r="AF17" s="364">
        <v>0</v>
      </c>
    </row>
    <row r="18" spans="2:32" x14ac:dyDescent="0.3">
      <c r="B18" s="341" t="s">
        <v>498</v>
      </c>
      <c r="C18" s="465" t="s">
        <v>603</v>
      </c>
      <c r="D18" s="465" t="s">
        <v>632</v>
      </c>
      <c r="E18" s="364">
        <v>0</v>
      </c>
      <c r="F18" s="364">
        <v>0</v>
      </c>
      <c r="G18" s="364">
        <v>0</v>
      </c>
      <c r="H18" s="364">
        <v>0</v>
      </c>
      <c r="I18" s="364">
        <v>0</v>
      </c>
      <c r="J18" s="364">
        <v>0</v>
      </c>
      <c r="K18" s="364">
        <v>0</v>
      </c>
      <c r="L18" s="364">
        <v>0</v>
      </c>
      <c r="M18" s="364">
        <v>0</v>
      </c>
      <c r="N18" s="364">
        <v>0</v>
      </c>
      <c r="O18" s="364">
        <v>0</v>
      </c>
      <c r="P18" s="364">
        <v>0</v>
      </c>
      <c r="Q18" s="364">
        <v>0</v>
      </c>
      <c r="R18" s="364">
        <v>0</v>
      </c>
      <c r="S18" s="364">
        <v>0</v>
      </c>
      <c r="T18" s="364">
        <v>0</v>
      </c>
      <c r="U18" s="364">
        <v>0</v>
      </c>
      <c r="V18" s="364">
        <v>0</v>
      </c>
      <c r="W18" s="364">
        <v>0</v>
      </c>
      <c r="X18" s="364">
        <v>0</v>
      </c>
      <c r="Y18" s="364">
        <v>0</v>
      </c>
      <c r="Z18" s="364">
        <v>0</v>
      </c>
      <c r="AA18" s="364">
        <v>0</v>
      </c>
      <c r="AB18" s="364">
        <v>0</v>
      </c>
      <c r="AC18" s="364">
        <v>0</v>
      </c>
      <c r="AD18" s="364">
        <v>0</v>
      </c>
      <c r="AE18" s="364">
        <v>0</v>
      </c>
      <c r="AF18" s="364">
        <v>7.0000000000000007E-2</v>
      </c>
    </row>
    <row r="19" spans="2:32" x14ac:dyDescent="0.3">
      <c r="B19" s="342"/>
      <c r="C19" s="467"/>
      <c r="D19" s="469" t="s">
        <v>474</v>
      </c>
      <c r="E19" s="343">
        <f>IF(E$7="","",IF(SUM(E14:E18)=0,"",IF(SUM(E14:E18)&lt;&gt;1,"CHECK",SUM(E14:E18))))</f>
        <v>1</v>
      </c>
      <c r="F19" s="343">
        <f t="shared" ref="F19" si="1">IF(F$7="","",IF(SUM(F14:F18)=0,"",IF(SUM(F14:F18)&lt;&gt;1,"CHECK",SUM(F14:F18))))</f>
        <v>1</v>
      </c>
      <c r="G19" s="343">
        <f t="shared" ref="G19" si="2">IF(G$7="","",IF(SUM(G14:G18)=0,"",IF(SUM(G14:G18)&lt;&gt;1,"CHECK",SUM(G14:G18))))</f>
        <v>1</v>
      </c>
      <c r="H19" s="343">
        <f t="shared" ref="H19" si="3">IF(H$7="","",IF(SUM(H14:H18)=0,"",IF(SUM(H14:H18)&lt;&gt;1,"CHECK",SUM(H14:H18))))</f>
        <v>1</v>
      </c>
      <c r="I19" s="343">
        <f t="shared" ref="I19" si="4">IF(I$7="","",IF(SUM(I14:I18)=0,"",IF(SUM(I14:I18)&lt;&gt;1,"CHECK",SUM(I14:I18))))</f>
        <v>1</v>
      </c>
      <c r="J19" s="343">
        <f t="shared" ref="J19" si="5">IF(J$7="","",IF(SUM(J14:J18)=0,"",IF(SUM(J14:J18)&lt;&gt;1,"CHECK",SUM(J14:J18))))</f>
        <v>1</v>
      </c>
      <c r="K19" s="343">
        <f t="shared" ref="K19" si="6">IF(K$7="","",IF(SUM(K14:K18)=0,"",IF(SUM(K14:K18)&lt;&gt;1,"CHECK",SUM(K14:K18))))</f>
        <v>1</v>
      </c>
      <c r="L19" s="343">
        <f t="shared" ref="L19" si="7">IF(L$7="","",IF(SUM(L14:L18)=0,"",IF(SUM(L14:L18)&lt;&gt;1,"CHECK",SUM(L14:L18))))</f>
        <v>1</v>
      </c>
      <c r="M19" s="343">
        <f t="shared" ref="M19" si="8">IF(M$7="","",IF(SUM(M14:M18)=0,"",IF(SUM(M14:M18)&lt;&gt;1,"CHECK",SUM(M14:M18))))</f>
        <v>1</v>
      </c>
      <c r="N19" s="343">
        <f t="shared" ref="N19" si="9">IF(N$7="","",IF(SUM(N14:N18)=0,"",IF(SUM(N14:N18)&lt;&gt;1,"CHECK",SUM(N14:N18))))</f>
        <v>1</v>
      </c>
      <c r="O19" s="343">
        <f t="shared" ref="O19" si="10">IF(O$7="","",IF(SUM(O14:O18)=0,"",IF(SUM(O14:O18)&lt;&gt;1,"CHECK",SUM(O14:O18))))</f>
        <v>1</v>
      </c>
      <c r="P19" s="343">
        <f t="shared" ref="P19" si="11">IF(P$7="","",IF(SUM(P14:P18)=0,"",IF(SUM(P14:P18)&lt;&gt;1,"CHECK",SUM(P14:P18))))</f>
        <v>1</v>
      </c>
      <c r="Q19" s="343">
        <f t="shared" ref="Q19" si="12">IF(Q$7="","",IF(SUM(Q14:Q18)=0,"",IF(SUM(Q14:Q18)&lt;&gt;1,"CHECK",SUM(Q14:Q18))))</f>
        <v>1</v>
      </c>
      <c r="R19" s="343">
        <f t="shared" ref="R19" si="13">IF(R$7="","",IF(SUM(R14:R18)=0,"",IF(SUM(R14:R18)&lt;&gt;1,"CHECK",SUM(R14:R18))))</f>
        <v>1</v>
      </c>
      <c r="S19" s="343">
        <f t="shared" ref="S19" si="14">IF(S$7="","",IF(SUM(S14:S18)=0,"",IF(SUM(S14:S18)&lt;&gt;1,"CHECK",SUM(S14:S18))))</f>
        <v>1</v>
      </c>
      <c r="T19" s="343">
        <f t="shared" ref="T19" si="15">IF(T$7="","",IF(SUM(T14:T18)=0,"",IF(SUM(T14:T18)&lt;&gt;1,"CHECK",SUM(T14:T18))))</f>
        <v>1</v>
      </c>
      <c r="U19" s="343">
        <f t="shared" ref="U19" si="16">IF(U$7="","",IF(SUM(U14:U18)=0,"",IF(SUM(U14:U18)&lt;&gt;1,"CHECK",SUM(U14:U18))))</f>
        <v>1</v>
      </c>
      <c r="V19" s="343">
        <f t="shared" ref="V19" si="17">IF(V$7="","",IF(SUM(V14:V18)=0,"",IF(SUM(V14:V18)&lt;&gt;1,"CHECK",SUM(V14:V18))))</f>
        <v>1</v>
      </c>
      <c r="W19" s="343">
        <f t="shared" ref="W19" si="18">IF(W$7="","",IF(SUM(W14:W18)=0,"",IF(SUM(W14:W18)&lt;&gt;1,"CHECK",SUM(W14:W18))))</f>
        <v>1</v>
      </c>
      <c r="X19" s="343">
        <f t="shared" ref="X19" si="19">IF(X$7="","",IF(SUM(X14:X18)=0,"",IF(SUM(X14:X18)&lt;&gt;1,"CHECK",SUM(X14:X18))))</f>
        <v>1</v>
      </c>
      <c r="Y19" s="343">
        <f t="shared" ref="Y19" si="20">IF(Y$7="","",IF(SUM(Y14:Y18)=0,"",IF(SUM(Y14:Y18)&lt;&gt;1,"CHECK",SUM(Y14:Y18))))</f>
        <v>1</v>
      </c>
      <c r="Z19" s="343">
        <f t="shared" ref="Z19" si="21">IF(Z$7="","",IF(SUM(Z14:Z18)=0,"",IF(SUM(Z14:Z18)&lt;&gt;1,"CHECK",SUM(Z14:Z18))))</f>
        <v>1</v>
      </c>
      <c r="AA19" s="343">
        <f t="shared" ref="AA19" si="22">IF(AA$7="","",IF(SUM(AA14:AA18)=0,"",IF(SUM(AA14:AA18)&lt;&gt;1,"CHECK",SUM(AA14:AA18))))</f>
        <v>1</v>
      </c>
      <c r="AB19" s="343">
        <f t="shared" ref="AB19" si="23">IF(AB$7="","",IF(SUM(AB14:AB18)=0,"",IF(SUM(AB14:AB18)&lt;&gt;1,"CHECK",SUM(AB14:AB18))))</f>
        <v>1</v>
      </c>
      <c r="AC19" s="343">
        <f t="shared" ref="AC19" si="24">IF(AC$7="","",IF(SUM(AC14:AC18)=0,"",IF(SUM(AC14:AC18)&lt;&gt;1,"CHECK",SUM(AC14:AC18))))</f>
        <v>1</v>
      </c>
      <c r="AD19" s="343">
        <f t="shared" ref="AD19" si="25">IF(AD$7="","",IF(SUM(AD14:AD18)=0,"",IF(SUM(AD14:AD18)&lt;&gt;1,"CHECK",SUM(AD14:AD18))))</f>
        <v>1</v>
      </c>
      <c r="AE19" s="343">
        <f t="shared" ref="AE19" si="26">IF(AE$7="","",IF(SUM(AE14:AE18)=0,"",IF(SUM(AE14:AE18)&lt;&gt;1,"CHECK",SUM(AE14:AE18))))</f>
        <v>1</v>
      </c>
      <c r="AF19" s="343">
        <f t="shared" ref="AF19" si="27">IF(AF$7="","",IF(SUM(AF14:AF18)=0,"",IF(SUM(AF14:AF18)&lt;&gt;1,"CHECK",SUM(AF14:AF18))))</f>
        <v>1</v>
      </c>
    </row>
    <row r="20" spans="2:32" x14ac:dyDescent="0.3">
      <c r="B20" s="341" t="s">
        <v>498</v>
      </c>
      <c r="C20" s="465" t="s">
        <v>597</v>
      </c>
      <c r="D20" s="465" t="s">
        <v>563</v>
      </c>
      <c r="E20" s="364">
        <v>0.2</v>
      </c>
      <c r="F20" s="364">
        <v>0.2</v>
      </c>
      <c r="G20" s="364">
        <v>0.2</v>
      </c>
      <c r="H20" s="364">
        <v>0.2</v>
      </c>
      <c r="I20" s="364">
        <v>0.6</v>
      </c>
      <c r="J20" s="364">
        <v>1</v>
      </c>
      <c r="K20" s="364">
        <v>0.2</v>
      </c>
      <c r="L20" s="364">
        <v>0.2</v>
      </c>
      <c r="M20" s="364">
        <v>1</v>
      </c>
      <c r="N20" s="364">
        <v>1</v>
      </c>
      <c r="O20" s="364">
        <v>1</v>
      </c>
      <c r="P20" s="364">
        <v>0.4</v>
      </c>
      <c r="Q20" s="364">
        <v>1</v>
      </c>
      <c r="R20" s="364">
        <v>1</v>
      </c>
      <c r="S20" s="364">
        <v>1</v>
      </c>
      <c r="T20" s="364">
        <v>1</v>
      </c>
      <c r="U20" s="364">
        <v>1</v>
      </c>
      <c r="V20" s="364">
        <v>0.2</v>
      </c>
      <c r="W20" s="364">
        <v>0.2</v>
      </c>
      <c r="X20" s="364">
        <v>0.15</v>
      </c>
      <c r="Y20" s="364">
        <v>1</v>
      </c>
      <c r="Z20" s="364">
        <v>1</v>
      </c>
      <c r="AA20" s="364">
        <v>1</v>
      </c>
      <c r="AB20" s="364">
        <v>1</v>
      </c>
      <c r="AC20" s="364">
        <v>0.2</v>
      </c>
      <c r="AD20" s="364">
        <v>1</v>
      </c>
      <c r="AE20" s="364">
        <v>0.6</v>
      </c>
      <c r="AF20" s="364">
        <v>1</v>
      </c>
    </row>
    <row r="21" spans="2:32" x14ac:dyDescent="0.3">
      <c r="B21" s="341" t="s">
        <v>498</v>
      </c>
      <c r="C21" s="466" t="s">
        <v>597</v>
      </c>
      <c r="D21" s="465" t="s">
        <v>563</v>
      </c>
      <c r="E21" s="364">
        <v>0.4</v>
      </c>
      <c r="F21" s="364">
        <v>0.4</v>
      </c>
      <c r="G21" s="364">
        <v>0.4</v>
      </c>
      <c r="H21" s="364">
        <v>0.4</v>
      </c>
      <c r="I21" s="364">
        <v>0.4</v>
      </c>
      <c r="J21" s="364">
        <v>0</v>
      </c>
      <c r="K21" s="364">
        <v>0.3</v>
      </c>
      <c r="L21" s="364">
        <v>0.3</v>
      </c>
      <c r="M21" s="364">
        <v>0</v>
      </c>
      <c r="N21" s="364">
        <v>0</v>
      </c>
      <c r="O21" s="364">
        <v>0</v>
      </c>
      <c r="P21" s="364">
        <v>0.3</v>
      </c>
      <c r="Q21" s="364">
        <v>0</v>
      </c>
      <c r="R21" s="364">
        <v>0</v>
      </c>
      <c r="S21" s="364">
        <v>0</v>
      </c>
      <c r="T21" s="364">
        <v>0</v>
      </c>
      <c r="U21" s="364">
        <v>0</v>
      </c>
      <c r="V21" s="364">
        <v>0.3</v>
      </c>
      <c r="W21" s="364">
        <v>0.3</v>
      </c>
      <c r="X21" s="364">
        <v>0.62</v>
      </c>
      <c r="Y21" s="364">
        <v>0</v>
      </c>
      <c r="Z21" s="364">
        <v>0</v>
      </c>
      <c r="AA21" s="364">
        <v>0</v>
      </c>
      <c r="AB21" s="364">
        <v>0</v>
      </c>
      <c r="AC21" s="364">
        <v>0.4</v>
      </c>
      <c r="AD21" s="364">
        <v>0</v>
      </c>
      <c r="AE21" s="364">
        <v>0.2</v>
      </c>
      <c r="AF21" s="364">
        <v>0</v>
      </c>
    </row>
    <row r="22" spans="2:32" x14ac:dyDescent="0.3">
      <c r="B22" s="341" t="s">
        <v>498</v>
      </c>
      <c r="C22" s="466" t="s">
        <v>597</v>
      </c>
      <c r="D22" s="465" t="s">
        <v>631</v>
      </c>
      <c r="E22" s="364">
        <v>0.4</v>
      </c>
      <c r="F22" s="364">
        <v>0.4</v>
      </c>
      <c r="G22" s="364">
        <v>0.4</v>
      </c>
      <c r="H22" s="364">
        <v>0.4</v>
      </c>
      <c r="I22" s="364">
        <v>0</v>
      </c>
      <c r="J22" s="364">
        <v>0</v>
      </c>
      <c r="K22" s="364">
        <v>0.5</v>
      </c>
      <c r="L22" s="364">
        <v>0.5</v>
      </c>
      <c r="M22" s="364">
        <v>0</v>
      </c>
      <c r="N22" s="364">
        <v>0</v>
      </c>
      <c r="O22" s="364">
        <v>0</v>
      </c>
      <c r="P22" s="364">
        <v>0.3</v>
      </c>
      <c r="Q22" s="364">
        <v>0</v>
      </c>
      <c r="R22" s="364">
        <v>0</v>
      </c>
      <c r="S22" s="364">
        <v>0</v>
      </c>
      <c r="T22" s="364">
        <v>0</v>
      </c>
      <c r="U22" s="364">
        <v>0</v>
      </c>
      <c r="V22" s="364">
        <v>0.5</v>
      </c>
      <c r="W22" s="364">
        <v>0.5</v>
      </c>
      <c r="X22" s="364">
        <v>0.23</v>
      </c>
      <c r="Y22" s="364">
        <v>0</v>
      </c>
      <c r="Z22" s="364">
        <v>0</v>
      </c>
      <c r="AA22" s="364">
        <v>0</v>
      </c>
      <c r="AB22" s="364">
        <v>0</v>
      </c>
      <c r="AC22" s="364">
        <v>0.4</v>
      </c>
      <c r="AD22" s="364">
        <v>0</v>
      </c>
      <c r="AE22" s="364">
        <v>0.2</v>
      </c>
      <c r="AF22" s="364">
        <v>0</v>
      </c>
    </row>
    <row r="23" spans="2:32" x14ac:dyDescent="0.3">
      <c r="B23" s="342"/>
      <c r="C23" s="467"/>
      <c r="D23" s="469" t="s">
        <v>474</v>
      </c>
      <c r="E23" s="343">
        <f>IF(E$7="","",IF(SUM(E20:E22)=0,"",IF(SUM(E20:E22)&lt;&gt;1,"CHECK",SUM(E20:E22))))</f>
        <v>1</v>
      </c>
      <c r="F23" s="343">
        <f t="shared" ref="F23:AF23" si="28">IF(F$7="","",IF(SUM(F20:F22)=0,"",IF(SUM(F20:F22)&lt;&gt;1,"CHECK",SUM(F20:F22))))</f>
        <v>1</v>
      </c>
      <c r="G23" s="343">
        <f t="shared" si="28"/>
        <v>1</v>
      </c>
      <c r="H23" s="343">
        <f t="shared" si="28"/>
        <v>1</v>
      </c>
      <c r="I23" s="343">
        <f t="shared" si="28"/>
        <v>1</v>
      </c>
      <c r="J23" s="343">
        <f t="shared" si="28"/>
        <v>1</v>
      </c>
      <c r="K23" s="343">
        <f t="shared" si="28"/>
        <v>1</v>
      </c>
      <c r="L23" s="343">
        <f t="shared" si="28"/>
        <v>1</v>
      </c>
      <c r="M23" s="343">
        <f t="shared" si="28"/>
        <v>1</v>
      </c>
      <c r="N23" s="343">
        <f t="shared" si="28"/>
        <v>1</v>
      </c>
      <c r="O23" s="343">
        <f t="shared" si="28"/>
        <v>1</v>
      </c>
      <c r="P23" s="343">
        <f t="shared" si="28"/>
        <v>1</v>
      </c>
      <c r="Q23" s="343">
        <f t="shared" si="28"/>
        <v>1</v>
      </c>
      <c r="R23" s="343">
        <f t="shared" si="28"/>
        <v>1</v>
      </c>
      <c r="S23" s="343">
        <f t="shared" si="28"/>
        <v>1</v>
      </c>
      <c r="T23" s="343">
        <f t="shared" si="28"/>
        <v>1</v>
      </c>
      <c r="U23" s="343">
        <f t="shared" si="28"/>
        <v>1</v>
      </c>
      <c r="V23" s="343">
        <f t="shared" si="28"/>
        <v>1</v>
      </c>
      <c r="W23" s="343">
        <f t="shared" si="28"/>
        <v>1</v>
      </c>
      <c r="X23" s="343">
        <f t="shared" si="28"/>
        <v>1</v>
      </c>
      <c r="Y23" s="343">
        <f t="shared" si="28"/>
        <v>1</v>
      </c>
      <c r="Z23" s="343">
        <f t="shared" si="28"/>
        <v>1</v>
      </c>
      <c r="AA23" s="343">
        <f t="shared" si="28"/>
        <v>1</v>
      </c>
      <c r="AB23" s="343">
        <f t="shared" si="28"/>
        <v>1</v>
      </c>
      <c r="AC23" s="343">
        <f t="shared" si="28"/>
        <v>1</v>
      </c>
      <c r="AD23" s="343">
        <f t="shared" si="28"/>
        <v>1</v>
      </c>
      <c r="AE23" s="343">
        <f t="shared" si="28"/>
        <v>1</v>
      </c>
      <c r="AF23" s="343">
        <f t="shared" si="28"/>
        <v>1</v>
      </c>
    </row>
    <row r="24" spans="2:32" x14ac:dyDescent="0.3">
      <c r="B24" s="341" t="s">
        <v>498</v>
      </c>
      <c r="C24" s="465" t="s">
        <v>601</v>
      </c>
      <c r="D24" s="465" t="s">
        <v>563</v>
      </c>
      <c r="E24" s="364">
        <v>0.1</v>
      </c>
      <c r="F24" s="364">
        <v>0.1</v>
      </c>
      <c r="G24" s="364">
        <v>0.1</v>
      </c>
      <c r="H24" s="364">
        <v>0.1</v>
      </c>
      <c r="I24" s="364">
        <v>0.3</v>
      </c>
      <c r="J24" s="364">
        <v>0.70902295115334446</v>
      </c>
      <c r="K24" s="364">
        <v>0.1</v>
      </c>
      <c r="L24" s="364">
        <v>0.1</v>
      </c>
      <c r="M24" s="364">
        <v>0</v>
      </c>
      <c r="N24" s="364">
        <v>0.2</v>
      </c>
      <c r="O24" s="364">
        <v>0</v>
      </c>
      <c r="P24" s="364">
        <v>0.25</v>
      </c>
      <c r="Q24" s="364">
        <v>0.70902295115334446</v>
      </c>
      <c r="R24" s="364">
        <v>0.2</v>
      </c>
      <c r="S24" s="364">
        <v>0.70902295115334446</v>
      </c>
      <c r="T24" s="364">
        <v>0.2</v>
      </c>
      <c r="U24" s="364">
        <v>0.2</v>
      </c>
      <c r="V24" s="364">
        <v>0.1</v>
      </c>
      <c r="W24" s="364">
        <v>0</v>
      </c>
      <c r="X24" s="364">
        <v>0.6</v>
      </c>
      <c r="Y24" s="364">
        <v>0</v>
      </c>
      <c r="Z24" s="364">
        <v>0.05</v>
      </c>
      <c r="AA24" s="364">
        <v>0.05</v>
      </c>
      <c r="AB24" s="364">
        <v>0</v>
      </c>
      <c r="AC24" s="364">
        <v>0.1</v>
      </c>
      <c r="AD24" s="364">
        <v>0.70902295115334446</v>
      </c>
      <c r="AE24" s="364">
        <v>0.6</v>
      </c>
      <c r="AF24" s="364">
        <v>0.70902295115334446</v>
      </c>
    </row>
    <row r="25" spans="2:32" x14ac:dyDescent="0.3">
      <c r="B25" s="341" t="s">
        <v>498</v>
      </c>
      <c r="C25" s="466" t="s">
        <v>601</v>
      </c>
      <c r="D25" s="465" t="s">
        <v>563</v>
      </c>
      <c r="E25" s="364">
        <v>0.2</v>
      </c>
      <c r="F25" s="364">
        <v>0.2</v>
      </c>
      <c r="G25" s="364">
        <v>0.2</v>
      </c>
      <c r="H25" s="364">
        <v>0.2</v>
      </c>
      <c r="I25" s="364">
        <v>0.3</v>
      </c>
      <c r="J25" s="364">
        <v>0.21904596281611932</v>
      </c>
      <c r="K25" s="364">
        <v>0.2</v>
      </c>
      <c r="L25" s="364">
        <v>0.2</v>
      </c>
      <c r="M25" s="364">
        <v>0.1</v>
      </c>
      <c r="N25" s="364">
        <v>0.1</v>
      </c>
      <c r="O25" s="364">
        <v>0.1</v>
      </c>
      <c r="P25" s="364">
        <v>0.25</v>
      </c>
      <c r="Q25" s="364">
        <v>0.21904596281611932</v>
      </c>
      <c r="R25" s="364">
        <v>0.3</v>
      </c>
      <c r="S25" s="364">
        <v>0.21904596281611932</v>
      </c>
      <c r="T25" s="364">
        <v>0.3</v>
      </c>
      <c r="U25" s="364">
        <v>0.3</v>
      </c>
      <c r="V25" s="364">
        <v>0.2</v>
      </c>
      <c r="W25" s="364">
        <v>0.1</v>
      </c>
      <c r="X25" s="364">
        <v>0.4</v>
      </c>
      <c r="Y25" s="364">
        <v>0.1</v>
      </c>
      <c r="Z25" s="364">
        <v>0.1</v>
      </c>
      <c r="AA25" s="364">
        <v>0.1</v>
      </c>
      <c r="AB25" s="364">
        <v>0.1</v>
      </c>
      <c r="AC25" s="364">
        <v>0.2</v>
      </c>
      <c r="AD25" s="364">
        <v>0.21904596281611932</v>
      </c>
      <c r="AE25" s="364">
        <v>0.35</v>
      </c>
      <c r="AF25" s="364">
        <v>0.21904596281611932</v>
      </c>
    </row>
    <row r="26" spans="2:32" x14ac:dyDescent="0.3">
      <c r="B26" s="341" t="s">
        <v>498</v>
      </c>
      <c r="C26" s="466" t="s">
        <v>601</v>
      </c>
      <c r="D26" s="465" t="s">
        <v>631</v>
      </c>
      <c r="E26" s="364">
        <v>0.7</v>
      </c>
      <c r="F26" s="364">
        <v>0.7</v>
      </c>
      <c r="G26" s="364">
        <v>0.7</v>
      </c>
      <c r="H26" s="364">
        <v>0.7</v>
      </c>
      <c r="I26" s="364">
        <v>0.4</v>
      </c>
      <c r="J26" s="364">
        <v>7.193108603053619E-2</v>
      </c>
      <c r="K26" s="364">
        <v>0.7</v>
      </c>
      <c r="L26" s="364">
        <v>0.7</v>
      </c>
      <c r="M26" s="364">
        <v>0.9</v>
      </c>
      <c r="N26" s="364">
        <v>0.7</v>
      </c>
      <c r="O26" s="364">
        <v>0.9</v>
      </c>
      <c r="P26" s="364">
        <v>0.5</v>
      </c>
      <c r="Q26" s="364">
        <v>7.193108603053619E-2</v>
      </c>
      <c r="R26" s="364">
        <v>0.5</v>
      </c>
      <c r="S26" s="364">
        <v>7.193108603053619E-2</v>
      </c>
      <c r="T26" s="364">
        <v>0.5</v>
      </c>
      <c r="U26" s="364">
        <v>0.5</v>
      </c>
      <c r="V26" s="364">
        <v>0.7</v>
      </c>
      <c r="W26" s="364">
        <v>0.9</v>
      </c>
      <c r="X26" s="364">
        <v>0</v>
      </c>
      <c r="Y26" s="364">
        <v>0.9</v>
      </c>
      <c r="Z26" s="364">
        <v>0.85</v>
      </c>
      <c r="AA26" s="364">
        <v>0.85</v>
      </c>
      <c r="AB26" s="364">
        <v>0.9</v>
      </c>
      <c r="AC26" s="364">
        <v>0.7</v>
      </c>
      <c r="AD26" s="364">
        <v>7.193108603053619E-2</v>
      </c>
      <c r="AE26" s="364">
        <v>0.05</v>
      </c>
      <c r="AF26" s="364">
        <v>7.193108603053619E-2</v>
      </c>
    </row>
    <row r="27" spans="2:32" x14ac:dyDescent="0.3">
      <c r="B27" s="342"/>
      <c r="C27" s="467"/>
      <c r="D27" s="469" t="s">
        <v>474</v>
      </c>
      <c r="E27" s="343">
        <f>IF(E$7="","",IF(SUM(E24:E26)=0,"",IF(SUM(E24:E26)&lt;&gt;1,"CHECK",SUM(E24:E26))))</f>
        <v>1</v>
      </c>
      <c r="F27" s="343">
        <f t="shared" ref="F27" si="29">IF(F$7="","",IF(SUM(F24:F26)=0,"",IF(SUM(F24:F26)&lt;&gt;1,"CHECK",SUM(F24:F26))))</f>
        <v>1</v>
      </c>
      <c r="G27" s="343">
        <f t="shared" ref="G27" si="30">IF(G$7="","",IF(SUM(G24:G26)=0,"",IF(SUM(G24:G26)&lt;&gt;1,"CHECK",SUM(G24:G26))))</f>
        <v>1</v>
      </c>
      <c r="H27" s="343">
        <f t="shared" ref="H27" si="31">IF(H$7="","",IF(SUM(H24:H26)=0,"",IF(SUM(H24:H26)&lt;&gt;1,"CHECK",SUM(H24:H26))))</f>
        <v>1</v>
      </c>
      <c r="I27" s="343">
        <f t="shared" ref="I27" si="32">IF(I$7="","",IF(SUM(I24:I26)=0,"",IF(SUM(I24:I26)&lt;&gt;1,"CHECK",SUM(I24:I26))))</f>
        <v>1</v>
      </c>
      <c r="J27" s="343">
        <f t="shared" ref="J27" si="33">IF(J$7="","",IF(SUM(J24:J26)=0,"",IF(SUM(J24:J26)&lt;&gt;1,"CHECK",SUM(J24:J26))))</f>
        <v>1</v>
      </c>
      <c r="K27" s="343">
        <f t="shared" ref="K27" si="34">IF(K$7="","",IF(SUM(K24:K26)=0,"",IF(SUM(K24:K26)&lt;&gt;1,"CHECK",SUM(K24:K26))))</f>
        <v>1</v>
      </c>
      <c r="L27" s="343">
        <f t="shared" ref="L27" si="35">IF(L$7="","",IF(SUM(L24:L26)=0,"",IF(SUM(L24:L26)&lt;&gt;1,"CHECK",SUM(L24:L26))))</f>
        <v>1</v>
      </c>
      <c r="M27" s="343">
        <f t="shared" ref="M27" si="36">IF(M$7="","",IF(SUM(M24:M26)=0,"",IF(SUM(M24:M26)&lt;&gt;1,"CHECK",SUM(M24:M26))))</f>
        <v>1</v>
      </c>
      <c r="N27" s="343">
        <f t="shared" ref="N27" si="37">IF(N$7="","",IF(SUM(N24:N26)=0,"",IF(SUM(N24:N26)&lt;&gt;1,"CHECK",SUM(N24:N26))))</f>
        <v>1</v>
      </c>
      <c r="O27" s="343">
        <f t="shared" ref="O27" si="38">IF(O$7="","",IF(SUM(O24:O26)=0,"",IF(SUM(O24:O26)&lt;&gt;1,"CHECK",SUM(O24:O26))))</f>
        <v>1</v>
      </c>
      <c r="P27" s="343">
        <f t="shared" ref="P27" si="39">IF(P$7="","",IF(SUM(P24:P26)=0,"",IF(SUM(P24:P26)&lt;&gt;1,"CHECK",SUM(P24:P26))))</f>
        <v>1</v>
      </c>
      <c r="Q27" s="343">
        <f t="shared" ref="Q27" si="40">IF(Q$7="","",IF(SUM(Q24:Q26)=0,"",IF(SUM(Q24:Q26)&lt;&gt;1,"CHECK",SUM(Q24:Q26))))</f>
        <v>1</v>
      </c>
      <c r="R27" s="343">
        <f t="shared" ref="R27" si="41">IF(R$7="","",IF(SUM(R24:R26)=0,"",IF(SUM(R24:R26)&lt;&gt;1,"CHECK",SUM(R24:R26))))</f>
        <v>1</v>
      </c>
      <c r="S27" s="343">
        <f t="shared" ref="S27" si="42">IF(S$7="","",IF(SUM(S24:S26)=0,"",IF(SUM(S24:S26)&lt;&gt;1,"CHECK",SUM(S24:S26))))</f>
        <v>1</v>
      </c>
      <c r="T27" s="343">
        <f t="shared" ref="T27" si="43">IF(T$7="","",IF(SUM(T24:T26)=0,"",IF(SUM(T24:T26)&lt;&gt;1,"CHECK",SUM(T24:T26))))</f>
        <v>1</v>
      </c>
      <c r="U27" s="343">
        <f t="shared" ref="U27" si="44">IF(U$7="","",IF(SUM(U24:U26)=0,"",IF(SUM(U24:U26)&lt;&gt;1,"CHECK",SUM(U24:U26))))</f>
        <v>1</v>
      </c>
      <c r="V27" s="343">
        <f t="shared" ref="V27" si="45">IF(V$7="","",IF(SUM(V24:V26)=0,"",IF(SUM(V24:V26)&lt;&gt;1,"CHECK",SUM(V24:V26))))</f>
        <v>1</v>
      </c>
      <c r="W27" s="343">
        <f t="shared" ref="W27" si="46">IF(W$7="","",IF(SUM(W24:W26)=0,"",IF(SUM(W24:W26)&lt;&gt;1,"CHECK",SUM(W24:W26))))</f>
        <v>1</v>
      </c>
      <c r="X27" s="343">
        <f t="shared" ref="X27" si="47">IF(X$7="","",IF(SUM(X24:X26)=0,"",IF(SUM(X24:X26)&lt;&gt;1,"CHECK",SUM(X24:X26))))</f>
        <v>1</v>
      </c>
      <c r="Y27" s="343">
        <f t="shared" ref="Y27" si="48">IF(Y$7="","",IF(SUM(Y24:Y26)=0,"",IF(SUM(Y24:Y26)&lt;&gt;1,"CHECK",SUM(Y24:Y26))))</f>
        <v>1</v>
      </c>
      <c r="Z27" s="343">
        <f t="shared" ref="Z27" si="49">IF(Z$7="","",IF(SUM(Z24:Z26)=0,"",IF(SUM(Z24:Z26)&lt;&gt;1,"CHECK",SUM(Z24:Z26))))</f>
        <v>1</v>
      </c>
      <c r="AA27" s="343">
        <f t="shared" ref="AA27" si="50">IF(AA$7="","",IF(SUM(AA24:AA26)=0,"",IF(SUM(AA24:AA26)&lt;&gt;1,"CHECK",SUM(AA24:AA26))))</f>
        <v>1</v>
      </c>
      <c r="AB27" s="343">
        <f t="shared" ref="AB27" si="51">IF(AB$7="","",IF(SUM(AB24:AB26)=0,"",IF(SUM(AB24:AB26)&lt;&gt;1,"CHECK",SUM(AB24:AB26))))</f>
        <v>1</v>
      </c>
      <c r="AC27" s="343">
        <f t="shared" ref="AC27" si="52">IF(AC$7="","",IF(SUM(AC24:AC26)=0,"",IF(SUM(AC24:AC26)&lt;&gt;1,"CHECK",SUM(AC24:AC26))))</f>
        <v>1</v>
      </c>
      <c r="AD27" s="343">
        <f t="shared" ref="AD27" si="53">IF(AD$7="","",IF(SUM(AD24:AD26)=0,"",IF(SUM(AD24:AD26)&lt;&gt;1,"CHECK",SUM(AD24:AD26))))</f>
        <v>1</v>
      </c>
      <c r="AE27" s="343">
        <f t="shared" ref="AE27" si="54">IF(AE$7="","",IF(SUM(AE24:AE26)=0,"",IF(SUM(AE24:AE26)&lt;&gt;1,"CHECK",SUM(AE24:AE26))))</f>
        <v>1</v>
      </c>
      <c r="AF27" s="343">
        <f t="shared" ref="AF27" si="55">IF(AF$7="","",IF(SUM(AF24:AF26)=0,"",IF(SUM(AF24:AF26)&lt;&gt;1,"CHECK",SUM(AF24:AF26))))</f>
        <v>1</v>
      </c>
    </row>
    <row r="28" spans="2:32" x14ac:dyDescent="0.3">
      <c r="B28" s="341" t="s">
        <v>498</v>
      </c>
      <c r="C28" s="465" t="s">
        <v>629</v>
      </c>
      <c r="D28" s="465" t="s">
        <v>563</v>
      </c>
      <c r="E28" s="364">
        <v>0.1</v>
      </c>
      <c r="F28" s="364">
        <v>0.1</v>
      </c>
      <c r="G28" s="364">
        <v>0.1</v>
      </c>
      <c r="H28" s="364">
        <v>0.1</v>
      </c>
      <c r="I28" s="364">
        <v>0.85</v>
      </c>
      <c r="J28" s="364">
        <v>1</v>
      </c>
      <c r="K28" s="364">
        <v>0.2</v>
      </c>
      <c r="L28" s="364">
        <v>0.2</v>
      </c>
      <c r="M28" s="364">
        <v>0.1</v>
      </c>
      <c r="N28" s="364">
        <v>1</v>
      </c>
      <c r="O28" s="364">
        <v>0.1</v>
      </c>
      <c r="P28" s="364">
        <v>0.3</v>
      </c>
      <c r="Q28" s="364">
        <v>1</v>
      </c>
      <c r="R28" s="364">
        <v>0.8</v>
      </c>
      <c r="S28" s="364">
        <v>1</v>
      </c>
      <c r="T28" s="364">
        <v>0.8</v>
      </c>
      <c r="U28" s="364">
        <v>0.8</v>
      </c>
      <c r="V28" s="364">
        <v>0.2</v>
      </c>
      <c r="W28" s="364">
        <v>0.1</v>
      </c>
      <c r="X28" s="364">
        <v>1</v>
      </c>
      <c r="Y28" s="364">
        <v>0.1</v>
      </c>
      <c r="Z28" s="364">
        <v>1</v>
      </c>
      <c r="AA28" s="364">
        <v>1</v>
      </c>
      <c r="AB28" s="364">
        <v>0.1</v>
      </c>
      <c r="AC28" s="364">
        <v>0.1</v>
      </c>
      <c r="AD28" s="364">
        <v>1</v>
      </c>
      <c r="AE28" s="364">
        <v>0.1</v>
      </c>
      <c r="AF28" s="364">
        <v>1</v>
      </c>
    </row>
    <row r="29" spans="2:32" x14ac:dyDescent="0.3">
      <c r="B29" s="341" t="s">
        <v>498</v>
      </c>
      <c r="C29" s="465" t="s">
        <v>629</v>
      </c>
      <c r="D29" s="465" t="s">
        <v>563</v>
      </c>
      <c r="E29" s="364">
        <v>0.2</v>
      </c>
      <c r="F29" s="364">
        <v>0.2</v>
      </c>
      <c r="G29" s="364">
        <v>0.2</v>
      </c>
      <c r="H29" s="364">
        <v>0.2</v>
      </c>
      <c r="I29" s="364">
        <v>0.15</v>
      </c>
      <c r="J29" s="364">
        <v>0</v>
      </c>
      <c r="K29" s="364">
        <v>0.3</v>
      </c>
      <c r="L29" s="364">
        <v>0.3</v>
      </c>
      <c r="M29" s="364">
        <v>0.2</v>
      </c>
      <c r="N29" s="364">
        <v>0</v>
      </c>
      <c r="O29" s="364">
        <v>0.2</v>
      </c>
      <c r="P29" s="364">
        <v>0.35</v>
      </c>
      <c r="Q29" s="364">
        <v>0</v>
      </c>
      <c r="R29" s="364">
        <v>0</v>
      </c>
      <c r="S29" s="364">
        <v>0</v>
      </c>
      <c r="T29" s="364">
        <v>0</v>
      </c>
      <c r="U29" s="364">
        <v>0</v>
      </c>
      <c r="V29" s="364">
        <v>0.3</v>
      </c>
      <c r="W29" s="364">
        <v>0.2</v>
      </c>
      <c r="X29" s="364">
        <v>0</v>
      </c>
      <c r="Y29" s="364">
        <v>0.2</v>
      </c>
      <c r="Z29" s="364">
        <v>0</v>
      </c>
      <c r="AA29" s="364">
        <v>0</v>
      </c>
      <c r="AB29" s="364">
        <v>0.2</v>
      </c>
      <c r="AC29" s="364">
        <v>0.2</v>
      </c>
      <c r="AD29" s="364">
        <v>0</v>
      </c>
      <c r="AE29" s="364">
        <v>0.2</v>
      </c>
      <c r="AF29" s="364">
        <v>0</v>
      </c>
    </row>
    <row r="30" spans="2:32" x14ac:dyDescent="0.3">
      <c r="B30" s="341" t="s">
        <v>498</v>
      </c>
      <c r="C30" s="465" t="s">
        <v>629</v>
      </c>
      <c r="D30" s="465" t="s">
        <v>631</v>
      </c>
      <c r="E30" s="364">
        <v>0.7</v>
      </c>
      <c r="F30" s="364">
        <v>0.7</v>
      </c>
      <c r="G30" s="364">
        <v>0.7</v>
      </c>
      <c r="H30" s="364">
        <v>0.7</v>
      </c>
      <c r="I30" s="364">
        <v>0</v>
      </c>
      <c r="J30" s="364">
        <v>0</v>
      </c>
      <c r="K30" s="364">
        <v>0.5</v>
      </c>
      <c r="L30" s="364">
        <v>0.5</v>
      </c>
      <c r="M30" s="364">
        <v>0.7</v>
      </c>
      <c r="N30" s="364">
        <v>0</v>
      </c>
      <c r="O30" s="364">
        <v>0.7</v>
      </c>
      <c r="P30" s="364">
        <v>0.35</v>
      </c>
      <c r="Q30" s="364">
        <v>0</v>
      </c>
      <c r="R30" s="364">
        <v>0.2</v>
      </c>
      <c r="S30" s="364">
        <v>0</v>
      </c>
      <c r="T30" s="364">
        <v>0.2</v>
      </c>
      <c r="U30" s="364">
        <v>0.2</v>
      </c>
      <c r="V30" s="364">
        <v>0.5</v>
      </c>
      <c r="W30" s="364">
        <v>0.7</v>
      </c>
      <c r="X30" s="364">
        <v>0</v>
      </c>
      <c r="Y30" s="364">
        <v>0.7</v>
      </c>
      <c r="Z30" s="364">
        <v>0</v>
      </c>
      <c r="AA30" s="364">
        <v>0</v>
      </c>
      <c r="AB30" s="364">
        <v>0.7</v>
      </c>
      <c r="AC30" s="364">
        <v>0.7</v>
      </c>
      <c r="AD30" s="364">
        <v>0</v>
      </c>
      <c r="AE30" s="364">
        <v>0.7</v>
      </c>
      <c r="AF30" s="364">
        <v>0</v>
      </c>
    </row>
    <row r="31" spans="2:32" x14ac:dyDescent="0.3">
      <c r="B31" s="342"/>
      <c r="C31" s="467"/>
      <c r="D31" s="469" t="s">
        <v>474</v>
      </c>
      <c r="E31" s="343">
        <f>IF(E$7="","",IF(SUM(E28:E30)=0,"",IF(SUM(E28:E30)&lt;&gt;1,"CHECK",SUM(E28:E30))))</f>
        <v>1</v>
      </c>
      <c r="F31" s="343">
        <f t="shared" ref="F31" si="56">IF(F$7="","",IF(SUM(F28:F30)=0,"",IF(SUM(F28:F30)&lt;&gt;1,"CHECK",SUM(F28:F30))))</f>
        <v>1</v>
      </c>
      <c r="G31" s="343">
        <f t="shared" ref="G31" si="57">IF(G$7="","",IF(SUM(G28:G30)=0,"",IF(SUM(G28:G30)&lt;&gt;1,"CHECK",SUM(G28:G30))))</f>
        <v>1</v>
      </c>
      <c r="H31" s="343">
        <f t="shared" ref="H31" si="58">IF(H$7="","",IF(SUM(H28:H30)=0,"",IF(SUM(H28:H30)&lt;&gt;1,"CHECK",SUM(H28:H30))))</f>
        <v>1</v>
      </c>
      <c r="I31" s="343">
        <f t="shared" ref="I31" si="59">IF(I$7="","",IF(SUM(I28:I30)=0,"",IF(SUM(I28:I30)&lt;&gt;1,"CHECK",SUM(I28:I30))))</f>
        <v>1</v>
      </c>
      <c r="J31" s="343">
        <f t="shared" ref="J31" si="60">IF(J$7="","",IF(SUM(J28:J30)=0,"",IF(SUM(J28:J30)&lt;&gt;1,"CHECK",SUM(J28:J30))))</f>
        <v>1</v>
      </c>
      <c r="K31" s="343">
        <f t="shared" ref="K31" si="61">IF(K$7="","",IF(SUM(K28:K30)=0,"",IF(SUM(K28:K30)&lt;&gt;1,"CHECK",SUM(K28:K30))))</f>
        <v>1</v>
      </c>
      <c r="L31" s="343">
        <f t="shared" ref="L31" si="62">IF(L$7="","",IF(SUM(L28:L30)=0,"",IF(SUM(L28:L30)&lt;&gt;1,"CHECK",SUM(L28:L30))))</f>
        <v>1</v>
      </c>
      <c r="M31" s="343">
        <f t="shared" ref="M31" si="63">IF(M$7="","",IF(SUM(M28:M30)=0,"",IF(SUM(M28:M30)&lt;&gt;1,"CHECK",SUM(M28:M30))))</f>
        <v>1</v>
      </c>
      <c r="N31" s="343">
        <f t="shared" ref="N31" si="64">IF(N$7="","",IF(SUM(N28:N30)=0,"",IF(SUM(N28:N30)&lt;&gt;1,"CHECK",SUM(N28:N30))))</f>
        <v>1</v>
      </c>
      <c r="O31" s="343">
        <f t="shared" ref="O31" si="65">IF(O$7="","",IF(SUM(O28:O30)=0,"",IF(SUM(O28:O30)&lt;&gt;1,"CHECK",SUM(O28:O30))))</f>
        <v>1</v>
      </c>
      <c r="P31" s="343">
        <f t="shared" ref="P31" si="66">IF(P$7="","",IF(SUM(P28:P30)=0,"",IF(SUM(P28:P30)&lt;&gt;1,"CHECK",SUM(P28:P30))))</f>
        <v>0.99999999999999989</v>
      </c>
      <c r="Q31" s="343">
        <f t="shared" ref="Q31" si="67">IF(Q$7="","",IF(SUM(Q28:Q30)=0,"",IF(SUM(Q28:Q30)&lt;&gt;1,"CHECK",SUM(Q28:Q30))))</f>
        <v>1</v>
      </c>
      <c r="R31" s="343">
        <f t="shared" ref="R31" si="68">IF(R$7="","",IF(SUM(R28:R30)=0,"",IF(SUM(R28:R30)&lt;&gt;1,"CHECK",SUM(R28:R30))))</f>
        <v>1</v>
      </c>
      <c r="S31" s="343">
        <f t="shared" ref="S31" si="69">IF(S$7="","",IF(SUM(S28:S30)=0,"",IF(SUM(S28:S30)&lt;&gt;1,"CHECK",SUM(S28:S30))))</f>
        <v>1</v>
      </c>
      <c r="T31" s="343">
        <f t="shared" ref="T31" si="70">IF(T$7="","",IF(SUM(T28:T30)=0,"",IF(SUM(T28:T30)&lt;&gt;1,"CHECK",SUM(T28:T30))))</f>
        <v>1</v>
      </c>
      <c r="U31" s="343">
        <f t="shared" ref="U31" si="71">IF(U$7="","",IF(SUM(U28:U30)=0,"",IF(SUM(U28:U30)&lt;&gt;1,"CHECK",SUM(U28:U30))))</f>
        <v>1</v>
      </c>
      <c r="V31" s="343">
        <f t="shared" ref="V31" si="72">IF(V$7="","",IF(SUM(V28:V30)=0,"",IF(SUM(V28:V30)&lt;&gt;1,"CHECK",SUM(V28:V30))))</f>
        <v>1</v>
      </c>
      <c r="W31" s="343">
        <f t="shared" ref="W31" si="73">IF(W$7="","",IF(SUM(W28:W30)=0,"",IF(SUM(W28:W30)&lt;&gt;1,"CHECK",SUM(W28:W30))))</f>
        <v>1</v>
      </c>
      <c r="X31" s="343">
        <f t="shared" ref="X31" si="74">IF(X$7="","",IF(SUM(X28:X30)=0,"",IF(SUM(X28:X30)&lt;&gt;1,"CHECK",SUM(X28:X30))))</f>
        <v>1</v>
      </c>
      <c r="Y31" s="343">
        <f t="shared" ref="Y31" si="75">IF(Y$7="","",IF(SUM(Y28:Y30)=0,"",IF(SUM(Y28:Y30)&lt;&gt;1,"CHECK",SUM(Y28:Y30))))</f>
        <v>1</v>
      </c>
      <c r="Z31" s="343">
        <f t="shared" ref="Z31" si="76">IF(Z$7="","",IF(SUM(Z28:Z30)=0,"",IF(SUM(Z28:Z30)&lt;&gt;1,"CHECK",SUM(Z28:Z30))))</f>
        <v>1</v>
      </c>
      <c r="AA31" s="343">
        <f t="shared" ref="AA31" si="77">IF(AA$7="","",IF(SUM(AA28:AA30)=0,"",IF(SUM(AA28:AA30)&lt;&gt;1,"CHECK",SUM(AA28:AA30))))</f>
        <v>1</v>
      </c>
      <c r="AB31" s="343">
        <f t="shared" ref="AB31" si="78">IF(AB$7="","",IF(SUM(AB28:AB30)=0,"",IF(SUM(AB28:AB30)&lt;&gt;1,"CHECK",SUM(AB28:AB30))))</f>
        <v>1</v>
      </c>
      <c r="AC31" s="343">
        <f t="shared" ref="AC31" si="79">IF(AC$7="","",IF(SUM(AC28:AC30)=0,"",IF(SUM(AC28:AC30)&lt;&gt;1,"CHECK",SUM(AC28:AC30))))</f>
        <v>1</v>
      </c>
      <c r="AD31" s="343">
        <f t="shared" ref="AD31" si="80">IF(AD$7="","",IF(SUM(AD28:AD30)=0,"",IF(SUM(AD28:AD30)&lt;&gt;1,"CHECK",SUM(AD28:AD30))))</f>
        <v>1</v>
      </c>
      <c r="AE31" s="343">
        <f t="shared" ref="AE31" si="81">IF(AE$7="","",IF(SUM(AE28:AE30)=0,"",IF(SUM(AE28:AE30)&lt;&gt;1,"CHECK",SUM(AE28:AE30))))</f>
        <v>1</v>
      </c>
      <c r="AF31" s="343">
        <f t="shared" ref="AF31" si="82">IF(AF$7="","",IF(SUM(AF28:AF30)=0,"",IF(SUM(AF28:AF30)&lt;&gt;1,"CHECK",SUM(AF28:AF30))))</f>
        <v>1</v>
      </c>
    </row>
    <row r="32" spans="2:32" x14ac:dyDescent="0.3">
      <c r="B32" s="341" t="s">
        <v>498</v>
      </c>
      <c r="C32" s="465" t="s">
        <v>628</v>
      </c>
      <c r="D32" s="465" t="s">
        <v>563</v>
      </c>
      <c r="E32" s="364">
        <v>1</v>
      </c>
      <c r="F32" s="364">
        <v>1</v>
      </c>
      <c r="G32" s="364">
        <v>1</v>
      </c>
      <c r="H32" s="364">
        <v>1</v>
      </c>
      <c r="I32" s="364">
        <v>1</v>
      </c>
      <c r="J32" s="364">
        <v>1</v>
      </c>
      <c r="K32" s="364">
        <v>1</v>
      </c>
      <c r="L32" s="364">
        <v>1</v>
      </c>
      <c r="M32" s="364">
        <v>1</v>
      </c>
      <c r="N32" s="364">
        <v>1</v>
      </c>
      <c r="O32" s="364">
        <v>1</v>
      </c>
      <c r="P32" s="364">
        <v>1</v>
      </c>
      <c r="Q32" s="364">
        <v>1</v>
      </c>
      <c r="R32" s="364">
        <v>1</v>
      </c>
      <c r="S32" s="364">
        <v>1</v>
      </c>
      <c r="T32" s="364">
        <v>1</v>
      </c>
      <c r="U32" s="364">
        <v>1</v>
      </c>
      <c r="V32" s="364">
        <v>1</v>
      </c>
      <c r="W32" s="364">
        <v>1</v>
      </c>
      <c r="X32" s="364">
        <v>1</v>
      </c>
      <c r="Y32" s="364">
        <v>1</v>
      </c>
      <c r="Z32" s="364">
        <v>1</v>
      </c>
      <c r="AA32" s="364">
        <v>1</v>
      </c>
      <c r="AB32" s="364">
        <v>1</v>
      </c>
      <c r="AC32" s="364">
        <v>1</v>
      </c>
      <c r="AD32" s="364">
        <v>1</v>
      </c>
      <c r="AE32" s="364">
        <v>1</v>
      </c>
      <c r="AF32" s="364">
        <v>1</v>
      </c>
    </row>
    <row r="33" spans="2:32" x14ac:dyDescent="0.3">
      <c r="B33" s="341" t="s">
        <v>498</v>
      </c>
      <c r="C33" s="465" t="s">
        <v>628</v>
      </c>
      <c r="D33" s="465" t="s">
        <v>632</v>
      </c>
      <c r="E33" s="364">
        <v>0</v>
      </c>
      <c r="F33" s="364">
        <v>0</v>
      </c>
      <c r="G33" s="364">
        <v>0</v>
      </c>
      <c r="H33" s="364">
        <v>0</v>
      </c>
      <c r="I33" s="364">
        <v>0</v>
      </c>
      <c r="J33" s="364">
        <v>0</v>
      </c>
      <c r="K33" s="364">
        <v>0</v>
      </c>
      <c r="L33" s="364">
        <v>0</v>
      </c>
      <c r="M33" s="364">
        <v>0</v>
      </c>
      <c r="N33" s="364">
        <v>0</v>
      </c>
      <c r="O33" s="364">
        <v>0</v>
      </c>
      <c r="P33" s="364">
        <v>0</v>
      </c>
      <c r="Q33" s="364">
        <v>0</v>
      </c>
      <c r="R33" s="364">
        <v>0</v>
      </c>
      <c r="S33" s="364">
        <v>0</v>
      </c>
      <c r="T33" s="364">
        <v>0</v>
      </c>
      <c r="U33" s="364">
        <v>0</v>
      </c>
      <c r="V33" s="364">
        <v>0</v>
      </c>
      <c r="W33" s="364">
        <v>0</v>
      </c>
      <c r="X33" s="364">
        <v>0</v>
      </c>
      <c r="Y33" s="364">
        <v>0</v>
      </c>
      <c r="Z33" s="364">
        <v>0</v>
      </c>
      <c r="AA33" s="364">
        <v>0</v>
      </c>
      <c r="AB33" s="364">
        <v>0</v>
      </c>
      <c r="AC33" s="364">
        <v>0</v>
      </c>
      <c r="AD33" s="364">
        <v>0</v>
      </c>
      <c r="AE33" s="364">
        <v>0</v>
      </c>
      <c r="AF33" s="364">
        <v>0</v>
      </c>
    </row>
    <row r="34" spans="2:32" x14ac:dyDescent="0.3">
      <c r="B34" s="342"/>
      <c r="C34" s="467"/>
      <c r="D34" s="469" t="s">
        <v>474</v>
      </c>
      <c r="E34" s="343">
        <f>IF(E$7="","",IF(SUM(E32:E33)=0,"",IF(SUM(E32:E33)&lt;&gt;1,"CHECK",SUM(E32:E33))))</f>
        <v>1</v>
      </c>
      <c r="F34" s="343">
        <f t="shared" ref="F34:AF34" si="83">IF(F$7="","",IF(SUM(F32:F33)=0,"",IF(SUM(F32:F33)&lt;&gt;1,"CHECK",SUM(F32:F33))))</f>
        <v>1</v>
      </c>
      <c r="G34" s="343">
        <f t="shared" si="83"/>
        <v>1</v>
      </c>
      <c r="H34" s="343">
        <f t="shared" si="83"/>
        <v>1</v>
      </c>
      <c r="I34" s="343">
        <f t="shared" si="83"/>
        <v>1</v>
      </c>
      <c r="J34" s="343">
        <f t="shared" si="83"/>
        <v>1</v>
      </c>
      <c r="K34" s="343">
        <f t="shared" si="83"/>
        <v>1</v>
      </c>
      <c r="L34" s="343">
        <f t="shared" si="83"/>
        <v>1</v>
      </c>
      <c r="M34" s="343">
        <f t="shared" si="83"/>
        <v>1</v>
      </c>
      <c r="N34" s="343">
        <f t="shared" si="83"/>
        <v>1</v>
      </c>
      <c r="O34" s="343">
        <f t="shared" si="83"/>
        <v>1</v>
      </c>
      <c r="P34" s="343">
        <f t="shared" si="83"/>
        <v>1</v>
      </c>
      <c r="Q34" s="343">
        <f t="shared" si="83"/>
        <v>1</v>
      </c>
      <c r="R34" s="343">
        <f t="shared" si="83"/>
        <v>1</v>
      </c>
      <c r="S34" s="343">
        <f t="shared" si="83"/>
        <v>1</v>
      </c>
      <c r="T34" s="343">
        <f t="shared" si="83"/>
        <v>1</v>
      </c>
      <c r="U34" s="343">
        <f t="shared" si="83"/>
        <v>1</v>
      </c>
      <c r="V34" s="343">
        <f t="shared" si="83"/>
        <v>1</v>
      </c>
      <c r="W34" s="343">
        <f t="shared" si="83"/>
        <v>1</v>
      </c>
      <c r="X34" s="343">
        <f t="shared" si="83"/>
        <v>1</v>
      </c>
      <c r="Y34" s="343">
        <f t="shared" si="83"/>
        <v>1</v>
      </c>
      <c r="Z34" s="343">
        <f t="shared" si="83"/>
        <v>1</v>
      </c>
      <c r="AA34" s="343">
        <f t="shared" si="83"/>
        <v>1</v>
      </c>
      <c r="AB34" s="343">
        <f t="shared" si="83"/>
        <v>1</v>
      </c>
      <c r="AC34" s="343">
        <f t="shared" si="83"/>
        <v>1</v>
      </c>
      <c r="AD34" s="343">
        <f t="shared" si="83"/>
        <v>1</v>
      </c>
      <c r="AE34" s="343">
        <f t="shared" si="83"/>
        <v>1</v>
      </c>
      <c r="AF34" s="343">
        <f t="shared" si="83"/>
        <v>1</v>
      </c>
    </row>
    <row r="35" spans="2:32" x14ac:dyDescent="0.3">
      <c r="B35" s="341" t="s">
        <v>498</v>
      </c>
      <c r="C35" s="465" t="s">
        <v>564</v>
      </c>
      <c r="D35" s="465" t="s">
        <v>563</v>
      </c>
      <c r="E35" s="364">
        <v>0.01</v>
      </c>
      <c r="F35" s="364">
        <v>0.01</v>
      </c>
      <c r="G35" s="364">
        <v>0.01</v>
      </c>
      <c r="H35" s="364">
        <v>0.01</v>
      </c>
      <c r="I35" s="364">
        <v>0.04</v>
      </c>
      <c r="J35" s="364">
        <v>0.1</v>
      </c>
      <c r="K35" s="364">
        <v>0.03</v>
      </c>
      <c r="L35" s="364">
        <v>0.03</v>
      </c>
      <c r="M35" s="364">
        <v>0.02</v>
      </c>
      <c r="N35" s="364">
        <v>0.17</v>
      </c>
      <c r="O35" s="364">
        <v>0.02</v>
      </c>
      <c r="P35" s="364">
        <v>0.02</v>
      </c>
      <c r="Q35" s="364">
        <v>0.1</v>
      </c>
      <c r="R35" s="364">
        <v>0.15</v>
      </c>
      <c r="S35" s="364">
        <v>0.1</v>
      </c>
      <c r="T35" s="364">
        <v>0.15</v>
      </c>
      <c r="U35" s="364">
        <v>0.15</v>
      </c>
      <c r="V35" s="364">
        <v>0.03</v>
      </c>
      <c r="W35" s="364">
        <v>0.02</v>
      </c>
      <c r="X35" s="364">
        <v>0.05</v>
      </c>
      <c r="Y35" s="364">
        <v>0.02</v>
      </c>
      <c r="Z35" s="364">
        <v>0.05</v>
      </c>
      <c r="AA35" s="364">
        <v>0.05</v>
      </c>
      <c r="AB35" s="364">
        <v>0.05</v>
      </c>
      <c r="AC35" s="364">
        <v>0.01</v>
      </c>
      <c r="AD35" s="364">
        <v>0.1</v>
      </c>
      <c r="AE35" s="364">
        <v>0.03</v>
      </c>
      <c r="AF35" s="364">
        <v>4.5652792094116795E-2</v>
      </c>
    </row>
    <row r="36" spans="2:32" x14ac:dyDescent="0.3">
      <c r="B36" s="341" t="s">
        <v>498</v>
      </c>
      <c r="C36" s="466" t="s">
        <v>564</v>
      </c>
      <c r="D36" s="465" t="s">
        <v>630</v>
      </c>
      <c r="E36" s="364">
        <v>0.03</v>
      </c>
      <c r="F36" s="364">
        <v>0.03</v>
      </c>
      <c r="G36" s="364">
        <v>0.03</v>
      </c>
      <c r="H36" s="364">
        <v>0.03</v>
      </c>
      <c r="I36" s="364">
        <v>0.06</v>
      </c>
      <c r="J36" s="364">
        <v>0.01</v>
      </c>
      <c r="K36" s="364">
        <v>0.13</v>
      </c>
      <c r="L36" s="364">
        <v>0.13</v>
      </c>
      <c r="M36" s="364">
        <v>0.08</v>
      </c>
      <c r="N36" s="364">
        <v>0.13</v>
      </c>
      <c r="O36" s="364">
        <v>0.08</v>
      </c>
      <c r="P36" s="364">
        <v>0.03</v>
      </c>
      <c r="Q36" s="364">
        <v>0.01</v>
      </c>
      <c r="R36" s="364">
        <v>0.1</v>
      </c>
      <c r="S36" s="364">
        <v>0.01</v>
      </c>
      <c r="T36" s="364">
        <v>0.1</v>
      </c>
      <c r="U36" s="364">
        <v>0.1</v>
      </c>
      <c r="V36" s="364">
        <v>0.13</v>
      </c>
      <c r="W36" s="364">
        <v>0.05</v>
      </c>
      <c r="X36" s="364">
        <v>0.14000000000000001</v>
      </c>
      <c r="Y36" s="364">
        <v>0.08</v>
      </c>
      <c r="Z36" s="364">
        <v>0.1</v>
      </c>
      <c r="AA36" s="364">
        <v>0.1</v>
      </c>
      <c r="AB36" s="364">
        <v>0.1</v>
      </c>
      <c r="AC36" s="364">
        <v>0.03</v>
      </c>
      <c r="AD36" s="364">
        <v>0.01</v>
      </c>
      <c r="AE36" s="364">
        <v>0.15</v>
      </c>
      <c r="AF36" s="364">
        <v>0.20724701637407295</v>
      </c>
    </row>
    <row r="37" spans="2:32" x14ac:dyDescent="0.3">
      <c r="B37" s="341" t="s">
        <v>498</v>
      </c>
      <c r="C37" s="466" t="s">
        <v>564</v>
      </c>
      <c r="D37" s="465" t="s">
        <v>563</v>
      </c>
      <c r="E37" s="364">
        <v>0.05</v>
      </c>
      <c r="F37" s="364">
        <v>0.05</v>
      </c>
      <c r="G37" s="364">
        <v>0.05</v>
      </c>
      <c r="H37" s="364">
        <v>0.05</v>
      </c>
      <c r="I37" s="364">
        <v>0.1</v>
      </c>
      <c r="J37" s="364">
        <v>0.1</v>
      </c>
      <c r="K37" s="364">
        <v>0.06</v>
      </c>
      <c r="L37" s="364">
        <v>0.06</v>
      </c>
      <c r="M37" s="364">
        <v>0.02</v>
      </c>
      <c r="N37" s="364">
        <v>0.03</v>
      </c>
      <c r="O37" s="364">
        <v>0.02</v>
      </c>
      <c r="P37" s="364">
        <v>0.02</v>
      </c>
      <c r="Q37" s="364">
        <v>0.1</v>
      </c>
      <c r="R37" s="364">
        <v>0.06</v>
      </c>
      <c r="S37" s="364">
        <v>0.1</v>
      </c>
      <c r="T37" s="364">
        <v>0.06</v>
      </c>
      <c r="U37" s="364">
        <v>0.06</v>
      </c>
      <c r="V37" s="364">
        <v>0.06</v>
      </c>
      <c r="W37" s="364">
        <v>0.01</v>
      </c>
      <c r="X37" s="364">
        <v>0</v>
      </c>
      <c r="Y37" s="364">
        <v>0.02</v>
      </c>
      <c r="Z37" s="364">
        <v>0.05</v>
      </c>
      <c r="AA37" s="364">
        <v>0.05</v>
      </c>
      <c r="AB37" s="364">
        <v>0.05</v>
      </c>
      <c r="AC37" s="364">
        <v>0.05</v>
      </c>
      <c r="AD37" s="364">
        <v>0.1</v>
      </c>
      <c r="AE37" s="364">
        <v>0.03</v>
      </c>
      <c r="AF37" s="364">
        <v>4.7250673863187216E-2</v>
      </c>
    </row>
    <row r="38" spans="2:32" x14ac:dyDescent="0.3">
      <c r="B38" s="341" t="s">
        <v>498</v>
      </c>
      <c r="C38" s="466" t="s">
        <v>564</v>
      </c>
      <c r="D38" s="465" t="s">
        <v>569</v>
      </c>
      <c r="E38" s="364">
        <v>0.46</v>
      </c>
      <c r="F38" s="364">
        <v>0.46</v>
      </c>
      <c r="G38" s="364">
        <v>0.46</v>
      </c>
      <c r="H38" s="364">
        <v>0.46</v>
      </c>
      <c r="I38" s="364">
        <v>0.3</v>
      </c>
      <c r="J38" s="364">
        <v>0.4</v>
      </c>
      <c r="K38" s="364">
        <v>0.35</v>
      </c>
      <c r="L38" s="364">
        <v>0.35</v>
      </c>
      <c r="M38" s="364">
        <v>0.42</v>
      </c>
      <c r="N38" s="364">
        <v>0.38</v>
      </c>
      <c r="O38" s="364">
        <v>0.42</v>
      </c>
      <c r="P38" s="364">
        <v>0.6</v>
      </c>
      <c r="Q38" s="364">
        <v>0.4</v>
      </c>
      <c r="R38" s="364">
        <v>0.39</v>
      </c>
      <c r="S38" s="364">
        <v>0.4</v>
      </c>
      <c r="T38" s="364">
        <v>0.39</v>
      </c>
      <c r="U38" s="364">
        <v>0.39</v>
      </c>
      <c r="V38" s="364">
        <v>0.35</v>
      </c>
      <c r="W38" s="364">
        <v>0.4</v>
      </c>
      <c r="X38" s="364">
        <v>0.4</v>
      </c>
      <c r="Y38" s="364">
        <v>0.42</v>
      </c>
      <c r="Z38" s="364">
        <v>0.36</v>
      </c>
      <c r="AA38" s="364">
        <v>0.36</v>
      </c>
      <c r="AB38" s="364">
        <v>0.38</v>
      </c>
      <c r="AC38" s="364">
        <v>0.46</v>
      </c>
      <c r="AD38" s="364">
        <v>0.4</v>
      </c>
      <c r="AE38" s="364">
        <v>0.46</v>
      </c>
      <c r="AF38" s="364">
        <v>0.39595432418647619</v>
      </c>
    </row>
    <row r="39" spans="2:32" x14ac:dyDescent="0.3">
      <c r="B39" s="341" t="s">
        <v>498</v>
      </c>
      <c r="C39" s="466" t="s">
        <v>564</v>
      </c>
      <c r="D39" s="465" t="s">
        <v>631</v>
      </c>
      <c r="E39" s="364">
        <v>0.05</v>
      </c>
      <c r="F39" s="364">
        <v>0.05</v>
      </c>
      <c r="G39" s="364">
        <v>0.05</v>
      </c>
      <c r="H39" s="364">
        <v>0.05</v>
      </c>
      <c r="I39" s="364">
        <v>0.05</v>
      </c>
      <c r="J39" s="364">
        <v>0.03</v>
      </c>
      <c r="K39" s="364">
        <v>0.01</v>
      </c>
      <c r="L39" s="364">
        <v>0.01</v>
      </c>
      <c r="M39" s="364">
        <v>0.02</v>
      </c>
      <c r="N39" s="364">
        <v>0.04</v>
      </c>
      <c r="O39" s="364">
        <v>0.02</v>
      </c>
      <c r="P39" s="364">
        <v>0.05</v>
      </c>
      <c r="Q39" s="364">
        <v>0.03</v>
      </c>
      <c r="R39" s="364">
        <v>0.04</v>
      </c>
      <c r="S39" s="364">
        <v>0.03</v>
      </c>
      <c r="T39" s="364">
        <v>0.04</v>
      </c>
      <c r="U39" s="364">
        <v>0.04</v>
      </c>
      <c r="V39" s="364">
        <v>0.01</v>
      </c>
      <c r="W39" s="364">
        <v>0.03</v>
      </c>
      <c r="X39" s="364">
        <v>0</v>
      </c>
      <c r="Y39" s="364">
        <v>0.02</v>
      </c>
      <c r="Z39" s="364">
        <v>0.03</v>
      </c>
      <c r="AA39" s="364">
        <v>0.03</v>
      </c>
      <c r="AB39" s="364">
        <v>0.02</v>
      </c>
      <c r="AC39" s="364">
        <v>0.05</v>
      </c>
      <c r="AD39" s="364">
        <v>0.03</v>
      </c>
      <c r="AE39" s="364">
        <v>0.01</v>
      </c>
      <c r="AF39" s="364">
        <v>1.0313924754943369E-2</v>
      </c>
    </row>
    <row r="40" spans="2:32" x14ac:dyDescent="0.3">
      <c r="B40" s="341" t="s">
        <v>498</v>
      </c>
      <c r="C40" s="466" t="s">
        <v>564</v>
      </c>
      <c r="D40" s="465" t="s">
        <v>633</v>
      </c>
      <c r="E40" s="364">
        <v>0.15</v>
      </c>
      <c r="F40" s="364">
        <v>0.15</v>
      </c>
      <c r="G40" s="364">
        <v>0.15</v>
      </c>
      <c r="H40" s="364">
        <v>0.15</v>
      </c>
      <c r="I40" s="364">
        <v>0.2</v>
      </c>
      <c r="J40" s="364">
        <v>0.1</v>
      </c>
      <c r="K40" s="364">
        <v>0.2</v>
      </c>
      <c r="L40" s="364">
        <v>0.2</v>
      </c>
      <c r="M40" s="364">
        <v>0.24</v>
      </c>
      <c r="N40" s="364">
        <v>0.05</v>
      </c>
      <c r="O40" s="364">
        <v>0.24</v>
      </c>
      <c r="P40" s="364">
        <v>0.08</v>
      </c>
      <c r="Q40" s="364">
        <v>0.1</v>
      </c>
      <c r="R40" s="364">
        <v>0.09</v>
      </c>
      <c r="S40" s="364">
        <v>0.1</v>
      </c>
      <c r="T40" s="364">
        <v>0.09</v>
      </c>
      <c r="U40" s="364">
        <v>0.09</v>
      </c>
      <c r="V40" s="364">
        <v>0.2</v>
      </c>
      <c r="W40" s="364">
        <v>0.17</v>
      </c>
      <c r="X40" s="364">
        <v>0.09</v>
      </c>
      <c r="Y40" s="364">
        <v>0.24</v>
      </c>
      <c r="Z40" s="364">
        <v>0.21</v>
      </c>
      <c r="AA40" s="364">
        <v>0.21</v>
      </c>
      <c r="AB40" s="364">
        <v>0.2</v>
      </c>
      <c r="AC40" s="364">
        <v>0.15</v>
      </c>
      <c r="AD40" s="364">
        <v>0.1</v>
      </c>
      <c r="AE40" s="364">
        <v>0.1</v>
      </c>
      <c r="AF40" s="364">
        <v>5.9719534137051444E-2</v>
      </c>
    </row>
    <row r="41" spans="2:32" x14ac:dyDescent="0.3">
      <c r="B41" s="341" t="s">
        <v>498</v>
      </c>
      <c r="C41" s="466" t="s">
        <v>564</v>
      </c>
      <c r="D41" s="465" t="s">
        <v>633</v>
      </c>
      <c r="E41" s="364">
        <v>0.25</v>
      </c>
      <c r="F41" s="364">
        <v>0.25</v>
      </c>
      <c r="G41" s="364">
        <v>0.25</v>
      </c>
      <c r="H41" s="364">
        <v>0.25</v>
      </c>
      <c r="I41" s="364">
        <v>0.25</v>
      </c>
      <c r="J41" s="364">
        <v>0.26</v>
      </c>
      <c r="K41" s="364">
        <v>0.22</v>
      </c>
      <c r="L41" s="364">
        <v>0.22</v>
      </c>
      <c r="M41" s="364">
        <v>0.2</v>
      </c>
      <c r="N41" s="364">
        <v>0.15</v>
      </c>
      <c r="O41" s="364">
        <v>0.2</v>
      </c>
      <c r="P41" s="364">
        <v>0.2</v>
      </c>
      <c r="Q41" s="364">
        <v>0.26</v>
      </c>
      <c r="R41" s="364">
        <v>0.17</v>
      </c>
      <c r="S41" s="364">
        <v>0.26</v>
      </c>
      <c r="T41" s="364">
        <v>0.17</v>
      </c>
      <c r="U41" s="364">
        <v>0.17</v>
      </c>
      <c r="V41" s="364">
        <v>0.22</v>
      </c>
      <c r="W41" s="364">
        <v>0.32</v>
      </c>
      <c r="X41" s="364">
        <v>0.25</v>
      </c>
      <c r="Y41" s="364">
        <v>0.2</v>
      </c>
      <c r="Z41" s="364">
        <v>0.2</v>
      </c>
      <c r="AA41" s="364">
        <v>0.2</v>
      </c>
      <c r="AB41" s="364">
        <v>0.2</v>
      </c>
      <c r="AC41" s="364">
        <v>0.25</v>
      </c>
      <c r="AD41" s="364">
        <v>0.26</v>
      </c>
      <c r="AE41" s="364">
        <v>0.22</v>
      </c>
      <c r="AF41" s="364">
        <v>0.14052021297740691</v>
      </c>
    </row>
    <row r="42" spans="2:32" x14ac:dyDescent="0.3">
      <c r="B42" s="341" t="s">
        <v>498</v>
      </c>
      <c r="C42" s="466" t="s">
        <v>564</v>
      </c>
      <c r="D42" s="465" t="s">
        <v>632</v>
      </c>
      <c r="E42" s="364">
        <v>0</v>
      </c>
      <c r="F42" s="364">
        <v>0</v>
      </c>
      <c r="G42" s="364">
        <v>0</v>
      </c>
      <c r="H42" s="364">
        <v>0</v>
      </c>
      <c r="I42" s="364">
        <v>0</v>
      </c>
      <c r="J42" s="364">
        <v>0</v>
      </c>
      <c r="K42" s="364">
        <v>0</v>
      </c>
      <c r="L42" s="364">
        <v>0</v>
      </c>
      <c r="M42" s="364">
        <v>0</v>
      </c>
      <c r="N42" s="364">
        <v>0.05</v>
      </c>
      <c r="O42" s="364">
        <v>0</v>
      </c>
      <c r="P42" s="364">
        <v>0</v>
      </c>
      <c r="Q42" s="364">
        <v>0</v>
      </c>
      <c r="R42" s="364">
        <v>0</v>
      </c>
      <c r="S42" s="364">
        <v>0</v>
      </c>
      <c r="T42" s="364">
        <v>0</v>
      </c>
      <c r="U42" s="364">
        <v>0</v>
      </c>
      <c r="V42" s="364">
        <v>0</v>
      </c>
      <c r="W42" s="364">
        <v>0</v>
      </c>
      <c r="X42" s="364">
        <v>7.0000000000000007E-2</v>
      </c>
      <c r="Y42" s="364">
        <v>0</v>
      </c>
      <c r="Z42" s="364">
        <v>0</v>
      </c>
      <c r="AA42" s="364">
        <v>0</v>
      </c>
      <c r="AB42" s="364">
        <v>0</v>
      </c>
      <c r="AC42" s="364">
        <v>0</v>
      </c>
      <c r="AD42" s="364">
        <v>0</v>
      </c>
      <c r="AE42" s="364">
        <v>0</v>
      </c>
      <c r="AF42" s="364">
        <v>9.3341521612745185E-2</v>
      </c>
    </row>
    <row r="43" spans="2:32" x14ac:dyDescent="0.3">
      <c r="B43" s="342"/>
      <c r="C43" s="467"/>
      <c r="D43" s="469" t="s">
        <v>474</v>
      </c>
      <c r="E43" s="343">
        <f>IF(E$7="","",IF(SUM(E35:E42)=0,"",IF(SUM(E35:E42)&lt;&gt;1,"CHECK",SUM(E35:E42))))</f>
        <v>1</v>
      </c>
      <c r="F43" s="343">
        <f t="shared" ref="F43:AF43" si="84">IF(F$7="","",IF(SUM(F35:F42)=0,"",IF(SUM(F35:F42)&lt;&gt;1,"CHECK",SUM(F35:F42))))</f>
        <v>1</v>
      </c>
      <c r="G43" s="343">
        <f t="shared" si="84"/>
        <v>1</v>
      </c>
      <c r="H43" s="343">
        <f t="shared" si="84"/>
        <v>1</v>
      </c>
      <c r="I43" s="343">
        <f t="shared" si="84"/>
        <v>1</v>
      </c>
      <c r="J43" s="343">
        <f t="shared" si="84"/>
        <v>1</v>
      </c>
      <c r="K43" s="343">
        <f t="shared" si="84"/>
        <v>1</v>
      </c>
      <c r="L43" s="343">
        <f t="shared" si="84"/>
        <v>1</v>
      </c>
      <c r="M43" s="343">
        <f t="shared" si="84"/>
        <v>1</v>
      </c>
      <c r="N43" s="343">
        <f t="shared" si="84"/>
        <v>1.0000000000000002</v>
      </c>
      <c r="O43" s="343">
        <f t="shared" si="84"/>
        <v>1</v>
      </c>
      <c r="P43" s="343">
        <f t="shared" si="84"/>
        <v>1</v>
      </c>
      <c r="Q43" s="343">
        <f t="shared" si="84"/>
        <v>1</v>
      </c>
      <c r="R43" s="343">
        <f t="shared" si="84"/>
        <v>1</v>
      </c>
      <c r="S43" s="343">
        <f t="shared" si="84"/>
        <v>1</v>
      </c>
      <c r="T43" s="343">
        <f t="shared" si="84"/>
        <v>1</v>
      </c>
      <c r="U43" s="343">
        <f t="shared" si="84"/>
        <v>1</v>
      </c>
      <c r="V43" s="343">
        <f t="shared" si="84"/>
        <v>1</v>
      </c>
      <c r="W43" s="343">
        <f t="shared" si="84"/>
        <v>1</v>
      </c>
      <c r="X43" s="343">
        <f t="shared" si="84"/>
        <v>1</v>
      </c>
      <c r="Y43" s="343">
        <f t="shared" si="84"/>
        <v>1</v>
      </c>
      <c r="Z43" s="343">
        <f t="shared" si="84"/>
        <v>1</v>
      </c>
      <c r="AA43" s="343">
        <f t="shared" si="84"/>
        <v>1</v>
      </c>
      <c r="AB43" s="343">
        <f t="shared" si="84"/>
        <v>1</v>
      </c>
      <c r="AC43" s="343">
        <f t="shared" si="84"/>
        <v>1</v>
      </c>
      <c r="AD43" s="343">
        <f t="shared" si="84"/>
        <v>1</v>
      </c>
      <c r="AE43" s="343">
        <f t="shared" si="84"/>
        <v>1</v>
      </c>
      <c r="AF43" s="343">
        <f t="shared" si="84"/>
        <v>1</v>
      </c>
    </row>
    <row r="44" spans="2:32" x14ac:dyDescent="0.3">
      <c r="B44" s="341" t="s">
        <v>498</v>
      </c>
      <c r="C44" s="465" t="s">
        <v>599</v>
      </c>
      <c r="D44" s="465" t="s">
        <v>563</v>
      </c>
      <c r="E44" s="364">
        <v>1</v>
      </c>
      <c r="F44" s="364">
        <v>1</v>
      </c>
      <c r="G44" s="364">
        <v>1</v>
      </c>
      <c r="H44" s="364">
        <v>1</v>
      </c>
      <c r="I44" s="364">
        <v>1</v>
      </c>
      <c r="J44" s="364">
        <v>1</v>
      </c>
      <c r="K44" s="364">
        <v>0.8</v>
      </c>
      <c r="L44" s="364">
        <v>0.8</v>
      </c>
      <c r="M44" s="364">
        <v>1</v>
      </c>
      <c r="N44" s="364">
        <v>1</v>
      </c>
      <c r="O44" s="364">
        <v>1</v>
      </c>
      <c r="P44" s="364">
        <v>1</v>
      </c>
      <c r="Q44" s="364">
        <v>1</v>
      </c>
      <c r="R44" s="364">
        <v>1</v>
      </c>
      <c r="S44" s="364">
        <v>1</v>
      </c>
      <c r="T44" s="364">
        <v>1</v>
      </c>
      <c r="U44" s="364">
        <v>1</v>
      </c>
      <c r="V44" s="364">
        <v>0.8</v>
      </c>
      <c r="W44" s="364">
        <v>1</v>
      </c>
      <c r="X44" s="364">
        <v>1</v>
      </c>
      <c r="Y44" s="364">
        <v>1</v>
      </c>
      <c r="Z44" s="364">
        <v>1</v>
      </c>
      <c r="AA44" s="364">
        <v>1</v>
      </c>
      <c r="AB44" s="364">
        <v>1</v>
      </c>
      <c r="AC44" s="364">
        <v>1</v>
      </c>
      <c r="AD44" s="364">
        <v>1</v>
      </c>
      <c r="AE44" s="364">
        <v>1</v>
      </c>
      <c r="AF44" s="364">
        <v>1</v>
      </c>
    </row>
    <row r="45" spans="2:32" x14ac:dyDescent="0.3">
      <c r="B45" s="341" t="s">
        <v>498</v>
      </c>
      <c r="C45" s="466" t="s">
        <v>599</v>
      </c>
      <c r="D45" s="465" t="s">
        <v>563</v>
      </c>
      <c r="E45" s="364">
        <v>0</v>
      </c>
      <c r="F45" s="364">
        <v>0</v>
      </c>
      <c r="G45" s="364">
        <v>0</v>
      </c>
      <c r="H45" s="364">
        <v>0</v>
      </c>
      <c r="I45" s="364">
        <v>0</v>
      </c>
      <c r="J45" s="364">
        <v>0</v>
      </c>
      <c r="K45" s="364">
        <v>0.2</v>
      </c>
      <c r="L45" s="364">
        <v>0.2</v>
      </c>
      <c r="M45" s="364">
        <v>0</v>
      </c>
      <c r="N45" s="364">
        <v>0</v>
      </c>
      <c r="O45" s="364">
        <v>0</v>
      </c>
      <c r="P45" s="364">
        <v>0</v>
      </c>
      <c r="Q45" s="364">
        <v>0</v>
      </c>
      <c r="R45" s="364">
        <v>0</v>
      </c>
      <c r="S45" s="364">
        <v>0</v>
      </c>
      <c r="T45" s="364">
        <v>0</v>
      </c>
      <c r="U45" s="364">
        <v>0</v>
      </c>
      <c r="V45" s="364">
        <v>0.2</v>
      </c>
      <c r="W45" s="364">
        <v>0</v>
      </c>
      <c r="X45" s="364">
        <v>0</v>
      </c>
      <c r="Y45" s="364">
        <v>0</v>
      </c>
      <c r="Z45" s="364">
        <v>0</v>
      </c>
      <c r="AA45" s="364">
        <v>0</v>
      </c>
      <c r="AB45" s="364">
        <v>0</v>
      </c>
      <c r="AC45" s="364">
        <v>0</v>
      </c>
      <c r="AD45" s="364">
        <v>0</v>
      </c>
      <c r="AE45" s="364">
        <v>0</v>
      </c>
      <c r="AF45" s="364">
        <v>0</v>
      </c>
    </row>
    <row r="46" spans="2:32" x14ac:dyDescent="0.3">
      <c r="B46" s="342"/>
      <c r="C46" s="467"/>
      <c r="D46" s="469" t="s">
        <v>474</v>
      </c>
      <c r="E46" s="343">
        <f>IF(E$7="","",IF(SUM(E44:E45)=0,"",IF(SUM(E44:E45)&lt;&gt;1,"CHECK",SUM(E44:E45))))</f>
        <v>1</v>
      </c>
      <c r="F46" s="343">
        <f t="shared" ref="F46:AF46" si="85">IF(F$7="","",IF(SUM(F44:F45)=0,"",IF(SUM(F44:F45)&lt;&gt;1,"CHECK",SUM(F44:F45))))</f>
        <v>1</v>
      </c>
      <c r="G46" s="343">
        <f t="shared" si="85"/>
        <v>1</v>
      </c>
      <c r="H46" s="343">
        <f t="shared" si="85"/>
        <v>1</v>
      </c>
      <c r="I46" s="343">
        <f t="shared" si="85"/>
        <v>1</v>
      </c>
      <c r="J46" s="343">
        <f t="shared" si="85"/>
        <v>1</v>
      </c>
      <c r="K46" s="343">
        <f t="shared" si="85"/>
        <v>1</v>
      </c>
      <c r="L46" s="343">
        <f t="shared" si="85"/>
        <v>1</v>
      </c>
      <c r="M46" s="343">
        <f t="shared" si="85"/>
        <v>1</v>
      </c>
      <c r="N46" s="343">
        <f t="shared" si="85"/>
        <v>1</v>
      </c>
      <c r="O46" s="343">
        <f t="shared" si="85"/>
        <v>1</v>
      </c>
      <c r="P46" s="343">
        <f t="shared" si="85"/>
        <v>1</v>
      </c>
      <c r="Q46" s="343">
        <f t="shared" si="85"/>
        <v>1</v>
      </c>
      <c r="R46" s="343">
        <f t="shared" si="85"/>
        <v>1</v>
      </c>
      <c r="S46" s="343">
        <f t="shared" si="85"/>
        <v>1</v>
      </c>
      <c r="T46" s="343">
        <f t="shared" si="85"/>
        <v>1</v>
      </c>
      <c r="U46" s="343">
        <f t="shared" si="85"/>
        <v>1</v>
      </c>
      <c r="V46" s="343">
        <f t="shared" si="85"/>
        <v>1</v>
      </c>
      <c r="W46" s="343">
        <f t="shared" si="85"/>
        <v>1</v>
      </c>
      <c r="X46" s="343">
        <f t="shared" si="85"/>
        <v>1</v>
      </c>
      <c r="Y46" s="343">
        <f t="shared" si="85"/>
        <v>1</v>
      </c>
      <c r="Z46" s="343">
        <f t="shared" si="85"/>
        <v>1</v>
      </c>
      <c r="AA46" s="343">
        <f t="shared" si="85"/>
        <v>1</v>
      </c>
      <c r="AB46" s="343">
        <f t="shared" si="85"/>
        <v>1</v>
      </c>
      <c r="AC46" s="343">
        <f t="shared" si="85"/>
        <v>1</v>
      </c>
      <c r="AD46" s="343">
        <f t="shared" si="85"/>
        <v>1</v>
      </c>
      <c r="AE46" s="343">
        <f t="shared" si="85"/>
        <v>1</v>
      </c>
      <c r="AF46" s="343">
        <f t="shared" si="85"/>
        <v>1</v>
      </c>
    </row>
    <row r="47" spans="2:32" x14ac:dyDescent="0.3">
      <c r="B47" s="341" t="s">
        <v>498</v>
      </c>
      <c r="C47" s="465" t="s">
        <v>598</v>
      </c>
      <c r="D47" s="465" t="s">
        <v>563</v>
      </c>
      <c r="E47" s="364">
        <v>1</v>
      </c>
      <c r="F47" s="364">
        <v>1</v>
      </c>
      <c r="G47" s="364">
        <v>1</v>
      </c>
      <c r="H47" s="364">
        <v>1</v>
      </c>
      <c r="I47" s="364">
        <v>1</v>
      </c>
      <c r="J47" s="364">
        <v>1</v>
      </c>
      <c r="K47" s="364">
        <v>1</v>
      </c>
      <c r="L47" s="364">
        <v>1</v>
      </c>
      <c r="M47" s="364">
        <v>1</v>
      </c>
      <c r="N47" s="364">
        <v>1</v>
      </c>
      <c r="O47" s="364">
        <v>1</v>
      </c>
      <c r="P47" s="364">
        <v>1</v>
      </c>
      <c r="Q47" s="364">
        <v>1</v>
      </c>
      <c r="R47" s="364">
        <v>1</v>
      </c>
      <c r="S47" s="364">
        <v>1</v>
      </c>
      <c r="T47" s="364">
        <v>1</v>
      </c>
      <c r="U47" s="364">
        <v>1</v>
      </c>
      <c r="V47" s="364">
        <v>1</v>
      </c>
      <c r="W47" s="364">
        <v>1</v>
      </c>
      <c r="X47" s="364">
        <v>1</v>
      </c>
      <c r="Y47" s="364">
        <v>1</v>
      </c>
      <c r="Z47" s="364">
        <v>1</v>
      </c>
      <c r="AA47" s="364">
        <v>1</v>
      </c>
      <c r="AB47" s="364">
        <v>1</v>
      </c>
      <c r="AC47" s="364">
        <v>1</v>
      </c>
      <c r="AD47" s="364">
        <v>1</v>
      </c>
      <c r="AE47" s="364">
        <v>1</v>
      </c>
      <c r="AF47" s="364">
        <v>1</v>
      </c>
    </row>
    <row r="48" spans="2:32" x14ac:dyDescent="0.3">
      <c r="B48" s="341" t="s">
        <v>498</v>
      </c>
      <c r="C48" s="466" t="s">
        <v>598</v>
      </c>
      <c r="D48" s="465" t="s">
        <v>630</v>
      </c>
      <c r="E48" s="364">
        <v>0</v>
      </c>
      <c r="F48" s="364">
        <v>0</v>
      </c>
      <c r="G48" s="364">
        <v>0</v>
      </c>
      <c r="H48" s="364">
        <v>0</v>
      </c>
      <c r="I48" s="364">
        <v>0</v>
      </c>
      <c r="J48" s="364">
        <v>0</v>
      </c>
      <c r="K48" s="364">
        <v>0</v>
      </c>
      <c r="L48" s="364">
        <v>0</v>
      </c>
      <c r="M48" s="364">
        <v>0</v>
      </c>
      <c r="N48" s="364">
        <v>0</v>
      </c>
      <c r="O48" s="364">
        <v>0</v>
      </c>
      <c r="P48" s="364">
        <v>0</v>
      </c>
      <c r="Q48" s="364">
        <v>0</v>
      </c>
      <c r="R48" s="364">
        <v>0</v>
      </c>
      <c r="S48" s="364">
        <v>0</v>
      </c>
      <c r="T48" s="364">
        <v>0</v>
      </c>
      <c r="U48" s="364">
        <v>0</v>
      </c>
      <c r="V48" s="364">
        <v>0</v>
      </c>
      <c r="W48" s="364">
        <v>0</v>
      </c>
      <c r="X48" s="364">
        <v>0</v>
      </c>
      <c r="Y48" s="364">
        <v>0</v>
      </c>
      <c r="Z48" s="364">
        <v>0</v>
      </c>
      <c r="AA48" s="364">
        <v>0</v>
      </c>
      <c r="AB48" s="364">
        <v>0</v>
      </c>
      <c r="AC48" s="364">
        <v>0</v>
      </c>
      <c r="AD48" s="364">
        <v>0</v>
      </c>
      <c r="AE48" s="364">
        <v>0</v>
      </c>
      <c r="AF48" s="364">
        <v>0</v>
      </c>
    </row>
    <row r="49" spans="2:32" x14ac:dyDescent="0.3">
      <c r="B49" s="342"/>
      <c r="C49" s="467"/>
      <c r="D49" s="469" t="s">
        <v>474</v>
      </c>
      <c r="E49" s="343">
        <f>IF(E$7="","",IF(SUM(E47:E48)=0,"",IF(SUM(E47:E48)&lt;&gt;1,"CHECK",SUM(E47:E48))))</f>
        <v>1</v>
      </c>
      <c r="F49" s="343">
        <f t="shared" ref="F49" si="86">IF(F$7="","",IF(SUM(F47:F48)=0,"",IF(SUM(F47:F48)&lt;&gt;1,"CHECK",SUM(F47:F48))))</f>
        <v>1</v>
      </c>
      <c r="G49" s="343">
        <f t="shared" ref="G49" si="87">IF(G$7="","",IF(SUM(G47:G48)=0,"",IF(SUM(G47:G48)&lt;&gt;1,"CHECK",SUM(G47:G48))))</f>
        <v>1</v>
      </c>
      <c r="H49" s="343">
        <f t="shared" ref="H49" si="88">IF(H$7="","",IF(SUM(H47:H48)=0,"",IF(SUM(H47:H48)&lt;&gt;1,"CHECK",SUM(H47:H48))))</f>
        <v>1</v>
      </c>
      <c r="I49" s="343">
        <f t="shared" ref="I49" si="89">IF(I$7="","",IF(SUM(I47:I48)=0,"",IF(SUM(I47:I48)&lt;&gt;1,"CHECK",SUM(I47:I48))))</f>
        <v>1</v>
      </c>
      <c r="J49" s="343">
        <f t="shared" ref="J49" si="90">IF(J$7="","",IF(SUM(J47:J48)=0,"",IF(SUM(J47:J48)&lt;&gt;1,"CHECK",SUM(J47:J48))))</f>
        <v>1</v>
      </c>
      <c r="K49" s="343">
        <f t="shared" ref="K49" si="91">IF(K$7="","",IF(SUM(K47:K48)=0,"",IF(SUM(K47:K48)&lt;&gt;1,"CHECK",SUM(K47:K48))))</f>
        <v>1</v>
      </c>
      <c r="L49" s="343">
        <f t="shared" ref="L49" si="92">IF(L$7="","",IF(SUM(L47:L48)=0,"",IF(SUM(L47:L48)&lt;&gt;1,"CHECK",SUM(L47:L48))))</f>
        <v>1</v>
      </c>
      <c r="M49" s="343">
        <f t="shared" ref="M49" si="93">IF(M$7="","",IF(SUM(M47:M48)=0,"",IF(SUM(M47:M48)&lt;&gt;1,"CHECK",SUM(M47:M48))))</f>
        <v>1</v>
      </c>
      <c r="N49" s="343">
        <f t="shared" ref="N49" si="94">IF(N$7="","",IF(SUM(N47:N48)=0,"",IF(SUM(N47:N48)&lt;&gt;1,"CHECK",SUM(N47:N48))))</f>
        <v>1</v>
      </c>
      <c r="O49" s="343">
        <f t="shared" ref="O49" si="95">IF(O$7="","",IF(SUM(O47:O48)=0,"",IF(SUM(O47:O48)&lt;&gt;1,"CHECK",SUM(O47:O48))))</f>
        <v>1</v>
      </c>
      <c r="P49" s="343">
        <f t="shared" ref="P49" si="96">IF(P$7="","",IF(SUM(P47:P48)=0,"",IF(SUM(P47:P48)&lt;&gt;1,"CHECK",SUM(P47:P48))))</f>
        <v>1</v>
      </c>
      <c r="Q49" s="343">
        <f t="shared" ref="Q49" si="97">IF(Q$7="","",IF(SUM(Q47:Q48)=0,"",IF(SUM(Q47:Q48)&lt;&gt;1,"CHECK",SUM(Q47:Q48))))</f>
        <v>1</v>
      </c>
      <c r="R49" s="343">
        <f t="shared" ref="R49" si="98">IF(R$7="","",IF(SUM(R47:R48)=0,"",IF(SUM(R47:R48)&lt;&gt;1,"CHECK",SUM(R47:R48))))</f>
        <v>1</v>
      </c>
      <c r="S49" s="343">
        <f t="shared" ref="S49" si="99">IF(S$7="","",IF(SUM(S47:S48)=0,"",IF(SUM(S47:S48)&lt;&gt;1,"CHECK",SUM(S47:S48))))</f>
        <v>1</v>
      </c>
      <c r="T49" s="343">
        <f t="shared" ref="T49" si="100">IF(T$7="","",IF(SUM(T47:T48)=0,"",IF(SUM(T47:T48)&lt;&gt;1,"CHECK",SUM(T47:T48))))</f>
        <v>1</v>
      </c>
      <c r="U49" s="343">
        <f t="shared" ref="U49" si="101">IF(U$7="","",IF(SUM(U47:U48)=0,"",IF(SUM(U47:U48)&lt;&gt;1,"CHECK",SUM(U47:U48))))</f>
        <v>1</v>
      </c>
      <c r="V49" s="343">
        <f t="shared" ref="V49" si="102">IF(V$7="","",IF(SUM(V47:V48)=0,"",IF(SUM(V47:V48)&lt;&gt;1,"CHECK",SUM(V47:V48))))</f>
        <v>1</v>
      </c>
      <c r="W49" s="343">
        <f t="shared" ref="W49" si="103">IF(W$7="","",IF(SUM(W47:W48)=0,"",IF(SUM(W47:W48)&lt;&gt;1,"CHECK",SUM(W47:W48))))</f>
        <v>1</v>
      </c>
      <c r="X49" s="343">
        <f t="shared" ref="X49" si="104">IF(X$7="","",IF(SUM(X47:X48)=0,"",IF(SUM(X47:X48)&lt;&gt;1,"CHECK",SUM(X47:X48))))</f>
        <v>1</v>
      </c>
      <c r="Y49" s="343">
        <f t="shared" ref="Y49" si="105">IF(Y$7="","",IF(SUM(Y47:Y48)=0,"",IF(SUM(Y47:Y48)&lt;&gt;1,"CHECK",SUM(Y47:Y48))))</f>
        <v>1</v>
      </c>
      <c r="Z49" s="343">
        <f t="shared" ref="Z49" si="106">IF(Z$7="","",IF(SUM(Z47:Z48)=0,"",IF(SUM(Z47:Z48)&lt;&gt;1,"CHECK",SUM(Z47:Z48))))</f>
        <v>1</v>
      </c>
      <c r="AA49" s="343">
        <f t="shared" ref="AA49" si="107">IF(AA$7="","",IF(SUM(AA47:AA48)=0,"",IF(SUM(AA47:AA48)&lt;&gt;1,"CHECK",SUM(AA47:AA48))))</f>
        <v>1</v>
      </c>
      <c r="AB49" s="343">
        <f t="shared" ref="AB49" si="108">IF(AB$7="","",IF(SUM(AB47:AB48)=0,"",IF(SUM(AB47:AB48)&lt;&gt;1,"CHECK",SUM(AB47:AB48))))</f>
        <v>1</v>
      </c>
      <c r="AC49" s="343">
        <f t="shared" ref="AC49" si="109">IF(AC$7="","",IF(SUM(AC47:AC48)=0,"",IF(SUM(AC47:AC48)&lt;&gt;1,"CHECK",SUM(AC47:AC48))))</f>
        <v>1</v>
      </c>
      <c r="AD49" s="343">
        <f t="shared" ref="AD49" si="110">IF(AD$7="","",IF(SUM(AD47:AD48)=0,"",IF(SUM(AD47:AD48)&lt;&gt;1,"CHECK",SUM(AD47:AD48))))</f>
        <v>1</v>
      </c>
      <c r="AE49" s="343">
        <f t="shared" ref="AE49" si="111">IF(AE$7="","",IF(SUM(AE47:AE48)=0,"",IF(SUM(AE47:AE48)&lt;&gt;1,"CHECK",SUM(AE47:AE48))))</f>
        <v>1</v>
      </c>
      <c r="AF49" s="343">
        <f t="shared" ref="AF49" si="112">IF(AF$7="","",IF(SUM(AF47:AF48)=0,"",IF(SUM(AF47:AF48)&lt;&gt;1,"CHECK",SUM(AF47:AF48))))</f>
        <v>1</v>
      </c>
    </row>
    <row r="50" spans="2:32" x14ac:dyDescent="0.3">
      <c r="B50" s="341" t="s">
        <v>498</v>
      </c>
      <c r="C50" s="465" t="s">
        <v>604</v>
      </c>
      <c r="D50" s="465" t="s">
        <v>563</v>
      </c>
      <c r="E50" s="364">
        <v>0</v>
      </c>
      <c r="F50" s="364">
        <v>0</v>
      </c>
      <c r="G50" s="364">
        <v>0</v>
      </c>
      <c r="H50" s="364">
        <v>0</v>
      </c>
      <c r="I50" s="364">
        <v>0</v>
      </c>
      <c r="J50" s="364">
        <v>0</v>
      </c>
      <c r="K50" s="364">
        <v>0</v>
      </c>
      <c r="L50" s="364">
        <v>0</v>
      </c>
      <c r="M50" s="364">
        <v>0</v>
      </c>
      <c r="N50" s="364">
        <v>0</v>
      </c>
      <c r="O50" s="364">
        <v>0</v>
      </c>
      <c r="P50" s="364">
        <v>0</v>
      </c>
      <c r="Q50" s="364">
        <v>0</v>
      </c>
      <c r="R50" s="364">
        <v>0</v>
      </c>
      <c r="S50" s="364">
        <v>0</v>
      </c>
      <c r="T50" s="364">
        <v>0</v>
      </c>
      <c r="U50" s="364">
        <v>0</v>
      </c>
      <c r="V50" s="364">
        <v>0</v>
      </c>
      <c r="W50" s="364">
        <v>0</v>
      </c>
      <c r="X50" s="364">
        <v>0</v>
      </c>
      <c r="Y50" s="364">
        <v>0</v>
      </c>
      <c r="Z50" s="364">
        <v>0</v>
      </c>
      <c r="AA50" s="364">
        <v>0</v>
      </c>
      <c r="AB50" s="364">
        <v>0</v>
      </c>
      <c r="AC50" s="364">
        <v>0</v>
      </c>
      <c r="AD50" s="364">
        <v>0</v>
      </c>
      <c r="AE50" s="364">
        <v>0</v>
      </c>
      <c r="AF50" s="364">
        <v>0</v>
      </c>
    </row>
    <row r="51" spans="2:32" x14ac:dyDescent="0.3">
      <c r="B51" s="341" t="s">
        <v>498</v>
      </c>
      <c r="C51" s="466" t="s">
        <v>604</v>
      </c>
      <c r="D51" s="465" t="s">
        <v>563</v>
      </c>
      <c r="E51" s="364">
        <v>1</v>
      </c>
      <c r="F51" s="364">
        <v>1</v>
      </c>
      <c r="G51" s="364">
        <v>1</v>
      </c>
      <c r="H51" s="364">
        <v>1</v>
      </c>
      <c r="I51" s="364">
        <v>1</v>
      </c>
      <c r="J51" s="364">
        <v>1</v>
      </c>
      <c r="K51" s="364">
        <v>1</v>
      </c>
      <c r="L51" s="364">
        <v>1</v>
      </c>
      <c r="M51" s="364">
        <v>1</v>
      </c>
      <c r="N51" s="364">
        <v>1</v>
      </c>
      <c r="O51" s="364">
        <v>1</v>
      </c>
      <c r="P51" s="364">
        <v>1</v>
      </c>
      <c r="Q51" s="364">
        <v>1</v>
      </c>
      <c r="R51" s="364">
        <v>1</v>
      </c>
      <c r="S51" s="364">
        <v>1</v>
      </c>
      <c r="T51" s="364">
        <v>1</v>
      </c>
      <c r="U51" s="364">
        <v>1</v>
      </c>
      <c r="V51" s="364">
        <v>1</v>
      </c>
      <c r="W51" s="364">
        <v>0.95</v>
      </c>
      <c r="X51" s="364">
        <v>1</v>
      </c>
      <c r="Y51" s="364">
        <v>1</v>
      </c>
      <c r="Z51" s="364">
        <v>1</v>
      </c>
      <c r="AA51" s="364">
        <v>1</v>
      </c>
      <c r="AB51" s="364">
        <v>1</v>
      </c>
      <c r="AC51" s="364">
        <v>1</v>
      </c>
      <c r="AD51" s="364">
        <v>1</v>
      </c>
      <c r="AE51" s="364">
        <v>1</v>
      </c>
      <c r="AF51" s="364">
        <v>1</v>
      </c>
    </row>
    <row r="52" spans="2:32" x14ac:dyDescent="0.3">
      <c r="B52" s="341" t="s">
        <v>498</v>
      </c>
      <c r="C52" s="466" t="s">
        <v>604</v>
      </c>
      <c r="D52" s="465" t="s">
        <v>631</v>
      </c>
      <c r="E52" s="364">
        <v>0</v>
      </c>
      <c r="F52" s="364">
        <v>0</v>
      </c>
      <c r="G52" s="364">
        <v>0</v>
      </c>
      <c r="H52" s="364">
        <v>0</v>
      </c>
      <c r="I52" s="364">
        <v>0</v>
      </c>
      <c r="J52" s="364">
        <v>0</v>
      </c>
      <c r="K52" s="364">
        <v>0</v>
      </c>
      <c r="L52" s="364">
        <v>0</v>
      </c>
      <c r="M52" s="364">
        <v>0</v>
      </c>
      <c r="N52" s="364">
        <v>0</v>
      </c>
      <c r="O52" s="364">
        <v>0</v>
      </c>
      <c r="P52" s="364">
        <v>0</v>
      </c>
      <c r="Q52" s="364">
        <v>0</v>
      </c>
      <c r="R52" s="364">
        <v>0</v>
      </c>
      <c r="S52" s="364">
        <v>0</v>
      </c>
      <c r="T52" s="364">
        <v>0</v>
      </c>
      <c r="U52" s="364">
        <v>0</v>
      </c>
      <c r="V52" s="364">
        <v>0</v>
      </c>
      <c r="W52" s="364">
        <v>0.05</v>
      </c>
      <c r="X52" s="364">
        <v>0</v>
      </c>
      <c r="Y52" s="364">
        <v>0</v>
      </c>
      <c r="Z52" s="364">
        <v>0</v>
      </c>
      <c r="AA52" s="364">
        <v>0</v>
      </c>
      <c r="AB52" s="364">
        <v>0</v>
      </c>
      <c r="AC52" s="364">
        <v>0</v>
      </c>
      <c r="AD52" s="364">
        <v>0</v>
      </c>
      <c r="AE52" s="364">
        <v>0</v>
      </c>
      <c r="AF52" s="364">
        <v>0</v>
      </c>
    </row>
    <row r="53" spans="2:32" x14ac:dyDescent="0.3">
      <c r="B53" s="342"/>
      <c r="C53" s="467"/>
      <c r="D53" s="469" t="s">
        <v>474</v>
      </c>
      <c r="E53" s="343">
        <f>IF(E$7="","",IF(SUM(E50:E52)=0,"",IF(SUM(E50:E52)&lt;&gt;1,"CHECK",SUM(E50:E52))))</f>
        <v>1</v>
      </c>
      <c r="F53" s="343">
        <f t="shared" ref="F53" si="113">IF(F$7="","",IF(SUM(F50:F52)=0,"",IF(SUM(F50:F52)&lt;&gt;1,"CHECK",SUM(F50:F52))))</f>
        <v>1</v>
      </c>
      <c r="G53" s="343">
        <f t="shared" ref="G53" si="114">IF(G$7="","",IF(SUM(G50:G52)=0,"",IF(SUM(G50:G52)&lt;&gt;1,"CHECK",SUM(G50:G52))))</f>
        <v>1</v>
      </c>
      <c r="H53" s="343">
        <f t="shared" ref="H53" si="115">IF(H$7="","",IF(SUM(H50:H52)=0,"",IF(SUM(H50:H52)&lt;&gt;1,"CHECK",SUM(H50:H52))))</f>
        <v>1</v>
      </c>
      <c r="I53" s="343">
        <f t="shared" ref="I53" si="116">IF(I$7="","",IF(SUM(I50:I52)=0,"",IF(SUM(I50:I52)&lt;&gt;1,"CHECK",SUM(I50:I52))))</f>
        <v>1</v>
      </c>
      <c r="J53" s="343">
        <f t="shared" ref="J53" si="117">IF(J$7="","",IF(SUM(J50:J52)=0,"",IF(SUM(J50:J52)&lt;&gt;1,"CHECK",SUM(J50:J52))))</f>
        <v>1</v>
      </c>
      <c r="K53" s="343">
        <f t="shared" ref="K53" si="118">IF(K$7="","",IF(SUM(K50:K52)=0,"",IF(SUM(K50:K52)&lt;&gt;1,"CHECK",SUM(K50:K52))))</f>
        <v>1</v>
      </c>
      <c r="L53" s="343">
        <f t="shared" ref="L53" si="119">IF(L$7="","",IF(SUM(L50:L52)=0,"",IF(SUM(L50:L52)&lt;&gt;1,"CHECK",SUM(L50:L52))))</f>
        <v>1</v>
      </c>
      <c r="M53" s="343">
        <f t="shared" ref="M53" si="120">IF(M$7="","",IF(SUM(M50:M52)=0,"",IF(SUM(M50:M52)&lt;&gt;1,"CHECK",SUM(M50:M52))))</f>
        <v>1</v>
      </c>
      <c r="N53" s="343">
        <f t="shared" ref="N53" si="121">IF(N$7="","",IF(SUM(N50:N52)=0,"",IF(SUM(N50:N52)&lt;&gt;1,"CHECK",SUM(N50:N52))))</f>
        <v>1</v>
      </c>
      <c r="O53" s="343">
        <f t="shared" ref="O53" si="122">IF(O$7="","",IF(SUM(O50:O52)=0,"",IF(SUM(O50:O52)&lt;&gt;1,"CHECK",SUM(O50:O52))))</f>
        <v>1</v>
      </c>
      <c r="P53" s="343">
        <f t="shared" ref="P53" si="123">IF(P$7="","",IF(SUM(P50:P52)=0,"",IF(SUM(P50:P52)&lt;&gt;1,"CHECK",SUM(P50:P52))))</f>
        <v>1</v>
      </c>
      <c r="Q53" s="343">
        <f t="shared" ref="Q53" si="124">IF(Q$7="","",IF(SUM(Q50:Q52)=0,"",IF(SUM(Q50:Q52)&lt;&gt;1,"CHECK",SUM(Q50:Q52))))</f>
        <v>1</v>
      </c>
      <c r="R53" s="343">
        <f t="shared" ref="R53" si="125">IF(R$7="","",IF(SUM(R50:R52)=0,"",IF(SUM(R50:R52)&lt;&gt;1,"CHECK",SUM(R50:R52))))</f>
        <v>1</v>
      </c>
      <c r="S53" s="343">
        <f t="shared" ref="S53" si="126">IF(S$7="","",IF(SUM(S50:S52)=0,"",IF(SUM(S50:S52)&lt;&gt;1,"CHECK",SUM(S50:S52))))</f>
        <v>1</v>
      </c>
      <c r="T53" s="343">
        <f t="shared" ref="T53" si="127">IF(T$7="","",IF(SUM(T50:T52)=0,"",IF(SUM(T50:T52)&lt;&gt;1,"CHECK",SUM(T50:T52))))</f>
        <v>1</v>
      </c>
      <c r="U53" s="343">
        <f t="shared" ref="U53" si="128">IF(U$7="","",IF(SUM(U50:U52)=0,"",IF(SUM(U50:U52)&lt;&gt;1,"CHECK",SUM(U50:U52))))</f>
        <v>1</v>
      </c>
      <c r="V53" s="343">
        <f t="shared" ref="V53" si="129">IF(V$7="","",IF(SUM(V50:V52)=0,"",IF(SUM(V50:V52)&lt;&gt;1,"CHECK",SUM(V50:V52))))</f>
        <v>1</v>
      </c>
      <c r="W53" s="343">
        <f t="shared" ref="W53" si="130">IF(W$7="","",IF(SUM(W50:W52)=0,"",IF(SUM(W50:W52)&lt;&gt;1,"CHECK",SUM(W50:W52))))</f>
        <v>1</v>
      </c>
      <c r="X53" s="343">
        <f t="shared" ref="X53" si="131">IF(X$7="","",IF(SUM(X50:X52)=0,"",IF(SUM(X50:X52)&lt;&gt;1,"CHECK",SUM(X50:X52))))</f>
        <v>1</v>
      </c>
      <c r="Y53" s="343">
        <f t="shared" ref="Y53" si="132">IF(Y$7="","",IF(SUM(Y50:Y52)=0,"",IF(SUM(Y50:Y52)&lt;&gt;1,"CHECK",SUM(Y50:Y52))))</f>
        <v>1</v>
      </c>
      <c r="Z53" s="343">
        <f t="shared" ref="Z53" si="133">IF(Z$7="","",IF(SUM(Z50:Z52)=0,"",IF(SUM(Z50:Z52)&lt;&gt;1,"CHECK",SUM(Z50:Z52))))</f>
        <v>1</v>
      </c>
      <c r="AA53" s="343">
        <f t="shared" ref="AA53" si="134">IF(AA$7="","",IF(SUM(AA50:AA52)=0,"",IF(SUM(AA50:AA52)&lt;&gt;1,"CHECK",SUM(AA50:AA52))))</f>
        <v>1</v>
      </c>
      <c r="AB53" s="343">
        <f t="shared" ref="AB53" si="135">IF(AB$7="","",IF(SUM(AB50:AB52)=0,"",IF(SUM(AB50:AB52)&lt;&gt;1,"CHECK",SUM(AB50:AB52))))</f>
        <v>1</v>
      </c>
      <c r="AC53" s="343">
        <f t="shared" ref="AC53" si="136">IF(AC$7="","",IF(SUM(AC50:AC52)=0,"",IF(SUM(AC50:AC52)&lt;&gt;1,"CHECK",SUM(AC50:AC52))))</f>
        <v>1</v>
      </c>
      <c r="AD53" s="343">
        <f t="shared" ref="AD53" si="137">IF(AD$7="","",IF(SUM(AD50:AD52)=0,"",IF(SUM(AD50:AD52)&lt;&gt;1,"CHECK",SUM(AD50:AD52))))</f>
        <v>1</v>
      </c>
      <c r="AE53" s="343">
        <f t="shared" ref="AE53" si="138">IF(AE$7="","",IF(SUM(AE50:AE52)=0,"",IF(SUM(AE50:AE52)&lt;&gt;1,"CHECK",SUM(AE50:AE52))))</f>
        <v>1</v>
      </c>
      <c r="AF53" s="343">
        <f t="shared" ref="AF53" si="139">IF(AF$7="","",IF(SUM(AF50:AF52)=0,"",IF(SUM(AF50:AF52)&lt;&gt;1,"CHECK",SUM(AF50:AF52))))</f>
        <v>1</v>
      </c>
    </row>
    <row r="54" spans="2:32" x14ac:dyDescent="0.3">
      <c r="B54" s="359"/>
      <c r="C54" s="359"/>
      <c r="D54" s="360"/>
      <c r="E54" s="361"/>
      <c r="F54" s="361"/>
      <c r="G54" s="361"/>
      <c r="H54" s="361"/>
      <c r="I54" s="361"/>
      <c r="J54" s="361"/>
      <c r="K54" s="361"/>
      <c r="L54" s="361"/>
      <c r="M54" s="361"/>
      <c r="N54" s="361"/>
      <c r="O54" s="361"/>
      <c r="P54" s="361"/>
      <c r="Q54" s="361"/>
      <c r="R54" s="361"/>
      <c r="S54" s="361"/>
      <c r="T54" s="361"/>
      <c r="U54" s="361"/>
      <c r="V54" s="361"/>
      <c r="W54" s="361"/>
      <c r="X54" s="361"/>
      <c r="Y54" s="361"/>
      <c r="Z54" s="361"/>
      <c r="AA54" s="361"/>
      <c r="AB54" s="361"/>
      <c r="AC54" s="361"/>
      <c r="AD54" s="361"/>
      <c r="AE54" s="361"/>
      <c r="AF54" s="361"/>
    </row>
    <row r="55" spans="2:32" x14ac:dyDescent="0.3">
      <c r="B55" s="359"/>
      <c r="C55" s="359"/>
      <c r="D55" s="360"/>
      <c r="E55" s="361"/>
      <c r="F55" s="361"/>
      <c r="G55" s="361"/>
      <c r="H55" s="361"/>
      <c r="I55" s="361"/>
      <c r="J55" s="361"/>
      <c r="K55" s="361"/>
      <c r="L55" s="361"/>
      <c r="M55" s="361"/>
      <c r="N55" s="361"/>
      <c r="O55" s="361"/>
      <c r="P55" s="361"/>
      <c r="Q55" s="361"/>
      <c r="R55" s="361"/>
      <c r="S55" s="361"/>
      <c r="T55" s="361"/>
      <c r="U55" s="361"/>
      <c r="V55" s="361"/>
      <c r="W55" s="361"/>
      <c r="X55" s="361"/>
      <c r="Y55" s="361"/>
      <c r="Z55" s="361"/>
      <c r="AA55" s="361"/>
      <c r="AB55" s="361"/>
      <c r="AC55" s="361"/>
      <c r="AD55" s="361"/>
      <c r="AE55" s="361"/>
      <c r="AF55" s="361"/>
    </row>
    <row r="56" spans="2:32" x14ac:dyDescent="0.3">
      <c r="E56" s="729" t="s">
        <v>744</v>
      </c>
      <c r="F56" s="729"/>
      <c r="G56" s="729"/>
      <c r="H56" s="729"/>
      <c r="I56" s="729"/>
      <c r="J56" s="729"/>
    </row>
    <row r="58" spans="2:32" ht="15" thickBot="1" x14ac:dyDescent="0.35">
      <c r="D58" s="362"/>
      <c r="E58" s="363" t="s">
        <v>457</v>
      </c>
      <c r="F58" s="363" t="s">
        <v>458</v>
      </c>
      <c r="G58" s="363" t="s">
        <v>460</v>
      </c>
      <c r="H58" s="363" t="s">
        <v>459</v>
      </c>
      <c r="I58" s="363" t="s">
        <v>461</v>
      </c>
      <c r="J58" s="363" t="s">
        <v>463</v>
      </c>
      <c r="K58" s="363" t="s">
        <v>464</v>
      </c>
      <c r="L58" s="363" t="s">
        <v>465</v>
      </c>
      <c r="M58" s="363" t="s">
        <v>1</v>
      </c>
      <c r="N58" s="363" t="s">
        <v>2</v>
      </c>
      <c r="O58" s="363" t="s">
        <v>707</v>
      </c>
      <c r="P58" s="363" t="s">
        <v>3</v>
      </c>
      <c r="Q58" s="363" t="s">
        <v>467</v>
      </c>
      <c r="R58" s="363" t="s">
        <v>468</v>
      </c>
      <c r="S58" s="363" t="s">
        <v>469</v>
      </c>
      <c r="T58" s="363" t="s">
        <v>708</v>
      </c>
      <c r="U58" s="363" t="s">
        <v>470</v>
      </c>
      <c r="V58" s="363" t="s">
        <v>5</v>
      </c>
      <c r="W58" s="363" t="s">
        <v>6</v>
      </c>
      <c r="X58" s="363" t="s">
        <v>7</v>
      </c>
      <c r="Y58" s="363" t="s">
        <v>8</v>
      </c>
      <c r="Z58" s="363" t="s">
        <v>709</v>
      </c>
      <c r="AA58" s="363" t="s">
        <v>9</v>
      </c>
      <c r="AB58" s="363" t="s">
        <v>10</v>
      </c>
      <c r="AC58" s="363" t="s">
        <v>710</v>
      </c>
      <c r="AD58" s="363" t="s">
        <v>11</v>
      </c>
      <c r="AE58" s="363" t="s">
        <v>711</v>
      </c>
      <c r="AF58" s="363" t="s">
        <v>13</v>
      </c>
    </row>
    <row r="60" spans="2:32" x14ac:dyDescent="0.3">
      <c r="D60" s="627" t="s">
        <v>569</v>
      </c>
      <c r="E60" s="626">
        <v>0.49880095923261392</v>
      </c>
      <c r="F60" s="334">
        <v>0.49880095923261392</v>
      </c>
      <c r="G60" s="334">
        <v>0.49880095923261392</v>
      </c>
      <c r="H60" s="334">
        <v>0.49880095923261392</v>
      </c>
      <c r="I60" s="334">
        <v>0.5516759776536313</v>
      </c>
      <c r="J60" s="334">
        <v>0.56198602262202135</v>
      </c>
      <c r="K60" s="334">
        <v>0.56198602262202124</v>
      </c>
      <c r="L60" s="334">
        <v>0.56198602262202124</v>
      </c>
      <c r="M60" s="334">
        <v>0.19999999999999998</v>
      </c>
      <c r="N60" s="334">
        <v>0.56198602262202135</v>
      </c>
      <c r="O60" s="334">
        <v>0.19999999999999998</v>
      </c>
      <c r="P60" s="334">
        <v>0.56198602262202146</v>
      </c>
      <c r="Q60" s="334">
        <v>0.56198602262202135</v>
      </c>
      <c r="R60" s="334">
        <v>0.56198602262202135</v>
      </c>
      <c r="S60" s="334">
        <v>0.56198602262202135</v>
      </c>
      <c r="T60" s="334">
        <v>0.56198602262202135</v>
      </c>
      <c r="U60" s="334">
        <v>0.56198602262202135</v>
      </c>
      <c r="V60" s="334">
        <v>0.56198602262202135</v>
      </c>
      <c r="W60" s="334">
        <v>0.56198602262202135</v>
      </c>
      <c r="X60" s="334">
        <v>0.56198602262202135</v>
      </c>
      <c r="Y60" s="334">
        <v>0.19999999999999998</v>
      </c>
      <c r="Z60" s="334">
        <v>0.56198602262202135</v>
      </c>
      <c r="AA60" s="334">
        <v>0.56198602262202135</v>
      </c>
      <c r="AB60" s="334">
        <v>0.2</v>
      </c>
      <c r="AC60" s="334">
        <v>0.49880095923261392</v>
      </c>
      <c r="AD60" s="334">
        <v>0.56198602262202146</v>
      </c>
      <c r="AE60" s="334">
        <v>0.56198602262202124</v>
      </c>
      <c r="AF60" s="334">
        <v>0.56198602262202135</v>
      </c>
    </row>
    <row r="61" spans="2:32" x14ac:dyDescent="0.3">
      <c r="D61" s="627" t="s">
        <v>565</v>
      </c>
      <c r="E61" s="628">
        <v>0.50119904076738608</v>
      </c>
      <c r="F61" s="628">
        <v>0.50119904076738608</v>
      </c>
      <c r="G61" s="628">
        <v>0.50119904076738608</v>
      </c>
      <c r="H61" s="628">
        <v>0.50119904076738608</v>
      </c>
      <c r="I61" s="628">
        <v>0.4483240223463687</v>
      </c>
      <c r="J61" s="628">
        <v>0.43801397737797865</v>
      </c>
      <c r="K61" s="628">
        <v>0.43801397737797876</v>
      </c>
      <c r="L61" s="628">
        <v>0.43801397737797876</v>
      </c>
      <c r="M61" s="628">
        <v>0.8</v>
      </c>
      <c r="N61" s="628">
        <v>0.43801397737797865</v>
      </c>
      <c r="O61" s="628">
        <v>0.8</v>
      </c>
      <c r="P61" s="628">
        <v>0.43801397737797854</v>
      </c>
      <c r="Q61" s="628">
        <v>0.43801397737797865</v>
      </c>
      <c r="R61" s="628">
        <v>0.43801397737797865</v>
      </c>
      <c r="S61" s="628">
        <v>0.43801397737797865</v>
      </c>
      <c r="T61" s="628">
        <v>0.43801397737797865</v>
      </c>
      <c r="U61" s="628">
        <v>0.43801397737797865</v>
      </c>
      <c r="V61" s="628">
        <v>0.43801397737797865</v>
      </c>
      <c r="W61" s="628">
        <v>0.43801397737797865</v>
      </c>
      <c r="X61" s="628">
        <v>0.43801397737797865</v>
      </c>
      <c r="Y61" s="628">
        <v>0.8</v>
      </c>
      <c r="Z61" s="628">
        <v>0.43801397737797865</v>
      </c>
      <c r="AA61" s="628">
        <v>0.43801397737797865</v>
      </c>
      <c r="AB61" s="628">
        <v>0.8</v>
      </c>
      <c r="AC61" s="628">
        <v>0.50119904076738608</v>
      </c>
      <c r="AD61" s="628">
        <v>0.43801397737797854</v>
      </c>
      <c r="AE61" s="628">
        <v>0.43801397737797876</v>
      </c>
      <c r="AF61" s="628">
        <v>0.43801397737797865</v>
      </c>
    </row>
    <row r="62" spans="2:32" x14ac:dyDescent="0.3">
      <c r="AC62" s="361"/>
      <c r="AD62" s="361"/>
      <c r="AE62" s="361"/>
      <c r="AF62" s="361"/>
    </row>
    <row r="63" spans="2:32" x14ac:dyDescent="0.3">
      <c r="B63" s="359"/>
      <c r="C63" s="360"/>
      <c r="D63" s="360"/>
      <c r="E63" s="361"/>
      <c r="F63" s="361"/>
      <c r="G63" s="361"/>
      <c r="H63" s="361"/>
      <c r="I63" s="361"/>
      <c r="J63" s="361"/>
      <c r="K63" s="361"/>
      <c r="L63" s="361"/>
      <c r="M63" s="361"/>
      <c r="N63" s="361"/>
      <c r="O63" s="361"/>
      <c r="P63" s="361"/>
      <c r="Q63" s="361"/>
      <c r="R63" s="361"/>
      <c r="S63" s="361"/>
      <c r="T63" s="361"/>
      <c r="U63" s="361"/>
      <c r="V63" s="361"/>
      <c r="W63" s="361"/>
      <c r="X63" s="361"/>
      <c r="Y63" s="361"/>
      <c r="Z63" s="361"/>
      <c r="AA63" s="361"/>
      <c r="AB63" s="361"/>
      <c r="AC63" s="361"/>
      <c r="AD63" s="361"/>
      <c r="AE63" s="361"/>
      <c r="AF63" s="361"/>
    </row>
    <row r="64" spans="2:32" x14ac:dyDescent="0.3">
      <c r="B64" s="359"/>
      <c r="C64" s="360"/>
      <c r="D64" s="360"/>
      <c r="E64" s="361"/>
      <c r="F64" s="361"/>
      <c r="G64" s="361"/>
      <c r="H64" s="361"/>
      <c r="I64" s="361"/>
      <c r="J64" s="361"/>
      <c r="K64" s="361"/>
      <c r="L64" s="361"/>
      <c r="M64" s="361"/>
      <c r="N64" s="361"/>
      <c r="O64" s="361"/>
      <c r="P64" s="361"/>
      <c r="Q64" s="361"/>
      <c r="R64" s="361"/>
      <c r="S64" s="361"/>
      <c r="T64" s="361"/>
      <c r="U64" s="361"/>
      <c r="V64" s="361"/>
      <c r="W64" s="361"/>
      <c r="X64" s="361"/>
      <c r="Y64" s="361"/>
      <c r="Z64" s="361"/>
      <c r="AA64" s="361"/>
      <c r="AB64" s="361"/>
      <c r="AC64" s="361"/>
      <c r="AD64" s="361"/>
      <c r="AE64" s="361"/>
      <c r="AF64" s="361"/>
    </row>
    <row r="65" spans="20:20" x14ac:dyDescent="0.3">
      <c r="T65" s="344"/>
    </row>
  </sheetData>
  <mergeCells count="1">
    <mergeCell ref="E56:J56"/>
  </mergeCells>
  <pageMargins left="0.7" right="0.7" top="0.75" bottom="0.75" header="0.3" footer="0.3"/>
  <pageSetup paperSize="9" orientation="portrait" horizontalDpi="4294967292"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341E9-FB47-4023-95BA-079241EAB0A8}">
  <sheetPr>
    <tabColor theme="5" tint="0.39997558519241921"/>
  </sheetPr>
  <dimension ref="A1:AF26"/>
  <sheetViews>
    <sheetView topLeftCell="A18" workbookViewId="0">
      <selection activeCell="F23" sqref="F23"/>
    </sheetView>
  </sheetViews>
  <sheetFormatPr defaultRowHeight="15.6" x14ac:dyDescent="0.3"/>
  <cols>
    <col min="1" max="1" width="6.8984375" customWidth="1"/>
    <col min="2" max="3" width="16.69921875" bestFit="1" customWidth="1"/>
    <col min="4" max="4" width="18.3984375" bestFit="1" customWidth="1"/>
    <col min="5" max="5" width="16.69921875" bestFit="1" customWidth="1"/>
    <col min="6" max="7" width="15.69921875" bestFit="1" customWidth="1"/>
    <col min="8" max="12" width="16.69921875" bestFit="1" customWidth="1"/>
    <col min="13" max="13" width="15.69921875" bestFit="1" customWidth="1"/>
    <col min="14" max="14" width="18.3984375" bestFit="1" customWidth="1"/>
    <col min="15" max="16" width="15.69921875" bestFit="1" customWidth="1"/>
    <col min="17" max="18" width="16.69921875" bestFit="1" customWidth="1"/>
    <col min="19" max="19" width="15.69921875" bestFit="1" customWidth="1"/>
    <col min="20" max="20" width="16.69921875" bestFit="1" customWidth="1"/>
    <col min="21" max="21" width="18.3984375" bestFit="1" customWidth="1"/>
    <col min="22" max="23" width="16.69921875" bestFit="1" customWidth="1"/>
    <col min="24" max="24" width="15.69921875" bestFit="1" customWidth="1"/>
    <col min="25" max="28" width="16.69921875" bestFit="1" customWidth="1"/>
    <col min="29" max="30" width="15.69921875" bestFit="1" customWidth="1"/>
    <col min="31" max="31" width="16.69921875" bestFit="1" customWidth="1"/>
    <col min="32" max="32" width="15.69921875" bestFit="1" customWidth="1"/>
  </cols>
  <sheetData>
    <row r="1" spans="1:32" ht="21" x14ac:dyDescent="0.3">
      <c r="A1" s="10" t="s">
        <v>585</v>
      </c>
    </row>
    <row r="2" spans="1:32" x14ac:dyDescent="0.3">
      <c r="A2" s="11" t="s">
        <v>104</v>
      </c>
      <c r="B2" s="11">
        <v>2021</v>
      </c>
    </row>
    <row r="4" spans="1:32" x14ac:dyDescent="0.3">
      <c r="A4" s="176" t="s">
        <v>586</v>
      </c>
    </row>
    <row r="5" spans="1:32" x14ac:dyDescent="0.3">
      <c r="A5" s="457" t="s">
        <v>104</v>
      </c>
      <c r="B5" s="455" t="s">
        <v>457</v>
      </c>
      <c r="C5" s="455" t="s">
        <v>458</v>
      </c>
      <c r="D5" s="455" t="s">
        <v>460</v>
      </c>
      <c r="E5" s="455" t="s">
        <v>459</v>
      </c>
      <c r="F5" s="455" t="s">
        <v>461</v>
      </c>
      <c r="G5" s="455" t="s">
        <v>462</v>
      </c>
      <c r="H5" s="455" t="s">
        <v>463</v>
      </c>
      <c r="I5" s="455" t="s">
        <v>464</v>
      </c>
      <c r="J5" s="455" t="s">
        <v>465</v>
      </c>
      <c r="K5" s="455" t="s">
        <v>466</v>
      </c>
      <c r="L5" s="455" t="s">
        <v>1</v>
      </c>
      <c r="M5" s="455" t="s">
        <v>2</v>
      </c>
      <c r="N5" s="455" t="s">
        <v>3</v>
      </c>
      <c r="O5" s="455" t="s">
        <v>467</v>
      </c>
      <c r="P5" s="455" t="s">
        <v>468</v>
      </c>
      <c r="Q5" s="455" t="s">
        <v>469</v>
      </c>
      <c r="R5" s="455" t="s">
        <v>470</v>
      </c>
      <c r="S5" s="455" t="s">
        <v>4</v>
      </c>
      <c r="T5" s="455" t="s">
        <v>5</v>
      </c>
      <c r="U5" s="455" t="s">
        <v>6</v>
      </c>
      <c r="V5" s="455" t="s">
        <v>471</v>
      </c>
      <c r="W5" s="455" t="s">
        <v>7</v>
      </c>
      <c r="X5" s="455" t="s">
        <v>472</v>
      </c>
      <c r="Y5" s="455" t="s">
        <v>8</v>
      </c>
      <c r="Z5" s="455" t="s">
        <v>9</v>
      </c>
      <c r="AA5" s="455" t="s">
        <v>10</v>
      </c>
      <c r="AB5" s="455" t="s">
        <v>11</v>
      </c>
      <c r="AC5" s="455" t="s">
        <v>473</v>
      </c>
      <c r="AD5" s="455" t="s">
        <v>12</v>
      </c>
      <c r="AE5" s="455" t="s">
        <v>13</v>
      </c>
      <c r="AF5" s="455" t="s">
        <v>14</v>
      </c>
    </row>
    <row r="6" spans="1:32" x14ac:dyDescent="0.3">
      <c r="A6" s="457">
        <v>2010</v>
      </c>
      <c r="B6" s="456">
        <v>279062745</v>
      </c>
      <c r="C6" s="456">
        <v>167914991</v>
      </c>
      <c r="D6" s="456">
        <v>417941554</v>
      </c>
      <c r="E6" s="456">
        <v>121644043</v>
      </c>
      <c r="F6" s="456">
        <v>26382450</v>
      </c>
      <c r="G6" s="456">
        <v>40788453</v>
      </c>
      <c r="H6" s="456">
        <v>260809666</v>
      </c>
      <c r="I6" s="456">
        <v>348807077</v>
      </c>
      <c r="J6" s="456">
        <v>194850378</v>
      </c>
      <c r="K6" s="456">
        <v>78853856</v>
      </c>
      <c r="L6" s="456">
        <v>195713637</v>
      </c>
      <c r="M6" s="456">
        <v>34004889</v>
      </c>
      <c r="N6" s="456">
        <v>1337705000</v>
      </c>
      <c r="O6" s="456">
        <v>76576111</v>
      </c>
      <c r="P6" s="456">
        <v>8235851</v>
      </c>
      <c r="Q6" s="456">
        <v>105948572</v>
      </c>
      <c r="R6" s="456">
        <v>340672182</v>
      </c>
      <c r="S6" s="456">
        <v>62884806</v>
      </c>
      <c r="T6" s="456">
        <v>241834226</v>
      </c>
      <c r="U6" s="456">
        <v>1234281163</v>
      </c>
      <c r="V6" s="456">
        <v>73762519</v>
      </c>
      <c r="W6" s="456">
        <v>128070000</v>
      </c>
      <c r="X6" s="456">
        <v>49554112</v>
      </c>
      <c r="Y6" s="456">
        <v>239458964</v>
      </c>
      <c r="Z6" s="456">
        <v>111778087</v>
      </c>
      <c r="AA6" s="456">
        <v>114092961</v>
      </c>
      <c r="AB6" s="456">
        <v>142849468</v>
      </c>
      <c r="AC6" s="456">
        <v>27421468</v>
      </c>
      <c r="AD6" s="456">
        <v>72326992</v>
      </c>
      <c r="AE6" s="456">
        <v>309327143</v>
      </c>
      <c r="AF6" s="456">
        <v>51216967</v>
      </c>
    </row>
    <row r="7" spans="1:32" x14ac:dyDescent="0.3">
      <c r="A7" s="457">
        <v>2015</v>
      </c>
      <c r="B7" s="456">
        <v>316511038</v>
      </c>
      <c r="C7" s="456">
        <v>184432443</v>
      </c>
      <c r="D7" s="456">
        <v>480593623</v>
      </c>
      <c r="E7" s="456">
        <v>140538648</v>
      </c>
      <c r="F7" s="456">
        <v>28425395</v>
      </c>
      <c r="G7" s="456">
        <v>43131966</v>
      </c>
      <c r="H7" s="456">
        <v>287543470</v>
      </c>
      <c r="I7" s="456">
        <v>369031774</v>
      </c>
      <c r="J7" s="456">
        <v>204241320</v>
      </c>
      <c r="K7" s="456">
        <v>86726315</v>
      </c>
      <c r="L7" s="456">
        <v>204471759</v>
      </c>
      <c r="M7" s="456">
        <v>35702908</v>
      </c>
      <c r="N7" s="456">
        <v>1379860000</v>
      </c>
      <c r="O7" s="456">
        <v>75335671</v>
      </c>
      <c r="P7" s="456">
        <v>8706790</v>
      </c>
      <c r="Q7" s="456">
        <v>104863926</v>
      </c>
      <c r="R7" s="456">
        <v>345065483</v>
      </c>
      <c r="S7" s="456">
        <v>65233193</v>
      </c>
      <c r="T7" s="456">
        <v>258383257</v>
      </c>
      <c r="U7" s="456">
        <v>1310152392</v>
      </c>
      <c r="V7" s="456">
        <v>78492208</v>
      </c>
      <c r="W7" s="456">
        <v>127141000</v>
      </c>
      <c r="X7" s="456">
        <v>51014947</v>
      </c>
      <c r="Y7" s="456">
        <v>252961746</v>
      </c>
      <c r="Z7" s="456">
        <v>125550301</v>
      </c>
      <c r="AA7" s="456">
        <v>121858251</v>
      </c>
      <c r="AB7" s="456">
        <v>144096870</v>
      </c>
      <c r="AC7" s="456">
        <v>31717676</v>
      </c>
      <c r="AD7" s="456">
        <v>78529413</v>
      </c>
      <c r="AE7" s="456">
        <v>320738994</v>
      </c>
      <c r="AF7" s="456">
        <v>55386369</v>
      </c>
    </row>
    <row r="8" spans="1:32" x14ac:dyDescent="0.3">
      <c r="A8" s="457">
        <v>2020</v>
      </c>
      <c r="B8" s="456">
        <v>364534249</v>
      </c>
      <c r="C8" s="456">
        <v>201785909</v>
      </c>
      <c r="D8" s="456">
        <v>550864040</v>
      </c>
      <c r="E8" s="456">
        <v>161995340</v>
      </c>
      <c r="F8" s="456">
        <v>30783467</v>
      </c>
      <c r="G8" s="456">
        <v>45376763</v>
      </c>
      <c r="H8" s="456">
        <v>316086139</v>
      </c>
      <c r="I8" s="456">
        <v>387478575</v>
      </c>
      <c r="J8" s="456">
        <v>215745191</v>
      </c>
      <c r="K8" s="456">
        <v>93853966</v>
      </c>
      <c r="L8" s="456">
        <v>212559409</v>
      </c>
      <c r="M8" s="456">
        <v>38037204</v>
      </c>
      <c r="N8" s="456">
        <v>1411100000</v>
      </c>
      <c r="O8" s="456">
        <v>73634256</v>
      </c>
      <c r="P8" s="456">
        <v>9097528</v>
      </c>
      <c r="Q8" s="456">
        <v>103895044</v>
      </c>
      <c r="R8" s="456">
        <v>349163236</v>
      </c>
      <c r="S8" s="456">
        <v>67199723</v>
      </c>
      <c r="T8" s="456">
        <v>273523621</v>
      </c>
      <c r="U8" s="456">
        <v>1380004385</v>
      </c>
      <c r="V8" s="456">
        <v>83992953</v>
      </c>
      <c r="W8" s="456">
        <v>126261000</v>
      </c>
      <c r="X8" s="456">
        <v>51836239</v>
      </c>
      <c r="Y8" s="456">
        <v>265619422</v>
      </c>
      <c r="Z8" s="456">
        <v>142446307</v>
      </c>
      <c r="AA8" s="456">
        <v>128932753</v>
      </c>
      <c r="AB8" s="456">
        <v>144073139</v>
      </c>
      <c r="AC8" s="456">
        <v>34813867</v>
      </c>
      <c r="AD8" s="456">
        <v>84339067</v>
      </c>
      <c r="AE8" s="456">
        <v>331501080</v>
      </c>
      <c r="AF8" s="456">
        <v>59308690</v>
      </c>
    </row>
    <row r="9" spans="1:32" x14ac:dyDescent="0.3">
      <c r="A9" s="457">
        <v>2025</v>
      </c>
      <c r="B9" s="456">
        <v>411982969</v>
      </c>
      <c r="C9" s="456">
        <v>217741000</v>
      </c>
      <c r="D9" s="456">
        <v>627796000</v>
      </c>
      <c r="E9" s="456">
        <v>186046000</v>
      </c>
      <c r="F9" s="456">
        <v>32071000</v>
      </c>
      <c r="G9" s="456">
        <v>47387000</v>
      </c>
      <c r="H9" s="456">
        <v>343317000</v>
      </c>
      <c r="I9" s="456">
        <v>404216000</v>
      </c>
      <c r="J9" s="456">
        <v>226608000</v>
      </c>
      <c r="K9" s="456">
        <v>100832000</v>
      </c>
      <c r="L9" s="456">
        <v>219021000</v>
      </c>
      <c r="M9" s="456">
        <v>39473000</v>
      </c>
      <c r="N9" s="456">
        <v>1424932000</v>
      </c>
      <c r="O9" s="456">
        <v>71647000</v>
      </c>
      <c r="P9" s="456">
        <v>9383653</v>
      </c>
      <c r="Q9" s="456">
        <v>102192000</v>
      </c>
      <c r="R9" s="456">
        <v>348954000</v>
      </c>
      <c r="S9" s="456">
        <v>68426000</v>
      </c>
      <c r="T9" s="456">
        <v>287090000</v>
      </c>
      <c r="U9" s="456">
        <v>1445012000</v>
      </c>
      <c r="V9" s="456">
        <v>88775000</v>
      </c>
      <c r="W9" s="456">
        <v>123233000</v>
      </c>
      <c r="X9" s="456">
        <v>51685000</v>
      </c>
      <c r="Y9" s="456">
        <v>278557952</v>
      </c>
      <c r="Z9" s="456">
        <v>158838000</v>
      </c>
      <c r="AA9" s="456">
        <v>135284000</v>
      </c>
      <c r="AB9" s="456">
        <v>142636000</v>
      </c>
      <c r="AC9" s="456">
        <v>37249000</v>
      </c>
      <c r="AD9" s="456">
        <v>86705000</v>
      </c>
      <c r="AE9" s="456">
        <v>339185000</v>
      </c>
      <c r="AF9" s="456">
        <v>62803000</v>
      </c>
    </row>
    <row r="10" spans="1:32" x14ac:dyDescent="0.3">
      <c r="A10" s="457">
        <v>2030</v>
      </c>
      <c r="B10" s="456">
        <v>462361969</v>
      </c>
      <c r="C10" s="456">
        <v>232442000</v>
      </c>
      <c r="D10" s="456">
        <v>711595000</v>
      </c>
      <c r="E10" s="456">
        <v>212890000</v>
      </c>
      <c r="F10" s="456">
        <v>33491000</v>
      </c>
      <c r="G10" s="456">
        <v>49237000</v>
      </c>
      <c r="H10" s="456">
        <v>368917000</v>
      </c>
      <c r="I10" s="456">
        <v>419060000</v>
      </c>
      <c r="J10" s="456">
        <v>235075000</v>
      </c>
      <c r="K10" s="456">
        <v>107733000</v>
      </c>
      <c r="L10" s="456">
        <v>223852000</v>
      </c>
      <c r="M10" s="456">
        <v>40925000</v>
      </c>
      <c r="N10" s="456">
        <v>1430161000</v>
      </c>
      <c r="O10" s="456">
        <v>69620000</v>
      </c>
      <c r="P10" s="456">
        <v>9623653</v>
      </c>
      <c r="Q10" s="456">
        <v>100238000</v>
      </c>
      <c r="R10" s="456">
        <v>348396000</v>
      </c>
      <c r="S10" s="456">
        <v>69543000</v>
      </c>
      <c r="T10" s="456">
        <v>299198000</v>
      </c>
      <c r="U10" s="456">
        <v>1503642000</v>
      </c>
      <c r="V10" s="456">
        <v>92664000</v>
      </c>
      <c r="W10" s="456">
        <v>119584000</v>
      </c>
      <c r="X10" s="456">
        <v>51435000</v>
      </c>
      <c r="Y10" s="456">
        <v>290435952</v>
      </c>
      <c r="Z10" s="456">
        <v>173402000</v>
      </c>
      <c r="AA10" s="456">
        <v>140876000</v>
      </c>
      <c r="AB10" s="456">
        <v>140864000</v>
      </c>
      <c r="AC10" s="456">
        <v>39322000</v>
      </c>
      <c r="AD10" s="456">
        <v>89158000</v>
      </c>
      <c r="AE10" s="456">
        <v>348075000</v>
      </c>
      <c r="AF10" s="456">
        <v>65956000</v>
      </c>
    </row>
    <row r="11" spans="1:32" x14ac:dyDescent="0.3">
      <c r="A11" s="457">
        <v>2035</v>
      </c>
      <c r="B11" s="456">
        <v>514648969</v>
      </c>
      <c r="C11" s="456">
        <v>246872000</v>
      </c>
      <c r="D11" s="456">
        <v>801911000</v>
      </c>
      <c r="E11" s="456">
        <v>242316000</v>
      </c>
      <c r="F11" s="456">
        <v>34802000</v>
      </c>
      <c r="G11" s="456">
        <v>50925000</v>
      </c>
      <c r="H11" s="456">
        <v>393500000</v>
      </c>
      <c r="I11" s="456">
        <v>431208000</v>
      </c>
      <c r="J11" s="456">
        <v>241504000</v>
      </c>
      <c r="K11" s="456">
        <v>114161000</v>
      </c>
      <c r="L11" s="456">
        <v>227184000</v>
      </c>
      <c r="M11" s="456">
        <v>42234000</v>
      </c>
      <c r="N11" s="456">
        <v>1425575000</v>
      </c>
      <c r="O11" s="456">
        <v>67395000</v>
      </c>
      <c r="P11" s="456">
        <v>9817653</v>
      </c>
      <c r="Q11" s="456">
        <v>97845000</v>
      </c>
      <c r="R11" s="456">
        <v>347063000</v>
      </c>
      <c r="S11" s="456">
        <v>70485000</v>
      </c>
      <c r="T11" s="456">
        <v>309765000</v>
      </c>
      <c r="U11" s="456">
        <v>1553724000</v>
      </c>
      <c r="V11" s="456">
        <v>95844000</v>
      </c>
      <c r="W11" s="456">
        <v>115718000</v>
      </c>
      <c r="X11" s="456">
        <v>50919000</v>
      </c>
      <c r="Y11" s="456">
        <v>300500952</v>
      </c>
      <c r="Z11" s="456">
        <v>186340000</v>
      </c>
      <c r="AA11" s="456">
        <v>145755000</v>
      </c>
      <c r="AB11" s="456">
        <v>138495000</v>
      </c>
      <c r="AC11" s="456">
        <v>41073000</v>
      </c>
      <c r="AD11" s="456">
        <v>91864000</v>
      </c>
      <c r="AE11" s="456">
        <v>356384000</v>
      </c>
      <c r="AF11" s="456">
        <v>68819000</v>
      </c>
    </row>
    <row r="12" spans="1:32" x14ac:dyDescent="0.3">
      <c r="A12" s="457">
        <v>2040</v>
      </c>
      <c r="B12" s="456">
        <v>567985969</v>
      </c>
      <c r="C12" s="456">
        <v>261467000</v>
      </c>
      <c r="D12" s="456">
        <v>897758000</v>
      </c>
      <c r="E12" s="456">
        <v>273965000</v>
      </c>
      <c r="F12" s="456">
        <v>36037000</v>
      </c>
      <c r="G12" s="456">
        <v>52454000</v>
      </c>
      <c r="H12" s="456">
        <v>417399000</v>
      </c>
      <c r="I12" s="456">
        <v>440638000</v>
      </c>
      <c r="J12" s="456">
        <v>246163000</v>
      </c>
      <c r="K12" s="456">
        <v>120080000</v>
      </c>
      <c r="L12" s="456">
        <v>229059000</v>
      </c>
      <c r="M12" s="456">
        <v>43376000</v>
      </c>
      <c r="N12" s="456">
        <v>1412538000</v>
      </c>
      <c r="O12" s="456">
        <v>65106000</v>
      </c>
      <c r="P12" s="456">
        <v>9977653</v>
      </c>
      <c r="Q12" s="456">
        <v>95307000</v>
      </c>
      <c r="R12" s="456">
        <v>345004000</v>
      </c>
      <c r="S12" s="456">
        <v>71375000</v>
      </c>
      <c r="T12" s="456">
        <v>318638000</v>
      </c>
      <c r="U12" s="456">
        <v>1592692000</v>
      </c>
      <c r="V12" s="456">
        <v>98594000</v>
      </c>
      <c r="W12" s="456">
        <v>112080000</v>
      </c>
      <c r="X12" s="456">
        <v>49877000</v>
      </c>
      <c r="Y12" s="456">
        <v>308885952</v>
      </c>
      <c r="Z12" s="456">
        <v>198923000</v>
      </c>
      <c r="AA12" s="456">
        <v>149759000</v>
      </c>
      <c r="AB12" s="456">
        <v>136200000</v>
      </c>
      <c r="AC12" s="456">
        <v>42473000</v>
      </c>
      <c r="AD12" s="456">
        <v>94132000</v>
      </c>
      <c r="AE12" s="456">
        <v>363547000</v>
      </c>
      <c r="AF12" s="456">
        <v>71375000</v>
      </c>
    </row>
    <row r="13" spans="1:32" x14ac:dyDescent="0.3">
      <c r="A13" s="457">
        <v>2045</v>
      </c>
      <c r="B13" s="456">
        <v>621863969</v>
      </c>
      <c r="C13" s="456">
        <v>275827000</v>
      </c>
      <c r="D13" s="456">
        <v>997859000</v>
      </c>
      <c r="E13" s="456">
        <v>307526000</v>
      </c>
      <c r="F13" s="456">
        <v>37231000</v>
      </c>
      <c r="G13" s="456">
        <v>53819000</v>
      </c>
      <c r="H13" s="456">
        <v>440252000</v>
      </c>
      <c r="I13" s="456">
        <v>447661000</v>
      </c>
      <c r="J13" s="456">
        <v>249111000</v>
      </c>
      <c r="K13" s="456">
        <v>125457000</v>
      </c>
      <c r="L13" s="456">
        <v>229605000</v>
      </c>
      <c r="M13" s="456">
        <v>44401000</v>
      </c>
      <c r="N13" s="456">
        <v>1392450000</v>
      </c>
      <c r="O13" s="456">
        <v>62870000</v>
      </c>
      <c r="P13" s="456">
        <v>10100653</v>
      </c>
      <c r="Q13" s="456">
        <v>92903000</v>
      </c>
      <c r="R13" s="456">
        <v>341797000</v>
      </c>
      <c r="S13" s="456">
        <v>72157000</v>
      </c>
      <c r="T13" s="456">
        <v>325705000</v>
      </c>
      <c r="U13" s="456">
        <v>1620619000</v>
      </c>
      <c r="V13" s="456">
        <v>101032000</v>
      </c>
      <c r="W13" s="456">
        <v>108658000</v>
      </c>
      <c r="X13" s="456">
        <v>48365000</v>
      </c>
      <c r="Y13" s="456">
        <v>315648952</v>
      </c>
      <c r="Z13" s="456">
        <v>211007000</v>
      </c>
      <c r="AA13" s="456">
        <v>152887000</v>
      </c>
      <c r="AB13" s="456">
        <v>134443000</v>
      </c>
      <c r="AC13" s="456">
        <v>43649000</v>
      </c>
      <c r="AD13" s="456">
        <v>95892000</v>
      </c>
      <c r="AE13" s="456">
        <v>369778000</v>
      </c>
      <c r="AF13" s="456">
        <v>73620000</v>
      </c>
    </row>
    <row r="14" spans="1:32" x14ac:dyDescent="0.3">
      <c r="A14" s="457">
        <v>2050</v>
      </c>
      <c r="B14" s="456">
        <v>675673969</v>
      </c>
      <c r="C14" s="456">
        <v>289367000</v>
      </c>
      <c r="D14" s="456">
        <v>1100740000</v>
      </c>
      <c r="E14" s="456">
        <v>342680000</v>
      </c>
      <c r="F14" s="456">
        <v>38401000</v>
      </c>
      <c r="G14" s="456">
        <v>55020000</v>
      </c>
      <c r="H14" s="456">
        <v>461140000</v>
      </c>
      <c r="I14" s="456">
        <v>452432000</v>
      </c>
      <c r="J14" s="456">
        <v>250389000</v>
      </c>
      <c r="K14" s="456">
        <v>130296000</v>
      </c>
      <c r="L14" s="456">
        <v>228980000</v>
      </c>
      <c r="M14" s="456">
        <v>45410000</v>
      </c>
      <c r="N14" s="456">
        <v>1363681000</v>
      </c>
      <c r="O14" s="456">
        <v>60653000</v>
      </c>
      <c r="P14" s="456">
        <v>10195653</v>
      </c>
      <c r="Q14" s="456">
        <v>90590000</v>
      </c>
      <c r="R14" s="456">
        <v>337415000</v>
      </c>
      <c r="S14" s="456">
        <v>72765000</v>
      </c>
      <c r="T14" s="456">
        <v>330905000</v>
      </c>
      <c r="U14" s="456">
        <v>1639176000</v>
      </c>
      <c r="V14" s="456">
        <v>103098000</v>
      </c>
      <c r="W14" s="456">
        <v>105112000</v>
      </c>
      <c r="X14" s="456">
        <v>46581000</v>
      </c>
      <c r="Y14" s="456">
        <v>320829952</v>
      </c>
      <c r="Z14" s="456">
        <v>222315000</v>
      </c>
      <c r="AA14" s="456">
        <v>155151000</v>
      </c>
      <c r="AB14" s="456">
        <v>133152000</v>
      </c>
      <c r="AC14" s="456">
        <v>44562000</v>
      </c>
      <c r="AD14" s="456">
        <v>97140000</v>
      </c>
      <c r="AE14" s="456">
        <v>375631000</v>
      </c>
      <c r="AF14" s="456">
        <v>75518000</v>
      </c>
    </row>
    <row r="16" spans="1:32" x14ac:dyDescent="0.3">
      <c r="A16" t="s">
        <v>577</v>
      </c>
    </row>
    <row r="19" spans="1:32" x14ac:dyDescent="0.3">
      <c r="A19" t="s">
        <v>588</v>
      </c>
    </row>
    <row r="20" spans="1:32" x14ac:dyDescent="0.3">
      <c r="A20" s="457" t="s">
        <v>104</v>
      </c>
      <c r="B20" s="455" t="s">
        <v>457</v>
      </c>
      <c r="C20" s="455" t="s">
        <v>458</v>
      </c>
      <c r="D20" s="455" t="s">
        <v>460</v>
      </c>
      <c r="E20" s="455" t="s">
        <v>459</v>
      </c>
      <c r="F20" s="455" t="s">
        <v>461</v>
      </c>
      <c r="G20" s="455" t="s">
        <v>462</v>
      </c>
      <c r="H20" s="455" t="s">
        <v>463</v>
      </c>
      <c r="I20" s="455" t="s">
        <v>464</v>
      </c>
      <c r="J20" s="455" t="s">
        <v>465</v>
      </c>
      <c r="K20" s="455" t="s">
        <v>466</v>
      </c>
      <c r="L20" s="455" t="s">
        <v>1</v>
      </c>
      <c r="M20" s="455" t="s">
        <v>2</v>
      </c>
      <c r="N20" s="455" t="s">
        <v>3</v>
      </c>
      <c r="O20" s="455" t="s">
        <v>467</v>
      </c>
      <c r="P20" s="455" t="s">
        <v>468</v>
      </c>
      <c r="Q20" s="455" t="s">
        <v>469</v>
      </c>
      <c r="R20" s="455" t="s">
        <v>470</v>
      </c>
      <c r="S20" s="455" t="s">
        <v>4</v>
      </c>
      <c r="T20" s="455" t="s">
        <v>5</v>
      </c>
      <c r="U20" s="455" t="s">
        <v>6</v>
      </c>
      <c r="V20" s="455" t="s">
        <v>471</v>
      </c>
      <c r="W20" s="455" t="s">
        <v>7</v>
      </c>
      <c r="X20" s="455" t="s">
        <v>472</v>
      </c>
      <c r="Y20" s="455" t="s">
        <v>8</v>
      </c>
      <c r="Z20" s="455" t="s">
        <v>9</v>
      </c>
      <c r="AA20" s="455" t="s">
        <v>10</v>
      </c>
      <c r="AB20" s="455" t="s">
        <v>11</v>
      </c>
      <c r="AC20" s="455" t="s">
        <v>473</v>
      </c>
      <c r="AD20" s="455" t="s">
        <v>12</v>
      </c>
      <c r="AE20" s="455" t="s">
        <v>13</v>
      </c>
      <c r="AF20" s="455" t="s">
        <v>14</v>
      </c>
    </row>
    <row r="21" spans="1:32" x14ac:dyDescent="0.3">
      <c r="A21" s="457">
        <v>2010</v>
      </c>
      <c r="F21">
        <v>1121375000000</v>
      </c>
      <c r="G21">
        <v>805772000000</v>
      </c>
      <c r="L21">
        <v>2850330000000</v>
      </c>
      <c r="M21">
        <v>1433980000000</v>
      </c>
      <c r="N21">
        <v>12158400000000</v>
      </c>
      <c r="P21">
        <v>801151665481</v>
      </c>
      <c r="R21">
        <v>13691213521994</v>
      </c>
      <c r="S21">
        <v>2507840000000</v>
      </c>
      <c r="T21">
        <v>2023050000000</v>
      </c>
      <c r="U21">
        <v>5103270000000</v>
      </c>
      <c r="W21">
        <v>4935490000000</v>
      </c>
      <c r="X21">
        <v>1663720000000</v>
      </c>
      <c r="AA21">
        <v>1927610000000</v>
      </c>
      <c r="AB21" s="459" t="e">
        <f>0.97*'S6'!#REF!</f>
        <v>#REF!</v>
      </c>
      <c r="AC21">
        <v>1200190000000</v>
      </c>
      <c r="AD21">
        <v>1436550000000</v>
      </c>
      <c r="AE21">
        <v>16319800000000</v>
      </c>
      <c r="AF21">
        <v>622370000000</v>
      </c>
    </row>
    <row r="22" spans="1:32" x14ac:dyDescent="0.3">
      <c r="A22" s="457">
        <v>2020</v>
      </c>
      <c r="F22">
        <v>1393836000000</v>
      </c>
      <c r="G22">
        <v>750268000000</v>
      </c>
      <c r="L22">
        <v>2927240000000</v>
      </c>
      <c r="M22">
        <v>1638200000000</v>
      </c>
      <c r="N22">
        <v>23509100000000</v>
      </c>
      <c r="P22">
        <v>918963837274</v>
      </c>
      <c r="R22">
        <v>14341642724185</v>
      </c>
      <c r="S22">
        <v>2656130000000</v>
      </c>
      <c r="T22">
        <v>3160210000000</v>
      </c>
      <c r="U22">
        <v>8415910000000</v>
      </c>
      <c r="W22">
        <v>5104890000000</v>
      </c>
      <c r="X22">
        <v>2136700000000</v>
      </c>
      <c r="AA22">
        <v>2190300000000</v>
      </c>
      <c r="AB22" s="459" t="e">
        <f>0.97*'S6'!#REF!</f>
        <v>#REF!</v>
      </c>
      <c r="AC22">
        <v>1534010000000</v>
      </c>
      <c r="AD22">
        <v>2374140000000</v>
      </c>
      <c r="AE22">
        <v>19277900000000</v>
      </c>
      <c r="AF22">
        <v>663623000000</v>
      </c>
    </row>
    <row r="23" spans="1:32" x14ac:dyDescent="0.3">
      <c r="A23" s="457">
        <v>2030</v>
      </c>
      <c r="F23">
        <v>1863198000000</v>
      </c>
      <c r="G23">
        <v>1034130000000</v>
      </c>
      <c r="L23">
        <v>3758910000000</v>
      </c>
      <c r="M23">
        <v>2062050000000</v>
      </c>
      <c r="N23">
        <v>36976700000000</v>
      </c>
      <c r="P23">
        <v>1105823800000</v>
      </c>
      <c r="R23">
        <v>17325323230000</v>
      </c>
      <c r="S23">
        <v>3374650000000</v>
      </c>
      <c r="T23">
        <v>5309210000000</v>
      </c>
      <c r="U23">
        <v>16602900000000</v>
      </c>
      <c r="W23">
        <v>5631730000000</v>
      </c>
      <c r="X23">
        <v>2675390000000</v>
      </c>
      <c r="AA23">
        <v>3073300000000</v>
      </c>
      <c r="AB23" s="459" t="e">
        <f>1.66*AB21</f>
        <v>#REF!</v>
      </c>
      <c r="AC23">
        <v>2009240000000</v>
      </c>
      <c r="AD23">
        <v>3653270000000</v>
      </c>
      <c r="AE23">
        <v>24302100000000</v>
      </c>
      <c r="AF23">
        <v>953926000000</v>
      </c>
    </row>
    <row r="24" spans="1:32" x14ac:dyDescent="0.3">
      <c r="A24" s="457">
        <v>2040</v>
      </c>
      <c r="F24">
        <v>2337861000000</v>
      </c>
      <c r="G24">
        <v>1247470000000</v>
      </c>
      <c r="L24">
        <v>4492230000000</v>
      </c>
      <c r="M24">
        <v>2369990000000</v>
      </c>
      <c r="N24">
        <v>47305800000000</v>
      </c>
      <c r="P24">
        <v>1280456300000</v>
      </c>
      <c r="R24">
        <v>19172703660000</v>
      </c>
      <c r="S24">
        <v>3800460000000</v>
      </c>
      <c r="T24">
        <v>7506740000000</v>
      </c>
      <c r="U24">
        <v>25083000000000</v>
      </c>
      <c r="W24">
        <v>5907650000000</v>
      </c>
      <c r="X24">
        <v>2866100000000</v>
      </c>
      <c r="AA24">
        <v>3832270000000</v>
      </c>
      <c r="AB24" s="459" t="e">
        <f>(AB25+AB23)/2</f>
        <v>#REF!</v>
      </c>
      <c r="AC24">
        <v>2362130000000</v>
      </c>
      <c r="AD24">
        <v>4775880000000</v>
      </c>
      <c r="AE24">
        <v>28063300000000</v>
      </c>
      <c r="AF24">
        <v>1271380000000</v>
      </c>
    </row>
    <row r="25" spans="1:32" x14ac:dyDescent="0.3">
      <c r="A25" s="457">
        <v>2050</v>
      </c>
      <c r="F25">
        <v>2869780000000</v>
      </c>
      <c r="G25">
        <v>1457140000000</v>
      </c>
      <c r="L25">
        <v>5167500000000</v>
      </c>
      <c r="M25">
        <v>2693610000000</v>
      </c>
      <c r="N25">
        <v>54765300000000</v>
      </c>
      <c r="P25">
        <v>1485408060000</v>
      </c>
      <c r="R25">
        <v>21181675000000</v>
      </c>
      <c r="S25">
        <v>4249170000000</v>
      </c>
      <c r="T25">
        <v>9845590000000</v>
      </c>
      <c r="U25">
        <v>33363200000000</v>
      </c>
      <c r="W25">
        <v>6059900000000</v>
      </c>
      <c r="X25">
        <v>2879910000000</v>
      </c>
      <c r="AA25">
        <v>4620330000000</v>
      </c>
      <c r="AB25" s="459" t="e">
        <f>4.04*AB21</f>
        <v>#REF!</v>
      </c>
      <c r="AC25">
        <v>2698130000000</v>
      </c>
      <c r="AD25">
        <v>5933940000000</v>
      </c>
      <c r="AE25">
        <v>32119300000000</v>
      </c>
      <c r="AF25">
        <v>1638880000000</v>
      </c>
    </row>
    <row r="26" spans="1:32" x14ac:dyDescent="0.3">
      <c r="A26" t="s">
        <v>88</v>
      </c>
      <c r="F26" s="458" t="s">
        <v>591</v>
      </c>
      <c r="G26" s="458" t="s">
        <v>591</v>
      </c>
      <c r="L26" s="458" t="s">
        <v>591</v>
      </c>
      <c r="M26" s="458" t="s">
        <v>591</v>
      </c>
      <c r="N26" s="458" t="s">
        <v>591</v>
      </c>
      <c r="P26" s="458" t="s">
        <v>591</v>
      </c>
      <c r="R26" s="458" t="s">
        <v>591</v>
      </c>
      <c r="S26" s="458" t="s">
        <v>591</v>
      </c>
      <c r="T26" s="458" t="s">
        <v>591</v>
      </c>
      <c r="U26" s="458" t="s">
        <v>591</v>
      </c>
      <c r="W26" s="458" t="s">
        <v>591</v>
      </c>
      <c r="X26" s="458" t="s">
        <v>591</v>
      </c>
      <c r="AA26" s="458" t="s">
        <v>591</v>
      </c>
      <c r="AB26" s="458" t="s">
        <v>592</v>
      </c>
      <c r="AC26" s="458" t="s">
        <v>591</v>
      </c>
      <c r="AD26" s="458" t="s">
        <v>591</v>
      </c>
      <c r="AE26" s="458" t="s">
        <v>591</v>
      </c>
      <c r="AF26" s="458" t="s">
        <v>591</v>
      </c>
    </row>
  </sheetData>
  <hyperlinks>
    <hyperlink ref="F26" r:id="rId1" xr:uid="{3F25B3A6-692B-4701-9797-CFCE5E494105}"/>
    <hyperlink ref="G26" r:id="rId2" xr:uid="{2C1B6A37-43F3-4748-85B5-C557B25C3101}"/>
    <hyperlink ref="L26:N26" r:id="rId3" display="OECD" xr:uid="{65EB9504-E4F5-445F-9861-1131175F53E7}"/>
    <hyperlink ref="P26" r:id="rId4" xr:uid="{F1E9ADF2-7B34-4858-86D4-F416383884E8}"/>
    <hyperlink ref="R26:U26" r:id="rId5" display="OECD" xr:uid="{67670773-A79D-4B75-842B-AD946A49A6B6}"/>
    <hyperlink ref="W26:X26" r:id="rId6" display="OECD" xr:uid="{C5DEE7DB-9428-4CCD-B013-566C43AC8CB9}"/>
    <hyperlink ref="AA26" r:id="rId7" xr:uid="{916DB59F-EA6F-493F-B856-547EAAE2F8E1}"/>
    <hyperlink ref="AC26:AF26" r:id="rId8" display="OECD" xr:uid="{12597D8C-AB6D-4587-8E54-6C8BE88DA1A8}"/>
    <hyperlink ref="AB26" r:id="rId9" xr:uid="{83742C97-A1AA-4C79-A6BA-7FD7882EF96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EC56B-1623-4FEC-86A5-403FED7F7569}">
  <sheetPr>
    <tabColor rgb="FFFFFF00"/>
  </sheetPr>
  <dimension ref="A2:D11"/>
  <sheetViews>
    <sheetView workbookViewId="0">
      <selection activeCell="A8" sqref="A8"/>
    </sheetView>
  </sheetViews>
  <sheetFormatPr defaultColWidth="8.69921875" defaultRowHeight="14.4" x14ac:dyDescent="0.3"/>
  <cols>
    <col min="1" max="1" width="9.59765625" style="639" bestFit="1" customWidth="1"/>
    <col min="2" max="2" width="15.3984375" style="639" customWidth="1"/>
    <col min="3" max="3" width="8.69921875" style="639"/>
    <col min="4" max="4" width="53.5" style="639" bestFit="1" customWidth="1"/>
    <col min="5" max="16384" width="8.69921875" style="639"/>
  </cols>
  <sheetData>
    <row r="2" spans="1:4" ht="18" x14ac:dyDescent="0.35">
      <c r="A2" s="638" t="s">
        <v>753</v>
      </c>
    </row>
    <row r="3" spans="1:4" ht="15" thickBot="1" x14ac:dyDescent="0.35">
      <c r="A3" s="640" t="s">
        <v>754</v>
      </c>
      <c r="B3" s="641" t="s">
        <v>755</v>
      </c>
      <c r="C3" s="641" t="s">
        <v>756</v>
      </c>
      <c r="D3" s="642" t="s">
        <v>757</v>
      </c>
    </row>
    <row r="4" spans="1:4" ht="28.8" x14ac:dyDescent="0.3">
      <c r="A4" s="643">
        <v>45786</v>
      </c>
      <c r="B4" s="644" t="s">
        <v>432</v>
      </c>
      <c r="C4" s="650" t="s">
        <v>759</v>
      </c>
      <c r="D4" s="651" t="s">
        <v>758</v>
      </c>
    </row>
    <row r="5" spans="1:4" x14ac:dyDescent="0.3">
      <c r="A5" s="653">
        <v>45792</v>
      </c>
      <c r="B5" s="639" t="s">
        <v>432</v>
      </c>
      <c r="C5" s="654" t="s">
        <v>762</v>
      </c>
      <c r="D5" s="655" t="s">
        <v>760</v>
      </c>
    </row>
    <row r="6" spans="1:4" x14ac:dyDescent="0.3">
      <c r="A6" s="653">
        <v>45792</v>
      </c>
      <c r="B6" s="639" t="s">
        <v>432</v>
      </c>
      <c r="C6" s="654" t="s">
        <v>763</v>
      </c>
      <c r="D6" s="655" t="s">
        <v>761</v>
      </c>
    </row>
    <row r="7" spans="1:4" x14ac:dyDescent="0.3">
      <c r="A7" s="653">
        <v>45841</v>
      </c>
      <c r="B7" s="661" t="s">
        <v>433</v>
      </c>
      <c r="D7" s="662" t="s">
        <v>766</v>
      </c>
    </row>
    <row r="8" spans="1:4" x14ac:dyDescent="0.3">
      <c r="A8" s="653">
        <v>45841</v>
      </c>
      <c r="B8" s="661" t="s">
        <v>432</v>
      </c>
      <c r="D8" s="662" t="s">
        <v>767</v>
      </c>
    </row>
    <row r="9" spans="1:4" x14ac:dyDescent="0.3">
      <c r="A9" s="645"/>
      <c r="D9" s="646"/>
    </row>
    <row r="10" spans="1:4" x14ac:dyDescent="0.3">
      <c r="A10" s="645"/>
      <c r="D10" s="646"/>
    </row>
    <row r="11" spans="1:4" x14ac:dyDescent="0.3">
      <c r="A11" s="647"/>
      <c r="B11" s="648"/>
      <c r="C11" s="648"/>
      <c r="D11" s="649"/>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tint="0.39997558519241921"/>
  </sheetPr>
  <dimension ref="A1:AJ189"/>
  <sheetViews>
    <sheetView showGridLines="0" topLeftCell="X1" zoomScale="85" zoomScaleNormal="85" workbookViewId="0">
      <pane ySplit="1" topLeftCell="A180" activePane="bottomLeft" state="frozen"/>
      <selection activeCell="B1" sqref="B1"/>
      <selection pane="bottomLeft" activeCell="AH149" sqref="AH149"/>
    </sheetView>
  </sheetViews>
  <sheetFormatPr defaultColWidth="9" defaultRowHeight="14.4" x14ac:dyDescent="0.3"/>
  <cols>
    <col min="1" max="1" width="3.5" style="52" bestFit="1" customWidth="1"/>
    <col min="2" max="2" width="22.5" style="52" customWidth="1"/>
    <col min="3" max="3" width="11.8984375" style="49" customWidth="1"/>
    <col min="4" max="4" width="15.5" style="49" bestFit="1" customWidth="1"/>
    <col min="5" max="5" width="16.59765625" style="49" customWidth="1"/>
    <col min="6" max="6" width="6.59765625" style="49" customWidth="1"/>
    <col min="7" max="7" width="11.19921875" style="49" bestFit="1" customWidth="1"/>
    <col min="8" max="9" width="8.8984375" style="49" customWidth="1"/>
    <col min="10" max="30" width="8.8984375" style="52" customWidth="1"/>
    <col min="31" max="31" width="9.09765625" style="52" bestFit="1" customWidth="1"/>
    <col min="32" max="16384" width="9" style="52"/>
  </cols>
  <sheetData>
    <row r="1" spans="2:35" ht="25.8" x14ac:dyDescent="0.3">
      <c r="B1" s="59" t="s">
        <v>155</v>
      </c>
      <c r="C1" s="48"/>
      <c r="D1" s="48"/>
      <c r="E1" s="52"/>
      <c r="F1" s="52"/>
      <c r="G1" s="52"/>
      <c r="H1" s="625"/>
      <c r="I1" s="625"/>
      <c r="J1" s="625"/>
      <c r="K1" s="625"/>
      <c r="L1" s="625"/>
    </row>
    <row r="3" spans="2:35" ht="18" x14ac:dyDescent="0.3">
      <c r="B3" s="60" t="s">
        <v>18</v>
      </c>
      <c r="C3" s="60" t="s">
        <v>159</v>
      </c>
    </row>
    <row r="4" spans="2:35" s="49" customFormat="1" x14ac:dyDescent="0.3">
      <c r="B4" s="61" t="s">
        <v>98</v>
      </c>
      <c r="C4" s="61"/>
      <c r="D4" s="64" t="s">
        <v>99</v>
      </c>
      <c r="E4" s="64"/>
      <c r="F4" s="61" t="s">
        <v>49</v>
      </c>
      <c r="G4" s="61" t="s">
        <v>88</v>
      </c>
      <c r="H4" s="62" t="s">
        <v>457</v>
      </c>
      <c r="I4" s="62" t="s">
        <v>458</v>
      </c>
      <c r="J4" s="62" t="s">
        <v>460</v>
      </c>
      <c r="K4" s="62" t="s">
        <v>459</v>
      </c>
      <c r="L4" s="62" t="s">
        <v>461</v>
      </c>
      <c r="M4" s="62" t="s">
        <v>463</v>
      </c>
      <c r="N4" s="62" t="s">
        <v>464</v>
      </c>
      <c r="O4" s="62" t="s">
        <v>465</v>
      </c>
      <c r="P4" s="62" t="s">
        <v>1</v>
      </c>
      <c r="Q4" s="62" t="s">
        <v>2</v>
      </c>
      <c r="R4" s="62" t="s">
        <v>707</v>
      </c>
      <c r="S4" s="62" t="s">
        <v>3</v>
      </c>
      <c r="T4" s="62" t="s">
        <v>467</v>
      </c>
      <c r="U4" s="62" t="s">
        <v>468</v>
      </c>
      <c r="V4" s="62" t="s">
        <v>469</v>
      </c>
      <c r="W4" s="62" t="s">
        <v>708</v>
      </c>
      <c r="X4" s="62" t="s">
        <v>470</v>
      </c>
      <c r="Y4" s="62" t="s">
        <v>5</v>
      </c>
      <c r="Z4" s="62" t="s">
        <v>6</v>
      </c>
      <c r="AA4" s="62" t="s">
        <v>7</v>
      </c>
      <c r="AB4" s="62" t="s">
        <v>8</v>
      </c>
      <c r="AC4" s="62" t="s">
        <v>709</v>
      </c>
      <c r="AD4" s="62" t="s">
        <v>9</v>
      </c>
      <c r="AE4" s="62" t="s">
        <v>10</v>
      </c>
      <c r="AF4" s="62" t="s">
        <v>710</v>
      </c>
      <c r="AG4" s="62" t="s">
        <v>11</v>
      </c>
      <c r="AH4" s="62" t="s">
        <v>711</v>
      </c>
      <c r="AI4" s="62" t="s">
        <v>13</v>
      </c>
    </row>
    <row r="5" spans="2:35" s="49" customFormat="1" ht="16.2" thickBot="1" x14ac:dyDescent="0.35">
      <c r="B5" s="65" t="s">
        <v>30</v>
      </c>
      <c r="C5" s="65" t="s">
        <v>35</v>
      </c>
      <c r="D5" s="65" t="s">
        <v>30</v>
      </c>
      <c r="E5" s="65" t="s">
        <v>35</v>
      </c>
      <c r="F5" s="65"/>
      <c r="G5" s="65"/>
      <c r="H5" s="65" t="s">
        <v>477</v>
      </c>
      <c r="I5" s="65" t="s">
        <v>478</v>
      </c>
      <c r="J5" s="65" t="s">
        <v>480</v>
      </c>
      <c r="K5" s="65" t="s">
        <v>479</v>
      </c>
      <c r="L5" s="65" t="s">
        <v>481</v>
      </c>
      <c r="M5" s="65" t="s">
        <v>482</v>
      </c>
      <c r="N5" s="65" t="s">
        <v>483</v>
      </c>
      <c r="O5" s="65" t="s">
        <v>484</v>
      </c>
      <c r="P5" s="65" t="s">
        <v>90</v>
      </c>
      <c r="Q5" s="65" t="s">
        <v>91</v>
      </c>
      <c r="R5" s="65" t="s">
        <v>715</v>
      </c>
      <c r="S5" s="65" t="s">
        <v>716</v>
      </c>
      <c r="T5" s="65" t="s">
        <v>485</v>
      </c>
      <c r="U5" s="65" t="s">
        <v>486</v>
      </c>
      <c r="V5" s="65" t="s">
        <v>487</v>
      </c>
      <c r="W5" s="65" t="s">
        <v>717</v>
      </c>
      <c r="X5" s="65" t="s">
        <v>488</v>
      </c>
      <c r="Y5" s="65" t="s">
        <v>718</v>
      </c>
      <c r="Z5" s="65" t="s">
        <v>92</v>
      </c>
      <c r="AA5" s="65" t="s">
        <v>93</v>
      </c>
      <c r="AB5" s="65" t="s">
        <v>94</v>
      </c>
      <c r="AC5" s="65" t="s">
        <v>719</v>
      </c>
      <c r="AD5" s="65" t="s">
        <v>720</v>
      </c>
      <c r="AE5" s="65" t="s">
        <v>95</v>
      </c>
      <c r="AF5" s="65" t="s">
        <v>721</v>
      </c>
      <c r="AG5" s="65" t="s">
        <v>722</v>
      </c>
      <c r="AH5" s="65" t="s">
        <v>769</v>
      </c>
      <c r="AI5" s="65" t="s">
        <v>489</v>
      </c>
    </row>
    <row r="6" spans="2:35" x14ac:dyDescent="0.3">
      <c r="B6" s="49" t="str">
        <f>Legend!A$45</f>
        <v>Thermal uses</v>
      </c>
      <c r="C6" s="49" t="str">
        <f>LEFT(Legend!$C$4)&amp;"-"&amp;Legend!B$45</f>
        <v>S-TH</v>
      </c>
      <c r="D6" s="49" t="str">
        <f>Legend!A$60</f>
        <v>Biogas</v>
      </c>
      <c r="E6" s="49" t="str">
        <f>Legend!B$60</f>
        <v>SRVBGS</v>
      </c>
      <c r="F6" s="49" t="s">
        <v>154</v>
      </c>
      <c r="H6" s="471">
        <f>H63</f>
        <v>0.30000000000000004</v>
      </c>
      <c r="I6" s="471">
        <f t="shared" ref="I6:AI6" si="0">I63</f>
        <v>0.30000000000000004</v>
      </c>
      <c r="J6" s="471">
        <f t="shared" si="0"/>
        <v>0.30000000000000004</v>
      </c>
      <c r="K6" s="471">
        <f t="shared" si="0"/>
        <v>0.30000000000000004</v>
      </c>
      <c r="L6" s="471">
        <f t="shared" si="0"/>
        <v>0.9</v>
      </c>
      <c r="M6" s="471">
        <f t="shared" si="0"/>
        <v>0.79999999999999993</v>
      </c>
      <c r="N6" s="471">
        <f t="shared" si="0"/>
        <v>0.48000000000000004</v>
      </c>
      <c r="O6" s="471">
        <f t="shared" si="0"/>
        <v>0.48000000000000004</v>
      </c>
      <c r="P6" s="471">
        <f t="shared" si="0"/>
        <v>0.30000000000000004</v>
      </c>
      <c r="Q6" s="471">
        <f t="shared" si="0"/>
        <v>0.85</v>
      </c>
      <c r="R6" s="471">
        <f t="shared" si="0"/>
        <v>0.30000000000000004</v>
      </c>
      <c r="S6" s="471">
        <f t="shared" si="0"/>
        <v>0.4</v>
      </c>
      <c r="T6" s="471">
        <f t="shared" si="0"/>
        <v>0.79999999999999993</v>
      </c>
      <c r="U6" s="471">
        <f t="shared" si="0"/>
        <v>0.79500000000000004</v>
      </c>
      <c r="V6" s="471">
        <f t="shared" si="0"/>
        <v>0.79999999999999993</v>
      </c>
      <c r="W6" s="471">
        <f t="shared" si="0"/>
        <v>0.79500000000000004</v>
      </c>
      <c r="X6" s="471">
        <f t="shared" si="0"/>
        <v>0.79500000000000004</v>
      </c>
      <c r="Y6" s="471">
        <f t="shared" si="0"/>
        <v>0.48000000000000004</v>
      </c>
      <c r="Z6" s="471">
        <f t="shared" si="0"/>
        <v>0.3</v>
      </c>
      <c r="AA6" s="471">
        <f t="shared" si="0"/>
        <v>0.51</v>
      </c>
      <c r="AB6" s="471">
        <f t="shared" si="0"/>
        <v>0.30000000000000004</v>
      </c>
      <c r="AC6" s="471">
        <f t="shared" si="0"/>
        <v>0.2</v>
      </c>
      <c r="AD6" s="471">
        <f t="shared" si="0"/>
        <v>0.2</v>
      </c>
      <c r="AE6" s="471">
        <f t="shared" si="0"/>
        <v>0.30000000000000004</v>
      </c>
      <c r="AF6" s="471">
        <f t="shared" si="0"/>
        <v>0.30000000000000004</v>
      </c>
      <c r="AG6" s="471">
        <f t="shared" si="0"/>
        <v>0.79999999999999993</v>
      </c>
      <c r="AH6" s="471">
        <f t="shared" si="0"/>
        <v>0.7</v>
      </c>
      <c r="AI6" s="471">
        <f t="shared" si="0"/>
        <v>0.82995429950154131</v>
      </c>
    </row>
    <row r="7" spans="2:35" x14ac:dyDescent="0.3">
      <c r="B7" s="49" t="str">
        <f>Legend!A$46</f>
        <v>Air conditioning</v>
      </c>
      <c r="C7" s="49" t="str">
        <f>LEFT(Legend!$C$4)&amp;"-"&amp;Legend!B$46</f>
        <v>S-AC</v>
      </c>
      <c r="D7" s="49" t="str">
        <f>Legend!A$60</f>
        <v>Biogas</v>
      </c>
      <c r="E7" s="49" t="str">
        <f>Legend!B$60</f>
        <v>SRVBGS</v>
      </c>
      <c r="F7" s="49" t="s">
        <v>154</v>
      </c>
      <c r="H7" s="471">
        <v>0</v>
      </c>
      <c r="I7" s="471">
        <v>0</v>
      </c>
      <c r="J7" s="471">
        <v>0</v>
      </c>
      <c r="K7" s="471">
        <v>0</v>
      </c>
      <c r="L7" s="471">
        <v>0</v>
      </c>
      <c r="M7" s="471">
        <v>0</v>
      </c>
      <c r="N7" s="471">
        <v>0</v>
      </c>
      <c r="O7" s="471">
        <v>0</v>
      </c>
      <c r="P7" s="471">
        <v>0</v>
      </c>
      <c r="Q7" s="471">
        <v>0</v>
      </c>
      <c r="R7" s="471">
        <v>0</v>
      </c>
      <c r="S7" s="471">
        <v>0</v>
      </c>
      <c r="T7" s="471">
        <v>0</v>
      </c>
      <c r="U7" s="471">
        <v>0</v>
      </c>
      <c r="V7" s="471">
        <v>0</v>
      </c>
      <c r="W7" s="471">
        <v>0</v>
      </c>
      <c r="X7" s="471">
        <v>0</v>
      </c>
      <c r="Y7" s="471">
        <v>0</v>
      </c>
      <c r="Z7" s="471">
        <v>0</v>
      </c>
      <c r="AA7" s="471">
        <v>0</v>
      </c>
      <c r="AB7" s="471">
        <v>0</v>
      </c>
      <c r="AC7" s="471">
        <v>0</v>
      </c>
      <c r="AD7" s="471">
        <v>0</v>
      </c>
      <c r="AE7" s="471">
        <v>0</v>
      </c>
      <c r="AF7" s="471">
        <v>0</v>
      </c>
      <c r="AG7" s="471">
        <v>0</v>
      </c>
      <c r="AH7" s="471">
        <v>0</v>
      </c>
      <c r="AI7" s="471">
        <v>0</v>
      </c>
    </row>
    <row r="8" spans="2:35" x14ac:dyDescent="0.3">
      <c r="B8" s="49" t="str">
        <f>Legend!A$47</f>
        <v>Cooking</v>
      </c>
      <c r="C8" s="49" t="str">
        <f>LEFT(Legend!$C$4)&amp;"-"&amp;Legend!B$47</f>
        <v>S-CK</v>
      </c>
      <c r="D8" s="49" t="str">
        <f>Legend!A$60</f>
        <v>Biogas</v>
      </c>
      <c r="E8" s="49" t="str">
        <f>Legend!B$60</f>
        <v>SRVBGS</v>
      </c>
      <c r="F8" s="49" t="s">
        <v>154</v>
      </c>
      <c r="H8" s="471">
        <f>1-H6-H11</f>
        <v>0.7</v>
      </c>
      <c r="I8" s="471">
        <f t="shared" ref="I8:AI8" si="1">1-I6-I11</f>
        <v>0.7</v>
      </c>
      <c r="J8" s="471">
        <f t="shared" si="1"/>
        <v>0.7</v>
      </c>
      <c r="K8" s="471">
        <f t="shared" si="1"/>
        <v>0.7</v>
      </c>
      <c r="L8" s="471">
        <f t="shared" si="1"/>
        <v>9.9999999999999978E-2</v>
      </c>
      <c r="M8" s="471">
        <f t="shared" si="1"/>
        <v>0.20000000000000007</v>
      </c>
      <c r="N8" s="471">
        <f t="shared" si="1"/>
        <v>0.52</v>
      </c>
      <c r="O8" s="471">
        <f t="shared" si="1"/>
        <v>0.52</v>
      </c>
      <c r="P8" s="471">
        <f t="shared" si="1"/>
        <v>0.7</v>
      </c>
      <c r="Q8" s="471">
        <f t="shared" si="1"/>
        <v>0.10000000000000002</v>
      </c>
      <c r="R8" s="471">
        <f t="shared" si="1"/>
        <v>0.7</v>
      </c>
      <c r="S8" s="471">
        <f t="shared" si="1"/>
        <v>0.6</v>
      </c>
      <c r="T8" s="471">
        <f t="shared" si="1"/>
        <v>0.20000000000000007</v>
      </c>
      <c r="U8" s="471">
        <f t="shared" si="1"/>
        <v>0.20499999999999996</v>
      </c>
      <c r="V8" s="471">
        <f t="shared" si="1"/>
        <v>0.20000000000000007</v>
      </c>
      <c r="W8" s="471">
        <f t="shared" si="1"/>
        <v>0.20499999999999996</v>
      </c>
      <c r="X8" s="471">
        <f t="shared" si="1"/>
        <v>0.20499999999999996</v>
      </c>
      <c r="Y8" s="471">
        <f t="shared" si="1"/>
        <v>0.52</v>
      </c>
      <c r="Z8" s="471">
        <f t="shared" si="1"/>
        <v>0.7</v>
      </c>
      <c r="AA8" s="471">
        <f t="shared" si="1"/>
        <v>0.49</v>
      </c>
      <c r="AB8" s="471">
        <f t="shared" si="1"/>
        <v>0.7</v>
      </c>
      <c r="AC8" s="471">
        <f t="shared" si="1"/>
        <v>0.8</v>
      </c>
      <c r="AD8" s="471">
        <f t="shared" si="1"/>
        <v>0.8</v>
      </c>
      <c r="AE8" s="471">
        <f t="shared" si="1"/>
        <v>0.7</v>
      </c>
      <c r="AF8" s="471">
        <f t="shared" si="1"/>
        <v>0.7</v>
      </c>
      <c r="AG8" s="471">
        <f t="shared" si="1"/>
        <v>0.20000000000000007</v>
      </c>
      <c r="AH8" s="471">
        <f t="shared" si="1"/>
        <v>0.30000000000000004</v>
      </c>
      <c r="AI8" s="471">
        <f t="shared" si="1"/>
        <v>9.0692901448677116E-2</v>
      </c>
    </row>
    <row r="9" spans="2:35" x14ac:dyDescent="0.3">
      <c r="B9" s="49" t="str">
        <f>Legend!A$49</f>
        <v>Lighting</v>
      </c>
      <c r="C9" s="49" t="str">
        <f>LEFT(Legend!$C$4)&amp;"-"&amp;Legend!B$49</f>
        <v>S-LIG</v>
      </c>
      <c r="D9" s="49" t="str">
        <f>Legend!A$60</f>
        <v>Biogas</v>
      </c>
      <c r="E9" s="49" t="str">
        <f>Legend!B$60</f>
        <v>SRVBGS</v>
      </c>
      <c r="F9" s="49" t="s">
        <v>154</v>
      </c>
      <c r="H9" s="471">
        <f t="shared" ref="H9:AI9" si="2">H66</f>
        <v>0</v>
      </c>
      <c r="I9" s="471">
        <f t="shared" si="2"/>
        <v>0</v>
      </c>
      <c r="J9" s="471">
        <f t="shared" si="2"/>
        <v>0</v>
      </c>
      <c r="K9" s="471">
        <f t="shared" si="2"/>
        <v>0</v>
      </c>
      <c r="L9" s="471">
        <f t="shared" si="2"/>
        <v>0</v>
      </c>
      <c r="M9" s="471">
        <f t="shared" si="2"/>
        <v>0</v>
      </c>
      <c r="N9" s="471">
        <f t="shared" si="2"/>
        <v>0</v>
      </c>
      <c r="O9" s="471">
        <f t="shared" si="2"/>
        <v>0</v>
      </c>
      <c r="P9" s="471">
        <f t="shared" si="2"/>
        <v>0</v>
      </c>
      <c r="Q9" s="471">
        <f t="shared" si="2"/>
        <v>0</v>
      </c>
      <c r="R9" s="471">
        <f t="shared" si="2"/>
        <v>0</v>
      </c>
      <c r="S9" s="471">
        <f t="shared" si="2"/>
        <v>0</v>
      </c>
      <c r="T9" s="471">
        <f t="shared" si="2"/>
        <v>0</v>
      </c>
      <c r="U9" s="471">
        <f t="shared" si="2"/>
        <v>0</v>
      </c>
      <c r="V9" s="471">
        <f t="shared" si="2"/>
        <v>0</v>
      </c>
      <c r="W9" s="471">
        <f t="shared" si="2"/>
        <v>0</v>
      </c>
      <c r="X9" s="471">
        <f t="shared" si="2"/>
        <v>0</v>
      </c>
      <c r="Y9" s="471">
        <f t="shared" si="2"/>
        <v>0</v>
      </c>
      <c r="Z9" s="471">
        <f t="shared" si="2"/>
        <v>0</v>
      </c>
      <c r="AA9" s="471">
        <f t="shared" si="2"/>
        <v>0</v>
      </c>
      <c r="AB9" s="471">
        <f t="shared" si="2"/>
        <v>0</v>
      </c>
      <c r="AC9" s="471">
        <f t="shared" si="2"/>
        <v>0</v>
      </c>
      <c r="AD9" s="471">
        <f t="shared" si="2"/>
        <v>0</v>
      </c>
      <c r="AE9" s="471">
        <f t="shared" si="2"/>
        <v>0</v>
      </c>
      <c r="AF9" s="471">
        <f t="shared" si="2"/>
        <v>0</v>
      </c>
      <c r="AG9" s="471">
        <f t="shared" si="2"/>
        <v>0</v>
      </c>
      <c r="AH9" s="471">
        <f t="shared" si="2"/>
        <v>0</v>
      </c>
      <c r="AI9" s="471">
        <f t="shared" si="2"/>
        <v>0</v>
      </c>
    </row>
    <row r="10" spans="2:35" x14ac:dyDescent="0.3">
      <c r="B10" s="49" t="str">
        <f>Legend!A$50</f>
        <v>Electric Appliances</v>
      </c>
      <c r="C10" s="49" t="str">
        <f>LEFT(Legend!$C$4)&amp;"-"&amp;Legend!B$50</f>
        <v>S-EAP</v>
      </c>
      <c r="D10" s="49" t="str">
        <f>Legend!A$60</f>
        <v>Biogas</v>
      </c>
      <c r="E10" s="49" t="str">
        <f>Legend!B$60</f>
        <v>SRVBGS</v>
      </c>
      <c r="F10" s="49" t="s">
        <v>154</v>
      </c>
      <c r="H10" s="471">
        <f t="shared" ref="H10:AI10" si="3">H67</f>
        <v>0</v>
      </c>
      <c r="I10" s="471">
        <f t="shared" si="3"/>
        <v>0</v>
      </c>
      <c r="J10" s="471">
        <f t="shared" si="3"/>
        <v>0</v>
      </c>
      <c r="K10" s="471">
        <f t="shared" si="3"/>
        <v>0</v>
      </c>
      <c r="L10" s="471">
        <f t="shared" si="3"/>
        <v>0</v>
      </c>
      <c r="M10" s="471">
        <f t="shared" si="3"/>
        <v>0</v>
      </c>
      <c r="N10" s="471">
        <f t="shared" si="3"/>
        <v>0</v>
      </c>
      <c r="O10" s="471">
        <f t="shared" si="3"/>
        <v>0</v>
      </c>
      <c r="P10" s="471">
        <f t="shared" si="3"/>
        <v>0</v>
      </c>
      <c r="Q10" s="471">
        <f t="shared" si="3"/>
        <v>0</v>
      </c>
      <c r="R10" s="471">
        <f t="shared" si="3"/>
        <v>0</v>
      </c>
      <c r="S10" s="471">
        <f t="shared" si="3"/>
        <v>0</v>
      </c>
      <c r="T10" s="471">
        <f t="shared" si="3"/>
        <v>0</v>
      </c>
      <c r="U10" s="471">
        <f t="shared" si="3"/>
        <v>0</v>
      </c>
      <c r="V10" s="471">
        <f t="shared" si="3"/>
        <v>0</v>
      </c>
      <c r="W10" s="471">
        <f t="shared" si="3"/>
        <v>0</v>
      </c>
      <c r="X10" s="471">
        <f t="shared" si="3"/>
        <v>0</v>
      </c>
      <c r="Y10" s="471">
        <f t="shared" si="3"/>
        <v>0</v>
      </c>
      <c r="Z10" s="471">
        <f t="shared" si="3"/>
        <v>0</v>
      </c>
      <c r="AA10" s="471">
        <f t="shared" si="3"/>
        <v>0</v>
      </c>
      <c r="AB10" s="471">
        <f t="shared" si="3"/>
        <v>0</v>
      </c>
      <c r="AC10" s="471">
        <f t="shared" si="3"/>
        <v>0</v>
      </c>
      <c r="AD10" s="471">
        <f t="shared" si="3"/>
        <v>0</v>
      </c>
      <c r="AE10" s="471">
        <f t="shared" si="3"/>
        <v>0</v>
      </c>
      <c r="AF10" s="471">
        <f t="shared" si="3"/>
        <v>0</v>
      </c>
      <c r="AG10" s="471">
        <f t="shared" si="3"/>
        <v>0</v>
      </c>
      <c r="AH10" s="471">
        <f t="shared" si="3"/>
        <v>0</v>
      </c>
      <c r="AI10" s="471">
        <f t="shared" si="3"/>
        <v>0</v>
      </c>
    </row>
    <row r="11" spans="2:35" x14ac:dyDescent="0.3">
      <c r="B11" s="49" t="str">
        <f>Legend!A$51</f>
        <v>Other uses</v>
      </c>
      <c r="C11" s="49" t="str">
        <f>LEFT(Legend!$C$4)&amp;"-"&amp;Legend!B$51</f>
        <v>S-OTH</v>
      </c>
      <c r="D11" s="49" t="str">
        <f>Legend!A$60</f>
        <v>Biogas</v>
      </c>
      <c r="E11" s="49" t="str">
        <f>Legend!B$60</f>
        <v>SRVBGS</v>
      </c>
      <c r="F11" s="49" t="s">
        <v>154</v>
      </c>
      <c r="H11" s="471">
        <f t="shared" ref="H11:AI11" si="4">H68</f>
        <v>0</v>
      </c>
      <c r="I11" s="471">
        <f t="shared" si="4"/>
        <v>0</v>
      </c>
      <c r="J11" s="471">
        <f t="shared" si="4"/>
        <v>0</v>
      </c>
      <c r="K11" s="471">
        <f t="shared" si="4"/>
        <v>0</v>
      </c>
      <c r="L11" s="471">
        <f t="shared" si="4"/>
        <v>0</v>
      </c>
      <c r="M11" s="471">
        <f t="shared" si="4"/>
        <v>0</v>
      </c>
      <c r="N11" s="471">
        <f t="shared" si="4"/>
        <v>0</v>
      </c>
      <c r="O11" s="471">
        <f t="shared" si="4"/>
        <v>0</v>
      </c>
      <c r="P11" s="471">
        <f t="shared" si="4"/>
        <v>0</v>
      </c>
      <c r="Q11" s="471">
        <f t="shared" si="4"/>
        <v>0.05</v>
      </c>
      <c r="R11" s="471">
        <f t="shared" si="4"/>
        <v>0</v>
      </c>
      <c r="S11" s="471">
        <f t="shared" si="4"/>
        <v>0</v>
      </c>
      <c r="T11" s="471">
        <f t="shared" si="4"/>
        <v>0</v>
      </c>
      <c r="U11" s="471">
        <f t="shared" si="4"/>
        <v>0</v>
      </c>
      <c r="V11" s="471">
        <f t="shared" si="4"/>
        <v>0</v>
      </c>
      <c r="W11" s="471">
        <f t="shared" si="4"/>
        <v>0</v>
      </c>
      <c r="X11" s="471">
        <f t="shared" si="4"/>
        <v>0</v>
      </c>
      <c r="Y11" s="471">
        <f t="shared" si="4"/>
        <v>0</v>
      </c>
      <c r="Z11" s="471">
        <f t="shared" si="4"/>
        <v>0</v>
      </c>
      <c r="AA11" s="471">
        <f t="shared" si="4"/>
        <v>0</v>
      </c>
      <c r="AB11" s="471">
        <f t="shared" si="4"/>
        <v>0</v>
      </c>
      <c r="AC11" s="471">
        <f t="shared" si="4"/>
        <v>0</v>
      </c>
      <c r="AD11" s="471">
        <f t="shared" si="4"/>
        <v>0</v>
      </c>
      <c r="AE11" s="471">
        <f t="shared" si="4"/>
        <v>0</v>
      </c>
      <c r="AF11" s="471">
        <f t="shared" si="4"/>
        <v>0</v>
      </c>
      <c r="AG11" s="471">
        <f t="shared" si="4"/>
        <v>0</v>
      </c>
      <c r="AH11" s="471">
        <f t="shared" si="4"/>
        <v>0</v>
      </c>
      <c r="AI11" s="471">
        <f t="shared" si="4"/>
        <v>7.9352799049781569E-2</v>
      </c>
    </row>
    <row r="12" spans="2:35" s="76" customFormat="1" ht="13.8" x14ac:dyDescent="0.3">
      <c r="B12" s="73"/>
      <c r="C12" s="74" t="s">
        <v>157</v>
      </c>
      <c r="D12" s="73"/>
      <c r="E12" s="73"/>
      <c r="F12" s="74"/>
      <c r="G12" s="74"/>
      <c r="H12" s="75">
        <f t="shared" ref="H12:AI12" si="5">IF(H$4="","",IF(SUM(H6:H11)=0,"",IF(SUM(H6:H11)&lt;&gt;1,"CHECK",SUM(H6:H11))))</f>
        <v>1</v>
      </c>
      <c r="I12" s="75">
        <f t="shared" si="5"/>
        <v>1</v>
      </c>
      <c r="J12" s="75">
        <f t="shared" si="5"/>
        <v>1</v>
      </c>
      <c r="K12" s="75">
        <f t="shared" si="5"/>
        <v>1</v>
      </c>
      <c r="L12" s="75">
        <f t="shared" si="5"/>
        <v>1</v>
      </c>
      <c r="M12" s="75">
        <f t="shared" si="5"/>
        <v>1</v>
      </c>
      <c r="N12" s="75">
        <f t="shared" si="5"/>
        <v>1</v>
      </c>
      <c r="O12" s="75">
        <f t="shared" si="5"/>
        <v>1</v>
      </c>
      <c r="P12" s="75">
        <f t="shared" si="5"/>
        <v>1</v>
      </c>
      <c r="Q12" s="75">
        <f t="shared" si="5"/>
        <v>1</v>
      </c>
      <c r="R12" s="75">
        <f t="shared" si="5"/>
        <v>1</v>
      </c>
      <c r="S12" s="75">
        <f t="shared" si="5"/>
        <v>1</v>
      </c>
      <c r="T12" s="75">
        <f t="shared" si="5"/>
        <v>1</v>
      </c>
      <c r="U12" s="75">
        <f t="shared" si="5"/>
        <v>1</v>
      </c>
      <c r="V12" s="75">
        <f t="shared" si="5"/>
        <v>1</v>
      </c>
      <c r="W12" s="75">
        <f t="shared" si="5"/>
        <v>1</v>
      </c>
      <c r="X12" s="75">
        <f t="shared" si="5"/>
        <v>1</v>
      </c>
      <c r="Y12" s="75">
        <f t="shared" si="5"/>
        <v>1</v>
      </c>
      <c r="Z12" s="75">
        <f t="shared" si="5"/>
        <v>1</v>
      </c>
      <c r="AA12" s="75">
        <f t="shared" si="5"/>
        <v>1</v>
      </c>
      <c r="AB12" s="75">
        <f t="shared" si="5"/>
        <v>1</v>
      </c>
      <c r="AC12" s="75">
        <f t="shared" si="5"/>
        <v>1</v>
      </c>
      <c r="AD12" s="75">
        <f t="shared" si="5"/>
        <v>1</v>
      </c>
      <c r="AE12" s="75">
        <f t="shared" si="5"/>
        <v>1</v>
      </c>
      <c r="AF12" s="75">
        <f t="shared" si="5"/>
        <v>1</v>
      </c>
      <c r="AG12" s="75">
        <f t="shared" si="5"/>
        <v>1</v>
      </c>
      <c r="AH12" s="75">
        <f t="shared" si="5"/>
        <v>1</v>
      </c>
      <c r="AI12" s="75">
        <f t="shared" si="5"/>
        <v>1</v>
      </c>
    </row>
    <row r="13" spans="2:35" x14ac:dyDescent="0.3">
      <c r="B13" s="49" t="str">
        <f>Legend!A$45</f>
        <v>Thermal uses</v>
      </c>
      <c r="C13" s="49" t="str">
        <f>LEFT(Legend!$C$4)&amp;"-"&amp;Legend!B$45</f>
        <v>S-TH</v>
      </c>
      <c r="D13" s="49" t="str">
        <f>Legend!A$61</f>
        <v>Coal</v>
      </c>
      <c r="E13" s="49" t="str">
        <f>Legend!B$61</f>
        <v>SRVCOA</v>
      </c>
      <c r="F13" s="49" t="s">
        <v>154</v>
      </c>
      <c r="H13" s="471">
        <f>SUMIFS('S7'!E:E,'S7'!$C:$C,'Key inputs_EB'!$E13,'S7'!$D:$D,'Key inputs_EB'!$C13)</f>
        <v>0.60000000000000009</v>
      </c>
      <c r="I13" s="471">
        <f>SUMIFS('S7'!F:F,'S7'!$C:$C,'Key inputs_EB'!$E13,'S7'!$D:$D,'Key inputs_EB'!$C13)</f>
        <v>0.60000000000000009</v>
      </c>
      <c r="J13" s="471">
        <f>SUMIFS('S7'!G:G,'S7'!$C:$C,'Key inputs_EB'!$E13,'S7'!$D:$D,'Key inputs_EB'!$C13)</f>
        <v>0.60000000000000009</v>
      </c>
      <c r="K13" s="471">
        <f>SUMIFS('S7'!H:H,'S7'!$C:$C,'Key inputs_EB'!$E13,'S7'!$D:$D,'Key inputs_EB'!$C13)</f>
        <v>0.60000000000000009</v>
      </c>
      <c r="L13" s="471">
        <f>SUMIFS('S7'!I:I,'S7'!$C:$C,'Key inputs_EB'!$E13,'S7'!$D:$D,'Key inputs_EB'!$C13)</f>
        <v>1</v>
      </c>
      <c r="M13" s="471">
        <f>SUMIFS('S7'!J:J,'S7'!$C:$C,'Key inputs_EB'!$E13,'S7'!$D:$D,'Key inputs_EB'!$C13)</f>
        <v>1</v>
      </c>
      <c r="N13" s="471">
        <f>SUMIFS('S7'!K:K,'S7'!$C:$C,'Key inputs_EB'!$E13,'S7'!$D:$D,'Key inputs_EB'!$C13)</f>
        <v>0.5</v>
      </c>
      <c r="O13" s="471">
        <f>SUMIFS('S7'!L:L,'S7'!$C:$C,'Key inputs_EB'!$E13,'S7'!$D:$D,'Key inputs_EB'!$C13)</f>
        <v>0.5</v>
      </c>
      <c r="P13" s="471">
        <f>SUMIFS('S7'!M:M,'S7'!$C:$C,'Key inputs_EB'!$E13,'S7'!$D:$D,'Key inputs_EB'!$C13)</f>
        <v>1</v>
      </c>
      <c r="Q13" s="471">
        <f>SUMIFS('S7'!N:N,'S7'!$C:$C,'Key inputs_EB'!$E13,'S7'!$D:$D,'Key inputs_EB'!$C13)</f>
        <v>1</v>
      </c>
      <c r="R13" s="471">
        <f>SUMIFS('S7'!O:O,'S7'!$C:$C,'Key inputs_EB'!$E13,'S7'!$D:$D,'Key inputs_EB'!$C13)</f>
        <v>1</v>
      </c>
      <c r="S13" s="471">
        <f>SUMIFS('S7'!P:P,'S7'!$C:$C,'Key inputs_EB'!$E13,'S7'!$D:$D,'Key inputs_EB'!$C13)</f>
        <v>0.7</v>
      </c>
      <c r="T13" s="471">
        <f>SUMIFS('S7'!Q:Q,'S7'!$C:$C,'Key inputs_EB'!$E13,'S7'!$D:$D,'Key inputs_EB'!$C13)</f>
        <v>1</v>
      </c>
      <c r="U13" s="471">
        <f>SUMIFS('S7'!R:R,'S7'!$C:$C,'Key inputs_EB'!$E13,'S7'!$D:$D,'Key inputs_EB'!$C13)</f>
        <v>1</v>
      </c>
      <c r="V13" s="471">
        <f>SUMIFS('S7'!S:S,'S7'!$C:$C,'Key inputs_EB'!$E13,'S7'!$D:$D,'Key inputs_EB'!$C13)</f>
        <v>1</v>
      </c>
      <c r="W13" s="471">
        <f>SUMIFS('S7'!T:T,'S7'!$C:$C,'Key inputs_EB'!$E13,'S7'!$D:$D,'Key inputs_EB'!$C13)</f>
        <v>1</v>
      </c>
      <c r="X13" s="471">
        <f>SUMIFS('S7'!U:U,'S7'!$C:$C,'Key inputs_EB'!$E13,'S7'!$D:$D,'Key inputs_EB'!$C13)</f>
        <v>1</v>
      </c>
      <c r="Y13" s="471">
        <f>SUMIFS('S7'!V:V,'S7'!$C:$C,'Key inputs_EB'!$E13,'S7'!$D:$D,'Key inputs_EB'!$C13)</f>
        <v>0.5</v>
      </c>
      <c r="Z13" s="471">
        <f>SUMIFS('S7'!W:W,'S7'!$C:$C,'Key inputs_EB'!$E13,'S7'!$D:$D,'Key inputs_EB'!$C13)</f>
        <v>0.5</v>
      </c>
      <c r="AA13" s="471">
        <f>SUMIFS('S7'!X:X,'S7'!$C:$C,'Key inputs_EB'!$E13,'S7'!$D:$D,'Key inputs_EB'!$C13)</f>
        <v>0.77</v>
      </c>
      <c r="AB13" s="471">
        <f>SUMIFS('S7'!Y:Y,'S7'!$C:$C,'Key inputs_EB'!$E13,'S7'!$D:$D,'Key inputs_EB'!$C13)</f>
        <v>1</v>
      </c>
      <c r="AC13" s="471">
        <f>SUMIFS('S7'!Z:Z,'S7'!$C:$C,'Key inputs_EB'!$E13,'S7'!$D:$D,'Key inputs_EB'!$C13)</f>
        <v>1</v>
      </c>
      <c r="AD13" s="471">
        <f>SUMIFS('S7'!AA:AA,'S7'!$C:$C,'Key inputs_EB'!$E13,'S7'!$D:$D,'Key inputs_EB'!$C13)</f>
        <v>1</v>
      </c>
      <c r="AE13" s="471">
        <f>SUMIFS('S7'!AB:AB,'S7'!$C:$C,'Key inputs_EB'!$E13,'S7'!$D:$D,'Key inputs_EB'!$C13)</f>
        <v>1</v>
      </c>
      <c r="AF13" s="471">
        <f>SUMIFS('S7'!AC:AC,'S7'!$C:$C,'Key inputs_EB'!$E13,'S7'!$D:$D,'Key inputs_EB'!$C13)</f>
        <v>0.60000000000000009</v>
      </c>
      <c r="AG13" s="471">
        <f>SUMIFS('S7'!AD:AD,'S7'!$C:$C,'Key inputs_EB'!$E13,'S7'!$D:$D,'Key inputs_EB'!$C13)</f>
        <v>1</v>
      </c>
      <c r="AH13" s="471">
        <f>SUMIFS('S7'!AE:AE,'S7'!$C:$C,'Key inputs_EB'!$E13,'S7'!$D:$D,'Key inputs_EB'!$C13)</f>
        <v>0.8</v>
      </c>
      <c r="AI13" s="471">
        <f>SUMIFS('S7'!AF:AF,'S7'!$C:$C,'Key inputs_EB'!$E13,'S7'!$D:$D,'Key inputs_EB'!$C13)</f>
        <v>1</v>
      </c>
    </row>
    <row r="14" spans="2:35" x14ac:dyDescent="0.3">
      <c r="B14" s="49" t="str">
        <f>Legend!A$46</f>
        <v>Air conditioning</v>
      </c>
      <c r="C14" s="49" t="str">
        <f>LEFT(Legend!$C$4)&amp;"-"&amp;Legend!B$46</f>
        <v>S-AC</v>
      </c>
      <c r="D14" s="49" t="str">
        <f>Legend!A$61</f>
        <v>Coal</v>
      </c>
      <c r="E14" s="49" t="str">
        <f>Legend!B$61</f>
        <v>SRVCOA</v>
      </c>
      <c r="F14" s="49" t="s">
        <v>154</v>
      </c>
      <c r="H14" s="471">
        <f>SUMIFS('S7'!E:E,'S7'!$C:$C,'Key inputs_EB'!$E14,'S7'!$D:$D,'Key inputs_EB'!$C14)</f>
        <v>0</v>
      </c>
      <c r="I14" s="471">
        <f>SUMIFS('S7'!F:F,'S7'!$C:$C,'Key inputs_EB'!$E14,'S7'!$D:$D,'Key inputs_EB'!$C14)</f>
        <v>0</v>
      </c>
      <c r="J14" s="471">
        <f>SUMIFS('S7'!G:G,'S7'!$C:$C,'Key inputs_EB'!$E14,'S7'!$D:$D,'Key inputs_EB'!$C14)</f>
        <v>0</v>
      </c>
      <c r="K14" s="471">
        <f>SUMIFS('S7'!H:H,'S7'!$C:$C,'Key inputs_EB'!$E14,'S7'!$D:$D,'Key inputs_EB'!$C14)</f>
        <v>0</v>
      </c>
      <c r="L14" s="471">
        <f>SUMIFS('S7'!I:I,'S7'!$C:$C,'Key inputs_EB'!$E14,'S7'!$D:$D,'Key inputs_EB'!$C14)</f>
        <v>0</v>
      </c>
      <c r="M14" s="471">
        <f>SUMIFS('S7'!J:J,'S7'!$C:$C,'Key inputs_EB'!$E14,'S7'!$D:$D,'Key inputs_EB'!$C14)</f>
        <v>0</v>
      </c>
      <c r="N14" s="471">
        <f>SUMIFS('S7'!K:K,'S7'!$C:$C,'Key inputs_EB'!$E14,'S7'!$D:$D,'Key inputs_EB'!$C14)</f>
        <v>0</v>
      </c>
      <c r="O14" s="471">
        <f>SUMIFS('S7'!L:L,'S7'!$C:$C,'Key inputs_EB'!$E14,'S7'!$D:$D,'Key inputs_EB'!$C14)</f>
        <v>0</v>
      </c>
      <c r="P14" s="471">
        <f>SUMIFS('S7'!M:M,'S7'!$C:$C,'Key inputs_EB'!$E14,'S7'!$D:$D,'Key inputs_EB'!$C14)</f>
        <v>0</v>
      </c>
      <c r="Q14" s="471">
        <f>SUMIFS('S7'!N:N,'S7'!$C:$C,'Key inputs_EB'!$E14,'S7'!$D:$D,'Key inputs_EB'!$C14)</f>
        <v>0</v>
      </c>
      <c r="R14" s="471">
        <f>SUMIFS('S7'!O:O,'S7'!$C:$C,'Key inputs_EB'!$E14,'S7'!$D:$D,'Key inputs_EB'!$C14)</f>
        <v>0</v>
      </c>
      <c r="S14" s="471">
        <f>SUMIFS('S7'!P:P,'S7'!$C:$C,'Key inputs_EB'!$E14,'S7'!$D:$D,'Key inputs_EB'!$C14)</f>
        <v>0</v>
      </c>
      <c r="T14" s="471">
        <f>SUMIFS('S7'!Q:Q,'S7'!$C:$C,'Key inputs_EB'!$E14,'S7'!$D:$D,'Key inputs_EB'!$C14)</f>
        <v>0</v>
      </c>
      <c r="U14" s="471">
        <f>SUMIFS('S7'!R:R,'S7'!$C:$C,'Key inputs_EB'!$E14,'S7'!$D:$D,'Key inputs_EB'!$C14)</f>
        <v>0</v>
      </c>
      <c r="V14" s="471">
        <f>SUMIFS('S7'!S:S,'S7'!$C:$C,'Key inputs_EB'!$E14,'S7'!$D:$D,'Key inputs_EB'!$C14)</f>
        <v>0</v>
      </c>
      <c r="W14" s="471">
        <f>SUMIFS('S7'!T:T,'S7'!$C:$C,'Key inputs_EB'!$E14,'S7'!$D:$D,'Key inputs_EB'!$C14)</f>
        <v>0</v>
      </c>
      <c r="X14" s="471">
        <f>SUMIFS('S7'!U:U,'S7'!$C:$C,'Key inputs_EB'!$E14,'S7'!$D:$D,'Key inputs_EB'!$C14)</f>
        <v>0</v>
      </c>
      <c r="Y14" s="471">
        <f>SUMIFS('S7'!V:V,'S7'!$C:$C,'Key inputs_EB'!$E14,'S7'!$D:$D,'Key inputs_EB'!$C14)</f>
        <v>0</v>
      </c>
      <c r="Z14" s="471">
        <f>SUMIFS('S7'!W:W,'S7'!$C:$C,'Key inputs_EB'!$E14,'S7'!$D:$D,'Key inputs_EB'!$C14)</f>
        <v>0</v>
      </c>
      <c r="AA14" s="471">
        <f>SUMIFS('S7'!X:X,'S7'!$C:$C,'Key inputs_EB'!$E14,'S7'!$D:$D,'Key inputs_EB'!$C14)</f>
        <v>0</v>
      </c>
      <c r="AB14" s="471">
        <f>SUMIFS('S7'!Y:Y,'S7'!$C:$C,'Key inputs_EB'!$E14,'S7'!$D:$D,'Key inputs_EB'!$C14)</f>
        <v>0</v>
      </c>
      <c r="AC14" s="471">
        <f>SUMIFS('S7'!Z:Z,'S7'!$C:$C,'Key inputs_EB'!$E14,'S7'!$D:$D,'Key inputs_EB'!$C14)</f>
        <v>0</v>
      </c>
      <c r="AD14" s="471">
        <f>SUMIFS('S7'!AA:AA,'S7'!$C:$C,'Key inputs_EB'!$E14,'S7'!$D:$D,'Key inputs_EB'!$C14)</f>
        <v>0</v>
      </c>
      <c r="AE14" s="471">
        <f>SUMIFS('S7'!AB:AB,'S7'!$C:$C,'Key inputs_EB'!$E14,'S7'!$D:$D,'Key inputs_EB'!$C14)</f>
        <v>0</v>
      </c>
      <c r="AF14" s="471">
        <f>SUMIFS('S7'!AC:AC,'S7'!$C:$C,'Key inputs_EB'!$E14,'S7'!$D:$D,'Key inputs_EB'!$C14)</f>
        <v>0</v>
      </c>
      <c r="AG14" s="471">
        <f>SUMIFS('S7'!AD:AD,'S7'!$C:$C,'Key inputs_EB'!$E14,'S7'!$D:$D,'Key inputs_EB'!$C14)</f>
        <v>0</v>
      </c>
      <c r="AH14" s="471">
        <f>SUMIFS('S7'!AE:AE,'S7'!$C:$C,'Key inputs_EB'!$E14,'S7'!$D:$D,'Key inputs_EB'!$C14)</f>
        <v>0</v>
      </c>
      <c r="AI14" s="471">
        <f>SUMIFS('S7'!AF:AF,'S7'!$C:$C,'Key inputs_EB'!$E14,'S7'!$D:$D,'Key inputs_EB'!$C14)</f>
        <v>0</v>
      </c>
    </row>
    <row r="15" spans="2:35" x14ac:dyDescent="0.3">
      <c r="B15" s="49" t="str">
        <f>Legend!A$47</f>
        <v>Cooking</v>
      </c>
      <c r="C15" s="49" t="str">
        <f>LEFT(Legend!$C$4)&amp;"-"&amp;Legend!B$47</f>
        <v>S-CK</v>
      </c>
      <c r="D15" s="49" t="str">
        <f>Legend!A$61</f>
        <v>Coal</v>
      </c>
      <c r="E15" s="49" t="str">
        <f>Legend!B$61</f>
        <v>SRVCOA</v>
      </c>
      <c r="F15" s="49" t="s">
        <v>154</v>
      </c>
      <c r="H15" s="471">
        <f>SUMIFS('S7'!E:E,'S7'!$C:$C,'Key inputs_EB'!$E15,'S7'!$D:$D,'Key inputs_EB'!$C15)</f>
        <v>0.4</v>
      </c>
      <c r="I15" s="471">
        <f>SUMIFS('S7'!F:F,'S7'!$C:$C,'Key inputs_EB'!$E15,'S7'!$D:$D,'Key inputs_EB'!$C15)</f>
        <v>0.4</v>
      </c>
      <c r="J15" s="471">
        <f>SUMIFS('S7'!G:G,'S7'!$C:$C,'Key inputs_EB'!$E15,'S7'!$D:$D,'Key inputs_EB'!$C15)</f>
        <v>0.4</v>
      </c>
      <c r="K15" s="471">
        <f>SUMIFS('S7'!H:H,'S7'!$C:$C,'Key inputs_EB'!$E15,'S7'!$D:$D,'Key inputs_EB'!$C15)</f>
        <v>0.4</v>
      </c>
      <c r="L15" s="471">
        <f>SUMIFS('S7'!I:I,'S7'!$C:$C,'Key inputs_EB'!$E15,'S7'!$D:$D,'Key inputs_EB'!$C15)</f>
        <v>0</v>
      </c>
      <c r="M15" s="471">
        <f>SUMIFS('S7'!J:J,'S7'!$C:$C,'Key inputs_EB'!$E15,'S7'!$D:$D,'Key inputs_EB'!$C15)</f>
        <v>0</v>
      </c>
      <c r="N15" s="471">
        <f>SUMIFS('S7'!K:K,'S7'!$C:$C,'Key inputs_EB'!$E15,'S7'!$D:$D,'Key inputs_EB'!$C15)</f>
        <v>0.5</v>
      </c>
      <c r="O15" s="471">
        <f>SUMIFS('S7'!L:L,'S7'!$C:$C,'Key inputs_EB'!$E15,'S7'!$D:$D,'Key inputs_EB'!$C15)</f>
        <v>0.5</v>
      </c>
      <c r="P15" s="471">
        <f>SUMIFS('S7'!M:M,'S7'!$C:$C,'Key inputs_EB'!$E15,'S7'!$D:$D,'Key inputs_EB'!$C15)</f>
        <v>0</v>
      </c>
      <c r="Q15" s="471">
        <f>SUMIFS('S7'!N:N,'S7'!$C:$C,'Key inputs_EB'!$E15,'S7'!$D:$D,'Key inputs_EB'!$C15)</f>
        <v>0</v>
      </c>
      <c r="R15" s="471">
        <f>SUMIFS('S7'!O:O,'S7'!$C:$C,'Key inputs_EB'!$E15,'S7'!$D:$D,'Key inputs_EB'!$C15)</f>
        <v>0</v>
      </c>
      <c r="S15" s="471">
        <f>SUMIFS('S7'!P:P,'S7'!$C:$C,'Key inputs_EB'!$E15,'S7'!$D:$D,'Key inputs_EB'!$C15)</f>
        <v>0.3</v>
      </c>
      <c r="T15" s="471">
        <f>SUMIFS('S7'!Q:Q,'S7'!$C:$C,'Key inputs_EB'!$E15,'S7'!$D:$D,'Key inputs_EB'!$C15)</f>
        <v>0</v>
      </c>
      <c r="U15" s="471">
        <f>SUMIFS('S7'!R:R,'S7'!$C:$C,'Key inputs_EB'!$E15,'S7'!$D:$D,'Key inputs_EB'!$C15)</f>
        <v>0</v>
      </c>
      <c r="V15" s="471">
        <f>SUMIFS('S7'!S:S,'S7'!$C:$C,'Key inputs_EB'!$E15,'S7'!$D:$D,'Key inputs_EB'!$C15)</f>
        <v>0</v>
      </c>
      <c r="W15" s="471">
        <f>SUMIFS('S7'!T:T,'S7'!$C:$C,'Key inputs_EB'!$E15,'S7'!$D:$D,'Key inputs_EB'!$C15)</f>
        <v>0</v>
      </c>
      <c r="X15" s="471">
        <f>SUMIFS('S7'!U:U,'S7'!$C:$C,'Key inputs_EB'!$E15,'S7'!$D:$D,'Key inputs_EB'!$C15)</f>
        <v>0</v>
      </c>
      <c r="Y15" s="471">
        <f>SUMIFS('S7'!V:V,'S7'!$C:$C,'Key inputs_EB'!$E15,'S7'!$D:$D,'Key inputs_EB'!$C15)</f>
        <v>0.5</v>
      </c>
      <c r="Z15" s="471">
        <f>SUMIFS('S7'!W:W,'S7'!$C:$C,'Key inputs_EB'!$E15,'S7'!$D:$D,'Key inputs_EB'!$C15)</f>
        <v>0.5</v>
      </c>
      <c r="AA15" s="471">
        <f>SUMIFS('S7'!X:X,'S7'!$C:$C,'Key inputs_EB'!$E15,'S7'!$D:$D,'Key inputs_EB'!$C15)</f>
        <v>0.23</v>
      </c>
      <c r="AB15" s="471">
        <f>SUMIFS('S7'!Y:Y,'S7'!$C:$C,'Key inputs_EB'!$E15,'S7'!$D:$D,'Key inputs_EB'!$C15)</f>
        <v>0</v>
      </c>
      <c r="AC15" s="471">
        <f>SUMIFS('S7'!Z:Z,'S7'!$C:$C,'Key inputs_EB'!$E15,'S7'!$D:$D,'Key inputs_EB'!$C15)</f>
        <v>0</v>
      </c>
      <c r="AD15" s="471">
        <f>SUMIFS('S7'!AA:AA,'S7'!$C:$C,'Key inputs_EB'!$E15,'S7'!$D:$D,'Key inputs_EB'!$C15)</f>
        <v>0</v>
      </c>
      <c r="AE15" s="471">
        <f>SUMIFS('S7'!AB:AB,'S7'!$C:$C,'Key inputs_EB'!$E15,'S7'!$D:$D,'Key inputs_EB'!$C15)</f>
        <v>0</v>
      </c>
      <c r="AF15" s="471">
        <f>SUMIFS('S7'!AC:AC,'S7'!$C:$C,'Key inputs_EB'!$E15,'S7'!$D:$D,'Key inputs_EB'!$C15)</f>
        <v>0.4</v>
      </c>
      <c r="AG15" s="471">
        <f>SUMIFS('S7'!AD:AD,'S7'!$C:$C,'Key inputs_EB'!$E15,'S7'!$D:$D,'Key inputs_EB'!$C15)</f>
        <v>0</v>
      </c>
      <c r="AH15" s="471">
        <f>SUMIFS('S7'!AE:AE,'S7'!$C:$C,'Key inputs_EB'!$E15,'S7'!$D:$D,'Key inputs_EB'!$C15)</f>
        <v>0.2</v>
      </c>
      <c r="AI15" s="471">
        <f>SUMIFS('S7'!AF:AF,'S7'!$C:$C,'Key inputs_EB'!$E15,'S7'!$D:$D,'Key inputs_EB'!$C15)</f>
        <v>0</v>
      </c>
    </row>
    <row r="16" spans="2:35" x14ac:dyDescent="0.3">
      <c r="B16" s="49" t="str">
        <f>Legend!A$49</f>
        <v>Lighting</v>
      </c>
      <c r="C16" s="49" t="str">
        <f>LEFT(Legend!$C$4)&amp;"-"&amp;Legend!B$49</f>
        <v>S-LIG</v>
      </c>
      <c r="D16" s="49" t="str">
        <f>Legend!A$61</f>
        <v>Coal</v>
      </c>
      <c r="E16" s="49" t="str">
        <f>Legend!B$61</f>
        <v>SRVCOA</v>
      </c>
      <c r="F16" s="49" t="s">
        <v>154</v>
      </c>
      <c r="H16" s="471">
        <f>SUMIFS('S7'!E:E,'S7'!$C:$C,'Key inputs_EB'!$E16,'S7'!$D:$D,'Key inputs_EB'!$C16)</f>
        <v>0</v>
      </c>
      <c r="I16" s="471">
        <f>SUMIFS('S7'!F:F,'S7'!$C:$C,'Key inputs_EB'!$E16,'S7'!$D:$D,'Key inputs_EB'!$C16)</f>
        <v>0</v>
      </c>
      <c r="J16" s="471">
        <f>SUMIFS('S7'!G:G,'S7'!$C:$C,'Key inputs_EB'!$E16,'S7'!$D:$D,'Key inputs_EB'!$C16)</f>
        <v>0</v>
      </c>
      <c r="K16" s="471">
        <f>SUMIFS('S7'!H:H,'S7'!$C:$C,'Key inputs_EB'!$E16,'S7'!$D:$D,'Key inputs_EB'!$C16)</f>
        <v>0</v>
      </c>
      <c r="L16" s="471">
        <f>SUMIFS('S7'!I:I,'S7'!$C:$C,'Key inputs_EB'!$E16,'S7'!$D:$D,'Key inputs_EB'!$C16)</f>
        <v>0</v>
      </c>
      <c r="M16" s="471">
        <f>SUMIFS('S7'!J:J,'S7'!$C:$C,'Key inputs_EB'!$E16,'S7'!$D:$D,'Key inputs_EB'!$C16)</f>
        <v>0</v>
      </c>
      <c r="N16" s="471">
        <f>SUMIFS('S7'!K:K,'S7'!$C:$C,'Key inputs_EB'!$E16,'S7'!$D:$D,'Key inputs_EB'!$C16)</f>
        <v>0</v>
      </c>
      <c r="O16" s="471">
        <f>SUMIFS('S7'!L:L,'S7'!$C:$C,'Key inputs_EB'!$E16,'S7'!$D:$D,'Key inputs_EB'!$C16)</f>
        <v>0</v>
      </c>
      <c r="P16" s="471">
        <f>SUMIFS('S7'!M:M,'S7'!$C:$C,'Key inputs_EB'!$E16,'S7'!$D:$D,'Key inputs_EB'!$C16)</f>
        <v>0</v>
      </c>
      <c r="Q16" s="471">
        <f>SUMIFS('S7'!N:N,'S7'!$C:$C,'Key inputs_EB'!$E16,'S7'!$D:$D,'Key inputs_EB'!$C16)</f>
        <v>0</v>
      </c>
      <c r="R16" s="471">
        <f>SUMIFS('S7'!O:O,'S7'!$C:$C,'Key inputs_EB'!$E16,'S7'!$D:$D,'Key inputs_EB'!$C16)</f>
        <v>0</v>
      </c>
      <c r="S16" s="471">
        <f>SUMIFS('S7'!P:P,'S7'!$C:$C,'Key inputs_EB'!$E16,'S7'!$D:$D,'Key inputs_EB'!$C16)</f>
        <v>0</v>
      </c>
      <c r="T16" s="471">
        <f>SUMIFS('S7'!Q:Q,'S7'!$C:$C,'Key inputs_EB'!$E16,'S7'!$D:$D,'Key inputs_EB'!$C16)</f>
        <v>0</v>
      </c>
      <c r="U16" s="471">
        <f>SUMIFS('S7'!R:R,'S7'!$C:$C,'Key inputs_EB'!$E16,'S7'!$D:$D,'Key inputs_EB'!$C16)</f>
        <v>0</v>
      </c>
      <c r="V16" s="471">
        <f>SUMIFS('S7'!S:S,'S7'!$C:$C,'Key inputs_EB'!$E16,'S7'!$D:$D,'Key inputs_EB'!$C16)</f>
        <v>0</v>
      </c>
      <c r="W16" s="471">
        <f>SUMIFS('S7'!T:T,'S7'!$C:$C,'Key inputs_EB'!$E16,'S7'!$D:$D,'Key inputs_EB'!$C16)</f>
        <v>0</v>
      </c>
      <c r="X16" s="471">
        <f>SUMIFS('S7'!U:U,'S7'!$C:$C,'Key inputs_EB'!$E16,'S7'!$D:$D,'Key inputs_EB'!$C16)</f>
        <v>0</v>
      </c>
      <c r="Y16" s="471">
        <f>SUMIFS('S7'!V:V,'S7'!$C:$C,'Key inputs_EB'!$E16,'S7'!$D:$D,'Key inputs_EB'!$C16)</f>
        <v>0</v>
      </c>
      <c r="Z16" s="471">
        <f>SUMIFS('S7'!W:W,'S7'!$C:$C,'Key inputs_EB'!$E16,'S7'!$D:$D,'Key inputs_EB'!$C16)</f>
        <v>0</v>
      </c>
      <c r="AA16" s="471">
        <f>SUMIFS('S7'!X:X,'S7'!$C:$C,'Key inputs_EB'!$E16,'S7'!$D:$D,'Key inputs_EB'!$C16)</f>
        <v>0</v>
      </c>
      <c r="AB16" s="471">
        <f>SUMIFS('S7'!Y:Y,'S7'!$C:$C,'Key inputs_EB'!$E16,'S7'!$D:$D,'Key inputs_EB'!$C16)</f>
        <v>0</v>
      </c>
      <c r="AC16" s="471">
        <f>SUMIFS('S7'!Z:Z,'S7'!$C:$C,'Key inputs_EB'!$E16,'S7'!$D:$D,'Key inputs_EB'!$C16)</f>
        <v>0</v>
      </c>
      <c r="AD16" s="471">
        <f>SUMIFS('S7'!AA:AA,'S7'!$C:$C,'Key inputs_EB'!$E16,'S7'!$D:$D,'Key inputs_EB'!$C16)</f>
        <v>0</v>
      </c>
      <c r="AE16" s="471">
        <f>SUMIFS('S7'!AB:AB,'S7'!$C:$C,'Key inputs_EB'!$E16,'S7'!$D:$D,'Key inputs_EB'!$C16)</f>
        <v>0</v>
      </c>
      <c r="AF16" s="471">
        <f>SUMIFS('S7'!AC:AC,'S7'!$C:$C,'Key inputs_EB'!$E16,'S7'!$D:$D,'Key inputs_EB'!$C16)</f>
        <v>0</v>
      </c>
      <c r="AG16" s="471">
        <f>SUMIFS('S7'!AD:AD,'S7'!$C:$C,'Key inputs_EB'!$E16,'S7'!$D:$D,'Key inputs_EB'!$C16)</f>
        <v>0</v>
      </c>
      <c r="AH16" s="471">
        <f>SUMIFS('S7'!AE:AE,'S7'!$C:$C,'Key inputs_EB'!$E16,'S7'!$D:$D,'Key inputs_EB'!$C16)</f>
        <v>0</v>
      </c>
      <c r="AI16" s="471">
        <f>SUMIFS('S7'!AF:AF,'S7'!$C:$C,'Key inputs_EB'!$E16,'S7'!$D:$D,'Key inputs_EB'!$C16)</f>
        <v>0</v>
      </c>
    </row>
    <row r="17" spans="2:35" x14ac:dyDescent="0.3">
      <c r="B17" s="49" t="str">
        <f>Legend!A$50</f>
        <v>Electric Appliances</v>
      </c>
      <c r="C17" s="49" t="str">
        <f>LEFT(Legend!$C$4)&amp;"-"&amp;Legend!B$50</f>
        <v>S-EAP</v>
      </c>
      <c r="D17" s="49" t="str">
        <f>Legend!A$61</f>
        <v>Coal</v>
      </c>
      <c r="E17" s="49" t="str">
        <f>Legend!B$61</f>
        <v>SRVCOA</v>
      </c>
      <c r="F17" s="49" t="s">
        <v>154</v>
      </c>
      <c r="H17" s="471">
        <f>SUMIFS('S7'!E:E,'S7'!$C:$C,'Key inputs_EB'!$E17,'S7'!$D:$D,'Key inputs_EB'!$C17)</f>
        <v>0</v>
      </c>
      <c r="I17" s="471">
        <f>SUMIFS('S7'!F:F,'S7'!$C:$C,'Key inputs_EB'!$E17,'S7'!$D:$D,'Key inputs_EB'!$C17)</f>
        <v>0</v>
      </c>
      <c r="J17" s="471">
        <f>SUMIFS('S7'!G:G,'S7'!$C:$C,'Key inputs_EB'!$E17,'S7'!$D:$D,'Key inputs_EB'!$C17)</f>
        <v>0</v>
      </c>
      <c r="K17" s="471">
        <f>SUMIFS('S7'!H:H,'S7'!$C:$C,'Key inputs_EB'!$E17,'S7'!$D:$D,'Key inputs_EB'!$C17)</f>
        <v>0</v>
      </c>
      <c r="L17" s="471">
        <f>SUMIFS('S7'!I:I,'S7'!$C:$C,'Key inputs_EB'!$E17,'S7'!$D:$D,'Key inputs_EB'!$C17)</f>
        <v>0</v>
      </c>
      <c r="M17" s="471">
        <f>SUMIFS('S7'!J:J,'S7'!$C:$C,'Key inputs_EB'!$E17,'S7'!$D:$D,'Key inputs_EB'!$C17)</f>
        <v>0</v>
      </c>
      <c r="N17" s="471">
        <f>SUMIFS('S7'!K:K,'S7'!$C:$C,'Key inputs_EB'!$E17,'S7'!$D:$D,'Key inputs_EB'!$C17)</f>
        <v>0</v>
      </c>
      <c r="O17" s="471">
        <f>SUMIFS('S7'!L:L,'S7'!$C:$C,'Key inputs_EB'!$E17,'S7'!$D:$D,'Key inputs_EB'!$C17)</f>
        <v>0</v>
      </c>
      <c r="P17" s="471">
        <f>SUMIFS('S7'!M:M,'S7'!$C:$C,'Key inputs_EB'!$E17,'S7'!$D:$D,'Key inputs_EB'!$C17)</f>
        <v>0</v>
      </c>
      <c r="Q17" s="471">
        <f>SUMIFS('S7'!N:N,'S7'!$C:$C,'Key inputs_EB'!$E17,'S7'!$D:$D,'Key inputs_EB'!$C17)</f>
        <v>0</v>
      </c>
      <c r="R17" s="471">
        <f>SUMIFS('S7'!O:O,'S7'!$C:$C,'Key inputs_EB'!$E17,'S7'!$D:$D,'Key inputs_EB'!$C17)</f>
        <v>0</v>
      </c>
      <c r="S17" s="471">
        <f>SUMIFS('S7'!P:P,'S7'!$C:$C,'Key inputs_EB'!$E17,'S7'!$D:$D,'Key inputs_EB'!$C17)</f>
        <v>0</v>
      </c>
      <c r="T17" s="471">
        <f>SUMIFS('S7'!Q:Q,'S7'!$C:$C,'Key inputs_EB'!$E17,'S7'!$D:$D,'Key inputs_EB'!$C17)</f>
        <v>0</v>
      </c>
      <c r="U17" s="471">
        <f>SUMIFS('S7'!R:R,'S7'!$C:$C,'Key inputs_EB'!$E17,'S7'!$D:$D,'Key inputs_EB'!$C17)</f>
        <v>0</v>
      </c>
      <c r="V17" s="471">
        <f>SUMIFS('S7'!S:S,'S7'!$C:$C,'Key inputs_EB'!$E17,'S7'!$D:$D,'Key inputs_EB'!$C17)</f>
        <v>0</v>
      </c>
      <c r="W17" s="471">
        <f>SUMIFS('S7'!T:T,'S7'!$C:$C,'Key inputs_EB'!$E17,'S7'!$D:$D,'Key inputs_EB'!$C17)</f>
        <v>0</v>
      </c>
      <c r="X17" s="471">
        <f>SUMIFS('S7'!U:U,'S7'!$C:$C,'Key inputs_EB'!$E17,'S7'!$D:$D,'Key inputs_EB'!$C17)</f>
        <v>0</v>
      </c>
      <c r="Y17" s="471">
        <f>SUMIFS('S7'!V:V,'S7'!$C:$C,'Key inputs_EB'!$E17,'S7'!$D:$D,'Key inputs_EB'!$C17)</f>
        <v>0</v>
      </c>
      <c r="Z17" s="471">
        <f>SUMIFS('S7'!W:W,'S7'!$C:$C,'Key inputs_EB'!$E17,'S7'!$D:$D,'Key inputs_EB'!$C17)</f>
        <v>0</v>
      </c>
      <c r="AA17" s="471">
        <f>SUMIFS('S7'!X:X,'S7'!$C:$C,'Key inputs_EB'!$E17,'S7'!$D:$D,'Key inputs_EB'!$C17)</f>
        <v>0</v>
      </c>
      <c r="AB17" s="471">
        <f>SUMIFS('S7'!Y:Y,'S7'!$C:$C,'Key inputs_EB'!$E17,'S7'!$D:$D,'Key inputs_EB'!$C17)</f>
        <v>0</v>
      </c>
      <c r="AC17" s="471">
        <f>SUMIFS('S7'!Z:Z,'S7'!$C:$C,'Key inputs_EB'!$E17,'S7'!$D:$D,'Key inputs_EB'!$C17)</f>
        <v>0</v>
      </c>
      <c r="AD17" s="471">
        <f>SUMIFS('S7'!AA:AA,'S7'!$C:$C,'Key inputs_EB'!$E17,'S7'!$D:$D,'Key inputs_EB'!$C17)</f>
        <v>0</v>
      </c>
      <c r="AE17" s="471">
        <f>SUMIFS('S7'!AB:AB,'S7'!$C:$C,'Key inputs_EB'!$E17,'S7'!$D:$D,'Key inputs_EB'!$C17)</f>
        <v>0</v>
      </c>
      <c r="AF17" s="471">
        <f>SUMIFS('S7'!AC:AC,'S7'!$C:$C,'Key inputs_EB'!$E17,'S7'!$D:$D,'Key inputs_EB'!$C17)</f>
        <v>0</v>
      </c>
      <c r="AG17" s="471">
        <f>SUMIFS('S7'!AD:AD,'S7'!$C:$C,'Key inputs_EB'!$E17,'S7'!$D:$D,'Key inputs_EB'!$C17)</f>
        <v>0</v>
      </c>
      <c r="AH17" s="471">
        <f>SUMIFS('S7'!AE:AE,'S7'!$C:$C,'Key inputs_EB'!$E17,'S7'!$D:$D,'Key inputs_EB'!$C17)</f>
        <v>0</v>
      </c>
      <c r="AI17" s="471">
        <f>SUMIFS('S7'!AF:AF,'S7'!$C:$C,'Key inputs_EB'!$E17,'S7'!$D:$D,'Key inputs_EB'!$C17)</f>
        <v>0</v>
      </c>
    </row>
    <row r="18" spans="2:35" x14ac:dyDescent="0.3">
      <c r="B18" s="49" t="str">
        <f>Legend!A$51</f>
        <v>Other uses</v>
      </c>
      <c r="C18" s="49" t="str">
        <f>LEFT(Legend!$C$4)&amp;"-"&amp;Legend!B$51</f>
        <v>S-OTH</v>
      </c>
      <c r="D18" s="49" t="str">
        <f>Legend!A$61</f>
        <v>Coal</v>
      </c>
      <c r="E18" s="49" t="str">
        <f>Legend!B$61</f>
        <v>SRVCOA</v>
      </c>
      <c r="F18" s="49" t="s">
        <v>154</v>
      </c>
      <c r="H18" s="471">
        <f>SUMIFS('S7'!E:E,'S7'!$C:$C,'Key inputs_EB'!$E18,'S7'!$D:$D,'Key inputs_EB'!$C18)</f>
        <v>0</v>
      </c>
      <c r="I18" s="471">
        <f>SUMIFS('S7'!F:F,'S7'!$C:$C,'Key inputs_EB'!$E18,'S7'!$D:$D,'Key inputs_EB'!$C18)</f>
        <v>0</v>
      </c>
      <c r="J18" s="471">
        <f>SUMIFS('S7'!G:G,'S7'!$C:$C,'Key inputs_EB'!$E18,'S7'!$D:$D,'Key inputs_EB'!$C18)</f>
        <v>0</v>
      </c>
      <c r="K18" s="471">
        <f>SUMIFS('S7'!H:H,'S7'!$C:$C,'Key inputs_EB'!$E18,'S7'!$D:$D,'Key inputs_EB'!$C18)</f>
        <v>0</v>
      </c>
      <c r="L18" s="471">
        <f>SUMIFS('S7'!I:I,'S7'!$C:$C,'Key inputs_EB'!$E18,'S7'!$D:$D,'Key inputs_EB'!$C18)</f>
        <v>0</v>
      </c>
      <c r="M18" s="471">
        <f>SUMIFS('S7'!J:J,'S7'!$C:$C,'Key inputs_EB'!$E18,'S7'!$D:$D,'Key inputs_EB'!$C18)</f>
        <v>0</v>
      </c>
      <c r="N18" s="471">
        <f>SUMIFS('S7'!K:K,'S7'!$C:$C,'Key inputs_EB'!$E18,'S7'!$D:$D,'Key inputs_EB'!$C18)</f>
        <v>0</v>
      </c>
      <c r="O18" s="471">
        <f>SUMIFS('S7'!L:L,'S7'!$C:$C,'Key inputs_EB'!$E18,'S7'!$D:$D,'Key inputs_EB'!$C18)</f>
        <v>0</v>
      </c>
      <c r="P18" s="471">
        <f>SUMIFS('S7'!M:M,'S7'!$C:$C,'Key inputs_EB'!$E18,'S7'!$D:$D,'Key inputs_EB'!$C18)</f>
        <v>0</v>
      </c>
      <c r="Q18" s="471">
        <f>SUMIFS('S7'!N:N,'S7'!$C:$C,'Key inputs_EB'!$E18,'S7'!$D:$D,'Key inputs_EB'!$C18)</f>
        <v>0</v>
      </c>
      <c r="R18" s="471">
        <f>SUMIFS('S7'!O:O,'S7'!$C:$C,'Key inputs_EB'!$E18,'S7'!$D:$D,'Key inputs_EB'!$C18)</f>
        <v>0</v>
      </c>
      <c r="S18" s="471">
        <f>SUMIFS('S7'!P:P,'S7'!$C:$C,'Key inputs_EB'!$E18,'S7'!$D:$D,'Key inputs_EB'!$C18)</f>
        <v>0</v>
      </c>
      <c r="T18" s="471">
        <f>SUMIFS('S7'!Q:Q,'S7'!$C:$C,'Key inputs_EB'!$E18,'S7'!$D:$D,'Key inputs_EB'!$C18)</f>
        <v>0</v>
      </c>
      <c r="U18" s="471">
        <f>SUMIFS('S7'!R:R,'S7'!$C:$C,'Key inputs_EB'!$E18,'S7'!$D:$D,'Key inputs_EB'!$C18)</f>
        <v>0</v>
      </c>
      <c r="V18" s="471">
        <f>SUMIFS('S7'!S:S,'S7'!$C:$C,'Key inputs_EB'!$E18,'S7'!$D:$D,'Key inputs_EB'!$C18)</f>
        <v>0</v>
      </c>
      <c r="W18" s="471">
        <f>SUMIFS('S7'!T:T,'S7'!$C:$C,'Key inputs_EB'!$E18,'S7'!$D:$D,'Key inputs_EB'!$C18)</f>
        <v>0</v>
      </c>
      <c r="X18" s="471">
        <f>SUMIFS('S7'!U:U,'S7'!$C:$C,'Key inputs_EB'!$E18,'S7'!$D:$D,'Key inputs_EB'!$C18)</f>
        <v>0</v>
      </c>
      <c r="Y18" s="471">
        <f>SUMIFS('S7'!V:V,'S7'!$C:$C,'Key inputs_EB'!$E18,'S7'!$D:$D,'Key inputs_EB'!$C18)</f>
        <v>0</v>
      </c>
      <c r="Z18" s="471">
        <f>SUMIFS('S7'!W:W,'S7'!$C:$C,'Key inputs_EB'!$E18,'S7'!$D:$D,'Key inputs_EB'!$C18)</f>
        <v>0</v>
      </c>
      <c r="AA18" s="471">
        <f>SUMIFS('S7'!X:X,'S7'!$C:$C,'Key inputs_EB'!$E18,'S7'!$D:$D,'Key inputs_EB'!$C18)</f>
        <v>0</v>
      </c>
      <c r="AB18" s="471">
        <f>SUMIFS('S7'!Y:Y,'S7'!$C:$C,'Key inputs_EB'!$E18,'S7'!$D:$D,'Key inputs_EB'!$C18)</f>
        <v>0</v>
      </c>
      <c r="AC18" s="471">
        <f>SUMIFS('S7'!Z:Z,'S7'!$C:$C,'Key inputs_EB'!$E18,'S7'!$D:$D,'Key inputs_EB'!$C18)</f>
        <v>0</v>
      </c>
      <c r="AD18" s="471">
        <f>SUMIFS('S7'!AA:AA,'S7'!$C:$C,'Key inputs_EB'!$E18,'S7'!$D:$D,'Key inputs_EB'!$C18)</f>
        <v>0</v>
      </c>
      <c r="AE18" s="471">
        <f>SUMIFS('S7'!AB:AB,'S7'!$C:$C,'Key inputs_EB'!$E18,'S7'!$D:$D,'Key inputs_EB'!$C18)</f>
        <v>0</v>
      </c>
      <c r="AF18" s="471">
        <f>SUMIFS('S7'!AC:AC,'S7'!$C:$C,'Key inputs_EB'!$E18,'S7'!$D:$D,'Key inputs_EB'!$C18)</f>
        <v>0</v>
      </c>
      <c r="AG18" s="471">
        <f>SUMIFS('S7'!AD:AD,'S7'!$C:$C,'Key inputs_EB'!$E18,'S7'!$D:$D,'Key inputs_EB'!$C18)</f>
        <v>0</v>
      </c>
      <c r="AH18" s="471">
        <f>SUMIFS('S7'!AE:AE,'S7'!$C:$C,'Key inputs_EB'!$E18,'S7'!$D:$D,'Key inputs_EB'!$C18)</f>
        <v>0</v>
      </c>
      <c r="AI18" s="471">
        <f>SUMIFS('S7'!AF:AF,'S7'!$C:$C,'Key inputs_EB'!$E18,'S7'!$D:$D,'Key inputs_EB'!$C18)</f>
        <v>0</v>
      </c>
    </row>
    <row r="19" spans="2:35" s="76" customFormat="1" ht="13.8" x14ac:dyDescent="0.3">
      <c r="B19" s="73"/>
      <c r="C19" s="74" t="s">
        <v>157</v>
      </c>
      <c r="D19" s="73"/>
      <c r="E19" s="73"/>
      <c r="F19" s="74"/>
      <c r="G19" s="74"/>
      <c r="H19" s="75">
        <f t="shared" ref="H19:AI19" si="6">IF(H$4="","",IF(SUM(H13:H18)=0,"",IF(SUM(H13:H18)&lt;&gt;1,"CHECK",SUM(H13:H18))))</f>
        <v>1</v>
      </c>
      <c r="I19" s="75">
        <f t="shared" si="6"/>
        <v>1</v>
      </c>
      <c r="J19" s="75">
        <f t="shared" si="6"/>
        <v>1</v>
      </c>
      <c r="K19" s="75">
        <f t="shared" si="6"/>
        <v>1</v>
      </c>
      <c r="L19" s="75">
        <f t="shared" si="6"/>
        <v>1</v>
      </c>
      <c r="M19" s="75">
        <f t="shared" si="6"/>
        <v>1</v>
      </c>
      <c r="N19" s="75">
        <f t="shared" si="6"/>
        <v>1</v>
      </c>
      <c r="O19" s="75">
        <f t="shared" si="6"/>
        <v>1</v>
      </c>
      <c r="P19" s="75">
        <f t="shared" si="6"/>
        <v>1</v>
      </c>
      <c r="Q19" s="75">
        <f t="shared" si="6"/>
        <v>1</v>
      </c>
      <c r="R19" s="75">
        <f t="shared" si="6"/>
        <v>1</v>
      </c>
      <c r="S19" s="75">
        <f t="shared" si="6"/>
        <v>1</v>
      </c>
      <c r="T19" s="75">
        <f t="shared" si="6"/>
        <v>1</v>
      </c>
      <c r="U19" s="75">
        <f t="shared" si="6"/>
        <v>1</v>
      </c>
      <c r="V19" s="75">
        <f t="shared" si="6"/>
        <v>1</v>
      </c>
      <c r="W19" s="75">
        <f t="shared" si="6"/>
        <v>1</v>
      </c>
      <c r="X19" s="75">
        <f t="shared" si="6"/>
        <v>1</v>
      </c>
      <c r="Y19" s="75">
        <f t="shared" si="6"/>
        <v>1</v>
      </c>
      <c r="Z19" s="75">
        <f t="shared" si="6"/>
        <v>1</v>
      </c>
      <c r="AA19" s="75">
        <f t="shared" si="6"/>
        <v>1</v>
      </c>
      <c r="AB19" s="75">
        <f t="shared" si="6"/>
        <v>1</v>
      </c>
      <c r="AC19" s="75">
        <f t="shared" si="6"/>
        <v>1</v>
      </c>
      <c r="AD19" s="75">
        <f t="shared" si="6"/>
        <v>1</v>
      </c>
      <c r="AE19" s="75">
        <f t="shared" si="6"/>
        <v>1</v>
      </c>
      <c r="AF19" s="75">
        <f t="shared" si="6"/>
        <v>1</v>
      </c>
      <c r="AG19" s="75">
        <f t="shared" si="6"/>
        <v>1</v>
      </c>
      <c r="AH19" s="75">
        <f t="shared" si="6"/>
        <v>1</v>
      </c>
      <c r="AI19" s="75">
        <f t="shared" si="6"/>
        <v>1</v>
      </c>
    </row>
    <row r="20" spans="2:35" x14ac:dyDescent="0.3">
      <c r="B20" s="49" t="str">
        <f>Legend!A$45</f>
        <v>Thermal uses</v>
      </c>
      <c r="C20" s="49" t="str">
        <f>LEFT(Legend!$C$4)&amp;"-"&amp;Legend!B$45</f>
        <v>S-TH</v>
      </c>
      <c r="D20" s="49" t="str">
        <f>Legend!A$62</f>
        <v>Oil</v>
      </c>
      <c r="E20" s="49" t="str">
        <f>Legend!B$62</f>
        <v>SRVOIL</v>
      </c>
      <c r="F20" s="49" t="s">
        <v>154</v>
      </c>
      <c r="H20" s="471">
        <f>SUMIFS('S7'!E:E,'S7'!$C:$C,'Key inputs_EB'!$E20,'S7'!$D:$D,'Key inputs_EB'!$C20)</f>
        <v>1</v>
      </c>
      <c r="I20" s="471">
        <f>SUMIFS('S7'!F:F,'S7'!$C:$C,'Key inputs_EB'!$E20,'S7'!$D:$D,'Key inputs_EB'!$C20)</f>
        <v>1</v>
      </c>
      <c r="J20" s="471">
        <f>SUMIFS('S7'!G:G,'S7'!$C:$C,'Key inputs_EB'!$E20,'S7'!$D:$D,'Key inputs_EB'!$C20)</f>
        <v>1</v>
      </c>
      <c r="K20" s="471">
        <f>SUMIFS('S7'!H:H,'S7'!$C:$C,'Key inputs_EB'!$E20,'S7'!$D:$D,'Key inputs_EB'!$C20)</f>
        <v>1</v>
      </c>
      <c r="L20" s="471">
        <f>SUMIFS('S7'!I:I,'S7'!$C:$C,'Key inputs_EB'!$E20,'S7'!$D:$D,'Key inputs_EB'!$C20)</f>
        <v>1</v>
      </c>
      <c r="M20" s="471">
        <f>SUMIFS('S7'!J:J,'S7'!$C:$C,'Key inputs_EB'!$E20,'S7'!$D:$D,'Key inputs_EB'!$C20)</f>
        <v>1</v>
      </c>
      <c r="N20" s="471">
        <f>SUMIFS('S7'!K:K,'S7'!$C:$C,'Key inputs_EB'!$E20,'S7'!$D:$D,'Key inputs_EB'!$C20)</f>
        <v>0.7</v>
      </c>
      <c r="O20" s="471">
        <f>SUMIFS('S7'!L:L,'S7'!$C:$C,'Key inputs_EB'!$E20,'S7'!$D:$D,'Key inputs_EB'!$C20)</f>
        <v>0.7</v>
      </c>
      <c r="P20" s="471">
        <f>SUMIFS('S7'!M:M,'S7'!$C:$C,'Key inputs_EB'!$E20,'S7'!$D:$D,'Key inputs_EB'!$C20)</f>
        <v>0.5</v>
      </c>
      <c r="Q20" s="471">
        <f>SUMIFS('S7'!N:N,'S7'!$C:$C,'Key inputs_EB'!$E20,'S7'!$D:$D,'Key inputs_EB'!$C20)</f>
        <v>1</v>
      </c>
      <c r="R20" s="471">
        <f>SUMIFS('S7'!O:O,'S7'!$C:$C,'Key inputs_EB'!$E20,'S7'!$D:$D,'Key inputs_EB'!$C20)</f>
        <v>0.5</v>
      </c>
      <c r="S20" s="471">
        <f>SUMIFS('S7'!P:P,'S7'!$C:$C,'Key inputs_EB'!$E20,'S7'!$D:$D,'Key inputs_EB'!$C20)</f>
        <v>0.5</v>
      </c>
      <c r="T20" s="471">
        <f>SUMIFS('S7'!Q:Q,'S7'!$C:$C,'Key inputs_EB'!$E20,'S7'!$D:$D,'Key inputs_EB'!$C20)</f>
        <v>1</v>
      </c>
      <c r="U20" s="471">
        <f>SUMIFS('S7'!R:R,'S7'!$C:$C,'Key inputs_EB'!$E20,'S7'!$D:$D,'Key inputs_EB'!$C20)</f>
        <v>1</v>
      </c>
      <c r="V20" s="471">
        <f>SUMIFS('S7'!S:S,'S7'!$C:$C,'Key inputs_EB'!$E20,'S7'!$D:$D,'Key inputs_EB'!$C20)</f>
        <v>1</v>
      </c>
      <c r="W20" s="471">
        <f>SUMIFS('S7'!T:T,'S7'!$C:$C,'Key inputs_EB'!$E20,'S7'!$D:$D,'Key inputs_EB'!$C20)</f>
        <v>1</v>
      </c>
      <c r="X20" s="471">
        <f>SUMIFS('S7'!U:U,'S7'!$C:$C,'Key inputs_EB'!$E20,'S7'!$D:$D,'Key inputs_EB'!$C20)</f>
        <v>1</v>
      </c>
      <c r="Y20" s="471">
        <f>SUMIFS('S7'!V:V,'S7'!$C:$C,'Key inputs_EB'!$E20,'S7'!$D:$D,'Key inputs_EB'!$C20)</f>
        <v>0.7</v>
      </c>
      <c r="Z20" s="471">
        <f>SUMIFS('S7'!W:W,'S7'!$C:$C,'Key inputs_EB'!$E20,'S7'!$D:$D,'Key inputs_EB'!$C20)</f>
        <v>0.5</v>
      </c>
      <c r="AA20" s="471">
        <f>SUMIFS('S7'!X:X,'S7'!$C:$C,'Key inputs_EB'!$E20,'S7'!$D:$D,'Key inputs_EB'!$C20)</f>
        <v>1</v>
      </c>
      <c r="AB20" s="471">
        <f>SUMIFS('S7'!Y:Y,'S7'!$C:$C,'Key inputs_EB'!$E20,'S7'!$D:$D,'Key inputs_EB'!$C20)</f>
        <v>0.5</v>
      </c>
      <c r="AC20" s="471">
        <f>SUMIFS('S7'!Z:Z,'S7'!$C:$C,'Key inputs_EB'!$E20,'S7'!$D:$D,'Key inputs_EB'!$C20)</f>
        <v>0.4</v>
      </c>
      <c r="AD20" s="471">
        <f>SUMIFS('S7'!AA:AA,'S7'!$C:$C,'Key inputs_EB'!$E20,'S7'!$D:$D,'Key inputs_EB'!$C20)</f>
        <v>0.4</v>
      </c>
      <c r="AE20" s="471">
        <f>SUMIFS('S7'!AB:AB,'S7'!$C:$C,'Key inputs_EB'!$E20,'S7'!$D:$D,'Key inputs_EB'!$C20)</f>
        <v>0.4</v>
      </c>
      <c r="AF20" s="471">
        <f>SUMIFS('S7'!AC:AC,'S7'!$C:$C,'Key inputs_EB'!$E20,'S7'!$D:$D,'Key inputs_EB'!$C20)</f>
        <v>1</v>
      </c>
      <c r="AG20" s="471">
        <f>SUMIFS('S7'!AD:AD,'S7'!$C:$C,'Key inputs_EB'!$E20,'S7'!$D:$D,'Key inputs_EB'!$C20)</f>
        <v>1</v>
      </c>
      <c r="AH20" s="471">
        <f>SUMIFS('S7'!AE:AE,'S7'!$C:$C,'Key inputs_EB'!$E20,'S7'!$D:$D,'Key inputs_EB'!$C20)</f>
        <v>1</v>
      </c>
      <c r="AI20" s="471">
        <f>SUMIFS('S7'!AF:AF,'S7'!$C:$C,'Key inputs_EB'!$E20,'S7'!$D:$D,'Key inputs_EB'!$C20)</f>
        <v>0.93</v>
      </c>
    </row>
    <row r="21" spans="2:35" x14ac:dyDescent="0.3">
      <c r="B21" s="49" t="str">
        <f>Legend!A$46</f>
        <v>Air conditioning</v>
      </c>
      <c r="C21" s="49" t="str">
        <f>LEFT(Legend!$C$4)&amp;"-"&amp;Legend!B$46</f>
        <v>S-AC</v>
      </c>
      <c r="D21" s="49" t="str">
        <f>Legend!A$62</f>
        <v>Oil</v>
      </c>
      <c r="E21" s="49" t="str">
        <f>Legend!B$62</f>
        <v>SRVOIL</v>
      </c>
      <c r="F21" s="49" t="s">
        <v>154</v>
      </c>
      <c r="H21" s="471">
        <f>SUMIFS('S7'!E:E,'S7'!$C:$C,'Key inputs_EB'!$E21,'S7'!$D:$D,'Key inputs_EB'!$C21)</f>
        <v>0</v>
      </c>
      <c r="I21" s="471">
        <f>SUMIFS('S7'!F:F,'S7'!$C:$C,'Key inputs_EB'!$E21,'S7'!$D:$D,'Key inputs_EB'!$C21)</f>
        <v>0</v>
      </c>
      <c r="J21" s="471">
        <f>SUMIFS('S7'!G:G,'S7'!$C:$C,'Key inputs_EB'!$E21,'S7'!$D:$D,'Key inputs_EB'!$C21)</f>
        <v>0</v>
      </c>
      <c r="K21" s="471">
        <f>SUMIFS('S7'!H:H,'S7'!$C:$C,'Key inputs_EB'!$E21,'S7'!$D:$D,'Key inputs_EB'!$C21)</f>
        <v>0</v>
      </c>
      <c r="L21" s="471">
        <f>SUMIFS('S7'!I:I,'S7'!$C:$C,'Key inputs_EB'!$E21,'S7'!$D:$D,'Key inputs_EB'!$C21)</f>
        <v>0</v>
      </c>
      <c r="M21" s="471">
        <f>SUMIFS('S7'!J:J,'S7'!$C:$C,'Key inputs_EB'!$E21,'S7'!$D:$D,'Key inputs_EB'!$C21)</f>
        <v>0</v>
      </c>
      <c r="N21" s="471">
        <f>SUMIFS('S7'!K:K,'S7'!$C:$C,'Key inputs_EB'!$E21,'S7'!$D:$D,'Key inputs_EB'!$C21)</f>
        <v>0</v>
      </c>
      <c r="O21" s="471">
        <f>SUMIFS('S7'!L:L,'S7'!$C:$C,'Key inputs_EB'!$E21,'S7'!$D:$D,'Key inputs_EB'!$C21)</f>
        <v>0</v>
      </c>
      <c r="P21" s="471">
        <f>SUMIFS('S7'!M:M,'S7'!$C:$C,'Key inputs_EB'!$E21,'S7'!$D:$D,'Key inputs_EB'!$C21)</f>
        <v>0</v>
      </c>
      <c r="Q21" s="471">
        <f>SUMIFS('S7'!N:N,'S7'!$C:$C,'Key inputs_EB'!$E21,'S7'!$D:$D,'Key inputs_EB'!$C21)</f>
        <v>0</v>
      </c>
      <c r="R21" s="471">
        <f>SUMIFS('S7'!O:O,'S7'!$C:$C,'Key inputs_EB'!$E21,'S7'!$D:$D,'Key inputs_EB'!$C21)</f>
        <v>0</v>
      </c>
      <c r="S21" s="471">
        <f>SUMIFS('S7'!P:P,'S7'!$C:$C,'Key inputs_EB'!$E21,'S7'!$D:$D,'Key inputs_EB'!$C21)</f>
        <v>0</v>
      </c>
      <c r="T21" s="471">
        <f>SUMIFS('S7'!Q:Q,'S7'!$C:$C,'Key inputs_EB'!$E21,'S7'!$D:$D,'Key inputs_EB'!$C21)</f>
        <v>0</v>
      </c>
      <c r="U21" s="471">
        <f>SUMIFS('S7'!R:R,'S7'!$C:$C,'Key inputs_EB'!$E21,'S7'!$D:$D,'Key inputs_EB'!$C21)</f>
        <v>0</v>
      </c>
      <c r="V21" s="471">
        <f>SUMIFS('S7'!S:S,'S7'!$C:$C,'Key inputs_EB'!$E21,'S7'!$D:$D,'Key inputs_EB'!$C21)</f>
        <v>0</v>
      </c>
      <c r="W21" s="471">
        <f>SUMIFS('S7'!T:T,'S7'!$C:$C,'Key inputs_EB'!$E21,'S7'!$D:$D,'Key inputs_EB'!$C21)</f>
        <v>0</v>
      </c>
      <c r="X21" s="471">
        <f>SUMIFS('S7'!U:U,'S7'!$C:$C,'Key inputs_EB'!$E21,'S7'!$D:$D,'Key inputs_EB'!$C21)</f>
        <v>0</v>
      </c>
      <c r="Y21" s="471">
        <f>SUMIFS('S7'!V:V,'S7'!$C:$C,'Key inputs_EB'!$E21,'S7'!$D:$D,'Key inputs_EB'!$C21)</f>
        <v>0</v>
      </c>
      <c r="Z21" s="471">
        <f>SUMIFS('S7'!W:W,'S7'!$C:$C,'Key inputs_EB'!$E21,'S7'!$D:$D,'Key inputs_EB'!$C21)</f>
        <v>0</v>
      </c>
      <c r="AA21" s="471">
        <f>SUMIFS('S7'!X:X,'S7'!$C:$C,'Key inputs_EB'!$E21,'S7'!$D:$D,'Key inputs_EB'!$C21)</f>
        <v>0</v>
      </c>
      <c r="AB21" s="471">
        <f>SUMIFS('S7'!Y:Y,'S7'!$C:$C,'Key inputs_EB'!$E21,'S7'!$D:$D,'Key inputs_EB'!$C21)</f>
        <v>0</v>
      </c>
      <c r="AC21" s="471">
        <f>SUMIFS('S7'!Z:Z,'S7'!$C:$C,'Key inputs_EB'!$E21,'S7'!$D:$D,'Key inputs_EB'!$C21)</f>
        <v>0</v>
      </c>
      <c r="AD21" s="471">
        <f>SUMIFS('S7'!AA:AA,'S7'!$C:$C,'Key inputs_EB'!$E21,'S7'!$D:$D,'Key inputs_EB'!$C21)</f>
        <v>0</v>
      </c>
      <c r="AE21" s="471">
        <f>SUMIFS('S7'!AB:AB,'S7'!$C:$C,'Key inputs_EB'!$E21,'S7'!$D:$D,'Key inputs_EB'!$C21)</f>
        <v>0</v>
      </c>
      <c r="AF21" s="471">
        <f>SUMIFS('S7'!AC:AC,'S7'!$C:$C,'Key inputs_EB'!$E21,'S7'!$D:$D,'Key inputs_EB'!$C21)</f>
        <v>0</v>
      </c>
      <c r="AG21" s="471">
        <f>SUMIFS('S7'!AD:AD,'S7'!$C:$C,'Key inputs_EB'!$E21,'S7'!$D:$D,'Key inputs_EB'!$C21)</f>
        <v>0</v>
      </c>
      <c r="AH21" s="471">
        <f>SUMIFS('S7'!AE:AE,'S7'!$C:$C,'Key inputs_EB'!$E21,'S7'!$D:$D,'Key inputs_EB'!$C21)</f>
        <v>0</v>
      </c>
      <c r="AI21" s="471">
        <f>SUMIFS('S7'!AF:AF,'S7'!$C:$C,'Key inputs_EB'!$E21,'S7'!$D:$D,'Key inputs_EB'!$C21)</f>
        <v>0</v>
      </c>
    </row>
    <row r="22" spans="2:35" x14ac:dyDescent="0.3">
      <c r="B22" s="49" t="str">
        <f>Legend!A$47</f>
        <v>Cooking</v>
      </c>
      <c r="C22" s="49" t="str">
        <f>LEFT(Legend!$C$4)&amp;"-"&amp;Legend!B$47</f>
        <v>S-CK</v>
      </c>
      <c r="D22" s="49" t="str">
        <f>Legend!A$62</f>
        <v>Oil</v>
      </c>
      <c r="E22" s="49" t="str">
        <f>Legend!B$62</f>
        <v>SRVOIL</v>
      </c>
      <c r="F22" s="49" t="s">
        <v>154</v>
      </c>
      <c r="H22" s="471">
        <f>SUMIFS('S7'!E:E,'S7'!$C:$C,'Key inputs_EB'!$E22,'S7'!$D:$D,'Key inputs_EB'!$C22)</f>
        <v>0</v>
      </c>
      <c r="I22" s="471">
        <f>SUMIFS('S7'!F:F,'S7'!$C:$C,'Key inputs_EB'!$E22,'S7'!$D:$D,'Key inputs_EB'!$C22)</f>
        <v>0</v>
      </c>
      <c r="J22" s="471">
        <f>SUMIFS('S7'!G:G,'S7'!$C:$C,'Key inputs_EB'!$E22,'S7'!$D:$D,'Key inputs_EB'!$C22)</f>
        <v>0</v>
      </c>
      <c r="K22" s="471">
        <f>SUMIFS('S7'!H:H,'S7'!$C:$C,'Key inputs_EB'!$E22,'S7'!$D:$D,'Key inputs_EB'!$C22)</f>
        <v>0</v>
      </c>
      <c r="L22" s="471">
        <f>SUMIFS('S7'!I:I,'S7'!$C:$C,'Key inputs_EB'!$E22,'S7'!$D:$D,'Key inputs_EB'!$C22)</f>
        <v>0</v>
      </c>
      <c r="M22" s="471">
        <f>SUMIFS('S7'!J:J,'S7'!$C:$C,'Key inputs_EB'!$E22,'S7'!$D:$D,'Key inputs_EB'!$C22)</f>
        <v>0</v>
      </c>
      <c r="N22" s="471">
        <f>SUMIFS('S7'!K:K,'S7'!$C:$C,'Key inputs_EB'!$E22,'S7'!$D:$D,'Key inputs_EB'!$C22)</f>
        <v>0.3</v>
      </c>
      <c r="O22" s="471">
        <f>SUMIFS('S7'!L:L,'S7'!$C:$C,'Key inputs_EB'!$E22,'S7'!$D:$D,'Key inputs_EB'!$C22)</f>
        <v>0.3</v>
      </c>
      <c r="P22" s="471">
        <f>SUMIFS('S7'!M:M,'S7'!$C:$C,'Key inputs_EB'!$E22,'S7'!$D:$D,'Key inputs_EB'!$C22)</f>
        <v>0.5</v>
      </c>
      <c r="Q22" s="471">
        <f>SUMIFS('S7'!N:N,'S7'!$C:$C,'Key inputs_EB'!$E22,'S7'!$D:$D,'Key inputs_EB'!$C22)</f>
        <v>0</v>
      </c>
      <c r="R22" s="471">
        <f>SUMIFS('S7'!O:O,'S7'!$C:$C,'Key inputs_EB'!$E22,'S7'!$D:$D,'Key inputs_EB'!$C22)</f>
        <v>0.5</v>
      </c>
      <c r="S22" s="471">
        <f>SUMIFS('S7'!P:P,'S7'!$C:$C,'Key inputs_EB'!$E22,'S7'!$D:$D,'Key inputs_EB'!$C22)</f>
        <v>0.5</v>
      </c>
      <c r="T22" s="471">
        <f>SUMIFS('S7'!Q:Q,'S7'!$C:$C,'Key inputs_EB'!$E22,'S7'!$D:$D,'Key inputs_EB'!$C22)</f>
        <v>0</v>
      </c>
      <c r="U22" s="471">
        <f>SUMIFS('S7'!R:R,'S7'!$C:$C,'Key inputs_EB'!$E22,'S7'!$D:$D,'Key inputs_EB'!$C22)</f>
        <v>0</v>
      </c>
      <c r="V22" s="471">
        <f>SUMIFS('S7'!S:S,'S7'!$C:$C,'Key inputs_EB'!$E22,'S7'!$D:$D,'Key inputs_EB'!$C22)</f>
        <v>0</v>
      </c>
      <c r="W22" s="471">
        <f>SUMIFS('S7'!T:T,'S7'!$C:$C,'Key inputs_EB'!$E22,'S7'!$D:$D,'Key inputs_EB'!$C22)</f>
        <v>0</v>
      </c>
      <c r="X22" s="471">
        <f>SUMIFS('S7'!U:U,'S7'!$C:$C,'Key inputs_EB'!$E22,'S7'!$D:$D,'Key inputs_EB'!$C22)</f>
        <v>0</v>
      </c>
      <c r="Y22" s="471">
        <f>SUMIFS('S7'!V:V,'S7'!$C:$C,'Key inputs_EB'!$E22,'S7'!$D:$D,'Key inputs_EB'!$C22)</f>
        <v>0.3</v>
      </c>
      <c r="Z22" s="471">
        <f>SUMIFS('S7'!W:W,'S7'!$C:$C,'Key inputs_EB'!$E22,'S7'!$D:$D,'Key inputs_EB'!$C22)</f>
        <v>0.5</v>
      </c>
      <c r="AA22" s="471">
        <f>SUMIFS('S7'!X:X,'S7'!$C:$C,'Key inputs_EB'!$E22,'S7'!$D:$D,'Key inputs_EB'!$C22)</f>
        <v>0</v>
      </c>
      <c r="AB22" s="471">
        <f>SUMIFS('S7'!Y:Y,'S7'!$C:$C,'Key inputs_EB'!$E22,'S7'!$D:$D,'Key inputs_EB'!$C22)</f>
        <v>0.5</v>
      </c>
      <c r="AC22" s="471">
        <f>SUMIFS('S7'!Z:Z,'S7'!$C:$C,'Key inputs_EB'!$E22,'S7'!$D:$D,'Key inputs_EB'!$C22)</f>
        <v>0.6</v>
      </c>
      <c r="AD22" s="471">
        <f>SUMIFS('S7'!AA:AA,'S7'!$C:$C,'Key inputs_EB'!$E22,'S7'!$D:$D,'Key inputs_EB'!$C22)</f>
        <v>0.6</v>
      </c>
      <c r="AE22" s="471">
        <f>SUMIFS('S7'!AB:AB,'S7'!$C:$C,'Key inputs_EB'!$E22,'S7'!$D:$D,'Key inputs_EB'!$C22)</f>
        <v>0.6</v>
      </c>
      <c r="AF22" s="471">
        <f>SUMIFS('S7'!AC:AC,'S7'!$C:$C,'Key inputs_EB'!$E22,'S7'!$D:$D,'Key inputs_EB'!$C22)</f>
        <v>0</v>
      </c>
      <c r="AG22" s="471">
        <f>SUMIFS('S7'!AD:AD,'S7'!$C:$C,'Key inputs_EB'!$E22,'S7'!$D:$D,'Key inputs_EB'!$C22)</f>
        <v>0</v>
      </c>
      <c r="AH22" s="471">
        <f>SUMIFS('S7'!AE:AE,'S7'!$C:$C,'Key inputs_EB'!$E22,'S7'!$D:$D,'Key inputs_EB'!$C22)</f>
        <v>0</v>
      </c>
      <c r="AI22" s="471">
        <f>SUMIFS('S7'!AF:AF,'S7'!$C:$C,'Key inputs_EB'!$E22,'S7'!$D:$D,'Key inputs_EB'!$C22)</f>
        <v>0</v>
      </c>
    </row>
    <row r="23" spans="2:35" x14ac:dyDescent="0.3">
      <c r="B23" s="49" t="str">
        <f>Legend!A$49</f>
        <v>Lighting</v>
      </c>
      <c r="C23" s="49" t="str">
        <f>LEFT(Legend!$C$4)&amp;"-"&amp;Legend!B$49</f>
        <v>S-LIG</v>
      </c>
      <c r="D23" s="49" t="str">
        <f>Legend!A$62</f>
        <v>Oil</v>
      </c>
      <c r="E23" s="49" t="str">
        <f>Legend!B$62</f>
        <v>SRVOIL</v>
      </c>
      <c r="F23" s="49" t="s">
        <v>154</v>
      </c>
      <c r="H23" s="471">
        <f>SUMIFS('S7'!E:E,'S7'!$C:$C,'Key inputs_EB'!$E23,'S7'!$D:$D,'Key inputs_EB'!$C23)</f>
        <v>0</v>
      </c>
      <c r="I23" s="471">
        <f>SUMIFS('S7'!F:F,'S7'!$C:$C,'Key inputs_EB'!$E23,'S7'!$D:$D,'Key inputs_EB'!$C23)</f>
        <v>0</v>
      </c>
      <c r="J23" s="471">
        <f>SUMIFS('S7'!G:G,'S7'!$C:$C,'Key inputs_EB'!$E23,'S7'!$D:$D,'Key inputs_EB'!$C23)</f>
        <v>0</v>
      </c>
      <c r="K23" s="471">
        <f>SUMIFS('S7'!H:H,'S7'!$C:$C,'Key inputs_EB'!$E23,'S7'!$D:$D,'Key inputs_EB'!$C23)</f>
        <v>0</v>
      </c>
      <c r="L23" s="471">
        <f>SUMIFS('S7'!I:I,'S7'!$C:$C,'Key inputs_EB'!$E23,'S7'!$D:$D,'Key inputs_EB'!$C23)</f>
        <v>0</v>
      </c>
      <c r="M23" s="471">
        <f>SUMIFS('S7'!J:J,'S7'!$C:$C,'Key inputs_EB'!$E23,'S7'!$D:$D,'Key inputs_EB'!$C23)</f>
        <v>0</v>
      </c>
      <c r="N23" s="471">
        <f>SUMIFS('S7'!K:K,'S7'!$C:$C,'Key inputs_EB'!$E23,'S7'!$D:$D,'Key inputs_EB'!$C23)</f>
        <v>0</v>
      </c>
      <c r="O23" s="471">
        <f>SUMIFS('S7'!L:L,'S7'!$C:$C,'Key inputs_EB'!$E23,'S7'!$D:$D,'Key inputs_EB'!$C23)</f>
        <v>0</v>
      </c>
      <c r="P23" s="471">
        <f>SUMIFS('S7'!M:M,'S7'!$C:$C,'Key inputs_EB'!$E23,'S7'!$D:$D,'Key inputs_EB'!$C23)</f>
        <v>0</v>
      </c>
      <c r="Q23" s="471">
        <f>SUMIFS('S7'!N:N,'S7'!$C:$C,'Key inputs_EB'!$E23,'S7'!$D:$D,'Key inputs_EB'!$C23)</f>
        <v>0</v>
      </c>
      <c r="R23" s="471">
        <f>SUMIFS('S7'!O:O,'S7'!$C:$C,'Key inputs_EB'!$E23,'S7'!$D:$D,'Key inputs_EB'!$C23)</f>
        <v>0</v>
      </c>
      <c r="S23" s="471">
        <f>SUMIFS('S7'!P:P,'S7'!$C:$C,'Key inputs_EB'!$E23,'S7'!$D:$D,'Key inputs_EB'!$C23)</f>
        <v>0</v>
      </c>
      <c r="T23" s="471">
        <f>SUMIFS('S7'!Q:Q,'S7'!$C:$C,'Key inputs_EB'!$E23,'S7'!$D:$D,'Key inputs_EB'!$C23)</f>
        <v>0</v>
      </c>
      <c r="U23" s="471">
        <f>SUMIFS('S7'!R:R,'S7'!$C:$C,'Key inputs_EB'!$E23,'S7'!$D:$D,'Key inputs_EB'!$C23)</f>
        <v>0</v>
      </c>
      <c r="V23" s="471">
        <f>SUMIFS('S7'!S:S,'S7'!$C:$C,'Key inputs_EB'!$E23,'S7'!$D:$D,'Key inputs_EB'!$C23)</f>
        <v>0</v>
      </c>
      <c r="W23" s="471">
        <f>SUMIFS('S7'!T:T,'S7'!$C:$C,'Key inputs_EB'!$E23,'S7'!$D:$D,'Key inputs_EB'!$C23)</f>
        <v>0</v>
      </c>
      <c r="X23" s="471">
        <f>SUMIFS('S7'!U:U,'S7'!$C:$C,'Key inputs_EB'!$E23,'S7'!$D:$D,'Key inputs_EB'!$C23)</f>
        <v>0</v>
      </c>
      <c r="Y23" s="471">
        <f>SUMIFS('S7'!V:V,'S7'!$C:$C,'Key inputs_EB'!$E23,'S7'!$D:$D,'Key inputs_EB'!$C23)</f>
        <v>0</v>
      </c>
      <c r="Z23" s="471">
        <f>SUMIFS('S7'!W:W,'S7'!$C:$C,'Key inputs_EB'!$E23,'S7'!$D:$D,'Key inputs_EB'!$C23)</f>
        <v>0</v>
      </c>
      <c r="AA23" s="471">
        <f>SUMIFS('S7'!X:X,'S7'!$C:$C,'Key inputs_EB'!$E23,'S7'!$D:$D,'Key inputs_EB'!$C23)</f>
        <v>0</v>
      </c>
      <c r="AB23" s="471">
        <f>SUMIFS('S7'!Y:Y,'S7'!$C:$C,'Key inputs_EB'!$E23,'S7'!$D:$D,'Key inputs_EB'!$C23)</f>
        <v>0</v>
      </c>
      <c r="AC23" s="471">
        <f>SUMIFS('S7'!Z:Z,'S7'!$C:$C,'Key inputs_EB'!$E23,'S7'!$D:$D,'Key inputs_EB'!$C23)</f>
        <v>0</v>
      </c>
      <c r="AD23" s="471">
        <f>SUMIFS('S7'!AA:AA,'S7'!$C:$C,'Key inputs_EB'!$E23,'S7'!$D:$D,'Key inputs_EB'!$C23)</f>
        <v>0</v>
      </c>
      <c r="AE23" s="471">
        <f>SUMIFS('S7'!AB:AB,'S7'!$C:$C,'Key inputs_EB'!$E23,'S7'!$D:$D,'Key inputs_EB'!$C23)</f>
        <v>0</v>
      </c>
      <c r="AF23" s="471">
        <f>SUMIFS('S7'!AC:AC,'S7'!$C:$C,'Key inputs_EB'!$E23,'S7'!$D:$D,'Key inputs_EB'!$C23)</f>
        <v>0</v>
      </c>
      <c r="AG23" s="471">
        <f>SUMIFS('S7'!AD:AD,'S7'!$C:$C,'Key inputs_EB'!$E23,'S7'!$D:$D,'Key inputs_EB'!$C23)</f>
        <v>0</v>
      </c>
      <c r="AH23" s="471">
        <f>SUMIFS('S7'!AE:AE,'S7'!$C:$C,'Key inputs_EB'!$E23,'S7'!$D:$D,'Key inputs_EB'!$C23)</f>
        <v>0</v>
      </c>
      <c r="AI23" s="471">
        <f>SUMIFS('S7'!AF:AF,'S7'!$C:$C,'Key inputs_EB'!$E23,'S7'!$D:$D,'Key inputs_EB'!$C23)</f>
        <v>0</v>
      </c>
    </row>
    <row r="24" spans="2:35" x14ac:dyDescent="0.3">
      <c r="B24" s="49" t="str">
        <f>Legend!A$50</f>
        <v>Electric Appliances</v>
      </c>
      <c r="C24" s="49" t="str">
        <f>LEFT(Legend!$C$4)&amp;"-"&amp;Legend!B$50</f>
        <v>S-EAP</v>
      </c>
      <c r="D24" s="49" t="str">
        <f>Legend!A$62</f>
        <v>Oil</v>
      </c>
      <c r="E24" s="49" t="str">
        <f>Legend!B$62</f>
        <v>SRVOIL</v>
      </c>
      <c r="F24" s="49" t="s">
        <v>154</v>
      </c>
      <c r="H24" s="471">
        <f>SUMIFS('S7'!E:E,'S7'!$C:$C,'Key inputs_EB'!$E24,'S7'!$D:$D,'Key inputs_EB'!$C24)</f>
        <v>0</v>
      </c>
      <c r="I24" s="471">
        <f>SUMIFS('S7'!F:F,'S7'!$C:$C,'Key inputs_EB'!$E24,'S7'!$D:$D,'Key inputs_EB'!$C24)</f>
        <v>0</v>
      </c>
      <c r="J24" s="471">
        <f>SUMIFS('S7'!G:G,'S7'!$C:$C,'Key inputs_EB'!$E24,'S7'!$D:$D,'Key inputs_EB'!$C24)</f>
        <v>0</v>
      </c>
      <c r="K24" s="471">
        <f>SUMIFS('S7'!H:H,'S7'!$C:$C,'Key inputs_EB'!$E24,'S7'!$D:$D,'Key inputs_EB'!$C24)</f>
        <v>0</v>
      </c>
      <c r="L24" s="471">
        <f>SUMIFS('S7'!I:I,'S7'!$C:$C,'Key inputs_EB'!$E24,'S7'!$D:$D,'Key inputs_EB'!$C24)</f>
        <v>0</v>
      </c>
      <c r="M24" s="471">
        <f>SUMIFS('S7'!J:J,'S7'!$C:$C,'Key inputs_EB'!$E24,'S7'!$D:$D,'Key inputs_EB'!$C24)</f>
        <v>0</v>
      </c>
      <c r="N24" s="471">
        <f>SUMIFS('S7'!K:K,'S7'!$C:$C,'Key inputs_EB'!$E24,'S7'!$D:$D,'Key inputs_EB'!$C24)</f>
        <v>0</v>
      </c>
      <c r="O24" s="471">
        <f>SUMIFS('S7'!L:L,'S7'!$C:$C,'Key inputs_EB'!$E24,'S7'!$D:$D,'Key inputs_EB'!$C24)</f>
        <v>0</v>
      </c>
      <c r="P24" s="471">
        <f>SUMIFS('S7'!M:M,'S7'!$C:$C,'Key inputs_EB'!$E24,'S7'!$D:$D,'Key inputs_EB'!$C24)</f>
        <v>0</v>
      </c>
      <c r="Q24" s="471">
        <f>SUMIFS('S7'!N:N,'S7'!$C:$C,'Key inputs_EB'!$E24,'S7'!$D:$D,'Key inputs_EB'!$C24)</f>
        <v>0</v>
      </c>
      <c r="R24" s="471">
        <f>SUMIFS('S7'!O:O,'S7'!$C:$C,'Key inputs_EB'!$E24,'S7'!$D:$D,'Key inputs_EB'!$C24)</f>
        <v>0</v>
      </c>
      <c r="S24" s="471">
        <f>SUMIFS('S7'!P:P,'S7'!$C:$C,'Key inputs_EB'!$E24,'S7'!$D:$D,'Key inputs_EB'!$C24)</f>
        <v>0</v>
      </c>
      <c r="T24" s="471">
        <f>SUMIFS('S7'!Q:Q,'S7'!$C:$C,'Key inputs_EB'!$E24,'S7'!$D:$D,'Key inputs_EB'!$C24)</f>
        <v>0</v>
      </c>
      <c r="U24" s="471">
        <f>SUMIFS('S7'!R:R,'S7'!$C:$C,'Key inputs_EB'!$E24,'S7'!$D:$D,'Key inputs_EB'!$C24)</f>
        <v>0</v>
      </c>
      <c r="V24" s="471">
        <f>SUMIFS('S7'!S:S,'S7'!$C:$C,'Key inputs_EB'!$E24,'S7'!$D:$D,'Key inputs_EB'!$C24)</f>
        <v>0</v>
      </c>
      <c r="W24" s="471">
        <f>SUMIFS('S7'!T:T,'S7'!$C:$C,'Key inputs_EB'!$E24,'S7'!$D:$D,'Key inputs_EB'!$C24)</f>
        <v>0</v>
      </c>
      <c r="X24" s="471">
        <f>SUMIFS('S7'!U:U,'S7'!$C:$C,'Key inputs_EB'!$E24,'S7'!$D:$D,'Key inputs_EB'!$C24)</f>
        <v>0</v>
      </c>
      <c r="Y24" s="471">
        <f>SUMIFS('S7'!V:V,'S7'!$C:$C,'Key inputs_EB'!$E24,'S7'!$D:$D,'Key inputs_EB'!$C24)</f>
        <v>0</v>
      </c>
      <c r="Z24" s="471">
        <f>SUMIFS('S7'!W:W,'S7'!$C:$C,'Key inputs_EB'!$E24,'S7'!$D:$D,'Key inputs_EB'!$C24)</f>
        <v>0</v>
      </c>
      <c r="AA24" s="471">
        <f>SUMIFS('S7'!X:X,'S7'!$C:$C,'Key inputs_EB'!$E24,'S7'!$D:$D,'Key inputs_EB'!$C24)</f>
        <v>0</v>
      </c>
      <c r="AB24" s="471">
        <f>SUMIFS('S7'!Y:Y,'S7'!$C:$C,'Key inputs_EB'!$E24,'S7'!$D:$D,'Key inputs_EB'!$C24)</f>
        <v>0</v>
      </c>
      <c r="AC24" s="471">
        <f>SUMIFS('S7'!Z:Z,'S7'!$C:$C,'Key inputs_EB'!$E24,'S7'!$D:$D,'Key inputs_EB'!$C24)</f>
        <v>0</v>
      </c>
      <c r="AD24" s="471">
        <f>SUMIFS('S7'!AA:AA,'S7'!$C:$C,'Key inputs_EB'!$E24,'S7'!$D:$D,'Key inputs_EB'!$C24)</f>
        <v>0</v>
      </c>
      <c r="AE24" s="471">
        <f>SUMIFS('S7'!AB:AB,'S7'!$C:$C,'Key inputs_EB'!$E24,'S7'!$D:$D,'Key inputs_EB'!$C24)</f>
        <v>0</v>
      </c>
      <c r="AF24" s="471">
        <f>SUMIFS('S7'!AC:AC,'S7'!$C:$C,'Key inputs_EB'!$E24,'S7'!$D:$D,'Key inputs_EB'!$C24)</f>
        <v>0</v>
      </c>
      <c r="AG24" s="471">
        <f>SUMIFS('S7'!AD:AD,'S7'!$C:$C,'Key inputs_EB'!$E24,'S7'!$D:$D,'Key inputs_EB'!$C24)</f>
        <v>0</v>
      </c>
      <c r="AH24" s="471">
        <f>SUMIFS('S7'!AE:AE,'S7'!$C:$C,'Key inputs_EB'!$E24,'S7'!$D:$D,'Key inputs_EB'!$C24)</f>
        <v>0</v>
      </c>
      <c r="AI24" s="471">
        <f>SUMIFS('S7'!AF:AF,'S7'!$C:$C,'Key inputs_EB'!$E24,'S7'!$D:$D,'Key inputs_EB'!$C24)</f>
        <v>0</v>
      </c>
    </row>
    <row r="25" spans="2:35" x14ac:dyDescent="0.3">
      <c r="B25" s="49" t="str">
        <f>Legend!A$51</f>
        <v>Other uses</v>
      </c>
      <c r="C25" s="49" t="str">
        <f>LEFT(Legend!$C$4)&amp;"-"&amp;Legend!B$51</f>
        <v>S-OTH</v>
      </c>
      <c r="D25" s="49" t="str">
        <f>Legend!A$62</f>
        <v>Oil</v>
      </c>
      <c r="E25" s="49" t="str">
        <f>Legend!B$62</f>
        <v>SRVOIL</v>
      </c>
      <c r="F25" s="49" t="s">
        <v>154</v>
      </c>
      <c r="H25" s="471">
        <f>SUMIFS('S7'!E:E,'S7'!$C:$C,'Key inputs_EB'!$E25,'S7'!$D:$D,'Key inputs_EB'!$C25)</f>
        <v>0</v>
      </c>
      <c r="I25" s="471">
        <f>SUMIFS('S7'!F:F,'S7'!$C:$C,'Key inputs_EB'!$E25,'S7'!$D:$D,'Key inputs_EB'!$C25)</f>
        <v>0</v>
      </c>
      <c r="J25" s="471">
        <f>SUMIFS('S7'!G:G,'S7'!$C:$C,'Key inputs_EB'!$E25,'S7'!$D:$D,'Key inputs_EB'!$C25)</f>
        <v>0</v>
      </c>
      <c r="K25" s="471">
        <f>SUMIFS('S7'!H:H,'S7'!$C:$C,'Key inputs_EB'!$E25,'S7'!$D:$D,'Key inputs_EB'!$C25)</f>
        <v>0</v>
      </c>
      <c r="L25" s="471">
        <f>SUMIFS('S7'!I:I,'S7'!$C:$C,'Key inputs_EB'!$E25,'S7'!$D:$D,'Key inputs_EB'!$C25)</f>
        <v>0</v>
      </c>
      <c r="M25" s="471">
        <f>SUMIFS('S7'!J:J,'S7'!$C:$C,'Key inputs_EB'!$E25,'S7'!$D:$D,'Key inputs_EB'!$C25)</f>
        <v>0</v>
      </c>
      <c r="N25" s="471">
        <f>SUMIFS('S7'!K:K,'S7'!$C:$C,'Key inputs_EB'!$E25,'S7'!$D:$D,'Key inputs_EB'!$C25)</f>
        <v>0</v>
      </c>
      <c r="O25" s="471">
        <f>SUMIFS('S7'!L:L,'S7'!$C:$C,'Key inputs_EB'!$E25,'S7'!$D:$D,'Key inputs_EB'!$C25)</f>
        <v>0</v>
      </c>
      <c r="P25" s="471">
        <f>SUMIFS('S7'!M:M,'S7'!$C:$C,'Key inputs_EB'!$E25,'S7'!$D:$D,'Key inputs_EB'!$C25)</f>
        <v>0</v>
      </c>
      <c r="Q25" s="471">
        <f>SUMIFS('S7'!N:N,'S7'!$C:$C,'Key inputs_EB'!$E25,'S7'!$D:$D,'Key inputs_EB'!$C25)</f>
        <v>0</v>
      </c>
      <c r="R25" s="471">
        <f>SUMIFS('S7'!O:O,'S7'!$C:$C,'Key inputs_EB'!$E25,'S7'!$D:$D,'Key inputs_EB'!$C25)</f>
        <v>0</v>
      </c>
      <c r="S25" s="471">
        <f>SUMIFS('S7'!P:P,'S7'!$C:$C,'Key inputs_EB'!$E25,'S7'!$D:$D,'Key inputs_EB'!$C25)</f>
        <v>0</v>
      </c>
      <c r="T25" s="471">
        <f>SUMIFS('S7'!Q:Q,'S7'!$C:$C,'Key inputs_EB'!$E25,'S7'!$D:$D,'Key inputs_EB'!$C25)</f>
        <v>0</v>
      </c>
      <c r="U25" s="471">
        <f>SUMIFS('S7'!R:R,'S7'!$C:$C,'Key inputs_EB'!$E25,'S7'!$D:$D,'Key inputs_EB'!$C25)</f>
        <v>0</v>
      </c>
      <c r="V25" s="471">
        <f>SUMIFS('S7'!S:S,'S7'!$C:$C,'Key inputs_EB'!$E25,'S7'!$D:$D,'Key inputs_EB'!$C25)</f>
        <v>0</v>
      </c>
      <c r="W25" s="471">
        <f>SUMIFS('S7'!T:T,'S7'!$C:$C,'Key inputs_EB'!$E25,'S7'!$D:$D,'Key inputs_EB'!$C25)</f>
        <v>0</v>
      </c>
      <c r="X25" s="471">
        <f>SUMIFS('S7'!U:U,'S7'!$C:$C,'Key inputs_EB'!$E25,'S7'!$D:$D,'Key inputs_EB'!$C25)</f>
        <v>0</v>
      </c>
      <c r="Y25" s="471">
        <f>SUMIFS('S7'!V:V,'S7'!$C:$C,'Key inputs_EB'!$E25,'S7'!$D:$D,'Key inputs_EB'!$C25)</f>
        <v>0</v>
      </c>
      <c r="Z25" s="471">
        <f>SUMIFS('S7'!W:W,'S7'!$C:$C,'Key inputs_EB'!$E25,'S7'!$D:$D,'Key inputs_EB'!$C25)</f>
        <v>0</v>
      </c>
      <c r="AA25" s="471">
        <f>SUMIFS('S7'!X:X,'S7'!$C:$C,'Key inputs_EB'!$E25,'S7'!$D:$D,'Key inputs_EB'!$C25)</f>
        <v>0</v>
      </c>
      <c r="AB25" s="471">
        <f>SUMIFS('S7'!Y:Y,'S7'!$C:$C,'Key inputs_EB'!$E25,'S7'!$D:$D,'Key inputs_EB'!$C25)</f>
        <v>0</v>
      </c>
      <c r="AC25" s="471">
        <f>SUMIFS('S7'!Z:Z,'S7'!$C:$C,'Key inputs_EB'!$E25,'S7'!$D:$D,'Key inputs_EB'!$C25)</f>
        <v>0</v>
      </c>
      <c r="AD25" s="471">
        <f>SUMIFS('S7'!AA:AA,'S7'!$C:$C,'Key inputs_EB'!$E25,'S7'!$D:$D,'Key inputs_EB'!$C25)</f>
        <v>0</v>
      </c>
      <c r="AE25" s="471">
        <f>SUMIFS('S7'!AB:AB,'S7'!$C:$C,'Key inputs_EB'!$E25,'S7'!$D:$D,'Key inputs_EB'!$C25)</f>
        <v>0</v>
      </c>
      <c r="AF25" s="471">
        <f>SUMIFS('S7'!AC:AC,'S7'!$C:$C,'Key inputs_EB'!$E25,'S7'!$D:$D,'Key inputs_EB'!$C25)</f>
        <v>0</v>
      </c>
      <c r="AG25" s="471">
        <f>SUMIFS('S7'!AD:AD,'S7'!$C:$C,'Key inputs_EB'!$E25,'S7'!$D:$D,'Key inputs_EB'!$C25)</f>
        <v>0</v>
      </c>
      <c r="AH25" s="471">
        <f>SUMIFS('S7'!AE:AE,'S7'!$C:$C,'Key inputs_EB'!$E25,'S7'!$D:$D,'Key inputs_EB'!$C25)</f>
        <v>0</v>
      </c>
      <c r="AI25" s="471">
        <f>SUMIFS('S7'!AF:AF,'S7'!$C:$C,'Key inputs_EB'!$E25,'S7'!$D:$D,'Key inputs_EB'!$C25)</f>
        <v>7.0000000000000007E-2</v>
      </c>
    </row>
    <row r="26" spans="2:35" s="76" customFormat="1" ht="13.8" x14ac:dyDescent="0.3">
      <c r="B26" s="73"/>
      <c r="C26" s="74" t="s">
        <v>157</v>
      </c>
      <c r="D26" s="73"/>
      <c r="E26" s="73"/>
      <c r="F26" s="74"/>
      <c r="G26" s="74"/>
      <c r="H26" s="75">
        <f t="shared" ref="H26:AI26" si="7">IF(H$4="","",IF(SUM(H20:H25)=0,"",IF(SUM(H20:H25)&lt;&gt;1,"CHECK",SUM(H20:H25))))</f>
        <v>1</v>
      </c>
      <c r="I26" s="75">
        <f t="shared" si="7"/>
        <v>1</v>
      </c>
      <c r="J26" s="75">
        <f t="shared" si="7"/>
        <v>1</v>
      </c>
      <c r="K26" s="75">
        <f t="shared" si="7"/>
        <v>1</v>
      </c>
      <c r="L26" s="75">
        <f t="shared" si="7"/>
        <v>1</v>
      </c>
      <c r="M26" s="75">
        <f t="shared" si="7"/>
        <v>1</v>
      </c>
      <c r="N26" s="75">
        <f t="shared" si="7"/>
        <v>1</v>
      </c>
      <c r="O26" s="75">
        <f t="shared" si="7"/>
        <v>1</v>
      </c>
      <c r="P26" s="75">
        <f t="shared" si="7"/>
        <v>1</v>
      </c>
      <c r="Q26" s="75">
        <f t="shared" si="7"/>
        <v>1</v>
      </c>
      <c r="R26" s="75">
        <f t="shared" si="7"/>
        <v>1</v>
      </c>
      <c r="S26" s="75">
        <f t="shared" si="7"/>
        <v>1</v>
      </c>
      <c r="T26" s="75">
        <f t="shared" si="7"/>
        <v>1</v>
      </c>
      <c r="U26" s="75">
        <f t="shared" si="7"/>
        <v>1</v>
      </c>
      <c r="V26" s="75">
        <f t="shared" si="7"/>
        <v>1</v>
      </c>
      <c r="W26" s="75">
        <f t="shared" si="7"/>
        <v>1</v>
      </c>
      <c r="X26" s="75">
        <f t="shared" si="7"/>
        <v>1</v>
      </c>
      <c r="Y26" s="75">
        <f t="shared" si="7"/>
        <v>1</v>
      </c>
      <c r="Z26" s="75">
        <f t="shared" si="7"/>
        <v>1</v>
      </c>
      <c r="AA26" s="75">
        <f t="shared" si="7"/>
        <v>1</v>
      </c>
      <c r="AB26" s="75">
        <f t="shared" si="7"/>
        <v>1</v>
      </c>
      <c r="AC26" s="75">
        <f t="shared" si="7"/>
        <v>1</v>
      </c>
      <c r="AD26" s="75">
        <f t="shared" si="7"/>
        <v>1</v>
      </c>
      <c r="AE26" s="75">
        <f t="shared" si="7"/>
        <v>1</v>
      </c>
      <c r="AF26" s="75">
        <f t="shared" si="7"/>
        <v>1</v>
      </c>
      <c r="AG26" s="75">
        <f t="shared" si="7"/>
        <v>1</v>
      </c>
      <c r="AH26" s="75">
        <f t="shared" si="7"/>
        <v>1</v>
      </c>
      <c r="AI26" s="75">
        <f t="shared" si="7"/>
        <v>1</v>
      </c>
    </row>
    <row r="27" spans="2:35" x14ac:dyDescent="0.3">
      <c r="B27" s="49" t="str">
        <f>Legend!A$45</f>
        <v>Thermal uses</v>
      </c>
      <c r="C27" s="49" t="str">
        <f>LEFT(Legend!$C$4)&amp;"-"&amp;Legend!B$45</f>
        <v>S-TH</v>
      </c>
      <c r="D27" s="49" t="str">
        <f>Legend!A$63</f>
        <v>Electricity</v>
      </c>
      <c r="E27" s="49" t="str">
        <f>Legend!B$63</f>
        <v>SRVELC</v>
      </c>
      <c r="F27" s="49" t="s">
        <v>154</v>
      </c>
      <c r="H27" s="471">
        <f>SUMIFS('S7'!E:E,'S7'!$C:$C,'Key inputs_EB'!$E27,'S7'!$D:$D,'Key inputs_EB'!$C27)</f>
        <v>6.0000000000000005E-2</v>
      </c>
      <c r="I27" s="471">
        <f>SUMIFS('S7'!F:F,'S7'!$C:$C,'Key inputs_EB'!$E27,'S7'!$D:$D,'Key inputs_EB'!$C27)</f>
        <v>6.0000000000000005E-2</v>
      </c>
      <c r="J27" s="471">
        <f>SUMIFS('S7'!G:G,'S7'!$C:$C,'Key inputs_EB'!$E27,'S7'!$D:$D,'Key inputs_EB'!$C27)</f>
        <v>6.0000000000000005E-2</v>
      </c>
      <c r="K27" s="471">
        <f>SUMIFS('S7'!H:H,'S7'!$C:$C,'Key inputs_EB'!$E27,'S7'!$D:$D,'Key inputs_EB'!$C27)</f>
        <v>6.0000000000000005E-2</v>
      </c>
      <c r="L27" s="471">
        <f>SUMIFS('S7'!I:I,'S7'!$C:$C,'Key inputs_EB'!$E27,'S7'!$D:$D,'Key inputs_EB'!$C27)</f>
        <v>0.14000000000000001</v>
      </c>
      <c r="M27" s="471">
        <f>SUMIFS('S7'!J:J,'S7'!$C:$C,'Key inputs_EB'!$E27,'S7'!$D:$D,'Key inputs_EB'!$C27)</f>
        <v>0.2</v>
      </c>
      <c r="N27" s="471">
        <f>SUMIFS('S7'!K:K,'S7'!$C:$C,'Key inputs_EB'!$E27,'S7'!$D:$D,'Key inputs_EB'!$C27)</f>
        <v>0.09</v>
      </c>
      <c r="O27" s="471">
        <f>SUMIFS('S7'!L:L,'S7'!$C:$C,'Key inputs_EB'!$E27,'S7'!$D:$D,'Key inputs_EB'!$C27)</f>
        <v>0.09</v>
      </c>
      <c r="P27" s="471">
        <f>SUMIFS('S7'!M:M,'S7'!$C:$C,'Key inputs_EB'!$E27,'S7'!$D:$D,'Key inputs_EB'!$C27)</f>
        <v>0.04</v>
      </c>
      <c r="Q27" s="471">
        <f>SUMIFS('S7'!N:N,'S7'!$C:$C,'Key inputs_EB'!$E27,'S7'!$D:$D,'Key inputs_EB'!$C27)</f>
        <v>0.2</v>
      </c>
      <c r="R27" s="471">
        <f>SUMIFS('S7'!O:O,'S7'!$C:$C,'Key inputs_EB'!$E27,'S7'!$D:$D,'Key inputs_EB'!$C27)</f>
        <v>0.04</v>
      </c>
      <c r="S27" s="471">
        <f>SUMIFS('S7'!P:P,'S7'!$C:$C,'Key inputs_EB'!$E27,'S7'!$D:$D,'Key inputs_EB'!$C27)</f>
        <v>0.04</v>
      </c>
      <c r="T27" s="471">
        <f>SUMIFS('S7'!Q:Q,'S7'!$C:$C,'Key inputs_EB'!$E27,'S7'!$D:$D,'Key inputs_EB'!$C27)</f>
        <v>0.2</v>
      </c>
      <c r="U27" s="471">
        <f>SUMIFS('S7'!R:R,'S7'!$C:$C,'Key inputs_EB'!$E27,'S7'!$D:$D,'Key inputs_EB'!$C27)</f>
        <v>0.21</v>
      </c>
      <c r="V27" s="471">
        <f>SUMIFS('S7'!S:S,'S7'!$C:$C,'Key inputs_EB'!$E27,'S7'!$D:$D,'Key inputs_EB'!$C27)</f>
        <v>0.2</v>
      </c>
      <c r="W27" s="471">
        <f>SUMIFS('S7'!T:T,'S7'!$C:$C,'Key inputs_EB'!$E27,'S7'!$D:$D,'Key inputs_EB'!$C27)</f>
        <v>0.21</v>
      </c>
      <c r="X27" s="471">
        <f>SUMIFS('S7'!U:U,'S7'!$C:$C,'Key inputs_EB'!$E27,'S7'!$D:$D,'Key inputs_EB'!$C27)</f>
        <v>0.21</v>
      </c>
      <c r="Y27" s="471">
        <f>SUMIFS('S7'!V:V,'S7'!$C:$C,'Key inputs_EB'!$E27,'S7'!$D:$D,'Key inputs_EB'!$C27)</f>
        <v>0.09</v>
      </c>
      <c r="Z27" s="471">
        <f>SUMIFS('S7'!W:W,'S7'!$C:$C,'Key inputs_EB'!$E27,'S7'!$D:$D,'Key inputs_EB'!$C27)</f>
        <v>0.03</v>
      </c>
      <c r="AA27" s="471">
        <f>SUMIFS('S7'!X:X,'S7'!$C:$C,'Key inputs_EB'!$E27,'S7'!$D:$D,'Key inputs_EB'!$C27)</f>
        <v>0.05</v>
      </c>
      <c r="AB27" s="471">
        <f>SUMIFS('S7'!Y:Y,'S7'!$C:$C,'Key inputs_EB'!$E27,'S7'!$D:$D,'Key inputs_EB'!$C27)</f>
        <v>0.04</v>
      </c>
      <c r="AC27" s="471">
        <f>SUMIFS('S7'!Z:Z,'S7'!$C:$C,'Key inputs_EB'!$E27,'S7'!$D:$D,'Key inputs_EB'!$C27)</f>
        <v>0.1</v>
      </c>
      <c r="AD27" s="471">
        <f>SUMIFS('S7'!AA:AA,'S7'!$C:$C,'Key inputs_EB'!$E27,'S7'!$D:$D,'Key inputs_EB'!$C27)</f>
        <v>0.1</v>
      </c>
      <c r="AE27" s="471">
        <f>SUMIFS('S7'!AB:AB,'S7'!$C:$C,'Key inputs_EB'!$E27,'S7'!$D:$D,'Key inputs_EB'!$C27)</f>
        <v>0.1</v>
      </c>
      <c r="AF27" s="471">
        <f>SUMIFS('S7'!AC:AC,'S7'!$C:$C,'Key inputs_EB'!$E27,'S7'!$D:$D,'Key inputs_EB'!$C27)</f>
        <v>6.0000000000000005E-2</v>
      </c>
      <c r="AG27" s="471">
        <f>SUMIFS('S7'!AD:AD,'S7'!$C:$C,'Key inputs_EB'!$E27,'S7'!$D:$D,'Key inputs_EB'!$C27)</f>
        <v>0.2</v>
      </c>
      <c r="AH27" s="471">
        <f>SUMIFS('S7'!AE:AE,'S7'!$C:$C,'Key inputs_EB'!$E27,'S7'!$D:$D,'Key inputs_EB'!$C27)</f>
        <v>0.06</v>
      </c>
      <c r="AI27" s="471">
        <f>SUMIFS('S7'!AF:AF,'S7'!$C:$C,'Key inputs_EB'!$E27,'S7'!$D:$D,'Key inputs_EB'!$C27)</f>
        <v>9.2903465957304004E-2</v>
      </c>
    </row>
    <row r="28" spans="2:35" x14ac:dyDescent="0.3">
      <c r="B28" s="49" t="str">
        <f>Legend!A$46</f>
        <v>Air conditioning</v>
      </c>
      <c r="C28" s="49" t="str">
        <f>LEFT(Legend!$C$4)&amp;"-"&amp;Legend!B$46</f>
        <v>S-AC</v>
      </c>
      <c r="D28" s="49" t="str">
        <f>Legend!A$63</f>
        <v>Electricity</v>
      </c>
      <c r="E28" s="49" t="str">
        <f>Legend!B$63</f>
        <v>SRVELC</v>
      </c>
      <c r="F28" s="49" t="s">
        <v>154</v>
      </c>
      <c r="H28" s="471">
        <f>SUMIFS('S7'!E:E,'S7'!$C:$C,'Key inputs_EB'!$E28,'S7'!$D:$D,'Key inputs_EB'!$C28)</f>
        <v>0.03</v>
      </c>
      <c r="I28" s="471">
        <f>SUMIFS('S7'!F:F,'S7'!$C:$C,'Key inputs_EB'!$E28,'S7'!$D:$D,'Key inputs_EB'!$C28)</f>
        <v>0.03</v>
      </c>
      <c r="J28" s="471">
        <f>SUMIFS('S7'!G:G,'S7'!$C:$C,'Key inputs_EB'!$E28,'S7'!$D:$D,'Key inputs_EB'!$C28)</f>
        <v>0.03</v>
      </c>
      <c r="K28" s="471">
        <f>SUMIFS('S7'!H:H,'S7'!$C:$C,'Key inputs_EB'!$E28,'S7'!$D:$D,'Key inputs_EB'!$C28)</f>
        <v>0.03</v>
      </c>
      <c r="L28" s="471">
        <f>SUMIFS('S7'!I:I,'S7'!$C:$C,'Key inputs_EB'!$E28,'S7'!$D:$D,'Key inputs_EB'!$C28)</f>
        <v>0.06</v>
      </c>
      <c r="M28" s="471">
        <f>SUMIFS('S7'!J:J,'S7'!$C:$C,'Key inputs_EB'!$E28,'S7'!$D:$D,'Key inputs_EB'!$C28)</f>
        <v>0.01</v>
      </c>
      <c r="N28" s="471">
        <f>SUMIFS('S7'!K:K,'S7'!$C:$C,'Key inputs_EB'!$E28,'S7'!$D:$D,'Key inputs_EB'!$C28)</f>
        <v>0.13</v>
      </c>
      <c r="O28" s="471">
        <f>SUMIFS('S7'!L:L,'S7'!$C:$C,'Key inputs_EB'!$E28,'S7'!$D:$D,'Key inputs_EB'!$C28)</f>
        <v>0.13</v>
      </c>
      <c r="P28" s="471">
        <f>SUMIFS('S7'!M:M,'S7'!$C:$C,'Key inputs_EB'!$E28,'S7'!$D:$D,'Key inputs_EB'!$C28)</f>
        <v>0.08</v>
      </c>
      <c r="Q28" s="471">
        <f>SUMIFS('S7'!N:N,'S7'!$C:$C,'Key inputs_EB'!$E28,'S7'!$D:$D,'Key inputs_EB'!$C28)</f>
        <v>0.13</v>
      </c>
      <c r="R28" s="471">
        <f>SUMIFS('S7'!O:O,'S7'!$C:$C,'Key inputs_EB'!$E28,'S7'!$D:$D,'Key inputs_EB'!$C28)</f>
        <v>0.08</v>
      </c>
      <c r="S28" s="471">
        <f>SUMIFS('S7'!P:P,'S7'!$C:$C,'Key inputs_EB'!$E28,'S7'!$D:$D,'Key inputs_EB'!$C28)</f>
        <v>0.03</v>
      </c>
      <c r="T28" s="471">
        <f>SUMIFS('S7'!Q:Q,'S7'!$C:$C,'Key inputs_EB'!$E28,'S7'!$D:$D,'Key inputs_EB'!$C28)</f>
        <v>0.01</v>
      </c>
      <c r="U28" s="471">
        <f>SUMIFS('S7'!R:R,'S7'!$C:$C,'Key inputs_EB'!$E28,'S7'!$D:$D,'Key inputs_EB'!$C28)</f>
        <v>0.1</v>
      </c>
      <c r="V28" s="471">
        <f>SUMIFS('S7'!S:S,'S7'!$C:$C,'Key inputs_EB'!$E28,'S7'!$D:$D,'Key inputs_EB'!$C28)</f>
        <v>0.01</v>
      </c>
      <c r="W28" s="471">
        <f>SUMIFS('S7'!T:T,'S7'!$C:$C,'Key inputs_EB'!$E28,'S7'!$D:$D,'Key inputs_EB'!$C28)</f>
        <v>0.1</v>
      </c>
      <c r="X28" s="471">
        <f>SUMIFS('S7'!U:U,'S7'!$C:$C,'Key inputs_EB'!$E28,'S7'!$D:$D,'Key inputs_EB'!$C28)</f>
        <v>0.1</v>
      </c>
      <c r="Y28" s="471">
        <f>SUMIFS('S7'!V:V,'S7'!$C:$C,'Key inputs_EB'!$E28,'S7'!$D:$D,'Key inputs_EB'!$C28)</f>
        <v>0.13</v>
      </c>
      <c r="Z28" s="471">
        <f>SUMIFS('S7'!W:W,'S7'!$C:$C,'Key inputs_EB'!$E28,'S7'!$D:$D,'Key inputs_EB'!$C28)</f>
        <v>0.05</v>
      </c>
      <c r="AA28" s="471">
        <f>SUMIFS('S7'!X:X,'S7'!$C:$C,'Key inputs_EB'!$E28,'S7'!$D:$D,'Key inputs_EB'!$C28)</f>
        <v>0.14000000000000001</v>
      </c>
      <c r="AB28" s="471">
        <f>SUMIFS('S7'!Y:Y,'S7'!$C:$C,'Key inputs_EB'!$E28,'S7'!$D:$D,'Key inputs_EB'!$C28)</f>
        <v>0.08</v>
      </c>
      <c r="AC28" s="471">
        <f>SUMIFS('S7'!Z:Z,'S7'!$C:$C,'Key inputs_EB'!$E28,'S7'!$D:$D,'Key inputs_EB'!$C28)</f>
        <v>0.1</v>
      </c>
      <c r="AD28" s="471">
        <f>SUMIFS('S7'!AA:AA,'S7'!$C:$C,'Key inputs_EB'!$E28,'S7'!$D:$D,'Key inputs_EB'!$C28)</f>
        <v>0.1</v>
      </c>
      <c r="AE28" s="471">
        <f>SUMIFS('S7'!AB:AB,'S7'!$C:$C,'Key inputs_EB'!$E28,'S7'!$D:$D,'Key inputs_EB'!$C28)</f>
        <v>0.1</v>
      </c>
      <c r="AF28" s="471">
        <f>SUMIFS('S7'!AC:AC,'S7'!$C:$C,'Key inputs_EB'!$E28,'S7'!$D:$D,'Key inputs_EB'!$C28)</f>
        <v>0.03</v>
      </c>
      <c r="AG28" s="471">
        <f>SUMIFS('S7'!AD:AD,'S7'!$C:$C,'Key inputs_EB'!$E28,'S7'!$D:$D,'Key inputs_EB'!$C28)</f>
        <v>0.01</v>
      </c>
      <c r="AH28" s="471">
        <f>SUMIFS('S7'!AE:AE,'S7'!$C:$C,'Key inputs_EB'!$E28,'S7'!$D:$D,'Key inputs_EB'!$C28)</f>
        <v>0.15</v>
      </c>
      <c r="AI28" s="471">
        <f>SUMIFS('S7'!AF:AF,'S7'!$C:$C,'Key inputs_EB'!$E28,'S7'!$D:$D,'Key inputs_EB'!$C28)</f>
        <v>0.20724701637407295</v>
      </c>
    </row>
    <row r="29" spans="2:35" x14ac:dyDescent="0.3">
      <c r="B29" s="49" t="str">
        <f>Legend!A$47</f>
        <v>Cooking</v>
      </c>
      <c r="C29" s="49" t="str">
        <f>LEFT(Legend!$C$4)&amp;"-"&amp;Legend!B$47</f>
        <v>S-CK</v>
      </c>
      <c r="D29" s="49" t="str">
        <f>Legend!A$63</f>
        <v>Electricity</v>
      </c>
      <c r="E29" s="49" t="str">
        <f>Legend!B$63</f>
        <v>SRVELC</v>
      </c>
      <c r="F29" s="49" t="s">
        <v>154</v>
      </c>
      <c r="H29" s="471">
        <f>SUMIFS('S7'!E:E,'S7'!$C:$C,'Key inputs_EB'!$E29,'S7'!$D:$D,'Key inputs_EB'!$C29)</f>
        <v>0.05</v>
      </c>
      <c r="I29" s="471">
        <f>SUMIFS('S7'!F:F,'S7'!$C:$C,'Key inputs_EB'!$E29,'S7'!$D:$D,'Key inputs_EB'!$C29)</f>
        <v>0.05</v>
      </c>
      <c r="J29" s="471">
        <f>SUMIFS('S7'!G:G,'S7'!$C:$C,'Key inputs_EB'!$E29,'S7'!$D:$D,'Key inputs_EB'!$C29)</f>
        <v>0.05</v>
      </c>
      <c r="K29" s="471">
        <f>SUMIFS('S7'!H:H,'S7'!$C:$C,'Key inputs_EB'!$E29,'S7'!$D:$D,'Key inputs_EB'!$C29)</f>
        <v>0.05</v>
      </c>
      <c r="L29" s="471">
        <f>SUMIFS('S7'!I:I,'S7'!$C:$C,'Key inputs_EB'!$E29,'S7'!$D:$D,'Key inputs_EB'!$C29)</f>
        <v>0.05</v>
      </c>
      <c r="M29" s="471">
        <f>SUMIFS('S7'!J:J,'S7'!$C:$C,'Key inputs_EB'!$E29,'S7'!$D:$D,'Key inputs_EB'!$C29)</f>
        <v>0.03</v>
      </c>
      <c r="N29" s="471">
        <f>SUMIFS('S7'!K:K,'S7'!$C:$C,'Key inputs_EB'!$E29,'S7'!$D:$D,'Key inputs_EB'!$C29)</f>
        <v>0.01</v>
      </c>
      <c r="O29" s="471">
        <f>SUMIFS('S7'!L:L,'S7'!$C:$C,'Key inputs_EB'!$E29,'S7'!$D:$D,'Key inputs_EB'!$C29)</f>
        <v>0.01</v>
      </c>
      <c r="P29" s="471">
        <f>SUMIFS('S7'!M:M,'S7'!$C:$C,'Key inputs_EB'!$E29,'S7'!$D:$D,'Key inputs_EB'!$C29)</f>
        <v>0.02</v>
      </c>
      <c r="Q29" s="471">
        <f>SUMIFS('S7'!N:N,'S7'!$C:$C,'Key inputs_EB'!$E29,'S7'!$D:$D,'Key inputs_EB'!$C29)</f>
        <v>0.04</v>
      </c>
      <c r="R29" s="471">
        <f>SUMIFS('S7'!O:O,'S7'!$C:$C,'Key inputs_EB'!$E29,'S7'!$D:$D,'Key inputs_EB'!$C29)</f>
        <v>0.02</v>
      </c>
      <c r="S29" s="471">
        <f>SUMIFS('S7'!P:P,'S7'!$C:$C,'Key inputs_EB'!$E29,'S7'!$D:$D,'Key inputs_EB'!$C29)</f>
        <v>0.05</v>
      </c>
      <c r="T29" s="471">
        <f>SUMIFS('S7'!Q:Q,'S7'!$C:$C,'Key inputs_EB'!$E29,'S7'!$D:$D,'Key inputs_EB'!$C29)</f>
        <v>0.03</v>
      </c>
      <c r="U29" s="471">
        <f>SUMIFS('S7'!R:R,'S7'!$C:$C,'Key inputs_EB'!$E29,'S7'!$D:$D,'Key inputs_EB'!$C29)</f>
        <v>0.04</v>
      </c>
      <c r="V29" s="471">
        <f>SUMIFS('S7'!S:S,'S7'!$C:$C,'Key inputs_EB'!$E29,'S7'!$D:$D,'Key inputs_EB'!$C29)</f>
        <v>0.03</v>
      </c>
      <c r="W29" s="471">
        <f>SUMIFS('S7'!T:T,'S7'!$C:$C,'Key inputs_EB'!$E29,'S7'!$D:$D,'Key inputs_EB'!$C29)</f>
        <v>0.04</v>
      </c>
      <c r="X29" s="471">
        <f>SUMIFS('S7'!U:U,'S7'!$C:$C,'Key inputs_EB'!$E29,'S7'!$D:$D,'Key inputs_EB'!$C29)</f>
        <v>0.04</v>
      </c>
      <c r="Y29" s="471">
        <f>SUMIFS('S7'!V:V,'S7'!$C:$C,'Key inputs_EB'!$E29,'S7'!$D:$D,'Key inputs_EB'!$C29)</f>
        <v>0.01</v>
      </c>
      <c r="Z29" s="471">
        <f>SUMIFS('S7'!W:W,'S7'!$C:$C,'Key inputs_EB'!$E29,'S7'!$D:$D,'Key inputs_EB'!$C29)</f>
        <v>0.03</v>
      </c>
      <c r="AA29" s="471">
        <f>SUMIFS('S7'!X:X,'S7'!$C:$C,'Key inputs_EB'!$E29,'S7'!$D:$D,'Key inputs_EB'!$C29)</f>
        <v>0</v>
      </c>
      <c r="AB29" s="471">
        <f>SUMIFS('S7'!Y:Y,'S7'!$C:$C,'Key inputs_EB'!$E29,'S7'!$D:$D,'Key inputs_EB'!$C29)</f>
        <v>0.02</v>
      </c>
      <c r="AC29" s="471">
        <f>SUMIFS('S7'!Z:Z,'S7'!$C:$C,'Key inputs_EB'!$E29,'S7'!$D:$D,'Key inputs_EB'!$C29)</f>
        <v>0.03</v>
      </c>
      <c r="AD29" s="471">
        <f>SUMIFS('S7'!AA:AA,'S7'!$C:$C,'Key inputs_EB'!$E29,'S7'!$D:$D,'Key inputs_EB'!$C29)</f>
        <v>0.03</v>
      </c>
      <c r="AE29" s="471">
        <f>SUMIFS('S7'!AB:AB,'S7'!$C:$C,'Key inputs_EB'!$E29,'S7'!$D:$D,'Key inputs_EB'!$C29)</f>
        <v>0.02</v>
      </c>
      <c r="AF29" s="471">
        <f>SUMIFS('S7'!AC:AC,'S7'!$C:$C,'Key inputs_EB'!$E29,'S7'!$D:$D,'Key inputs_EB'!$C29)</f>
        <v>0.05</v>
      </c>
      <c r="AG29" s="471">
        <f>SUMIFS('S7'!AD:AD,'S7'!$C:$C,'Key inputs_EB'!$E29,'S7'!$D:$D,'Key inputs_EB'!$C29)</f>
        <v>0.03</v>
      </c>
      <c r="AH29" s="471">
        <f>SUMIFS('S7'!AE:AE,'S7'!$C:$C,'Key inputs_EB'!$E29,'S7'!$D:$D,'Key inputs_EB'!$C29)</f>
        <v>0.01</v>
      </c>
      <c r="AI29" s="471">
        <f>SUMIFS('S7'!AF:AF,'S7'!$C:$C,'Key inputs_EB'!$E29,'S7'!$D:$D,'Key inputs_EB'!$C29)</f>
        <v>1.0313924754943369E-2</v>
      </c>
    </row>
    <row r="30" spans="2:35" x14ac:dyDescent="0.3">
      <c r="B30" s="49" t="str">
        <f>Legend!A$49</f>
        <v>Lighting</v>
      </c>
      <c r="C30" s="49" t="str">
        <f>LEFT(Legend!$C$4)&amp;"-"&amp;Legend!B$49</f>
        <v>S-LIG</v>
      </c>
      <c r="D30" s="49" t="str">
        <f>Legend!A$63</f>
        <v>Electricity</v>
      </c>
      <c r="E30" s="49" t="str">
        <f>Legend!B$63</f>
        <v>SRVELC</v>
      </c>
      <c r="F30" s="49" t="s">
        <v>154</v>
      </c>
      <c r="H30" s="471">
        <f>SUMIFS('S7'!E:E,'S7'!$C:$C,'Key inputs_EB'!$E30,'S7'!$D:$D,'Key inputs_EB'!$C30)*'S7'!E60</f>
        <v>0.22944844124700242</v>
      </c>
      <c r="I30" s="471">
        <f>SUMIFS('S7'!F:F,'S7'!$C:$C,'Key inputs_EB'!$E30,'S7'!$D:$D,'Key inputs_EB'!$C30)*'S7'!F60</f>
        <v>0.22944844124700242</v>
      </c>
      <c r="J30" s="471">
        <f>SUMIFS('S7'!G:G,'S7'!$C:$C,'Key inputs_EB'!$E30,'S7'!$D:$D,'Key inputs_EB'!$C30)*'S7'!G60</f>
        <v>0.22944844124700242</v>
      </c>
      <c r="K30" s="471">
        <f>SUMIFS('S7'!H:H,'S7'!$C:$C,'Key inputs_EB'!$E30,'S7'!$D:$D,'Key inputs_EB'!$C30)*'S7'!H60</f>
        <v>0.22944844124700242</v>
      </c>
      <c r="L30" s="471">
        <f>SUMIFS('S7'!I:I,'S7'!$C:$C,'Key inputs_EB'!$E30,'S7'!$D:$D,'Key inputs_EB'!$C30)*'S7'!I60</f>
        <v>0.16550279329608938</v>
      </c>
      <c r="M30" s="471">
        <f>SUMIFS('S7'!J:J,'S7'!$C:$C,'Key inputs_EB'!$E30,'S7'!$D:$D,'Key inputs_EB'!$C30)*'S7'!J60</f>
        <v>0.22479440904880854</v>
      </c>
      <c r="N30" s="471">
        <f>SUMIFS('S7'!K:K,'S7'!$C:$C,'Key inputs_EB'!$E30,'S7'!$D:$D,'Key inputs_EB'!$C30)*'S7'!K60</f>
        <v>0.19669510791770742</v>
      </c>
      <c r="O30" s="471">
        <f>SUMIFS('S7'!L:L,'S7'!$C:$C,'Key inputs_EB'!$E30,'S7'!$D:$D,'Key inputs_EB'!$C30)*'S7'!L60</f>
        <v>0.19669510791770742</v>
      </c>
      <c r="P30" s="471">
        <f>SUMIFS('S7'!M:M,'S7'!$C:$C,'Key inputs_EB'!$E30,'S7'!$D:$D,'Key inputs_EB'!$C30)*'S7'!M60</f>
        <v>8.3999999999999991E-2</v>
      </c>
      <c r="Q30" s="471">
        <f>SUMIFS('S7'!N:N,'S7'!$C:$C,'Key inputs_EB'!$E30,'S7'!$D:$D,'Key inputs_EB'!$C30)*'S7'!N60</f>
        <v>0.21355468859636811</v>
      </c>
      <c r="R30" s="471">
        <f>SUMIFS('S7'!O:O,'S7'!$C:$C,'Key inputs_EB'!$E30,'S7'!$D:$D,'Key inputs_EB'!$C30)*'S7'!O60</f>
        <v>8.3999999999999991E-2</v>
      </c>
      <c r="S30" s="471">
        <f>SUMIFS('S7'!P:P,'S7'!$C:$C,'Key inputs_EB'!$E30,'S7'!$D:$D,'Key inputs_EB'!$C30)*'S7'!P60</f>
        <v>0.33719161357321287</v>
      </c>
      <c r="T30" s="471">
        <f>SUMIFS('S7'!Q:Q,'S7'!$C:$C,'Key inputs_EB'!$E30,'S7'!$D:$D,'Key inputs_EB'!$C30)*'S7'!Q60</f>
        <v>0.22479440904880854</v>
      </c>
      <c r="U30" s="471">
        <f>SUMIFS('S7'!R:R,'S7'!$C:$C,'Key inputs_EB'!$E30,'S7'!$D:$D,'Key inputs_EB'!$C30)*'S7'!R60</f>
        <v>0.21917454882258833</v>
      </c>
      <c r="V30" s="471">
        <f>SUMIFS('S7'!S:S,'S7'!$C:$C,'Key inputs_EB'!$E30,'S7'!$D:$D,'Key inputs_EB'!$C30)*'S7'!S60</f>
        <v>0.22479440904880854</v>
      </c>
      <c r="W30" s="471">
        <f>SUMIFS('S7'!T:T,'S7'!$C:$C,'Key inputs_EB'!$E30,'S7'!$D:$D,'Key inputs_EB'!$C30)*'S7'!T60</f>
        <v>0.21917454882258833</v>
      </c>
      <c r="X30" s="471">
        <f>SUMIFS('S7'!U:U,'S7'!$C:$C,'Key inputs_EB'!$E30,'S7'!$D:$D,'Key inputs_EB'!$C30)*'S7'!U60</f>
        <v>0.21917454882258833</v>
      </c>
      <c r="Y30" s="471">
        <f>SUMIFS('S7'!V:V,'S7'!$C:$C,'Key inputs_EB'!$E30,'S7'!$D:$D,'Key inputs_EB'!$C30)*'S7'!V60</f>
        <v>0.19669510791770747</v>
      </c>
      <c r="Z30" s="471">
        <f>SUMIFS('S7'!W:W,'S7'!$C:$C,'Key inputs_EB'!$E30,'S7'!$D:$D,'Key inputs_EB'!$C30)*'S7'!W60</f>
        <v>0.22479440904880854</v>
      </c>
      <c r="AA30" s="471">
        <f>SUMIFS('S7'!X:X,'S7'!$C:$C,'Key inputs_EB'!$E30,'S7'!$D:$D,'Key inputs_EB'!$C30)*'S7'!X60</f>
        <v>0.22479440904880854</v>
      </c>
      <c r="AB30" s="471">
        <f>SUMIFS('S7'!Y:Y,'S7'!$C:$C,'Key inputs_EB'!$E30,'S7'!$D:$D,'Key inputs_EB'!$C30)*'S7'!Y60</f>
        <v>8.3999999999999991E-2</v>
      </c>
      <c r="AC30" s="471">
        <f>SUMIFS('S7'!Z:Z,'S7'!$C:$C,'Key inputs_EB'!$E30,'S7'!$D:$D,'Key inputs_EB'!$C30)*'S7'!Z60</f>
        <v>0.20231496814392769</v>
      </c>
      <c r="AD30" s="471">
        <f>SUMIFS('S7'!AA:AA,'S7'!$C:$C,'Key inputs_EB'!$E30,'S7'!$D:$D,'Key inputs_EB'!$C30)*'S7'!AA60</f>
        <v>0.20231496814392769</v>
      </c>
      <c r="AE30" s="471">
        <f>SUMIFS('S7'!AB:AB,'S7'!$C:$C,'Key inputs_EB'!$E30,'S7'!$D:$D,'Key inputs_EB'!$C30)*'S7'!AB60</f>
        <v>7.6000000000000012E-2</v>
      </c>
      <c r="AF30" s="471">
        <f>SUMIFS('S7'!AC:AC,'S7'!$C:$C,'Key inputs_EB'!$E30,'S7'!$D:$D,'Key inputs_EB'!$C30)*'S7'!AC60</f>
        <v>0.22944844124700242</v>
      </c>
      <c r="AG30" s="471">
        <f>SUMIFS('S7'!AD:AD,'S7'!$C:$C,'Key inputs_EB'!$E30,'S7'!$D:$D,'Key inputs_EB'!$C30)*'S7'!AD60</f>
        <v>0.2247944090488086</v>
      </c>
      <c r="AH30" s="471">
        <f>SUMIFS('S7'!AE:AE,'S7'!$C:$C,'Key inputs_EB'!$E30,'S7'!$D:$D,'Key inputs_EB'!$C30)*'S7'!AE60</f>
        <v>0.25851357040612977</v>
      </c>
      <c r="AI30" s="471">
        <f>SUMIFS('S7'!AF:AF,'S7'!$C:$C,'Key inputs_EB'!$E30,'S7'!$D:$D,'Key inputs_EB'!$C30)*'S7'!AF60</f>
        <v>0.2225207957895482</v>
      </c>
    </row>
    <row r="31" spans="2:35" x14ac:dyDescent="0.3">
      <c r="B31" s="49" t="str">
        <f>Legend!A$48</f>
        <v>Street lighting</v>
      </c>
      <c r="C31" s="49" t="str">
        <f>LEFT(Legend!$C$4)&amp;"-"&amp;Legend!B$48</f>
        <v>S-SLIG</v>
      </c>
      <c r="D31" s="49" t="str">
        <f>Legend!A$63</f>
        <v>Electricity</v>
      </c>
      <c r="E31" s="49" t="str">
        <f>Legend!B$63</f>
        <v>SRVELC</v>
      </c>
      <c r="F31" s="49" t="s">
        <v>154</v>
      </c>
      <c r="H31" s="471">
        <f>SUMIFS('S7'!E:E,'S7'!$C:$C,'Key inputs_EB'!$E31,'S7'!$D:$D,'Key inputs_EB'!$C30)*'S7'!E61</f>
        <v>0.2305515587529976</v>
      </c>
      <c r="I31" s="471">
        <f>SUMIFS('S7'!F:F,'S7'!$C:$C,'Key inputs_EB'!$E31,'S7'!$D:$D,'Key inputs_EB'!$C30)*'S7'!F61</f>
        <v>0.2305515587529976</v>
      </c>
      <c r="J31" s="471">
        <f>SUMIFS('S7'!G:G,'S7'!$C:$C,'Key inputs_EB'!$E31,'S7'!$D:$D,'Key inputs_EB'!$C30)*'S7'!G61</f>
        <v>0.2305515587529976</v>
      </c>
      <c r="K31" s="471">
        <f>SUMIFS('S7'!H:H,'S7'!$C:$C,'Key inputs_EB'!$E31,'S7'!$D:$D,'Key inputs_EB'!$C30)*'S7'!H61</f>
        <v>0.2305515587529976</v>
      </c>
      <c r="L31" s="471">
        <f>SUMIFS('S7'!I:I,'S7'!$C:$C,'Key inputs_EB'!$E31,'S7'!$D:$D,'Key inputs_EB'!$C30)*'S7'!I61</f>
        <v>0.1344972067039106</v>
      </c>
      <c r="M31" s="471">
        <f>SUMIFS('S7'!J:J,'S7'!$C:$C,'Key inputs_EB'!$E31,'S7'!$D:$D,'Key inputs_EB'!$C30)*'S7'!J61</f>
        <v>0.17520559095119148</v>
      </c>
      <c r="N31" s="471">
        <f>SUMIFS('S7'!K:K,'S7'!$C:$C,'Key inputs_EB'!$E31,'S7'!$D:$D,'Key inputs_EB'!$C30)*'S7'!K61</f>
        <v>0.15330489208229256</v>
      </c>
      <c r="O31" s="471">
        <f>SUMIFS('S7'!L:L,'S7'!$C:$C,'Key inputs_EB'!$E31,'S7'!$D:$D,'Key inputs_EB'!$C30)*'S7'!L61</f>
        <v>0.15330489208229256</v>
      </c>
      <c r="P31" s="471">
        <f>SUMIFS('S7'!M:M,'S7'!$C:$C,'Key inputs_EB'!$E31,'S7'!$D:$D,'Key inputs_EB'!$C30)*'S7'!M61</f>
        <v>0.33600000000000002</v>
      </c>
      <c r="Q31" s="471">
        <f>SUMIFS('S7'!N:N,'S7'!$C:$C,'Key inputs_EB'!$E31,'S7'!$D:$D,'Key inputs_EB'!$C30)*'S7'!N61</f>
        <v>0.16644531140363189</v>
      </c>
      <c r="R31" s="471">
        <f>SUMIFS('S7'!O:O,'S7'!$C:$C,'Key inputs_EB'!$E31,'S7'!$D:$D,'Key inputs_EB'!$C30)*'S7'!O61</f>
        <v>0.33600000000000002</v>
      </c>
      <c r="S31" s="471">
        <f>SUMIFS('S7'!P:P,'S7'!$C:$C,'Key inputs_EB'!$E31,'S7'!$D:$D,'Key inputs_EB'!$C30)*'S7'!P61</f>
        <v>0.26280838642678711</v>
      </c>
      <c r="T31" s="471">
        <f>SUMIFS('S7'!Q:Q,'S7'!$C:$C,'Key inputs_EB'!$E31,'S7'!$D:$D,'Key inputs_EB'!$C30)*'S7'!Q61</f>
        <v>0.17520559095119148</v>
      </c>
      <c r="U31" s="471">
        <f>SUMIFS('S7'!R:R,'S7'!$C:$C,'Key inputs_EB'!$E31,'S7'!$D:$D,'Key inputs_EB'!$C30)*'S7'!R61</f>
        <v>0.17082545117741169</v>
      </c>
      <c r="V31" s="471">
        <f>SUMIFS('S7'!S:S,'S7'!$C:$C,'Key inputs_EB'!$E31,'S7'!$D:$D,'Key inputs_EB'!$C30)*'S7'!S61</f>
        <v>0.17520559095119148</v>
      </c>
      <c r="W31" s="471">
        <f>SUMIFS('S7'!T:T,'S7'!$C:$C,'Key inputs_EB'!$E31,'S7'!$D:$D,'Key inputs_EB'!$C30)*'S7'!T61</f>
        <v>0.17082545117741169</v>
      </c>
      <c r="X31" s="471">
        <f>SUMIFS('S7'!U:U,'S7'!$C:$C,'Key inputs_EB'!$E31,'S7'!$D:$D,'Key inputs_EB'!$C30)*'S7'!U61</f>
        <v>0.17082545117741169</v>
      </c>
      <c r="Y31" s="471">
        <f>SUMIFS('S7'!V:V,'S7'!$C:$C,'Key inputs_EB'!$E31,'S7'!$D:$D,'Key inputs_EB'!$C30)*'S7'!V61</f>
        <v>0.1533048920822925</v>
      </c>
      <c r="Z31" s="471">
        <f>SUMIFS('S7'!W:W,'S7'!$C:$C,'Key inputs_EB'!$E31,'S7'!$D:$D,'Key inputs_EB'!$C30)*'S7'!W61</f>
        <v>0.17520559095119148</v>
      </c>
      <c r="AA31" s="471">
        <f>SUMIFS('S7'!X:X,'S7'!$C:$C,'Key inputs_EB'!$E31,'S7'!$D:$D,'Key inputs_EB'!$C30)*'S7'!X61</f>
        <v>0.17520559095119148</v>
      </c>
      <c r="AB31" s="471">
        <f>SUMIFS('S7'!Y:Y,'S7'!$C:$C,'Key inputs_EB'!$E31,'S7'!$D:$D,'Key inputs_EB'!$C30)*'S7'!Y61</f>
        <v>0.33600000000000002</v>
      </c>
      <c r="AC31" s="471">
        <f>SUMIFS('S7'!Z:Z,'S7'!$C:$C,'Key inputs_EB'!$E31,'S7'!$D:$D,'Key inputs_EB'!$C30)*'S7'!Z61</f>
        <v>0.1576850318560723</v>
      </c>
      <c r="AD31" s="471">
        <f>SUMIFS('S7'!AA:AA,'S7'!$C:$C,'Key inputs_EB'!$E31,'S7'!$D:$D,'Key inputs_EB'!$C30)*'S7'!AA61</f>
        <v>0.1576850318560723</v>
      </c>
      <c r="AE31" s="471">
        <f>SUMIFS('S7'!AB:AB,'S7'!$C:$C,'Key inputs_EB'!$E31,'S7'!$D:$D,'Key inputs_EB'!$C30)*'S7'!AB61</f>
        <v>0.30400000000000005</v>
      </c>
      <c r="AF31" s="471">
        <f>SUMIFS('S7'!AC:AC,'S7'!$C:$C,'Key inputs_EB'!$E31,'S7'!$D:$D,'Key inputs_EB'!$C30)*'S7'!AC61</f>
        <v>0.2305515587529976</v>
      </c>
      <c r="AG31" s="471">
        <f>SUMIFS('S7'!AD:AD,'S7'!$C:$C,'Key inputs_EB'!$E31,'S7'!$D:$D,'Key inputs_EB'!$C30)*'S7'!AD61</f>
        <v>0.17520559095119143</v>
      </c>
      <c r="AH31" s="471">
        <f>SUMIFS('S7'!AE:AE,'S7'!$C:$C,'Key inputs_EB'!$E31,'S7'!$D:$D,'Key inputs_EB'!$C30)*'S7'!AE61</f>
        <v>0.20148642959387023</v>
      </c>
      <c r="AI31" s="471">
        <f>SUMIFS('S7'!AF:AF,'S7'!$C:$C,'Key inputs_EB'!$E31,'S7'!$D:$D,'Key inputs_EB'!$C30)*'S7'!AF61</f>
        <v>0.17343352839692799</v>
      </c>
    </row>
    <row r="32" spans="2:35" x14ac:dyDescent="0.3">
      <c r="B32" s="49" t="str">
        <f>Legend!A$50</f>
        <v>Electric Appliances</v>
      </c>
      <c r="C32" s="49" t="str">
        <f>LEFT(Legend!$C$4)&amp;"-"&amp;Legend!B$50</f>
        <v>S-EAP</v>
      </c>
      <c r="D32" s="49" t="str">
        <f>Legend!A$63</f>
        <v>Electricity</v>
      </c>
      <c r="E32" s="49" t="str">
        <f>Legend!B$63</f>
        <v>SRVELC</v>
      </c>
      <c r="F32" s="49" t="s">
        <v>154</v>
      </c>
      <c r="H32" s="471">
        <f>SUMIFS('S7'!E:E,'S7'!$C:$C,'Key inputs_EB'!$E32,'S7'!$D:$D,'Key inputs_EB'!$C32)</f>
        <v>0.4</v>
      </c>
      <c r="I32" s="471">
        <f>SUMIFS('S7'!F:F,'S7'!$C:$C,'Key inputs_EB'!$E32,'S7'!$D:$D,'Key inputs_EB'!$C32)</f>
        <v>0.4</v>
      </c>
      <c r="J32" s="471">
        <f>SUMIFS('S7'!G:G,'S7'!$C:$C,'Key inputs_EB'!$E32,'S7'!$D:$D,'Key inputs_EB'!$C32)</f>
        <v>0.4</v>
      </c>
      <c r="K32" s="471">
        <f>SUMIFS('S7'!H:H,'S7'!$C:$C,'Key inputs_EB'!$E32,'S7'!$D:$D,'Key inputs_EB'!$C32)</f>
        <v>0.4</v>
      </c>
      <c r="L32" s="471">
        <f>SUMIFS('S7'!I:I,'S7'!$C:$C,'Key inputs_EB'!$E32,'S7'!$D:$D,'Key inputs_EB'!$C32)</f>
        <v>0.45</v>
      </c>
      <c r="M32" s="471">
        <f>SUMIFS('S7'!J:J,'S7'!$C:$C,'Key inputs_EB'!$E32,'S7'!$D:$D,'Key inputs_EB'!$C32)</f>
        <v>0.36</v>
      </c>
      <c r="N32" s="471">
        <f>SUMIFS('S7'!K:K,'S7'!$C:$C,'Key inputs_EB'!$E32,'S7'!$D:$D,'Key inputs_EB'!$C32)</f>
        <v>0.42000000000000004</v>
      </c>
      <c r="O32" s="471">
        <f>SUMIFS('S7'!L:L,'S7'!$C:$C,'Key inputs_EB'!$E32,'S7'!$D:$D,'Key inputs_EB'!$C32)</f>
        <v>0.42000000000000004</v>
      </c>
      <c r="P32" s="471">
        <f>SUMIFS('S7'!M:M,'S7'!$C:$C,'Key inputs_EB'!$E32,'S7'!$D:$D,'Key inputs_EB'!$C32)</f>
        <v>0.44</v>
      </c>
      <c r="Q32" s="471">
        <f>SUMIFS('S7'!N:N,'S7'!$C:$C,'Key inputs_EB'!$E32,'S7'!$D:$D,'Key inputs_EB'!$C32)</f>
        <v>0.2</v>
      </c>
      <c r="R32" s="471">
        <f>SUMIFS('S7'!O:O,'S7'!$C:$C,'Key inputs_EB'!$E32,'S7'!$D:$D,'Key inputs_EB'!$C32)</f>
        <v>0.44</v>
      </c>
      <c r="S32" s="471">
        <f>SUMIFS('S7'!P:P,'S7'!$C:$C,'Key inputs_EB'!$E32,'S7'!$D:$D,'Key inputs_EB'!$C32)</f>
        <v>0.28000000000000003</v>
      </c>
      <c r="T32" s="471">
        <f>SUMIFS('S7'!Q:Q,'S7'!$C:$C,'Key inputs_EB'!$E32,'S7'!$D:$D,'Key inputs_EB'!$C32)</f>
        <v>0.36</v>
      </c>
      <c r="U32" s="471">
        <f>SUMIFS('S7'!R:R,'S7'!$C:$C,'Key inputs_EB'!$E32,'S7'!$D:$D,'Key inputs_EB'!$C32)</f>
        <v>0.26</v>
      </c>
      <c r="V32" s="471">
        <f>SUMIFS('S7'!S:S,'S7'!$C:$C,'Key inputs_EB'!$E32,'S7'!$D:$D,'Key inputs_EB'!$C32)</f>
        <v>0.36</v>
      </c>
      <c r="W32" s="471">
        <f>SUMIFS('S7'!T:T,'S7'!$C:$C,'Key inputs_EB'!$E32,'S7'!$D:$D,'Key inputs_EB'!$C32)</f>
        <v>0.26</v>
      </c>
      <c r="X32" s="471">
        <f>SUMIFS('S7'!U:U,'S7'!$C:$C,'Key inputs_EB'!$E32,'S7'!$D:$D,'Key inputs_EB'!$C32)</f>
        <v>0.26</v>
      </c>
      <c r="Y32" s="471">
        <f>SUMIFS('S7'!V:V,'S7'!$C:$C,'Key inputs_EB'!$E32,'S7'!$D:$D,'Key inputs_EB'!$C32)</f>
        <v>0.42000000000000004</v>
      </c>
      <c r="Z32" s="471">
        <f>SUMIFS('S7'!W:W,'S7'!$C:$C,'Key inputs_EB'!$E32,'S7'!$D:$D,'Key inputs_EB'!$C32)</f>
        <v>0.49</v>
      </c>
      <c r="AA32" s="471">
        <f>SUMIFS('S7'!X:X,'S7'!$C:$C,'Key inputs_EB'!$E32,'S7'!$D:$D,'Key inputs_EB'!$C32)</f>
        <v>0.33999999999999997</v>
      </c>
      <c r="AB32" s="471">
        <f>SUMIFS('S7'!Y:Y,'S7'!$C:$C,'Key inputs_EB'!$E32,'S7'!$D:$D,'Key inputs_EB'!$C32)</f>
        <v>0.44</v>
      </c>
      <c r="AC32" s="471">
        <f>SUMIFS('S7'!Z:Z,'S7'!$C:$C,'Key inputs_EB'!$E32,'S7'!$D:$D,'Key inputs_EB'!$C32)</f>
        <v>0.41000000000000003</v>
      </c>
      <c r="AD32" s="471">
        <f>SUMIFS('S7'!AA:AA,'S7'!$C:$C,'Key inputs_EB'!$E32,'S7'!$D:$D,'Key inputs_EB'!$C32)</f>
        <v>0.41000000000000003</v>
      </c>
      <c r="AE32" s="471">
        <f>SUMIFS('S7'!AB:AB,'S7'!$C:$C,'Key inputs_EB'!$E32,'S7'!$D:$D,'Key inputs_EB'!$C32)</f>
        <v>0.4</v>
      </c>
      <c r="AF32" s="471">
        <f>SUMIFS('S7'!AC:AC,'S7'!$C:$C,'Key inputs_EB'!$E32,'S7'!$D:$D,'Key inputs_EB'!$C32)</f>
        <v>0.4</v>
      </c>
      <c r="AG32" s="471">
        <f>SUMIFS('S7'!AD:AD,'S7'!$C:$C,'Key inputs_EB'!$E32,'S7'!$D:$D,'Key inputs_EB'!$C32)</f>
        <v>0.36</v>
      </c>
      <c r="AH32" s="471">
        <f>SUMIFS('S7'!AE:AE,'S7'!$C:$C,'Key inputs_EB'!$E32,'S7'!$D:$D,'Key inputs_EB'!$C32)</f>
        <v>0.32</v>
      </c>
      <c r="AI32" s="471">
        <f>SUMIFS('S7'!AF:AF,'S7'!$C:$C,'Key inputs_EB'!$E32,'S7'!$D:$D,'Key inputs_EB'!$C32)</f>
        <v>0.20023974711445836</v>
      </c>
    </row>
    <row r="33" spans="2:35" x14ac:dyDescent="0.3">
      <c r="B33" s="49" t="str">
        <f>Legend!A$51</f>
        <v>Other uses</v>
      </c>
      <c r="C33" s="49" t="str">
        <f>LEFT(Legend!$C$4)&amp;"-"&amp;Legend!B$51</f>
        <v>S-OTH</v>
      </c>
      <c r="D33" s="49" t="str">
        <f>Legend!A$63</f>
        <v>Electricity</v>
      </c>
      <c r="E33" s="49" t="str">
        <f>Legend!B$63</f>
        <v>SRVELC</v>
      </c>
      <c r="F33" s="49" t="s">
        <v>154</v>
      </c>
      <c r="H33" s="471">
        <f>SUMIFS('S7'!E:E,'S7'!$C:$C,'Key inputs_EB'!$E33,'S7'!$D:$D,'Key inputs_EB'!$C33)</f>
        <v>0</v>
      </c>
      <c r="I33" s="471">
        <f>SUMIFS('S7'!F:F,'S7'!$C:$C,'Key inputs_EB'!$E33,'S7'!$D:$D,'Key inputs_EB'!$C33)</f>
        <v>0</v>
      </c>
      <c r="J33" s="471">
        <f>SUMIFS('S7'!G:G,'S7'!$C:$C,'Key inputs_EB'!$E33,'S7'!$D:$D,'Key inputs_EB'!$C33)</f>
        <v>0</v>
      </c>
      <c r="K33" s="471">
        <f>SUMIFS('S7'!H:H,'S7'!$C:$C,'Key inputs_EB'!$E33,'S7'!$D:$D,'Key inputs_EB'!$C33)</f>
        <v>0</v>
      </c>
      <c r="L33" s="471">
        <f>SUMIFS('S7'!I:I,'S7'!$C:$C,'Key inputs_EB'!$E33,'S7'!$D:$D,'Key inputs_EB'!$C33)</f>
        <v>0</v>
      </c>
      <c r="M33" s="471">
        <f>SUMIFS('S7'!J:J,'S7'!$C:$C,'Key inputs_EB'!$E33,'S7'!$D:$D,'Key inputs_EB'!$C33)</f>
        <v>0</v>
      </c>
      <c r="N33" s="471">
        <f>SUMIFS('S7'!K:K,'S7'!$C:$C,'Key inputs_EB'!$E33,'S7'!$D:$D,'Key inputs_EB'!$C33)</f>
        <v>0</v>
      </c>
      <c r="O33" s="471">
        <f>SUMIFS('S7'!L:L,'S7'!$C:$C,'Key inputs_EB'!$E33,'S7'!$D:$D,'Key inputs_EB'!$C33)</f>
        <v>0</v>
      </c>
      <c r="P33" s="471">
        <f>SUMIFS('S7'!M:M,'S7'!$C:$C,'Key inputs_EB'!$E33,'S7'!$D:$D,'Key inputs_EB'!$C33)</f>
        <v>0</v>
      </c>
      <c r="Q33" s="471">
        <f>SUMIFS('S7'!N:N,'S7'!$C:$C,'Key inputs_EB'!$E33,'S7'!$D:$D,'Key inputs_EB'!$C33)</f>
        <v>0.05</v>
      </c>
      <c r="R33" s="471">
        <f>SUMIFS('S7'!O:O,'S7'!$C:$C,'Key inputs_EB'!$E33,'S7'!$D:$D,'Key inputs_EB'!$C33)</f>
        <v>0</v>
      </c>
      <c r="S33" s="471">
        <f>SUMIFS('S7'!P:P,'S7'!$C:$C,'Key inputs_EB'!$E33,'S7'!$D:$D,'Key inputs_EB'!$C33)</f>
        <v>0</v>
      </c>
      <c r="T33" s="471">
        <f>SUMIFS('S7'!Q:Q,'S7'!$C:$C,'Key inputs_EB'!$E33,'S7'!$D:$D,'Key inputs_EB'!$C33)</f>
        <v>0</v>
      </c>
      <c r="U33" s="471">
        <f>SUMIFS('S7'!R:R,'S7'!$C:$C,'Key inputs_EB'!$E33,'S7'!$D:$D,'Key inputs_EB'!$C33)</f>
        <v>0</v>
      </c>
      <c r="V33" s="471">
        <f>SUMIFS('S7'!S:S,'S7'!$C:$C,'Key inputs_EB'!$E33,'S7'!$D:$D,'Key inputs_EB'!$C33)</f>
        <v>0</v>
      </c>
      <c r="W33" s="471">
        <f>SUMIFS('S7'!T:T,'S7'!$C:$C,'Key inputs_EB'!$E33,'S7'!$D:$D,'Key inputs_EB'!$C33)</f>
        <v>0</v>
      </c>
      <c r="X33" s="471">
        <f>SUMIFS('S7'!U:U,'S7'!$C:$C,'Key inputs_EB'!$E33,'S7'!$D:$D,'Key inputs_EB'!$C33)</f>
        <v>0</v>
      </c>
      <c r="Y33" s="471">
        <f>SUMIFS('S7'!V:V,'S7'!$C:$C,'Key inputs_EB'!$E33,'S7'!$D:$D,'Key inputs_EB'!$C33)</f>
        <v>0</v>
      </c>
      <c r="Z33" s="471">
        <f>SUMIFS('S7'!W:W,'S7'!$C:$C,'Key inputs_EB'!$E33,'S7'!$D:$D,'Key inputs_EB'!$C33)</f>
        <v>0</v>
      </c>
      <c r="AA33" s="471">
        <f>SUMIFS('S7'!X:X,'S7'!$C:$C,'Key inputs_EB'!$E33,'S7'!$D:$D,'Key inputs_EB'!$C33)</f>
        <v>7.0000000000000007E-2</v>
      </c>
      <c r="AB33" s="471">
        <f>SUMIFS('S7'!Y:Y,'S7'!$C:$C,'Key inputs_EB'!$E33,'S7'!$D:$D,'Key inputs_EB'!$C33)</f>
        <v>0</v>
      </c>
      <c r="AC33" s="471">
        <f>SUMIFS('S7'!Z:Z,'S7'!$C:$C,'Key inputs_EB'!$E33,'S7'!$D:$D,'Key inputs_EB'!$C33)</f>
        <v>0</v>
      </c>
      <c r="AD33" s="471">
        <f>SUMIFS('S7'!AA:AA,'S7'!$C:$C,'Key inputs_EB'!$E33,'S7'!$D:$D,'Key inputs_EB'!$C33)</f>
        <v>0</v>
      </c>
      <c r="AE33" s="471">
        <f>SUMIFS('S7'!AB:AB,'S7'!$C:$C,'Key inputs_EB'!$E33,'S7'!$D:$D,'Key inputs_EB'!$C33)</f>
        <v>0</v>
      </c>
      <c r="AF33" s="471">
        <f>SUMIFS('S7'!AC:AC,'S7'!$C:$C,'Key inputs_EB'!$E33,'S7'!$D:$D,'Key inputs_EB'!$C33)</f>
        <v>0</v>
      </c>
      <c r="AG33" s="471">
        <f>SUMIFS('S7'!AD:AD,'S7'!$C:$C,'Key inputs_EB'!$E33,'S7'!$D:$D,'Key inputs_EB'!$C33)</f>
        <v>0</v>
      </c>
      <c r="AH33" s="471">
        <f>SUMIFS('S7'!AE:AE,'S7'!$C:$C,'Key inputs_EB'!$E33,'S7'!$D:$D,'Key inputs_EB'!$C33)</f>
        <v>0</v>
      </c>
      <c r="AI33" s="471">
        <f>SUMIFS('S7'!AF:AF,'S7'!$C:$C,'Key inputs_EB'!$E33,'S7'!$D:$D,'Key inputs_EB'!$C33)</f>
        <v>9.3341521612745185E-2</v>
      </c>
    </row>
    <row r="34" spans="2:35" s="76" customFormat="1" ht="13.8" x14ac:dyDescent="0.3">
      <c r="B34" s="73"/>
      <c r="C34" s="74" t="s">
        <v>157</v>
      </c>
      <c r="D34" s="73"/>
      <c r="E34" s="73"/>
      <c r="F34" s="74"/>
      <c r="G34" s="74"/>
      <c r="H34" s="75">
        <f t="shared" ref="H34:AI34" si="8">IF(H$4="","",IF(SUM(H27:H33)=0,"",IF(SUM(H27:H33)&lt;&gt;1,"CHECK",SUM(H27:H33))))</f>
        <v>1</v>
      </c>
      <c r="I34" s="75">
        <f t="shared" si="8"/>
        <v>1</v>
      </c>
      <c r="J34" s="75">
        <f t="shared" si="8"/>
        <v>1</v>
      </c>
      <c r="K34" s="75">
        <f t="shared" si="8"/>
        <v>1</v>
      </c>
      <c r="L34" s="75">
        <f t="shared" si="8"/>
        <v>1</v>
      </c>
      <c r="M34" s="75">
        <f t="shared" si="8"/>
        <v>1</v>
      </c>
      <c r="N34" s="75">
        <f t="shared" si="8"/>
        <v>1</v>
      </c>
      <c r="O34" s="75">
        <f t="shared" si="8"/>
        <v>1</v>
      </c>
      <c r="P34" s="75">
        <f t="shared" si="8"/>
        <v>1</v>
      </c>
      <c r="Q34" s="75">
        <f t="shared" si="8"/>
        <v>1</v>
      </c>
      <c r="R34" s="75">
        <f t="shared" si="8"/>
        <v>1</v>
      </c>
      <c r="S34" s="75">
        <f t="shared" si="8"/>
        <v>1</v>
      </c>
      <c r="T34" s="75">
        <f t="shared" si="8"/>
        <v>1</v>
      </c>
      <c r="U34" s="75">
        <f t="shared" si="8"/>
        <v>1</v>
      </c>
      <c r="V34" s="75">
        <f t="shared" si="8"/>
        <v>1</v>
      </c>
      <c r="W34" s="75">
        <f t="shared" si="8"/>
        <v>1</v>
      </c>
      <c r="X34" s="75">
        <f t="shared" si="8"/>
        <v>1</v>
      </c>
      <c r="Y34" s="75">
        <f t="shared" si="8"/>
        <v>1</v>
      </c>
      <c r="Z34" s="75">
        <f t="shared" si="8"/>
        <v>1</v>
      </c>
      <c r="AA34" s="75">
        <f t="shared" si="8"/>
        <v>1</v>
      </c>
      <c r="AB34" s="75">
        <f t="shared" si="8"/>
        <v>1</v>
      </c>
      <c r="AC34" s="75">
        <f t="shared" si="8"/>
        <v>1</v>
      </c>
      <c r="AD34" s="75">
        <f t="shared" si="8"/>
        <v>1</v>
      </c>
      <c r="AE34" s="75">
        <f t="shared" si="8"/>
        <v>1</v>
      </c>
      <c r="AF34" s="75">
        <f t="shared" si="8"/>
        <v>1</v>
      </c>
      <c r="AG34" s="75">
        <f t="shared" si="8"/>
        <v>1</v>
      </c>
      <c r="AH34" s="75">
        <f t="shared" si="8"/>
        <v>1</v>
      </c>
      <c r="AI34" s="75">
        <f t="shared" si="8"/>
        <v>1</v>
      </c>
    </row>
    <row r="35" spans="2:35" x14ac:dyDescent="0.3">
      <c r="B35" s="49" t="str">
        <f>Legend!A$45</f>
        <v>Thermal uses</v>
      </c>
      <c r="C35" s="49" t="str">
        <f>LEFT(Legend!$C$4)&amp;"-"&amp;Legend!B$45</f>
        <v>S-TH</v>
      </c>
      <c r="D35" s="49" t="str">
        <f>Legend!A$64</f>
        <v>Geothermal</v>
      </c>
      <c r="E35" s="49" t="str">
        <f>Legend!B$64</f>
        <v>SRVGEO</v>
      </c>
      <c r="F35" s="49" t="s">
        <v>154</v>
      </c>
      <c r="H35" s="471">
        <f>SUMIFS('S7'!E:E,'S7'!$C:$C,'Key inputs_EB'!$E35,'S7'!$D:$D,'Key inputs_EB'!$C35)</f>
        <v>1</v>
      </c>
      <c r="I35" s="471">
        <f>SUMIFS('S7'!F:F,'S7'!$C:$C,'Key inputs_EB'!$E35,'S7'!$D:$D,'Key inputs_EB'!$C35)</f>
        <v>1</v>
      </c>
      <c r="J35" s="471">
        <f>SUMIFS('S7'!G:G,'S7'!$C:$C,'Key inputs_EB'!$E35,'S7'!$D:$D,'Key inputs_EB'!$C35)</f>
        <v>1</v>
      </c>
      <c r="K35" s="471">
        <f>SUMIFS('S7'!H:H,'S7'!$C:$C,'Key inputs_EB'!$E35,'S7'!$D:$D,'Key inputs_EB'!$C35)</f>
        <v>1</v>
      </c>
      <c r="L35" s="471">
        <f>SUMIFS('S7'!I:I,'S7'!$C:$C,'Key inputs_EB'!$E35,'S7'!$D:$D,'Key inputs_EB'!$C35)</f>
        <v>1</v>
      </c>
      <c r="M35" s="471">
        <f>SUMIFS('S7'!J:J,'S7'!$C:$C,'Key inputs_EB'!$E35,'S7'!$D:$D,'Key inputs_EB'!$C35)</f>
        <v>1</v>
      </c>
      <c r="N35" s="471">
        <f>SUMIFS('S7'!K:K,'S7'!$C:$C,'Key inputs_EB'!$E35,'S7'!$D:$D,'Key inputs_EB'!$C35)</f>
        <v>1</v>
      </c>
      <c r="O35" s="471">
        <f>SUMIFS('S7'!L:L,'S7'!$C:$C,'Key inputs_EB'!$E35,'S7'!$D:$D,'Key inputs_EB'!$C35)</f>
        <v>1</v>
      </c>
      <c r="P35" s="471">
        <f>SUMIFS('S7'!M:M,'S7'!$C:$C,'Key inputs_EB'!$E35,'S7'!$D:$D,'Key inputs_EB'!$C35)</f>
        <v>1</v>
      </c>
      <c r="Q35" s="471">
        <f>SUMIFS('S7'!N:N,'S7'!$C:$C,'Key inputs_EB'!$E35,'S7'!$D:$D,'Key inputs_EB'!$C35)</f>
        <v>1</v>
      </c>
      <c r="R35" s="471">
        <f>SUMIFS('S7'!O:O,'S7'!$C:$C,'Key inputs_EB'!$E35,'S7'!$D:$D,'Key inputs_EB'!$C35)</f>
        <v>1</v>
      </c>
      <c r="S35" s="471">
        <f>SUMIFS('S7'!P:P,'S7'!$C:$C,'Key inputs_EB'!$E35,'S7'!$D:$D,'Key inputs_EB'!$C35)</f>
        <v>1</v>
      </c>
      <c r="T35" s="471">
        <f>SUMIFS('S7'!Q:Q,'S7'!$C:$C,'Key inputs_EB'!$E35,'S7'!$D:$D,'Key inputs_EB'!$C35)</f>
        <v>1</v>
      </c>
      <c r="U35" s="471">
        <f>SUMIFS('S7'!R:R,'S7'!$C:$C,'Key inputs_EB'!$E35,'S7'!$D:$D,'Key inputs_EB'!$C35)</f>
        <v>1</v>
      </c>
      <c r="V35" s="471">
        <f>SUMIFS('S7'!S:S,'S7'!$C:$C,'Key inputs_EB'!$E35,'S7'!$D:$D,'Key inputs_EB'!$C35)</f>
        <v>1</v>
      </c>
      <c r="W35" s="471">
        <f>SUMIFS('S7'!T:T,'S7'!$C:$C,'Key inputs_EB'!$E35,'S7'!$D:$D,'Key inputs_EB'!$C35)</f>
        <v>1</v>
      </c>
      <c r="X35" s="471">
        <f>SUMIFS('S7'!U:U,'S7'!$C:$C,'Key inputs_EB'!$E35,'S7'!$D:$D,'Key inputs_EB'!$C35)</f>
        <v>1</v>
      </c>
      <c r="Y35" s="471">
        <f>SUMIFS('S7'!V:V,'S7'!$C:$C,'Key inputs_EB'!$E35,'S7'!$D:$D,'Key inputs_EB'!$C35)</f>
        <v>1</v>
      </c>
      <c r="Z35" s="471">
        <f>SUMIFS('S7'!W:W,'S7'!$C:$C,'Key inputs_EB'!$E35,'S7'!$D:$D,'Key inputs_EB'!$C35)</f>
        <v>1</v>
      </c>
      <c r="AA35" s="471">
        <f>SUMIFS('S7'!X:X,'S7'!$C:$C,'Key inputs_EB'!$E35,'S7'!$D:$D,'Key inputs_EB'!$C35)</f>
        <v>1</v>
      </c>
      <c r="AB35" s="471">
        <f>SUMIFS('S7'!Y:Y,'S7'!$C:$C,'Key inputs_EB'!$E35,'S7'!$D:$D,'Key inputs_EB'!$C35)</f>
        <v>1</v>
      </c>
      <c r="AC35" s="471">
        <f>SUMIFS('S7'!Z:Z,'S7'!$C:$C,'Key inputs_EB'!$E35,'S7'!$D:$D,'Key inputs_EB'!$C35)</f>
        <v>1</v>
      </c>
      <c r="AD35" s="471">
        <f>SUMIFS('S7'!AA:AA,'S7'!$C:$C,'Key inputs_EB'!$E35,'S7'!$D:$D,'Key inputs_EB'!$C35)</f>
        <v>1</v>
      </c>
      <c r="AE35" s="471">
        <f>SUMIFS('S7'!AB:AB,'S7'!$C:$C,'Key inputs_EB'!$E35,'S7'!$D:$D,'Key inputs_EB'!$C35)</f>
        <v>1</v>
      </c>
      <c r="AF35" s="471">
        <f>SUMIFS('S7'!AC:AC,'S7'!$C:$C,'Key inputs_EB'!$E35,'S7'!$D:$D,'Key inputs_EB'!$C35)</f>
        <v>1</v>
      </c>
      <c r="AG35" s="471">
        <f>SUMIFS('S7'!AD:AD,'S7'!$C:$C,'Key inputs_EB'!$E35,'S7'!$D:$D,'Key inputs_EB'!$C35)</f>
        <v>1</v>
      </c>
      <c r="AH35" s="471">
        <f>SUMIFS('S7'!AE:AE,'S7'!$C:$C,'Key inputs_EB'!$E35,'S7'!$D:$D,'Key inputs_EB'!$C35)</f>
        <v>1</v>
      </c>
      <c r="AI35" s="471">
        <f>SUMIFS('S7'!AF:AF,'S7'!$C:$C,'Key inputs_EB'!$E35,'S7'!$D:$D,'Key inputs_EB'!$C35)</f>
        <v>1</v>
      </c>
    </row>
    <row r="36" spans="2:35" x14ac:dyDescent="0.3">
      <c r="B36" s="49" t="str">
        <f>Legend!A$46</f>
        <v>Air conditioning</v>
      </c>
      <c r="C36" s="49" t="str">
        <f>LEFT(Legend!$C$4)&amp;"-"&amp;Legend!B$46</f>
        <v>S-AC</v>
      </c>
      <c r="D36" s="49" t="str">
        <f>Legend!A$64</f>
        <v>Geothermal</v>
      </c>
      <c r="E36" s="49" t="str">
        <f>Legend!B$64</f>
        <v>SRVGEO</v>
      </c>
      <c r="F36" s="49" t="s">
        <v>154</v>
      </c>
      <c r="H36" s="471">
        <f>SUMIFS('S7'!E:E,'S7'!$C:$C,'Key inputs_EB'!$E36,'S7'!$D:$D,'Key inputs_EB'!$C36)</f>
        <v>0</v>
      </c>
      <c r="I36" s="471">
        <f>SUMIFS('S7'!F:F,'S7'!$C:$C,'Key inputs_EB'!$E36,'S7'!$D:$D,'Key inputs_EB'!$C36)</f>
        <v>0</v>
      </c>
      <c r="J36" s="471">
        <f>SUMIFS('S7'!G:G,'S7'!$C:$C,'Key inputs_EB'!$E36,'S7'!$D:$D,'Key inputs_EB'!$C36)</f>
        <v>0</v>
      </c>
      <c r="K36" s="471">
        <f>SUMIFS('S7'!H:H,'S7'!$C:$C,'Key inputs_EB'!$E36,'S7'!$D:$D,'Key inputs_EB'!$C36)</f>
        <v>0</v>
      </c>
      <c r="L36" s="471">
        <f>SUMIFS('S7'!I:I,'S7'!$C:$C,'Key inputs_EB'!$E36,'S7'!$D:$D,'Key inputs_EB'!$C36)</f>
        <v>0</v>
      </c>
      <c r="M36" s="471">
        <f>SUMIFS('S7'!J:J,'S7'!$C:$C,'Key inputs_EB'!$E36,'S7'!$D:$D,'Key inputs_EB'!$C36)</f>
        <v>0</v>
      </c>
      <c r="N36" s="471">
        <f>SUMIFS('S7'!K:K,'S7'!$C:$C,'Key inputs_EB'!$E36,'S7'!$D:$D,'Key inputs_EB'!$C36)</f>
        <v>0</v>
      </c>
      <c r="O36" s="471">
        <f>SUMIFS('S7'!L:L,'S7'!$C:$C,'Key inputs_EB'!$E36,'S7'!$D:$D,'Key inputs_EB'!$C36)</f>
        <v>0</v>
      </c>
      <c r="P36" s="471">
        <f>SUMIFS('S7'!M:M,'S7'!$C:$C,'Key inputs_EB'!$E36,'S7'!$D:$D,'Key inputs_EB'!$C36)</f>
        <v>0</v>
      </c>
      <c r="Q36" s="471">
        <f>SUMIFS('S7'!N:N,'S7'!$C:$C,'Key inputs_EB'!$E36,'S7'!$D:$D,'Key inputs_EB'!$C36)</f>
        <v>0</v>
      </c>
      <c r="R36" s="471">
        <f>SUMIFS('S7'!O:O,'S7'!$C:$C,'Key inputs_EB'!$E36,'S7'!$D:$D,'Key inputs_EB'!$C36)</f>
        <v>0</v>
      </c>
      <c r="S36" s="471">
        <f>SUMIFS('S7'!P:P,'S7'!$C:$C,'Key inputs_EB'!$E36,'S7'!$D:$D,'Key inputs_EB'!$C36)</f>
        <v>0</v>
      </c>
      <c r="T36" s="471">
        <f>SUMIFS('S7'!Q:Q,'S7'!$C:$C,'Key inputs_EB'!$E36,'S7'!$D:$D,'Key inputs_EB'!$C36)</f>
        <v>0</v>
      </c>
      <c r="U36" s="471">
        <f>SUMIFS('S7'!R:R,'S7'!$C:$C,'Key inputs_EB'!$E36,'S7'!$D:$D,'Key inputs_EB'!$C36)</f>
        <v>0</v>
      </c>
      <c r="V36" s="471">
        <f>SUMIFS('S7'!S:S,'S7'!$C:$C,'Key inputs_EB'!$E36,'S7'!$D:$D,'Key inputs_EB'!$C36)</f>
        <v>0</v>
      </c>
      <c r="W36" s="471">
        <f>SUMIFS('S7'!T:T,'S7'!$C:$C,'Key inputs_EB'!$E36,'S7'!$D:$D,'Key inputs_EB'!$C36)</f>
        <v>0</v>
      </c>
      <c r="X36" s="471">
        <f>SUMIFS('S7'!U:U,'S7'!$C:$C,'Key inputs_EB'!$E36,'S7'!$D:$D,'Key inputs_EB'!$C36)</f>
        <v>0</v>
      </c>
      <c r="Y36" s="471">
        <f>SUMIFS('S7'!V:V,'S7'!$C:$C,'Key inputs_EB'!$E36,'S7'!$D:$D,'Key inputs_EB'!$C36)</f>
        <v>0</v>
      </c>
      <c r="Z36" s="471">
        <f>SUMIFS('S7'!W:W,'S7'!$C:$C,'Key inputs_EB'!$E36,'S7'!$D:$D,'Key inputs_EB'!$C36)</f>
        <v>0</v>
      </c>
      <c r="AA36" s="471">
        <f>SUMIFS('S7'!X:X,'S7'!$C:$C,'Key inputs_EB'!$E36,'S7'!$D:$D,'Key inputs_EB'!$C36)</f>
        <v>0</v>
      </c>
      <c r="AB36" s="471">
        <f>SUMIFS('S7'!Y:Y,'S7'!$C:$C,'Key inputs_EB'!$E36,'S7'!$D:$D,'Key inputs_EB'!$C36)</f>
        <v>0</v>
      </c>
      <c r="AC36" s="471">
        <f>SUMIFS('S7'!Z:Z,'S7'!$C:$C,'Key inputs_EB'!$E36,'S7'!$D:$D,'Key inputs_EB'!$C36)</f>
        <v>0</v>
      </c>
      <c r="AD36" s="471">
        <f>SUMIFS('S7'!AA:AA,'S7'!$C:$C,'Key inputs_EB'!$E36,'S7'!$D:$D,'Key inputs_EB'!$C36)</f>
        <v>0</v>
      </c>
      <c r="AE36" s="471">
        <f>SUMIFS('S7'!AB:AB,'S7'!$C:$C,'Key inputs_EB'!$E36,'S7'!$D:$D,'Key inputs_EB'!$C36)</f>
        <v>0</v>
      </c>
      <c r="AF36" s="471">
        <f>SUMIFS('S7'!AC:AC,'S7'!$C:$C,'Key inputs_EB'!$E36,'S7'!$D:$D,'Key inputs_EB'!$C36)</f>
        <v>0</v>
      </c>
      <c r="AG36" s="471">
        <f>SUMIFS('S7'!AD:AD,'S7'!$C:$C,'Key inputs_EB'!$E36,'S7'!$D:$D,'Key inputs_EB'!$C36)</f>
        <v>0</v>
      </c>
      <c r="AH36" s="471">
        <f>SUMIFS('S7'!AE:AE,'S7'!$C:$C,'Key inputs_EB'!$E36,'S7'!$D:$D,'Key inputs_EB'!$C36)</f>
        <v>0</v>
      </c>
      <c r="AI36" s="471">
        <f>SUMIFS('S7'!AF:AF,'S7'!$C:$C,'Key inputs_EB'!$E36,'S7'!$D:$D,'Key inputs_EB'!$C36)</f>
        <v>0</v>
      </c>
    </row>
    <row r="37" spans="2:35" x14ac:dyDescent="0.3">
      <c r="B37" s="49" t="str">
        <f>Legend!A$47</f>
        <v>Cooking</v>
      </c>
      <c r="C37" s="49" t="str">
        <f>LEFT(Legend!$C$4)&amp;"-"&amp;Legend!B$47</f>
        <v>S-CK</v>
      </c>
      <c r="D37" s="49" t="str">
        <f>Legend!A$64</f>
        <v>Geothermal</v>
      </c>
      <c r="E37" s="49" t="str">
        <f>Legend!B$64</f>
        <v>SRVGEO</v>
      </c>
      <c r="F37" s="49" t="s">
        <v>154</v>
      </c>
      <c r="H37" s="471">
        <f>SUMIFS('S7'!E:E,'S7'!$C:$C,'Key inputs_EB'!$E37,'S7'!$D:$D,'Key inputs_EB'!$C37)</f>
        <v>0</v>
      </c>
      <c r="I37" s="471">
        <f>SUMIFS('S7'!F:F,'S7'!$C:$C,'Key inputs_EB'!$E37,'S7'!$D:$D,'Key inputs_EB'!$C37)</f>
        <v>0</v>
      </c>
      <c r="J37" s="471">
        <f>SUMIFS('S7'!G:G,'S7'!$C:$C,'Key inputs_EB'!$E37,'S7'!$D:$D,'Key inputs_EB'!$C37)</f>
        <v>0</v>
      </c>
      <c r="K37" s="471">
        <f>SUMIFS('S7'!H:H,'S7'!$C:$C,'Key inputs_EB'!$E37,'S7'!$D:$D,'Key inputs_EB'!$C37)</f>
        <v>0</v>
      </c>
      <c r="L37" s="471">
        <f>SUMIFS('S7'!I:I,'S7'!$C:$C,'Key inputs_EB'!$E37,'S7'!$D:$D,'Key inputs_EB'!$C37)</f>
        <v>0</v>
      </c>
      <c r="M37" s="471">
        <f>SUMIFS('S7'!J:J,'S7'!$C:$C,'Key inputs_EB'!$E37,'S7'!$D:$D,'Key inputs_EB'!$C37)</f>
        <v>0</v>
      </c>
      <c r="N37" s="471">
        <f>SUMIFS('S7'!K:K,'S7'!$C:$C,'Key inputs_EB'!$E37,'S7'!$D:$D,'Key inputs_EB'!$C37)</f>
        <v>0</v>
      </c>
      <c r="O37" s="471">
        <f>SUMIFS('S7'!L:L,'S7'!$C:$C,'Key inputs_EB'!$E37,'S7'!$D:$D,'Key inputs_EB'!$C37)</f>
        <v>0</v>
      </c>
      <c r="P37" s="471">
        <f>SUMIFS('S7'!M:M,'S7'!$C:$C,'Key inputs_EB'!$E37,'S7'!$D:$D,'Key inputs_EB'!$C37)</f>
        <v>0</v>
      </c>
      <c r="Q37" s="471">
        <f>SUMIFS('S7'!N:N,'S7'!$C:$C,'Key inputs_EB'!$E37,'S7'!$D:$D,'Key inputs_EB'!$C37)</f>
        <v>0</v>
      </c>
      <c r="R37" s="471">
        <f>SUMIFS('S7'!O:O,'S7'!$C:$C,'Key inputs_EB'!$E37,'S7'!$D:$D,'Key inputs_EB'!$C37)</f>
        <v>0</v>
      </c>
      <c r="S37" s="471">
        <f>SUMIFS('S7'!P:P,'S7'!$C:$C,'Key inputs_EB'!$E37,'S7'!$D:$D,'Key inputs_EB'!$C37)</f>
        <v>0</v>
      </c>
      <c r="T37" s="471">
        <f>SUMIFS('S7'!Q:Q,'S7'!$C:$C,'Key inputs_EB'!$E37,'S7'!$D:$D,'Key inputs_EB'!$C37)</f>
        <v>0</v>
      </c>
      <c r="U37" s="471">
        <f>SUMIFS('S7'!R:R,'S7'!$C:$C,'Key inputs_EB'!$E37,'S7'!$D:$D,'Key inputs_EB'!$C37)</f>
        <v>0</v>
      </c>
      <c r="V37" s="471">
        <f>SUMIFS('S7'!S:S,'S7'!$C:$C,'Key inputs_EB'!$E37,'S7'!$D:$D,'Key inputs_EB'!$C37)</f>
        <v>0</v>
      </c>
      <c r="W37" s="471">
        <f>SUMIFS('S7'!T:T,'S7'!$C:$C,'Key inputs_EB'!$E37,'S7'!$D:$D,'Key inputs_EB'!$C37)</f>
        <v>0</v>
      </c>
      <c r="X37" s="471">
        <f>SUMIFS('S7'!U:U,'S7'!$C:$C,'Key inputs_EB'!$E37,'S7'!$D:$D,'Key inputs_EB'!$C37)</f>
        <v>0</v>
      </c>
      <c r="Y37" s="471">
        <f>SUMIFS('S7'!V:V,'S7'!$C:$C,'Key inputs_EB'!$E37,'S7'!$D:$D,'Key inputs_EB'!$C37)</f>
        <v>0</v>
      </c>
      <c r="Z37" s="471">
        <f>SUMIFS('S7'!W:W,'S7'!$C:$C,'Key inputs_EB'!$E37,'S7'!$D:$D,'Key inputs_EB'!$C37)</f>
        <v>0</v>
      </c>
      <c r="AA37" s="471">
        <f>SUMIFS('S7'!X:X,'S7'!$C:$C,'Key inputs_EB'!$E37,'S7'!$D:$D,'Key inputs_EB'!$C37)</f>
        <v>0</v>
      </c>
      <c r="AB37" s="471">
        <f>SUMIFS('S7'!Y:Y,'S7'!$C:$C,'Key inputs_EB'!$E37,'S7'!$D:$D,'Key inputs_EB'!$C37)</f>
        <v>0</v>
      </c>
      <c r="AC37" s="471">
        <f>SUMIFS('S7'!Z:Z,'S7'!$C:$C,'Key inputs_EB'!$E37,'S7'!$D:$D,'Key inputs_EB'!$C37)</f>
        <v>0</v>
      </c>
      <c r="AD37" s="471">
        <f>SUMIFS('S7'!AA:AA,'S7'!$C:$C,'Key inputs_EB'!$E37,'S7'!$D:$D,'Key inputs_EB'!$C37)</f>
        <v>0</v>
      </c>
      <c r="AE37" s="471">
        <f>SUMIFS('S7'!AB:AB,'S7'!$C:$C,'Key inputs_EB'!$E37,'S7'!$D:$D,'Key inputs_EB'!$C37)</f>
        <v>0</v>
      </c>
      <c r="AF37" s="471">
        <f>SUMIFS('S7'!AC:AC,'S7'!$C:$C,'Key inputs_EB'!$E37,'S7'!$D:$D,'Key inputs_EB'!$C37)</f>
        <v>0</v>
      </c>
      <c r="AG37" s="471">
        <f>SUMIFS('S7'!AD:AD,'S7'!$C:$C,'Key inputs_EB'!$E37,'S7'!$D:$D,'Key inputs_EB'!$C37)</f>
        <v>0</v>
      </c>
      <c r="AH37" s="471">
        <f>SUMIFS('S7'!AE:AE,'S7'!$C:$C,'Key inputs_EB'!$E37,'S7'!$D:$D,'Key inputs_EB'!$C37)</f>
        <v>0</v>
      </c>
      <c r="AI37" s="471">
        <f>SUMIFS('S7'!AF:AF,'S7'!$C:$C,'Key inputs_EB'!$E37,'S7'!$D:$D,'Key inputs_EB'!$C37)</f>
        <v>0</v>
      </c>
    </row>
    <row r="38" spans="2:35" x14ac:dyDescent="0.3">
      <c r="B38" s="49" t="str">
        <f>Legend!A$49</f>
        <v>Lighting</v>
      </c>
      <c r="C38" s="49" t="str">
        <f>LEFT(Legend!$C$4)&amp;"-"&amp;Legend!B$49</f>
        <v>S-LIG</v>
      </c>
      <c r="D38" s="49" t="str">
        <f>Legend!A$64</f>
        <v>Geothermal</v>
      </c>
      <c r="E38" s="49" t="str">
        <f>Legend!B$64</f>
        <v>SRVGEO</v>
      </c>
      <c r="F38" s="49" t="s">
        <v>154</v>
      </c>
      <c r="H38" s="471">
        <f>SUMIFS('S7'!E:E,'S7'!$C:$C,'Key inputs_EB'!$E38,'S7'!$D:$D,'Key inputs_EB'!$C38)</f>
        <v>0</v>
      </c>
      <c r="I38" s="471">
        <f>SUMIFS('S7'!F:F,'S7'!$C:$C,'Key inputs_EB'!$E38,'S7'!$D:$D,'Key inputs_EB'!$C38)</f>
        <v>0</v>
      </c>
      <c r="J38" s="471">
        <f>SUMIFS('S7'!G:G,'S7'!$C:$C,'Key inputs_EB'!$E38,'S7'!$D:$D,'Key inputs_EB'!$C38)</f>
        <v>0</v>
      </c>
      <c r="K38" s="471">
        <f>SUMIFS('S7'!H:H,'S7'!$C:$C,'Key inputs_EB'!$E38,'S7'!$D:$D,'Key inputs_EB'!$C38)</f>
        <v>0</v>
      </c>
      <c r="L38" s="471">
        <f>SUMIFS('S7'!I:I,'S7'!$C:$C,'Key inputs_EB'!$E38,'S7'!$D:$D,'Key inputs_EB'!$C38)</f>
        <v>0</v>
      </c>
      <c r="M38" s="471">
        <f>SUMIFS('S7'!J:J,'S7'!$C:$C,'Key inputs_EB'!$E38,'S7'!$D:$D,'Key inputs_EB'!$C38)</f>
        <v>0</v>
      </c>
      <c r="N38" s="471">
        <f>SUMIFS('S7'!K:K,'S7'!$C:$C,'Key inputs_EB'!$E38,'S7'!$D:$D,'Key inputs_EB'!$C38)</f>
        <v>0</v>
      </c>
      <c r="O38" s="471">
        <f>SUMIFS('S7'!L:L,'S7'!$C:$C,'Key inputs_EB'!$E38,'S7'!$D:$D,'Key inputs_EB'!$C38)</f>
        <v>0</v>
      </c>
      <c r="P38" s="471">
        <f>SUMIFS('S7'!M:M,'S7'!$C:$C,'Key inputs_EB'!$E38,'S7'!$D:$D,'Key inputs_EB'!$C38)</f>
        <v>0</v>
      </c>
      <c r="Q38" s="471">
        <f>SUMIFS('S7'!N:N,'S7'!$C:$C,'Key inputs_EB'!$E38,'S7'!$D:$D,'Key inputs_EB'!$C38)</f>
        <v>0</v>
      </c>
      <c r="R38" s="471">
        <f>SUMIFS('S7'!O:O,'S7'!$C:$C,'Key inputs_EB'!$E38,'S7'!$D:$D,'Key inputs_EB'!$C38)</f>
        <v>0</v>
      </c>
      <c r="S38" s="471">
        <f>SUMIFS('S7'!P:P,'S7'!$C:$C,'Key inputs_EB'!$E38,'S7'!$D:$D,'Key inputs_EB'!$C38)</f>
        <v>0</v>
      </c>
      <c r="T38" s="471">
        <f>SUMIFS('S7'!Q:Q,'S7'!$C:$C,'Key inputs_EB'!$E38,'S7'!$D:$D,'Key inputs_EB'!$C38)</f>
        <v>0</v>
      </c>
      <c r="U38" s="471">
        <f>SUMIFS('S7'!R:R,'S7'!$C:$C,'Key inputs_EB'!$E38,'S7'!$D:$D,'Key inputs_EB'!$C38)</f>
        <v>0</v>
      </c>
      <c r="V38" s="471">
        <f>SUMIFS('S7'!S:S,'S7'!$C:$C,'Key inputs_EB'!$E38,'S7'!$D:$D,'Key inputs_EB'!$C38)</f>
        <v>0</v>
      </c>
      <c r="W38" s="471">
        <f>SUMIFS('S7'!T:T,'S7'!$C:$C,'Key inputs_EB'!$E38,'S7'!$D:$D,'Key inputs_EB'!$C38)</f>
        <v>0</v>
      </c>
      <c r="X38" s="471">
        <f>SUMIFS('S7'!U:U,'S7'!$C:$C,'Key inputs_EB'!$E38,'S7'!$D:$D,'Key inputs_EB'!$C38)</f>
        <v>0</v>
      </c>
      <c r="Y38" s="471">
        <f>SUMIFS('S7'!V:V,'S7'!$C:$C,'Key inputs_EB'!$E38,'S7'!$D:$D,'Key inputs_EB'!$C38)</f>
        <v>0</v>
      </c>
      <c r="Z38" s="471">
        <f>SUMIFS('S7'!W:W,'S7'!$C:$C,'Key inputs_EB'!$E38,'S7'!$D:$D,'Key inputs_EB'!$C38)</f>
        <v>0</v>
      </c>
      <c r="AA38" s="471">
        <f>SUMIFS('S7'!X:X,'S7'!$C:$C,'Key inputs_EB'!$E38,'S7'!$D:$D,'Key inputs_EB'!$C38)</f>
        <v>0</v>
      </c>
      <c r="AB38" s="471">
        <f>SUMIFS('S7'!Y:Y,'S7'!$C:$C,'Key inputs_EB'!$E38,'S7'!$D:$D,'Key inputs_EB'!$C38)</f>
        <v>0</v>
      </c>
      <c r="AC38" s="471">
        <f>SUMIFS('S7'!Z:Z,'S7'!$C:$C,'Key inputs_EB'!$E38,'S7'!$D:$D,'Key inputs_EB'!$C38)</f>
        <v>0</v>
      </c>
      <c r="AD38" s="471">
        <f>SUMIFS('S7'!AA:AA,'S7'!$C:$C,'Key inputs_EB'!$E38,'S7'!$D:$D,'Key inputs_EB'!$C38)</f>
        <v>0</v>
      </c>
      <c r="AE38" s="471">
        <f>SUMIFS('S7'!AB:AB,'S7'!$C:$C,'Key inputs_EB'!$E38,'S7'!$D:$D,'Key inputs_EB'!$C38)</f>
        <v>0</v>
      </c>
      <c r="AF38" s="471">
        <f>SUMIFS('S7'!AC:AC,'S7'!$C:$C,'Key inputs_EB'!$E38,'S7'!$D:$D,'Key inputs_EB'!$C38)</f>
        <v>0</v>
      </c>
      <c r="AG38" s="471">
        <f>SUMIFS('S7'!AD:AD,'S7'!$C:$C,'Key inputs_EB'!$E38,'S7'!$D:$D,'Key inputs_EB'!$C38)</f>
        <v>0</v>
      </c>
      <c r="AH38" s="471">
        <f>SUMIFS('S7'!AE:AE,'S7'!$C:$C,'Key inputs_EB'!$E38,'S7'!$D:$D,'Key inputs_EB'!$C38)</f>
        <v>0</v>
      </c>
      <c r="AI38" s="471">
        <f>SUMIFS('S7'!AF:AF,'S7'!$C:$C,'Key inputs_EB'!$E38,'S7'!$D:$D,'Key inputs_EB'!$C38)</f>
        <v>0</v>
      </c>
    </row>
    <row r="39" spans="2:35" x14ac:dyDescent="0.3">
      <c r="B39" s="49" t="str">
        <f>Legend!A$50</f>
        <v>Electric Appliances</v>
      </c>
      <c r="C39" s="49" t="str">
        <f>LEFT(Legend!$C$4)&amp;"-"&amp;Legend!B$50</f>
        <v>S-EAP</v>
      </c>
      <c r="D39" s="49" t="str">
        <f>Legend!A$64</f>
        <v>Geothermal</v>
      </c>
      <c r="E39" s="49" t="str">
        <f>Legend!B$64</f>
        <v>SRVGEO</v>
      </c>
      <c r="F39" s="49" t="s">
        <v>154</v>
      </c>
      <c r="H39" s="471">
        <f>SUMIFS('S7'!E:E,'S7'!$C:$C,'Key inputs_EB'!$E39,'S7'!$D:$D,'Key inputs_EB'!$C39)</f>
        <v>0</v>
      </c>
      <c r="I39" s="471">
        <f>SUMIFS('S7'!F:F,'S7'!$C:$C,'Key inputs_EB'!$E39,'S7'!$D:$D,'Key inputs_EB'!$C39)</f>
        <v>0</v>
      </c>
      <c r="J39" s="471">
        <f>SUMIFS('S7'!G:G,'S7'!$C:$C,'Key inputs_EB'!$E39,'S7'!$D:$D,'Key inputs_EB'!$C39)</f>
        <v>0</v>
      </c>
      <c r="K39" s="471">
        <f>SUMIFS('S7'!H:H,'S7'!$C:$C,'Key inputs_EB'!$E39,'S7'!$D:$D,'Key inputs_EB'!$C39)</f>
        <v>0</v>
      </c>
      <c r="L39" s="471">
        <f>SUMIFS('S7'!I:I,'S7'!$C:$C,'Key inputs_EB'!$E39,'S7'!$D:$D,'Key inputs_EB'!$C39)</f>
        <v>0</v>
      </c>
      <c r="M39" s="471">
        <f>SUMIFS('S7'!J:J,'S7'!$C:$C,'Key inputs_EB'!$E39,'S7'!$D:$D,'Key inputs_EB'!$C39)</f>
        <v>0</v>
      </c>
      <c r="N39" s="471">
        <f>SUMIFS('S7'!K:K,'S7'!$C:$C,'Key inputs_EB'!$E39,'S7'!$D:$D,'Key inputs_EB'!$C39)</f>
        <v>0</v>
      </c>
      <c r="O39" s="471">
        <f>SUMIFS('S7'!L:L,'S7'!$C:$C,'Key inputs_EB'!$E39,'S7'!$D:$D,'Key inputs_EB'!$C39)</f>
        <v>0</v>
      </c>
      <c r="P39" s="471">
        <f>SUMIFS('S7'!M:M,'S7'!$C:$C,'Key inputs_EB'!$E39,'S7'!$D:$D,'Key inputs_EB'!$C39)</f>
        <v>0</v>
      </c>
      <c r="Q39" s="471">
        <f>SUMIFS('S7'!N:N,'S7'!$C:$C,'Key inputs_EB'!$E39,'S7'!$D:$D,'Key inputs_EB'!$C39)</f>
        <v>0</v>
      </c>
      <c r="R39" s="471">
        <f>SUMIFS('S7'!O:O,'S7'!$C:$C,'Key inputs_EB'!$E39,'S7'!$D:$D,'Key inputs_EB'!$C39)</f>
        <v>0</v>
      </c>
      <c r="S39" s="471">
        <f>SUMIFS('S7'!P:P,'S7'!$C:$C,'Key inputs_EB'!$E39,'S7'!$D:$D,'Key inputs_EB'!$C39)</f>
        <v>0</v>
      </c>
      <c r="T39" s="471">
        <f>SUMIFS('S7'!Q:Q,'S7'!$C:$C,'Key inputs_EB'!$E39,'S7'!$D:$D,'Key inputs_EB'!$C39)</f>
        <v>0</v>
      </c>
      <c r="U39" s="471">
        <f>SUMIFS('S7'!R:R,'S7'!$C:$C,'Key inputs_EB'!$E39,'S7'!$D:$D,'Key inputs_EB'!$C39)</f>
        <v>0</v>
      </c>
      <c r="V39" s="471">
        <f>SUMIFS('S7'!S:S,'S7'!$C:$C,'Key inputs_EB'!$E39,'S7'!$D:$D,'Key inputs_EB'!$C39)</f>
        <v>0</v>
      </c>
      <c r="W39" s="471">
        <f>SUMIFS('S7'!T:T,'S7'!$C:$C,'Key inputs_EB'!$E39,'S7'!$D:$D,'Key inputs_EB'!$C39)</f>
        <v>0</v>
      </c>
      <c r="X39" s="471">
        <f>SUMIFS('S7'!U:U,'S7'!$C:$C,'Key inputs_EB'!$E39,'S7'!$D:$D,'Key inputs_EB'!$C39)</f>
        <v>0</v>
      </c>
      <c r="Y39" s="471">
        <f>SUMIFS('S7'!V:V,'S7'!$C:$C,'Key inputs_EB'!$E39,'S7'!$D:$D,'Key inputs_EB'!$C39)</f>
        <v>0</v>
      </c>
      <c r="Z39" s="471">
        <f>SUMIFS('S7'!W:W,'S7'!$C:$C,'Key inputs_EB'!$E39,'S7'!$D:$D,'Key inputs_EB'!$C39)</f>
        <v>0</v>
      </c>
      <c r="AA39" s="471">
        <f>SUMIFS('S7'!X:X,'S7'!$C:$C,'Key inputs_EB'!$E39,'S7'!$D:$D,'Key inputs_EB'!$C39)</f>
        <v>0</v>
      </c>
      <c r="AB39" s="471">
        <f>SUMIFS('S7'!Y:Y,'S7'!$C:$C,'Key inputs_EB'!$E39,'S7'!$D:$D,'Key inputs_EB'!$C39)</f>
        <v>0</v>
      </c>
      <c r="AC39" s="471">
        <f>SUMIFS('S7'!Z:Z,'S7'!$C:$C,'Key inputs_EB'!$E39,'S7'!$D:$D,'Key inputs_EB'!$C39)</f>
        <v>0</v>
      </c>
      <c r="AD39" s="471">
        <f>SUMIFS('S7'!AA:AA,'S7'!$C:$C,'Key inputs_EB'!$E39,'S7'!$D:$D,'Key inputs_EB'!$C39)</f>
        <v>0</v>
      </c>
      <c r="AE39" s="471">
        <f>SUMIFS('S7'!AB:AB,'S7'!$C:$C,'Key inputs_EB'!$E39,'S7'!$D:$D,'Key inputs_EB'!$C39)</f>
        <v>0</v>
      </c>
      <c r="AF39" s="471">
        <f>SUMIFS('S7'!AC:AC,'S7'!$C:$C,'Key inputs_EB'!$E39,'S7'!$D:$D,'Key inputs_EB'!$C39)</f>
        <v>0</v>
      </c>
      <c r="AG39" s="471">
        <f>SUMIFS('S7'!AD:AD,'S7'!$C:$C,'Key inputs_EB'!$E39,'S7'!$D:$D,'Key inputs_EB'!$C39)</f>
        <v>0</v>
      </c>
      <c r="AH39" s="471">
        <f>SUMIFS('S7'!AE:AE,'S7'!$C:$C,'Key inputs_EB'!$E39,'S7'!$D:$D,'Key inputs_EB'!$C39)</f>
        <v>0</v>
      </c>
      <c r="AI39" s="471">
        <f>SUMIFS('S7'!AF:AF,'S7'!$C:$C,'Key inputs_EB'!$E39,'S7'!$D:$D,'Key inputs_EB'!$C39)</f>
        <v>0</v>
      </c>
    </row>
    <row r="40" spans="2:35" x14ac:dyDescent="0.3">
      <c r="B40" s="49" t="str">
        <f>Legend!A$51</f>
        <v>Other uses</v>
      </c>
      <c r="C40" s="49" t="str">
        <f>LEFT(Legend!$C$4)&amp;"-"&amp;Legend!B$51</f>
        <v>S-OTH</v>
      </c>
      <c r="D40" s="49" t="str">
        <f>Legend!A$64</f>
        <v>Geothermal</v>
      </c>
      <c r="E40" s="49" t="str">
        <f>Legend!B$64</f>
        <v>SRVGEO</v>
      </c>
      <c r="F40" s="49" t="s">
        <v>154</v>
      </c>
      <c r="H40" s="471">
        <f>SUMIFS('S7'!E:E,'S7'!$C:$C,'Key inputs_EB'!$E40,'S7'!$D:$D,'Key inputs_EB'!$C40)</f>
        <v>0</v>
      </c>
      <c r="I40" s="471">
        <f>SUMIFS('S7'!F:F,'S7'!$C:$C,'Key inputs_EB'!$E40,'S7'!$D:$D,'Key inputs_EB'!$C40)</f>
        <v>0</v>
      </c>
      <c r="J40" s="471">
        <f>SUMIFS('S7'!G:G,'S7'!$C:$C,'Key inputs_EB'!$E40,'S7'!$D:$D,'Key inputs_EB'!$C40)</f>
        <v>0</v>
      </c>
      <c r="K40" s="471">
        <f>SUMIFS('S7'!H:H,'S7'!$C:$C,'Key inputs_EB'!$E40,'S7'!$D:$D,'Key inputs_EB'!$C40)</f>
        <v>0</v>
      </c>
      <c r="L40" s="471">
        <f>SUMIFS('S7'!I:I,'S7'!$C:$C,'Key inputs_EB'!$E40,'S7'!$D:$D,'Key inputs_EB'!$C40)</f>
        <v>0</v>
      </c>
      <c r="M40" s="471">
        <f>SUMIFS('S7'!J:J,'S7'!$C:$C,'Key inputs_EB'!$E40,'S7'!$D:$D,'Key inputs_EB'!$C40)</f>
        <v>0</v>
      </c>
      <c r="N40" s="471">
        <f>SUMIFS('S7'!K:K,'S7'!$C:$C,'Key inputs_EB'!$E40,'S7'!$D:$D,'Key inputs_EB'!$C40)</f>
        <v>0</v>
      </c>
      <c r="O40" s="471">
        <f>SUMIFS('S7'!L:L,'S7'!$C:$C,'Key inputs_EB'!$E40,'S7'!$D:$D,'Key inputs_EB'!$C40)</f>
        <v>0</v>
      </c>
      <c r="P40" s="471">
        <f>SUMIFS('S7'!M:M,'S7'!$C:$C,'Key inputs_EB'!$E40,'S7'!$D:$D,'Key inputs_EB'!$C40)</f>
        <v>0</v>
      </c>
      <c r="Q40" s="471">
        <f>SUMIFS('S7'!N:N,'S7'!$C:$C,'Key inputs_EB'!$E40,'S7'!$D:$D,'Key inputs_EB'!$C40)</f>
        <v>0</v>
      </c>
      <c r="R40" s="471">
        <f>SUMIFS('S7'!O:O,'S7'!$C:$C,'Key inputs_EB'!$E40,'S7'!$D:$D,'Key inputs_EB'!$C40)</f>
        <v>0</v>
      </c>
      <c r="S40" s="471">
        <f>SUMIFS('S7'!P:P,'S7'!$C:$C,'Key inputs_EB'!$E40,'S7'!$D:$D,'Key inputs_EB'!$C40)</f>
        <v>0</v>
      </c>
      <c r="T40" s="471">
        <f>SUMIFS('S7'!Q:Q,'S7'!$C:$C,'Key inputs_EB'!$E40,'S7'!$D:$D,'Key inputs_EB'!$C40)</f>
        <v>0</v>
      </c>
      <c r="U40" s="471">
        <f>SUMIFS('S7'!R:R,'S7'!$C:$C,'Key inputs_EB'!$E40,'S7'!$D:$D,'Key inputs_EB'!$C40)</f>
        <v>0</v>
      </c>
      <c r="V40" s="471">
        <f>SUMIFS('S7'!S:S,'S7'!$C:$C,'Key inputs_EB'!$E40,'S7'!$D:$D,'Key inputs_EB'!$C40)</f>
        <v>0</v>
      </c>
      <c r="W40" s="471">
        <f>SUMIFS('S7'!T:T,'S7'!$C:$C,'Key inputs_EB'!$E40,'S7'!$D:$D,'Key inputs_EB'!$C40)</f>
        <v>0</v>
      </c>
      <c r="X40" s="471">
        <f>SUMIFS('S7'!U:U,'S7'!$C:$C,'Key inputs_EB'!$E40,'S7'!$D:$D,'Key inputs_EB'!$C40)</f>
        <v>0</v>
      </c>
      <c r="Y40" s="471">
        <f>SUMIFS('S7'!V:V,'S7'!$C:$C,'Key inputs_EB'!$E40,'S7'!$D:$D,'Key inputs_EB'!$C40)</f>
        <v>0</v>
      </c>
      <c r="Z40" s="471">
        <f>SUMIFS('S7'!W:W,'S7'!$C:$C,'Key inputs_EB'!$E40,'S7'!$D:$D,'Key inputs_EB'!$C40)</f>
        <v>0</v>
      </c>
      <c r="AA40" s="471">
        <f>SUMIFS('S7'!X:X,'S7'!$C:$C,'Key inputs_EB'!$E40,'S7'!$D:$D,'Key inputs_EB'!$C40)</f>
        <v>0</v>
      </c>
      <c r="AB40" s="471">
        <f>SUMIFS('S7'!Y:Y,'S7'!$C:$C,'Key inputs_EB'!$E40,'S7'!$D:$D,'Key inputs_EB'!$C40)</f>
        <v>0</v>
      </c>
      <c r="AC40" s="471">
        <f>SUMIFS('S7'!Z:Z,'S7'!$C:$C,'Key inputs_EB'!$E40,'S7'!$D:$D,'Key inputs_EB'!$C40)</f>
        <v>0</v>
      </c>
      <c r="AD40" s="471">
        <f>SUMIFS('S7'!AA:AA,'S7'!$C:$C,'Key inputs_EB'!$E40,'S7'!$D:$D,'Key inputs_EB'!$C40)</f>
        <v>0</v>
      </c>
      <c r="AE40" s="471">
        <f>SUMIFS('S7'!AB:AB,'S7'!$C:$C,'Key inputs_EB'!$E40,'S7'!$D:$D,'Key inputs_EB'!$C40)</f>
        <v>0</v>
      </c>
      <c r="AF40" s="471">
        <f>SUMIFS('S7'!AC:AC,'S7'!$C:$C,'Key inputs_EB'!$E40,'S7'!$D:$D,'Key inputs_EB'!$C40)</f>
        <v>0</v>
      </c>
      <c r="AG40" s="471">
        <f>SUMIFS('S7'!AD:AD,'S7'!$C:$C,'Key inputs_EB'!$E40,'S7'!$D:$D,'Key inputs_EB'!$C40)</f>
        <v>0</v>
      </c>
      <c r="AH40" s="471">
        <f>SUMIFS('S7'!AE:AE,'S7'!$C:$C,'Key inputs_EB'!$E40,'S7'!$D:$D,'Key inputs_EB'!$C40)</f>
        <v>0</v>
      </c>
      <c r="AI40" s="471">
        <f>SUMIFS('S7'!AF:AF,'S7'!$C:$C,'Key inputs_EB'!$E40,'S7'!$D:$D,'Key inputs_EB'!$C40)</f>
        <v>0</v>
      </c>
    </row>
    <row r="41" spans="2:35" s="76" customFormat="1" ht="13.8" x14ac:dyDescent="0.3">
      <c r="B41" s="73"/>
      <c r="C41" s="74" t="s">
        <v>157</v>
      </c>
      <c r="D41" s="73"/>
      <c r="E41" s="73"/>
      <c r="F41" s="74"/>
      <c r="G41" s="74"/>
      <c r="H41" s="75">
        <f t="shared" ref="H41:AI41" si="9">IF(H$4="","",IF(SUM(H35:H40)=0,"",IF(SUM(H35:H40)&lt;&gt;1,"CHECK",SUM(H35:H40))))</f>
        <v>1</v>
      </c>
      <c r="I41" s="75">
        <f t="shared" si="9"/>
        <v>1</v>
      </c>
      <c r="J41" s="75">
        <f t="shared" si="9"/>
        <v>1</v>
      </c>
      <c r="K41" s="75">
        <f t="shared" si="9"/>
        <v>1</v>
      </c>
      <c r="L41" s="75">
        <f t="shared" si="9"/>
        <v>1</v>
      </c>
      <c r="M41" s="75">
        <f t="shared" si="9"/>
        <v>1</v>
      </c>
      <c r="N41" s="75">
        <f t="shared" si="9"/>
        <v>1</v>
      </c>
      <c r="O41" s="75">
        <f t="shared" si="9"/>
        <v>1</v>
      </c>
      <c r="P41" s="75">
        <f t="shared" si="9"/>
        <v>1</v>
      </c>
      <c r="Q41" s="75">
        <f t="shared" si="9"/>
        <v>1</v>
      </c>
      <c r="R41" s="75">
        <f t="shared" si="9"/>
        <v>1</v>
      </c>
      <c r="S41" s="75">
        <f t="shared" si="9"/>
        <v>1</v>
      </c>
      <c r="T41" s="75">
        <f t="shared" si="9"/>
        <v>1</v>
      </c>
      <c r="U41" s="75">
        <f t="shared" si="9"/>
        <v>1</v>
      </c>
      <c r="V41" s="75">
        <f t="shared" si="9"/>
        <v>1</v>
      </c>
      <c r="W41" s="75">
        <f t="shared" si="9"/>
        <v>1</v>
      </c>
      <c r="X41" s="75">
        <f t="shared" si="9"/>
        <v>1</v>
      </c>
      <c r="Y41" s="75">
        <f t="shared" si="9"/>
        <v>1</v>
      </c>
      <c r="Z41" s="75">
        <f t="shared" si="9"/>
        <v>1</v>
      </c>
      <c r="AA41" s="75">
        <f t="shared" si="9"/>
        <v>1</v>
      </c>
      <c r="AB41" s="75">
        <f t="shared" si="9"/>
        <v>1</v>
      </c>
      <c r="AC41" s="75">
        <f t="shared" si="9"/>
        <v>1</v>
      </c>
      <c r="AD41" s="75">
        <f t="shared" si="9"/>
        <v>1</v>
      </c>
      <c r="AE41" s="75">
        <f t="shared" si="9"/>
        <v>1</v>
      </c>
      <c r="AF41" s="75">
        <f t="shared" si="9"/>
        <v>1</v>
      </c>
      <c r="AG41" s="75">
        <f t="shared" si="9"/>
        <v>1</v>
      </c>
      <c r="AH41" s="75">
        <f t="shared" si="9"/>
        <v>1</v>
      </c>
      <c r="AI41" s="75">
        <f t="shared" si="9"/>
        <v>1</v>
      </c>
    </row>
    <row r="42" spans="2:35" x14ac:dyDescent="0.3">
      <c r="B42" s="49" t="str">
        <f>Legend!A$45</f>
        <v>Thermal uses</v>
      </c>
      <c r="C42" s="49" t="str">
        <f>LEFT(Legend!$C$4)&amp;"-"&amp;Legend!B$45</f>
        <v>S-TH</v>
      </c>
      <c r="D42" s="49" t="str">
        <f>Legend!A$65</f>
        <v>Heat</v>
      </c>
      <c r="E42" s="49" t="str">
        <f>Legend!B$65</f>
        <v>SRVHET</v>
      </c>
      <c r="F42" s="49" t="s">
        <v>154</v>
      </c>
      <c r="H42" s="471">
        <f>SUMIFS('S7'!E:E,'S7'!$C:$C,'Key inputs_EB'!$E42,'S7'!$D:$D,'Key inputs_EB'!$C42)</f>
        <v>1</v>
      </c>
      <c r="I42" s="471">
        <f>SUMIFS('S7'!F:F,'S7'!$C:$C,'Key inputs_EB'!$E42,'S7'!$D:$D,'Key inputs_EB'!$C42)</f>
        <v>1</v>
      </c>
      <c r="J42" s="471">
        <f>SUMIFS('S7'!G:G,'S7'!$C:$C,'Key inputs_EB'!$E42,'S7'!$D:$D,'Key inputs_EB'!$C42)</f>
        <v>1</v>
      </c>
      <c r="K42" s="471">
        <f>SUMIFS('S7'!H:H,'S7'!$C:$C,'Key inputs_EB'!$E42,'S7'!$D:$D,'Key inputs_EB'!$C42)</f>
        <v>1</v>
      </c>
      <c r="L42" s="471">
        <f>SUMIFS('S7'!I:I,'S7'!$C:$C,'Key inputs_EB'!$E42,'S7'!$D:$D,'Key inputs_EB'!$C42)</f>
        <v>1</v>
      </c>
      <c r="M42" s="471">
        <f>SUMIFS('S7'!J:J,'S7'!$C:$C,'Key inputs_EB'!$E42,'S7'!$D:$D,'Key inputs_EB'!$C42)</f>
        <v>1</v>
      </c>
      <c r="N42" s="471">
        <f>SUMIFS('S7'!K:K,'S7'!$C:$C,'Key inputs_EB'!$E42,'S7'!$D:$D,'Key inputs_EB'!$C42)</f>
        <v>1</v>
      </c>
      <c r="O42" s="471">
        <f>SUMIFS('S7'!L:L,'S7'!$C:$C,'Key inputs_EB'!$E42,'S7'!$D:$D,'Key inputs_EB'!$C42)</f>
        <v>1</v>
      </c>
      <c r="P42" s="471">
        <f>SUMIFS('S7'!M:M,'S7'!$C:$C,'Key inputs_EB'!$E42,'S7'!$D:$D,'Key inputs_EB'!$C42)</f>
        <v>1</v>
      </c>
      <c r="Q42" s="471">
        <f>SUMIFS('S7'!N:N,'S7'!$C:$C,'Key inputs_EB'!$E42,'S7'!$D:$D,'Key inputs_EB'!$C42)</f>
        <v>1</v>
      </c>
      <c r="R42" s="471">
        <f>SUMIFS('S7'!O:O,'S7'!$C:$C,'Key inputs_EB'!$E42,'S7'!$D:$D,'Key inputs_EB'!$C42)</f>
        <v>1</v>
      </c>
      <c r="S42" s="471">
        <f>SUMIFS('S7'!P:P,'S7'!$C:$C,'Key inputs_EB'!$E42,'S7'!$D:$D,'Key inputs_EB'!$C42)</f>
        <v>1</v>
      </c>
      <c r="T42" s="471">
        <f>SUMIFS('S7'!Q:Q,'S7'!$C:$C,'Key inputs_EB'!$E42,'S7'!$D:$D,'Key inputs_EB'!$C42)</f>
        <v>1</v>
      </c>
      <c r="U42" s="471">
        <f>SUMIFS('S7'!R:R,'S7'!$C:$C,'Key inputs_EB'!$E42,'S7'!$D:$D,'Key inputs_EB'!$C42)</f>
        <v>1</v>
      </c>
      <c r="V42" s="471">
        <f>SUMIFS('S7'!S:S,'S7'!$C:$C,'Key inputs_EB'!$E42,'S7'!$D:$D,'Key inputs_EB'!$C42)</f>
        <v>1</v>
      </c>
      <c r="W42" s="471">
        <f>SUMIFS('S7'!T:T,'S7'!$C:$C,'Key inputs_EB'!$E42,'S7'!$D:$D,'Key inputs_EB'!$C42)</f>
        <v>1</v>
      </c>
      <c r="X42" s="471">
        <f>SUMIFS('S7'!U:U,'S7'!$C:$C,'Key inputs_EB'!$E42,'S7'!$D:$D,'Key inputs_EB'!$C42)</f>
        <v>1</v>
      </c>
      <c r="Y42" s="471">
        <f>SUMIFS('S7'!V:V,'S7'!$C:$C,'Key inputs_EB'!$E42,'S7'!$D:$D,'Key inputs_EB'!$C42)</f>
        <v>1</v>
      </c>
      <c r="Z42" s="471">
        <f>SUMIFS('S7'!W:W,'S7'!$C:$C,'Key inputs_EB'!$E42,'S7'!$D:$D,'Key inputs_EB'!$C42)</f>
        <v>1</v>
      </c>
      <c r="AA42" s="471">
        <f>SUMIFS('S7'!X:X,'S7'!$C:$C,'Key inputs_EB'!$E42,'S7'!$D:$D,'Key inputs_EB'!$C42)</f>
        <v>1</v>
      </c>
      <c r="AB42" s="471">
        <f>SUMIFS('S7'!Y:Y,'S7'!$C:$C,'Key inputs_EB'!$E42,'S7'!$D:$D,'Key inputs_EB'!$C42)</f>
        <v>1</v>
      </c>
      <c r="AC42" s="471">
        <f>SUMIFS('S7'!Z:Z,'S7'!$C:$C,'Key inputs_EB'!$E42,'S7'!$D:$D,'Key inputs_EB'!$C42)</f>
        <v>1</v>
      </c>
      <c r="AD42" s="471">
        <f>SUMIFS('S7'!AA:AA,'S7'!$C:$C,'Key inputs_EB'!$E42,'S7'!$D:$D,'Key inputs_EB'!$C42)</f>
        <v>1</v>
      </c>
      <c r="AE42" s="471">
        <f>SUMIFS('S7'!AB:AB,'S7'!$C:$C,'Key inputs_EB'!$E42,'S7'!$D:$D,'Key inputs_EB'!$C42)</f>
        <v>1</v>
      </c>
      <c r="AF42" s="471">
        <f>SUMIFS('S7'!AC:AC,'S7'!$C:$C,'Key inputs_EB'!$E42,'S7'!$D:$D,'Key inputs_EB'!$C42)</f>
        <v>1</v>
      </c>
      <c r="AG42" s="471">
        <f>SUMIFS('S7'!AD:AD,'S7'!$C:$C,'Key inputs_EB'!$E42,'S7'!$D:$D,'Key inputs_EB'!$C42)</f>
        <v>1</v>
      </c>
      <c r="AH42" s="471">
        <f>SUMIFS('S7'!AE:AE,'S7'!$C:$C,'Key inputs_EB'!$E42,'S7'!$D:$D,'Key inputs_EB'!$C42)</f>
        <v>1</v>
      </c>
      <c r="AI42" s="471">
        <f>SUMIFS('S7'!AF:AF,'S7'!$C:$C,'Key inputs_EB'!$E42,'S7'!$D:$D,'Key inputs_EB'!$C42)</f>
        <v>1</v>
      </c>
    </row>
    <row r="43" spans="2:35" x14ac:dyDescent="0.3">
      <c r="B43" s="49" t="str">
        <f>Legend!A$46</f>
        <v>Air conditioning</v>
      </c>
      <c r="C43" s="49" t="str">
        <f>LEFT(Legend!$C$4)&amp;"-"&amp;Legend!B$46</f>
        <v>S-AC</v>
      </c>
      <c r="D43" s="49" t="str">
        <f>Legend!A$65</f>
        <v>Heat</v>
      </c>
      <c r="E43" s="49" t="str">
        <f>Legend!B$65</f>
        <v>SRVHET</v>
      </c>
      <c r="F43" s="49" t="s">
        <v>154</v>
      </c>
      <c r="H43" s="471">
        <f>SUMIFS('S7'!E:E,'S7'!$C:$C,'Key inputs_EB'!$E43,'S7'!$D:$D,'Key inputs_EB'!$C43)</f>
        <v>0</v>
      </c>
      <c r="I43" s="471">
        <f>SUMIFS('S7'!F:F,'S7'!$C:$C,'Key inputs_EB'!$E43,'S7'!$D:$D,'Key inputs_EB'!$C43)</f>
        <v>0</v>
      </c>
      <c r="J43" s="471">
        <f>SUMIFS('S7'!G:G,'S7'!$C:$C,'Key inputs_EB'!$E43,'S7'!$D:$D,'Key inputs_EB'!$C43)</f>
        <v>0</v>
      </c>
      <c r="K43" s="471">
        <f>SUMIFS('S7'!H:H,'S7'!$C:$C,'Key inputs_EB'!$E43,'S7'!$D:$D,'Key inputs_EB'!$C43)</f>
        <v>0</v>
      </c>
      <c r="L43" s="471">
        <f>SUMIFS('S7'!I:I,'S7'!$C:$C,'Key inputs_EB'!$E43,'S7'!$D:$D,'Key inputs_EB'!$C43)</f>
        <v>0</v>
      </c>
      <c r="M43" s="471">
        <f>SUMIFS('S7'!J:J,'S7'!$C:$C,'Key inputs_EB'!$E43,'S7'!$D:$D,'Key inputs_EB'!$C43)</f>
        <v>0</v>
      </c>
      <c r="N43" s="471">
        <f>SUMIFS('S7'!K:K,'S7'!$C:$C,'Key inputs_EB'!$E43,'S7'!$D:$D,'Key inputs_EB'!$C43)</f>
        <v>0</v>
      </c>
      <c r="O43" s="471">
        <f>SUMIFS('S7'!L:L,'S7'!$C:$C,'Key inputs_EB'!$E43,'S7'!$D:$D,'Key inputs_EB'!$C43)</f>
        <v>0</v>
      </c>
      <c r="P43" s="471">
        <f>SUMIFS('S7'!M:M,'S7'!$C:$C,'Key inputs_EB'!$E43,'S7'!$D:$D,'Key inputs_EB'!$C43)</f>
        <v>0</v>
      </c>
      <c r="Q43" s="471">
        <f>SUMIFS('S7'!N:N,'S7'!$C:$C,'Key inputs_EB'!$E43,'S7'!$D:$D,'Key inputs_EB'!$C43)</f>
        <v>0</v>
      </c>
      <c r="R43" s="471">
        <f>SUMIFS('S7'!O:O,'S7'!$C:$C,'Key inputs_EB'!$E43,'S7'!$D:$D,'Key inputs_EB'!$C43)</f>
        <v>0</v>
      </c>
      <c r="S43" s="471">
        <f>SUMIFS('S7'!P:P,'S7'!$C:$C,'Key inputs_EB'!$E43,'S7'!$D:$D,'Key inputs_EB'!$C43)</f>
        <v>0</v>
      </c>
      <c r="T43" s="471">
        <f>SUMIFS('S7'!Q:Q,'S7'!$C:$C,'Key inputs_EB'!$E43,'S7'!$D:$D,'Key inputs_EB'!$C43)</f>
        <v>0</v>
      </c>
      <c r="U43" s="471">
        <f>SUMIFS('S7'!R:R,'S7'!$C:$C,'Key inputs_EB'!$E43,'S7'!$D:$D,'Key inputs_EB'!$C43)</f>
        <v>0</v>
      </c>
      <c r="V43" s="471">
        <f>SUMIFS('S7'!S:S,'S7'!$C:$C,'Key inputs_EB'!$E43,'S7'!$D:$D,'Key inputs_EB'!$C43)</f>
        <v>0</v>
      </c>
      <c r="W43" s="471">
        <f>SUMIFS('S7'!T:T,'S7'!$C:$C,'Key inputs_EB'!$E43,'S7'!$D:$D,'Key inputs_EB'!$C43)</f>
        <v>0</v>
      </c>
      <c r="X43" s="471">
        <f>SUMIFS('S7'!U:U,'S7'!$C:$C,'Key inputs_EB'!$E43,'S7'!$D:$D,'Key inputs_EB'!$C43)</f>
        <v>0</v>
      </c>
      <c r="Y43" s="471">
        <f>SUMIFS('S7'!V:V,'S7'!$C:$C,'Key inputs_EB'!$E43,'S7'!$D:$D,'Key inputs_EB'!$C43)</f>
        <v>0</v>
      </c>
      <c r="Z43" s="471">
        <f>SUMIFS('S7'!W:W,'S7'!$C:$C,'Key inputs_EB'!$E43,'S7'!$D:$D,'Key inputs_EB'!$C43)</f>
        <v>0</v>
      </c>
      <c r="AA43" s="471">
        <f>SUMIFS('S7'!X:X,'S7'!$C:$C,'Key inputs_EB'!$E43,'S7'!$D:$D,'Key inputs_EB'!$C43)</f>
        <v>0</v>
      </c>
      <c r="AB43" s="471">
        <f>SUMIFS('S7'!Y:Y,'S7'!$C:$C,'Key inputs_EB'!$E43,'S7'!$D:$D,'Key inputs_EB'!$C43)</f>
        <v>0</v>
      </c>
      <c r="AC43" s="471">
        <f>SUMIFS('S7'!Z:Z,'S7'!$C:$C,'Key inputs_EB'!$E43,'S7'!$D:$D,'Key inputs_EB'!$C43)</f>
        <v>0</v>
      </c>
      <c r="AD43" s="471">
        <f>SUMIFS('S7'!AA:AA,'S7'!$C:$C,'Key inputs_EB'!$E43,'S7'!$D:$D,'Key inputs_EB'!$C43)</f>
        <v>0</v>
      </c>
      <c r="AE43" s="471">
        <f>SUMIFS('S7'!AB:AB,'S7'!$C:$C,'Key inputs_EB'!$E43,'S7'!$D:$D,'Key inputs_EB'!$C43)</f>
        <v>0</v>
      </c>
      <c r="AF43" s="471">
        <f>SUMIFS('S7'!AC:AC,'S7'!$C:$C,'Key inputs_EB'!$E43,'S7'!$D:$D,'Key inputs_EB'!$C43)</f>
        <v>0</v>
      </c>
      <c r="AG43" s="471">
        <f>SUMIFS('S7'!AD:AD,'S7'!$C:$C,'Key inputs_EB'!$E43,'S7'!$D:$D,'Key inputs_EB'!$C43)</f>
        <v>0</v>
      </c>
      <c r="AH43" s="471">
        <f>SUMIFS('S7'!AE:AE,'S7'!$C:$C,'Key inputs_EB'!$E43,'S7'!$D:$D,'Key inputs_EB'!$C43)</f>
        <v>0</v>
      </c>
      <c r="AI43" s="471">
        <f>SUMIFS('S7'!AF:AF,'S7'!$C:$C,'Key inputs_EB'!$E43,'S7'!$D:$D,'Key inputs_EB'!$C43)</f>
        <v>0</v>
      </c>
    </row>
    <row r="44" spans="2:35" x14ac:dyDescent="0.3">
      <c r="B44" s="49" t="str">
        <f>Legend!A$47</f>
        <v>Cooking</v>
      </c>
      <c r="C44" s="49" t="str">
        <f>LEFT(Legend!$C$4)&amp;"-"&amp;Legend!B$47</f>
        <v>S-CK</v>
      </c>
      <c r="D44" s="49" t="str">
        <f>Legend!A$65</f>
        <v>Heat</v>
      </c>
      <c r="E44" s="49" t="str">
        <f>Legend!B$65</f>
        <v>SRVHET</v>
      </c>
      <c r="F44" s="49" t="s">
        <v>154</v>
      </c>
      <c r="H44" s="471">
        <f>SUMIFS('S7'!E:E,'S7'!$C:$C,'Key inputs_EB'!$E44,'S7'!$D:$D,'Key inputs_EB'!$C44)</f>
        <v>0</v>
      </c>
      <c r="I44" s="471">
        <f>SUMIFS('S7'!F:F,'S7'!$C:$C,'Key inputs_EB'!$E44,'S7'!$D:$D,'Key inputs_EB'!$C44)</f>
        <v>0</v>
      </c>
      <c r="J44" s="471">
        <f>SUMIFS('S7'!G:G,'S7'!$C:$C,'Key inputs_EB'!$E44,'S7'!$D:$D,'Key inputs_EB'!$C44)</f>
        <v>0</v>
      </c>
      <c r="K44" s="471">
        <f>SUMIFS('S7'!H:H,'S7'!$C:$C,'Key inputs_EB'!$E44,'S7'!$D:$D,'Key inputs_EB'!$C44)</f>
        <v>0</v>
      </c>
      <c r="L44" s="471">
        <f>SUMIFS('S7'!I:I,'S7'!$C:$C,'Key inputs_EB'!$E44,'S7'!$D:$D,'Key inputs_EB'!$C44)</f>
        <v>0</v>
      </c>
      <c r="M44" s="471">
        <f>SUMIFS('S7'!J:J,'S7'!$C:$C,'Key inputs_EB'!$E44,'S7'!$D:$D,'Key inputs_EB'!$C44)</f>
        <v>0</v>
      </c>
      <c r="N44" s="471">
        <f>SUMIFS('S7'!K:K,'S7'!$C:$C,'Key inputs_EB'!$E44,'S7'!$D:$D,'Key inputs_EB'!$C44)</f>
        <v>0</v>
      </c>
      <c r="O44" s="471">
        <f>SUMIFS('S7'!L:L,'S7'!$C:$C,'Key inputs_EB'!$E44,'S7'!$D:$D,'Key inputs_EB'!$C44)</f>
        <v>0</v>
      </c>
      <c r="P44" s="471">
        <f>SUMIFS('S7'!M:M,'S7'!$C:$C,'Key inputs_EB'!$E44,'S7'!$D:$D,'Key inputs_EB'!$C44)</f>
        <v>0</v>
      </c>
      <c r="Q44" s="471">
        <f>SUMIFS('S7'!N:N,'S7'!$C:$C,'Key inputs_EB'!$E44,'S7'!$D:$D,'Key inputs_EB'!$C44)</f>
        <v>0</v>
      </c>
      <c r="R44" s="471">
        <f>SUMIFS('S7'!O:O,'S7'!$C:$C,'Key inputs_EB'!$E44,'S7'!$D:$D,'Key inputs_EB'!$C44)</f>
        <v>0</v>
      </c>
      <c r="S44" s="471">
        <f>SUMIFS('S7'!P:P,'S7'!$C:$C,'Key inputs_EB'!$E44,'S7'!$D:$D,'Key inputs_EB'!$C44)</f>
        <v>0</v>
      </c>
      <c r="T44" s="471">
        <f>SUMIFS('S7'!Q:Q,'S7'!$C:$C,'Key inputs_EB'!$E44,'S7'!$D:$D,'Key inputs_EB'!$C44)</f>
        <v>0</v>
      </c>
      <c r="U44" s="471">
        <f>SUMIFS('S7'!R:R,'S7'!$C:$C,'Key inputs_EB'!$E44,'S7'!$D:$D,'Key inputs_EB'!$C44)</f>
        <v>0</v>
      </c>
      <c r="V44" s="471">
        <f>SUMIFS('S7'!S:S,'S7'!$C:$C,'Key inputs_EB'!$E44,'S7'!$D:$D,'Key inputs_EB'!$C44)</f>
        <v>0</v>
      </c>
      <c r="W44" s="471">
        <f>SUMIFS('S7'!T:T,'S7'!$C:$C,'Key inputs_EB'!$E44,'S7'!$D:$D,'Key inputs_EB'!$C44)</f>
        <v>0</v>
      </c>
      <c r="X44" s="471">
        <f>SUMIFS('S7'!U:U,'S7'!$C:$C,'Key inputs_EB'!$E44,'S7'!$D:$D,'Key inputs_EB'!$C44)</f>
        <v>0</v>
      </c>
      <c r="Y44" s="471">
        <f>SUMIFS('S7'!V:V,'S7'!$C:$C,'Key inputs_EB'!$E44,'S7'!$D:$D,'Key inputs_EB'!$C44)</f>
        <v>0</v>
      </c>
      <c r="Z44" s="471">
        <f>SUMIFS('S7'!W:W,'S7'!$C:$C,'Key inputs_EB'!$E44,'S7'!$D:$D,'Key inputs_EB'!$C44)</f>
        <v>0</v>
      </c>
      <c r="AA44" s="471">
        <f>SUMIFS('S7'!X:X,'S7'!$C:$C,'Key inputs_EB'!$E44,'S7'!$D:$D,'Key inputs_EB'!$C44)</f>
        <v>0</v>
      </c>
      <c r="AB44" s="471">
        <f>SUMIFS('S7'!Y:Y,'S7'!$C:$C,'Key inputs_EB'!$E44,'S7'!$D:$D,'Key inputs_EB'!$C44)</f>
        <v>0</v>
      </c>
      <c r="AC44" s="471">
        <f>SUMIFS('S7'!Z:Z,'S7'!$C:$C,'Key inputs_EB'!$E44,'S7'!$D:$D,'Key inputs_EB'!$C44)</f>
        <v>0</v>
      </c>
      <c r="AD44" s="471">
        <f>SUMIFS('S7'!AA:AA,'S7'!$C:$C,'Key inputs_EB'!$E44,'S7'!$D:$D,'Key inputs_EB'!$C44)</f>
        <v>0</v>
      </c>
      <c r="AE44" s="471">
        <f>SUMIFS('S7'!AB:AB,'S7'!$C:$C,'Key inputs_EB'!$E44,'S7'!$D:$D,'Key inputs_EB'!$C44)</f>
        <v>0</v>
      </c>
      <c r="AF44" s="471">
        <f>SUMIFS('S7'!AC:AC,'S7'!$C:$C,'Key inputs_EB'!$E44,'S7'!$D:$D,'Key inputs_EB'!$C44)</f>
        <v>0</v>
      </c>
      <c r="AG44" s="471">
        <f>SUMIFS('S7'!AD:AD,'S7'!$C:$C,'Key inputs_EB'!$E44,'S7'!$D:$D,'Key inputs_EB'!$C44)</f>
        <v>0</v>
      </c>
      <c r="AH44" s="471">
        <f>SUMIFS('S7'!AE:AE,'S7'!$C:$C,'Key inputs_EB'!$E44,'S7'!$D:$D,'Key inputs_EB'!$C44)</f>
        <v>0</v>
      </c>
      <c r="AI44" s="471">
        <f>SUMIFS('S7'!AF:AF,'S7'!$C:$C,'Key inputs_EB'!$E44,'S7'!$D:$D,'Key inputs_EB'!$C44)</f>
        <v>0</v>
      </c>
    </row>
    <row r="45" spans="2:35" x14ac:dyDescent="0.3">
      <c r="B45" s="49" t="str">
        <f>Legend!A$49</f>
        <v>Lighting</v>
      </c>
      <c r="C45" s="49" t="str">
        <f>LEFT(Legend!$C$4)&amp;"-"&amp;Legend!B$49</f>
        <v>S-LIG</v>
      </c>
      <c r="D45" s="49" t="str">
        <f>Legend!A$65</f>
        <v>Heat</v>
      </c>
      <c r="E45" s="49" t="str">
        <f>Legend!B$65</f>
        <v>SRVHET</v>
      </c>
      <c r="F45" s="49" t="s">
        <v>154</v>
      </c>
      <c r="H45" s="471">
        <f>SUMIFS('S7'!E:E,'S7'!$C:$C,'Key inputs_EB'!$E45,'S7'!$D:$D,'Key inputs_EB'!$C45)</f>
        <v>0</v>
      </c>
      <c r="I45" s="471">
        <f>SUMIFS('S7'!F:F,'S7'!$C:$C,'Key inputs_EB'!$E45,'S7'!$D:$D,'Key inputs_EB'!$C45)</f>
        <v>0</v>
      </c>
      <c r="J45" s="471">
        <f>SUMIFS('S7'!G:G,'S7'!$C:$C,'Key inputs_EB'!$E45,'S7'!$D:$D,'Key inputs_EB'!$C45)</f>
        <v>0</v>
      </c>
      <c r="K45" s="471">
        <f>SUMIFS('S7'!H:H,'S7'!$C:$C,'Key inputs_EB'!$E45,'S7'!$D:$D,'Key inputs_EB'!$C45)</f>
        <v>0</v>
      </c>
      <c r="L45" s="471">
        <f>SUMIFS('S7'!I:I,'S7'!$C:$C,'Key inputs_EB'!$E45,'S7'!$D:$D,'Key inputs_EB'!$C45)</f>
        <v>0</v>
      </c>
      <c r="M45" s="471">
        <f>SUMIFS('S7'!J:J,'S7'!$C:$C,'Key inputs_EB'!$E45,'S7'!$D:$D,'Key inputs_EB'!$C45)</f>
        <v>0</v>
      </c>
      <c r="N45" s="471">
        <f>SUMIFS('S7'!K:K,'S7'!$C:$C,'Key inputs_EB'!$E45,'S7'!$D:$D,'Key inputs_EB'!$C45)</f>
        <v>0</v>
      </c>
      <c r="O45" s="471">
        <f>SUMIFS('S7'!L:L,'S7'!$C:$C,'Key inputs_EB'!$E45,'S7'!$D:$D,'Key inputs_EB'!$C45)</f>
        <v>0</v>
      </c>
      <c r="P45" s="471">
        <f>SUMIFS('S7'!M:M,'S7'!$C:$C,'Key inputs_EB'!$E45,'S7'!$D:$D,'Key inputs_EB'!$C45)</f>
        <v>0</v>
      </c>
      <c r="Q45" s="471">
        <f>SUMIFS('S7'!N:N,'S7'!$C:$C,'Key inputs_EB'!$E45,'S7'!$D:$D,'Key inputs_EB'!$C45)</f>
        <v>0</v>
      </c>
      <c r="R45" s="471">
        <f>SUMIFS('S7'!O:O,'S7'!$C:$C,'Key inputs_EB'!$E45,'S7'!$D:$D,'Key inputs_EB'!$C45)</f>
        <v>0</v>
      </c>
      <c r="S45" s="471">
        <f>SUMIFS('S7'!P:P,'S7'!$C:$C,'Key inputs_EB'!$E45,'S7'!$D:$D,'Key inputs_EB'!$C45)</f>
        <v>0</v>
      </c>
      <c r="T45" s="471">
        <f>SUMIFS('S7'!Q:Q,'S7'!$C:$C,'Key inputs_EB'!$E45,'S7'!$D:$D,'Key inputs_EB'!$C45)</f>
        <v>0</v>
      </c>
      <c r="U45" s="471">
        <f>SUMIFS('S7'!R:R,'S7'!$C:$C,'Key inputs_EB'!$E45,'S7'!$D:$D,'Key inputs_EB'!$C45)</f>
        <v>0</v>
      </c>
      <c r="V45" s="471">
        <f>SUMIFS('S7'!S:S,'S7'!$C:$C,'Key inputs_EB'!$E45,'S7'!$D:$D,'Key inputs_EB'!$C45)</f>
        <v>0</v>
      </c>
      <c r="W45" s="471">
        <f>SUMIFS('S7'!T:T,'S7'!$C:$C,'Key inputs_EB'!$E45,'S7'!$D:$D,'Key inputs_EB'!$C45)</f>
        <v>0</v>
      </c>
      <c r="X45" s="471">
        <f>SUMIFS('S7'!U:U,'S7'!$C:$C,'Key inputs_EB'!$E45,'S7'!$D:$D,'Key inputs_EB'!$C45)</f>
        <v>0</v>
      </c>
      <c r="Y45" s="471">
        <f>SUMIFS('S7'!V:V,'S7'!$C:$C,'Key inputs_EB'!$E45,'S7'!$D:$D,'Key inputs_EB'!$C45)</f>
        <v>0</v>
      </c>
      <c r="Z45" s="471">
        <f>SUMIFS('S7'!W:W,'S7'!$C:$C,'Key inputs_EB'!$E45,'S7'!$D:$D,'Key inputs_EB'!$C45)</f>
        <v>0</v>
      </c>
      <c r="AA45" s="471">
        <f>SUMIFS('S7'!X:X,'S7'!$C:$C,'Key inputs_EB'!$E45,'S7'!$D:$D,'Key inputs_EB'!$C45)</f>
        <v>0</v>
      </c>
      <c r="AB45" s="471">
        <f>SUMIFS('S7'!Y:Y,'S7'!$C:$C,'Key inputs_EB'!$E45,'S7'!$D:$D,'Key inputs_EB'!$C45)</f>
        <v>0</v>
      </c>
      <c r="AC45" s="471">
        <f>SUMIFS('S7'!Z:Z,'S7'!$C:$C,'Key inputs_EB'!$E45,'S7'!$D:$D,'Key inputs_EB'!$C45)</f>
        <v>0</v>
      </c>
      <c r="AD45" s="471">
        <f>SUMIFS('S7'!AA:AA,'S7'!$C:$C,'Key inputs_EB'!$E45,'S7'!$D:$D,'Key inputs_EB'!$C45)</f>
        <v>0</v>
      </c>
      <c r="AE45" s="471">
        <f>SUMIFS('S7'!AB:AB,'S7'!$C:$C,'Key inputs_EB'!$E45,'S7'!$D:$D,'Key inputs_EB'!$C45)</f>
        <v>0</v>
      </c>
      <c r="AF45" s="471">
        <f>SUMIFS('S7'!AC:AC,'S7'!$C:$C,'Key inputs_EB'!$E45,'S7'!$D:$D,'Key inputs_EB'!$C45)</f>
        <v>0</v>
      </c>
      <c r="AG45" s="471">
        <f>SUMIFS('S7'!AD:AD,'S7'!$C:$C,'Key inputs_EB'!$E45,'S7'!$D:$D,'Key inputs_EB'!$C45)</f>
        <v>0</v>
      </c>
      <c r="AH45" s="471">
        <f>SUMIFS('S7'!AE:AE,'S7'!$C:$C,'Key inputs_EB'!$E45,'S7'!$D:$D,'Key inputs_EB'!$C45)</f>
        <v>0</v>
      </c>
      <c r="AI45" s="471">
        <f>SUMIFS('S7'!AF:AF,'S7'!$C:$C,'Key inputs_EB'!$E45,'S7'!$D:$D,'Key inputs_EB'!$C45)</f>
        <v>0</v>
      </c>
    </row>
    <row r="46" spans="2:35" x14ac:dyDescent="0.3">
      <c r="B46" s="49" t="str">
        <f>Legend!A$50</f>
        <v>Electric Appliances</v>
      </c>
      <c r="C46" s="49" t="str">
        <f>LEFT(Legend!$C$4)&amp;"-"&amp;Legend!B$50</f>
        <v>S-EAP</v>
      </c>
      <c r="D46" s="49" t="str">
        <f>Legend!A$65</f>
        <v>Heat</v>
      </c>
      <c r="E46" s="49" t="str">
        <f>Legend!B$65</f>
        <v>SRVHET</v>
      </c>
      <c r="F46" s="49" t="s">
        <v>154</v>
      </c>
      <c r="H46" s="471">
        <f>SUMIFS('S7'!E:E,'S7'!$C:$C,'Key inputs_EB'!$E46,'S7'!$D:$D,'Key inputs_EB'!$C46)</f>
        <v>0</v>
      </c>
      <c r="I46" s="471">
        <f>SUMIFS('S7'!F:F,'S7'!$C:$C,'Key inputs_EB'!$E46,'S7'!$D:$D,'Key inputs_EB'!$C46)</f>
        <v>0</v>
      </c>
      <c r="J46" s="471">
        <f>SUMIFS('S7'!G:G,'S7'!$C:$C,'Key inputs_EB'!$E46,'S7'!$D:$D,'Key inputs_EB'!$C46)</f>
        <v>0</v>
      </c>
      <c r="K46" s="471">
        <f>SUMIFS('S7'!H:H,'S7'!$C:$C,'Key inputs_EB'!$E46,'S7'!$D:$D,'Key inputs_EB'!$C46)</f>
        <v>0</v>
      </c>
      <c r="L46" s="471">
        <f>SUMIFS('S7'!I:I,'S7'!$C:$C,'Key inputs_EB'!$E46,'S7'!$D:$D,'Key inputs_EB'!$C46)</f>
        <v>0</v>
      </c>
      <c r="M46" s="471">
        <f>SUMIFS('S7'!J:J,'S7'!$C:$C,'Key inputs_EB'!$E46,'S7'!$D:$D,'Key inputs_EB'!$C46)</f>
        <v>0</v>
      </c>
      <c r="N46" s="471">
        <f>SUMIFS('S7'!K:K,'S7'!$C:$C,'Key inputs_EB'!$E46,'S7'!$D:$D,'Key inputs_EB'!$C46)</f>
        <v>0</v>
      </c>
      <c r="O46" s="471">
        <f>SUMIFS('S7'!L:L,'S7'!$C:$C,'Key inputs_EB'!$E46,'S7'!$D:$D,'Key inputs_EB'!$C46)</f>
        <v>0</v>
      </c>
      <c r="P46" s="471">
        <f>SUMIFS('S7'!M:M,'S7'!$C:$C,'Key inputs_EB'!$E46,'S7'!$D:$D,'Key inputs_EB'!$C46)</f>
        <v>0</v>
      </c>
      <c r="Q46" s="471">
        <f>SUMIFS('S7'!N:N,'S7'!$C:$C,'Key inputs_EB'!$E46,'S7'!$D:$D,'Key inputs_EB'!$C46)</f>
        <v>0</v>
      </c>
      <c r="R46" s="471">
        <f>SUMIFS('S7'!O:O,'S7'!$C:$C,'Key inputs_EB'!$E46,'S7'!$D:$D,'Key inputs_EB'!$C46)</f>
        <v>0</v>
      </c>
      <c r="S46" s="471">
        <f>SUMIFS('S7'!P:P,'S7'!$C:$C,'Key inputs_EB'!$E46,'S7'!$D:$D,'Key inputs_EB'!$C46)</f>
        <v>0</v>
      </c>
      <c r="T46" s="471">
        <f>SUMIFS('S7'!Q:Q,'S7'!$C:$C,'Key inputs_EB'!$E46,'S7'!$D:$D,'Key inputs_EB'!$C46)</f>
        <v>0</v>
      </c>
      <c r="U46" s="471">
        <f>SUMIFS('S7'!R:R,'S7'!$C:$C,'Key inputs_EB'!$E46,'S7'!$D:$D,'Key inputs_EB'!$C46)</f>
        <v>0</v>
      </c>
      <c r="V46" s="471">
        <f>SUMIFS('S7'!S:S,'S7'!$C:$C,'Key inputs_EB'!$E46,'S7'!$D:$D,'Key inputs_EB'!$C46)</f>
        <v>0</v>
      </c>
      <c r="W46" s="471">
        <f>SUMIFS('S7'!T:T,'S7'!$C:$C,'Key inputs_EB'!$E46,'S7'!$D:$D,'Key inputs_EB'!$C46)</f>
        <v>0</v>
      </c>
      <c r="X46" s="471">
        <f>SUMIFS('S7'!U:U,'S7'!$C:$C,'Key inputs_EB'!$E46,'S7'!$D:$D,'Key inputs_EB'!$C46)</f>
        <v>0</v>
      </c>
      <c r="Y46" s="471">
        <f>SUMIFS('S7'!V:V,'S7'!$C:$C,'Key inputs_EB'!$E46,'S7'!$D:$D,'Key inputs_EB'!$C46)</f>
        <v>0</v>
      </c>
      <c r="Z46" s="471">
        <f>SUMIFS('S7'!W:W,'S7'!$C:$C,'Key inputs_EB'!$E46,'S7'!$D:$D,'Key inputs_EB'!$C46)</f>
        <v>0</v>
      </c>
      <c r="AA46" s="471">
        <f>SUMIFS('S7'!X:X,'S7'!$C:$C,'Key inputs_EB'!$E46,'S7'!$D:$D,'Key inputs_EB'!$C46)</f>
        <v>0</v>
      </c>
      <c r="AB46" s="471">
        <f>SUMIFS('S7'!Y:Y,'S7'!$C:$C,'Key inputs_EB'!$E46,'S7'!$D:$D,'Key inputs_EB'!$C46)</f>
        <v>0</v>
      </c>
      <c r="AC46" s="471">
        <f>SUMIFS('S7'!Z:Z,'S7'!$C:$C,'Key inputs_EB'!$E46,'S7'!$D:$D,'Key inputs_EB'!$C46)</f>
        <v>0</v>
      </c>
      <c r="AD46" s="471">
        <f>SUMIFS('S7'!AA:AA,'S7'!$C:$C,'Key inputs_EB'!$E46,'S7'!$D:$D,'Key inputs_EB'!$C46)</f>
        <v>0</v>
      </c>
      <c r="AE46" s="471">
        <f>SUMIFS('S7'!AB:AB,'S7'!$C:$C,'Key inputs_EB'!$E46,'S7'!$D:$D,'Key inputs_EB'!$C46)</f>
        <v>0</v>
      </c>
      <c r="AF46" s="471">
        <f>SUMIFS('S7'!AC:AC,'S7'!$C:$C,'Key inputs_EB'!$E46,'S7'!$D:$D,'Key inputs_EB'!$C46)</f>
        <v>0</v>
      </c>
      <c r="AG46" s="471">
        <f>SUMIFS('S7'!AD:AD,'S7'!$C:$C,'Key inputs_EB'!$E46,'S7'!$D:$D,'Key inputs_EB'!$C46)</f>
        <v>0</v>
      </c>
      <c r="AH46" s="471">
        <f>SUMIFS('S7'!AE:AE,'S7'!$C:$C,'Key inputs_EB'!$E46,'S7'!$D:$D,'Key inputs_EB'!$C46)</f>
        <v>0</v>
      </c>
      <c r="AI46" s="471">
        <f>SUMIFS('S7'!AF:AF,'S7'!$C:$C,'Key inputs_EB'!$E46,'S7'!$D:$D,'Key inputs_EB'!$C46)</f>
        <v>0</v>
      </c>
    </row>
    <row r="47" spans="2:35" x14ac:dyDescent="0.3">
      <c r="B47" s="49" t="str">
        <f>Legend!A$51</f>
        <v>Other uses</v>
      </c>
      <c r="C47" s="49" t="str">
        <f>LEFT(Legend!$C$4)&amp;"-"&amp;Legend!B$51</f>
        <v>S-OTH</v>
      </c>
      <c r="D47" s="49" t="str">
        <f>Legend!A$65</f>
        <v>Heat</v>
      </c>
      <c r="E47" s="49" t="str">
        <f>Legend!B$65</f>
        <v>SRVHET</v>
      </c>
      <c r="F47" s="49" t="s">
        <v>154</v>
      </c>
      <c r="H47" s="471">
        <f>SUMIFS('S7'!E:E,'S7'!$C:$C,'Key inputs_EB'!$E47,'S7'!$D:$D,'Key inputs_EB'!$C47)</f>
        <v>0</v>
      </c>
      <c r="I47" s="471">
        <f>SUMIFS('S7'!F:F,'S7'!$C:$C,'Key inputs_EB'!$E47,'S7'!$D:$D,'Key inputs_EB'!$C47)</f>
        <v>0</v>
      </c>
      <c r="J47" s="471">
        <f>SUMIFS('S7'!G:G,'S7'!$C:$C,'Key inputs_EB'!$E47,'S7'!$D:$D,'Key inputs_EB'!$C47)</f>
        <v>0</v>
      </c>
      <c r="K47" s="471">
        <f>SUMIFS('S7'!H:H,'S7'!$C:$C,'Key inputs_EB'!$E47,'S7'!$D:$D,'Key inputs_EB'!$C47)</f>
        <v>0</v>
      </c>
      <c r="L47" s="471">
        <f>SUMIFS('S7'!I:I,'S7'!$C:$C,'Key inputs_EB'!$E47,'S7'!$D:$D,'Key inputs_EB'!$C47)</f>
        <v>0</v>
      </c>
      <c r="M47" s="471">
        <f>SUMIFS('S7'!J:J,'S7'!$C:$C,'Key inputs_EB'!$E47,'S7'!$D:$D,'Key inputs_EB'!$C47)</f>
        <v>0</v>
      </c>
      <c r="N47" s="471">
        <f>SUMIFS('S7'!K:K,'S7'!$C:$C,'Key inputs_EB'!$E47,'S7'!$D:$D,'Key inputs_EB'!$C47)</f>
        <v>0</v>
      </c>
      <c r="O47" s="471">
        <f>SUMIFS('S7'!L:L,'S7'!$C:$C,'Key inputs_EB'!$E47,'S7'!$D:$D,'Key inputs_EB'!$C47)</f>
        <v>0</v>
      </c>
      <c r="P47" s="471">
        <f>SUMIFS('S7'!M:M,'S7'!$C:$C,'Key inputs_EB'!$E47,'S7'!$D:$D,'Key inputs_EB'!$C47)</f>
        <v>0</v>
      </c>
      <c r="Q47" s="471">
        <f>SUMIFS('S7'!N:N,'S7'!$C:$C,'Key inputs_EB'!$E47,'S7'!$D:$D,'Key inputs_EB'!$C47)</f>
        <v>0</v>
      </c>
      <c r="R47" s="471">
        <f>SUMIFS('S7'!O:O,'S7'!$C:$C,'Key inputs_EB'!$E47,'S7'!$D:$D,'Key inputs_EB'!$C47)</f>
        <v>0</v>
      </c>
      <c r="S47" s="471">
        <f>SUMIFS('S7'!P:P,'S7'!$C:$C,'Key inputs_EB'!$E47,'S7'!$D:$D,'Key inputs_EB'!$C47)</f>
        <v>0</v>
      </c>
      <c r="T47" s="471">
        <f>SUMIFS('S7'!Q:Q,'S7'!$C:$C,'Key inputs_EB'!$E47,'S7'!$D:$D,'Key inputs_EB'!$C47)</f>
        <v>0</v>
      </c>
      <c r="U47" s="471">
        <f>SUMIFS('S7'!R:R,'S7'!$C:$C,'Key inputs_EB'!$E47,'S7'!$D:$D,'Key inputs_EB'!$C47)</f>
        <v>0</v>
      </c>
      <c r="V47" s="471">
        <f>SUMIFS('S7'!S:S,'S7'!$C:$C,'Key inputs_EB'!$E47,'S7'!$D:$D,'Key inputs_EB'!$C47)</f>
        <v>0</v>
      </c>
      <c r="W47" s="471">
        <f>SUMIFS('S7'!T:T,'S7'!$C:$C,'Key inputs_EB'!$E47,'S7'!$D:$D,'Key inputs_EB'!$C47)</f>
        <v>0</v>
      </c>
      <c r="X47" s="471">
        <f>SUMIFS('S7'!U:U,'S7'!$C:$C,'Key inputs_EB'!$E47,'S7'!$D:$D,'Key inputs_EB'!$C47)</f>
        <v>0</v>
      </c>
      <c r="Y47" s="471">
        <f>SUMIFS('S7'!V:V,'S7'!$C:$C,'Key inputs_EB'!$E47,'S7'!$D:$D,'Key inputs_EB'!$C47)</f>
        <v>0</v>
      </c>
      <c r="Z47" s="471">
        <f>SUMIFS('S7'!W:W,'S7'!$C:$C,'Key inputs_EB'!$E47,'S7'!$D:$D,'Key inputs_EB'!$C47)</f>
        <v>0</v>
      </c>
      <c r="AA47" s="471">
        <f>SUMIFS('S7'!X:X,'S7'!$C:$C,'Key inputs_EB'!$E47,'S7'!$D:$D,'Key inputs_EB'!$C47)</f>
        <v>0</v>
      </c>
      <c r="AB47" s="471">
        <f>SUMIFS('S7'!Y:Y,'S7'!$C:$C,'Key inputs_EB'!$E47,'S7'!$D:$D,'Key inputs_EB'!$C47)</f>
        <v>0</v>
      </c>
      <c r="AC47" s="471">
        <f>SUMIFS('S7'!Z:Z,'S7'!$C:$C,'Key inputs_EB'!$E47,'S7'!$D:$D,'Key inputs_EB'!$C47)</f>
        <v>0</v>
      </c>
      <c r="AD47" s="471">
        <f>SUMIFS('S7'!AA:AA,'S7'!$C:$C,'Key inputs_EB'!$E47,'S7'!$D:$D,'Key inputs_EB'!$C47)</f>
        <v>0</v>
      </c>
      <c r="AE47" s="471">
        <f>SUMIFS('S7'!AB:AB,'S7'!$C:$C,'Key inputs_EB'!$E47,'S7'!$D:$D,'Key inputs_EB'!$C47)</f>
        <v>0</v>
      </c>
      <c r="AF47" s="471">
        <f>SUMIFS('S7'!AC:AC,'S7'!$C:$C,'Key inputs_EB'!$E47,'S7'!$D:$D,'Key inputs_EB'!$C47)</f>
        <v>0</v>
      </c>
      <c r="AG47" s="471">
        <f>SUMIFS('S7'!AD:AD,'S7'!$C:$C,'Key inputs_EB'!$E47,'S7'!$D:$D,'Key inputs_EB'!$C47)</f>
        <v>0</v>
      </c>
      <c r="AH47" s="471">
        <f>SUMIFS('S7'!AE:AE,'S7'!$C:$C,'Key inputs_EB'!$E47,'S7'!$D:$D,'Key inputs_EB'!$C47)</f>
        <v>0</v>
      </c>
      <c r="AI47" s="471">
        <f>SUMIFS('S7'!AF:AF,'S7'!$C:$C,'Key inputs_EB'!$E47,'S7'!$D:$D,'Key inputs_EB'!$C47)</f>
        <v>0</v>
      </c>
    </row>
    <row r="48" spans="2:35" s="76" customFormat="1" ht="13.8" x14ac:dyDescent="0.3">
      <c r="B48" s="73"/>
      <c r="C48" s="74" t="s">
        <v>157</v>
      </c>
      <c r="D48" s="73"/>
      <c r="E48" s="73"/>
      <c r="F48" s="74"/>
      <c r="G48" s="74"/>
      <c r="H48" s="75">
        <f t="shared" ref="H48:AI48" si="10">IF(H$4="","",IF(SUM(H42:H47)=0,"",IF(SUM(H42:H47)&lt;&gt;1,"CHECK",SUM(H42:H47))))</f>
        <v>1</v>
      </c>
      <c r="I48" s="75">
        <f t="shared" si="10"/>
        <v>1</v>
      </c>
      <c r="J48" s="75">
        <f t="shared" si="10"/>
        <v>1</v>
      </c>
      <c r="K48" s="75">
        <f t="shared" si="10"/>
        <v>1</v>
      </c>
      <c r="L48" s="75">
        <f t="shared" si="10"/>
        <v>1</v>
      </c>
      <c r="M48" s="75">
        <f t="shared" si="10"/>
        <v>1</v>
      </c>
      <c r="N48" s="75">
        <f t="shared" si="10"/>
        <v>1</v>
      </c>
      <c r="O48" s="75">
        <f t="shared" si="10"/>
        <v>1</v>
      </c>
      <c r="P48" s="75">
        <f t="shared" si="10"/>
        <v>1</v>
      </c>
      <c r="Q48" s="75">
        <f t="shared" si="10"/>
        <v>1</v>
      </c>
      <c r="R48" s="75">
        <f t="shared" si="10"/>
        <v>1</v>
      </c>
      <c r="S48" s="75">
        <f t="shared" si="10"/>
        <v>1</v>
      </c>
      <c r="T48" s="75">
        <f t="shared" si="10"/>
        <v>1</v>
      </c>
      <c r="U48" s="75">
        <f t="shared" si="10"/>
        <v>1</v>
      </c>
      <c r="V48" s="75">
        <f t="shared" si="10"/>
        <v>1</v>
      </c>
      <c r="W48" s="75">
        <f t="shared" si="10"/>
        <v>1</v>
      </c>
      <c r="X48" s="75">
        <f t="shared" si="10"/>
        <v>1</v>
      </c>
      <c r="Y48" s="75">
        <f t="shared" si="10"/>
        <v>1</v>
      </c>
      <c r="Z48" s="75">
        <f t="shared" si="10"/>
        <v>1</v>
      </c>
      <c r="AA48" s="75">
        <f t="shared" si="10"/>
        <v>1</v>
      </c>
      <c r="AB48" s="75">
        <f t="shared" si="10"/>
        <v>1</v>
      </c>
      <c r="AC48" s="75">
        <f t="shared" si="10"/>
        <v>1</v>
      </c>
      <c r="AD48" s="75">
        <f t="shared" si="10"/>
        <v>1</v>
      </c>
      <c r="AE48" s="75">
        <f t="shared" si="10"/>
        <v>1</v>
      </c>
      <c r="AF48" s="75">
        <f t="shared" si="10"/>
        <v>1</v>
      </c>
      <c r="AG48" s="75">
        <f t="shared" si="10"/>
        <v>1</v>
      </c>
      <c r="AH48" s="75">
        <f t="shared" si="10"/>
        <v>1</v>
      </c>
      <c r="AI48" s="75">
        <f t="shared" si="10"/>
        <v>1</v>
      </c>
    </row>
    <row r="49" spans="2:35" x14ac:dyDescent="0.3">
      <c r="B49" s="49" t="str">
        <f>Legend!A$45</f>
        <v>Thermal uses</v>
      </c>
      <c r="C49" s="49" t="str">
        <f>LEFT(Legend!$C$4)&amp;"-"&amp;Legend!B$45</f>
        <v>S-TH</v>
      </c>
      <c r="D49" s="49" t="str">
        <f>Legend!A$66</f>
        <v>Liquid biofuels</v>
      </c>
      <c r="E49" s="49" t="str">
        <f>Legend!B$66</f>
        <v>SRVBLQ</v>
      </c>
      <c r="F49" s="49" t="s">
        <v>154</v>
      </c>
      <c r="H49" s="471">
        <f>H20</f>
        <v>1</v>
      </c>
      <c r="I49" s="471">
        <f t="shared" ref="I49:AI49" si="11">I20</f>
        <v>1</v>
      </c>
      <c r="J49" s="471">
        <f t="shared" si="11"/>
        <v>1</v>
      </c>
      <c r="K49" s="471">
        <f t="shared" si="11"/>
        <v>1</v>
      </c>
      <c r="L49" s="471">
        <f t="shared" si="11"/>
        <v>1</v>
      </c>
      <c r="M49" s="471">
        <f t="shared" si="11"/>
        <v>1</v>
      </c>
      <c r="N49" s="471">
        <f t="shared" si="11"/>
        <v>0.7</v>
      </c>
      <c r="O49" s="471">
        <f t="shared" si="11"/>
        <v>0.7</v>
      </c>
      <c r="P49" s="471">
        <f t="shared" si="11"/>
        <v>0.5</v>
      </c>
      <c r="Q49" s="471">
        <f t="shared" si="11"/>
        <v>1</v>
      </c>
      <c r="R49" s="471">
        <f t="shared" si="11"/>
        <v>0.5</v>
      </c>
      <c r="S49" s="471">
        <f t="shared" si="11"/>
        <v>0.5</v>
      </c>
      <c r="T49" s="471">
        <f t="shared" si="11"/>
        <v>1</v>
      </c>
      <c r="U49" s="471">
        <f t="shared" si="11"/>
        <v>1</v>
      </c>
      <c r="V49" s="471">
        <f t="shared" si="11"/>
        <v>1</v>
      </c>
      <c r="W49" s="471">
        <f t="shared" si="11"/>
        <v>1</v>
      </c>
      <c r="X49" s="471">
        <f t="shared" si="11"/>
        <v>1</v>
      </c>
      <c r="Y49" s="471">
        <f t="shared" si="11"/>
        <v>0.7</v>
      </c>
      <c r="Z49" s="471">
        <f t="shared" si="11"/>
        <v>0.5</v>
      </c>
      <c r="AA49" s="471">
        <f t="shared" si="11"/>
        <v>1</v>
      </c>
      <c r="AB49" s="471">
        <f t="shared" si="11"/>
        <v>0.5</v>
      </c>
      <c r="AC49" s="471">
        <f t="shared" si="11"/>
        <v>0.4</v>
      </c>
      <c r="AD49" s="471">
        <f t="shared" si="11"/>
        <v>0.4</v>
      </c>
      <c r="AE49" s="471">
        <f t="shared" si="11"/>
        <v>0.4</v>
      </c>
      <c r="AF49" s="471">
        <f t="shared" si="11"/>
        <v>1</v>
      </c>
      <c r="AG49" s="471">
        <f t="shared" si="11"/>
        <v>1</v>
      </c>
      <c r="AH49" s="471">
        <f t="shared" si="11"/>
        <v>1</v>
      </c>
      <c r="AI49" s="471">
        <f t="shared" si="11"/>
        <v>0.93</v>
      </c>
    </row>
    <row r="50" spans="2:35" x14ac:dyDescent="0.3">
      <c r="B50" s="49" t="str">
        <f>Legend!A$46</f>
        <v>Air conditioning</v>
      </c>
      <c r="C50" s="49" t="str">
        <f>LEFT(Legend!$C$4)&amp;"-"&amp;Legend!B$46</f>
        <v>S-AC</v>
      </c>
      <c r="D50" s="49" t="str">
        <f>Legend!A$66</f>
        <v>Liquid biofuels</v>
      </c>
      <c r="E50" s="49" t="str">
        <f>Legend!B$66</f>
        <v>SRVBLQ</v>
      </c>
      <c r="F50" s="49" t="s">
        <v>154</v>
      </c>
      <c r="H50" s="471">
        <f t="shared" ref="H50:AI50" si="12">H21</f>
        <v>0</v>
      </c>
      <c r="I50" s="471">
        <f t="shared" si="12"/>
        <v>0</v>
      </c>
      <c r="J50" s="471">
        <f t="shared" si="12"/>
        <v>0</v>
      </c>
      <c r="K50" s="471">
        <f t="shared" si="12"/>
        <v>0</v>
      </c>
      <c r="L50" s="471">
        <f t="shared" si="12"/>
        <v>0</v>
      </c>
      <c r="M50" s="471">
        <f t="shared" si="12"/>
        <v>0</v>
      </c>
      <c r="N50" s="471">
        <f t="shared" si="12"/>
        <v>0</v>
      </c>
      <c r="O50" s="471">
        <f t="shared" si="12"/>
        <v>0</v>
      </c>
      <c r="P50" s="471">
        <f t="shared" si="12"/>
        <v>0</v>
      </c>
      <c r="Q50" s="471">
        <f t="shared" si="12"/>
        <v>0</v>
      </c>
      <c r="R50" s="471">
        <f t="shared" si="12"/>
        <v>0</v>
      </c>
      <c r="S50" s="471">
        <f t="shared" si="12"/>
        <v>0</v>
      </c>
      <c r="T50" s="471">
        <f t="shared" si="12"/>
        <v>0</v>
      </c>
      <c r="U50" s="471">
        <f t="shared" si="12"/>
        <v>0</v>
      </c>
      <c r="V50" s="471">
        <f t="shared" si="12"/>
        <v>0</v>
      </c>
      <c r="W50" s="471">
        <f t="shared" si="12"/>
        <v>0</v>
      </c>
      <c r="X50" s="471">
        <f t="shared" si="12"/>
        <v>0</v>
      </c>
      <c r="Y50" s="471">
        <f t="shared" si="12"/>
        <v>0</v>
      </c>
      <c r="Z50" s="471">
        <f t="shared" si="12"/>
        <v>0</v>
      </c>
      <c r="AA50" s="471">
        <f t="shared" si="12"/>
        <v>0</v>
      </c>
      <c r="AB50" s="471">
        <f t="shared" si="12"/>
        <v>0</v>
      </c>
      <c r="AC50" s="471">
        <f t="shared" si="12"/>
        <v>0</v>
      </c>
      <c r="AD50" s="471">
        <f t="shared" si="12"/>
        <v>0</v>
      </c>
      <c r="AE50" s="471">
        <f t="shared" si="12"/>
        <v>0</v>
      </c>
      <c r="AF50" s="471">
        <f t="shared" si="12"/>
        <v>0</v>
      </c>
      <c r="AG50" s="471">
        <f t="shared" si="12"/>
        <v>0</v>
      </c>
      <c r="AH50" s="471">
        <f t="shared" si="12"/>
        <v>0</v>
      </c>
      <c r="AI50" s="471">
        <f t="shared" si="12"/>
        <v>0</v>
      </c>
    </row>
    <row r="51" spans="2:35" x14ac:dyDescent="0.3">
      <c r="B51" s="49" t="str">
        <f>Legend!A$47</f>
        <v>Cooking</v>
      </c>
      <c r="C51" s="49" t="str">
        <f>LEFT(Legend!$C$4)&amp;"-"&amp;Legend!B$47</f>
        <v>S-CK</v>
      </c>
      <c r="D51" s="49" t="str">
        <f>Legend!A$66</f>
        <v>Liquid biofuels</v>
      </c>
      <c r="E51" s="49" t="str">
        <f>Legend!B$66</f>
        <v>SRVBLQ</v>
      </c>
      <c r="F51" s="49" t="s">
        <v>154</v>
      </c>
      <c r="H51" s="471">
        <f t="shared" ref="H51:AI51" si="13">H22</f>
        <v>0</v>
      </c>
      <c r="I51" s="471">
        <f t="shared" si="13"/>
        <v>0</v>
      </c>
      <c r="J51" s="471">
        <f t="shared" si="13"/>
        <v>0</v>
      </c>
      <c r="K51" s="471">
        <f t="shared" si="13"/>
        <v>0</v>
      </c>
      <c r="L51" s="471">
        <f t="shared" si="13"/>
        <v>0</v>
      </c>
      <c r="M51" s="471">
        <f t="shared" si="13"/>
        <v>0</v>
      </c>
      <c r="N51" s="471">
        <f>N22</f>
        <v>0.3</v>
      </c>
      <c r="O51" s="471">
        <f t="shared" si="13"/>
        <v>0.3</v>
      </c>
      <c r="P51" s="471">
        <f t="shared" si="13"/>
        <v>0.5</v>
      </c>
      <c r="Q51" s="471">
        <f t="shared" si="13"/>
        <v>0</v>
      </c>
      <c r="R51" s="471">
        <f t="shared" si="13"/>
        <v>0.5</v>
      </c>
      <c r="S51" s="471">
        <f t="shared" si="13"/>
        <v>0.5</v>
      </c>
      <c r="T51" s="471">
        <f t="shared" si="13"/>
        <v>0</v>
      </c>
      <c r="U51" s="471">
        <f t="shared" si="13"/>
        <v>0</v>
      </c>
      <c r="V51" s="471">
        <f t="shared" si="13"/>
        <v>0</v>
      </c>
      <c r="W51" s="471">
        <f t="shared" si="13"/>
        <v>0</v>
      </c>
      <c r="X51" s="471">
        <f t="shared" si="13"/>
        <v>0</v>
      </c>
      <c r="Y51" s="471">
        <f t="shared" si="13"/>
        <v>0.3</v>
      </c>
      <c r="Z51" s="471">
        <f t="shared" si="13"/>
        <v>0.5</v>
      </c>
      <c r="AA51" s="471">
        <f t="shared" si="13"/>
        <v>0</v>
      </c>
      <c r="AB51" s="471">
        <f t="shared" si="13"/>
        <v>0.5</v>
      </c>
      <c r="AC51" s="471">
        <f t="shared" si="13"/>
        <v>0.6</v>
      </c>
      <c r="AD51" s="471">
        <f t="shared" si="13"/>
        <v>0.6</v>
      </c>
      <c r="AE51" s="471">
        <f t="shared" si="13"/>
        <v>0.6</v>
      </c>
      <c r="AF51" s="471">
        <f t="shared" si="13"/>
        <v>0</v>
      </c>
      <c r="AG51" s="471">
        <f t="shared" si="13"/>
        <v>0</v>
      </c>
      <c r="AH51" s="471">
        <f t="shared" si="13"/>
        <v>0</v>
      </c>
      <c r="AI51" s="471">
        <f t="shared" si="13"/>
        <v>0</v>
      </c>
    </row>
    <row r="52" spans="2:35" x14ac:dyDescent="0.3">
      <c r="B52" s="49" t="str">
        <f>Legend!A$49</f>
        <v>Lighting</v>
      </c>
      <c r="C52" s="49" t="str">
        <f>LEFT(Legend!$C$4)&amp;"-"&amp;Legend!B$49</f>
        <v>S-LIG</v>
      </c>
      <c r="D52" s="49" t="str">
        <f>Legend!A$66</f>
        <v>Liquid biofuels</v>
      </c>
      <c r="E52" s="49" t="str">
        <f>Legend!B$66</f>
        <v>SRVBLQ</v>
      </c>
      <c r="F52" s="49" t="s">
        <v>154</v>
      </c>
      <c r="H52" s="471">
        <f t="shared" ref="H52:AI52" si="14">H23</f>
        <v>0</v>
      </c>
      <c r="I52" s="471">
        <f t="shared" si="14"/>
        <v>0</v>
      </c>
      <c r="J52" s="471">
        <f t="shared" si="14"/>
        <v>0</v>
      </c>
      <c r="K52" s="471">
        <f t="shared" si="14"/>
        <v>0</v>
      </c>
      <c r="L52" s="471">
        <f t="shared" si="14"/>
        <v>0</v>
      </c>
      <c r="M52" s="471">
        <f t="shared" si="14"/>
        <v>0</v>
      </c>
      <c r="N52" s="471">
        <f t="shared" si="14"/>
        <v>0</v>
      </c>
      <c r="O52" s="471">
        <f t="shared" si="14"/>
        <v>0</v>
      </c>
      <c r="P52" s="471">
        <f t="shared" si="14"/>
        <v>0</v>
      </c>
      <c r="Q52" s="471">
        <f t="shared" si="14"/>
        <v>0</v>
      </c>
      <c r="R52" s="471">
        <f t="shared" si="14"/>
        <v>0</v>
      </c>
      <c r="S52" s="471">
        <f t="shared" si="14"/>
        <v>0</v>
      </c>
      <c r="T52" s="471">
        <f t="shared" si="14"/>
        <v>0</v>
      </c>
      <c r="U52" s="471">
        <f t="shared" si="14"/>
        <v>0</v>
      </c>
      <c r="V52" s="471">
        <f t="shared" si="14"/>
        <v>0</v>
      </c>
      <c r="W52" s="471">
        <f t="shared" si="14"/>
        <v>0</v>
      </c>
      <c r="X52" s="471">
        <f t="shared" si="14"/>
        <v>0</v>
      </c>
      <c r="Y52" s="471">
        <f t="shared" si="14"/>
        <v>0</v>
      </c>
      <c r="Z52" s="471">
        <f t="shared" si="14"/>
        <v>0</v>
      </c>
      <c r="AA52" s="471">
        <f t="shared" si="14"/>
        <v>0</v>
      </c>
      <c r="AB52" s="471">
        <f t="shared" si="14"/>
        <v>0</v>
      </c>
      <c r="AC52" s="471">
        <f t="shared" si="14"/>
        <v>0</v>
      </c>
      <c r="AD52" s="471">
        <f t="shared" si="14"/>
        <v>0</v>
      </c>
      <c r="AE52" s="471">
        <f t="shared" si="14"/>
        <v>0</v>
      </c>
      <c r="AF52" s="471">
        <f t="shared" si="14"/>
        <v>0</v>
      </c>
      <c r="AG52" s="471">
        <f t="shared" si="14"/>
        <v>0</v>
      </c>
      <c r="AH52" s="471">
        <f t="shared" si="14"/>
        <v>0</v>
      </c>
      <c r="AI52" s="471">
        <f t="shared" si="14"/>
        <v>0</v>
      </c>
    </row>
    <row r="53" spans="2:35" x14ac:dyDescent="0.3">
      <c r="B53" s="49" t="str">
        <f>Legend!A$50</f>
        <v>Electric Appliances</v>
      </c>
      <c r="C53" s="49" t="str">
        <f>LEFT(Legend!$C$4)&amp;"-"&amp;Legend!B$50</f>
        <v>S-EAP</v>
      </c>
      <c r="D53" s="49" t="str">
        <f>Legend!A$66</f>
        <v>Liquid biofuels</v>
      </c>
      <c r="E53" s="49" t="str">
        <f>Legend!B$66</f>
        <v>SRVBLQ</v>
      </c>
      <c r="F53" s="49" t="s">
        <v>154</v>
      </c>
      <c r="H53" s="471">
        <f t="shared" ref="H53:AI53" si="15">H24</f>
        <v>0</v>
      </c>
      <c r="I53" s="471">
        <f t="shared" si="15"/>
        <v>0</v>
      </c>
      <c r="J53" s="471">
        <f t="shared" si="15"/>
        <v>0</v>
      </c>
      <c r="K53" s="471">
        <f t="shared" si="15"/>
        <v>0</v>
      </c>
      <c r="L53" s="471">
        <f t="shared" si="15"/>
        <v>0</v>
      </c>
      <c r="M53" s="471">
        <f t="shared" si="15"/>
        <v>0</v>
      </c>
      <c r="N53" s="471">
        <f t="shared" si="15"/>
        <v>0</v>
      </c>
      <c r="O53" s="471">
        <f t="shared" si="15"/>
        <v>0</v>
      </c>
      <c r="P53" s="471">
        <f t="shared" si="15"/>
        <v>0</v>
      </c>
      <c r="Q53" s="471">
        <f t="shared" si="15"/>
        <v>0</v>
      </c>
      <c r="R53" s="471">
        <f t="shared" si="15"/>
        <v>0</v>
      </c>
      <c r="S53" s="471">
        <f t="shared" si="15"/>
        <v>0</v>
      </c>
      <c r="T53" s="471">
        <f t="shared" si="15"/>
        <v>0</v>
      </c>
      <c r="U53" s="471">
        <f t="shared" si="15"/>
        <v>0</v>
      </c>
      <c r="V53" s="471">
        <f t="shared" si="15"/>
        <v>0</v>
      </c>
      <c r="W53" s="471">
        <f t="shared" si="15"/>
        <v>0</v>
      </c>
      <c r="X53" s="471">
        <f t="shared" si="15"/>
        <v>0</v>
      </c>
      <c r="Y53" s="471">
        <f t="shared" si="15"/>
        <v>0</v>
      </c>
      <c r="Z53" s="471">
        <f t="shared" si="15"/>
        <v>0</v>
      </c>
      <c r="AA53" s="471">
        <f t="shared" si="15"/>
        <v>0</v>
      </c>
      <c r="AB53" s="471">
        <f t="shared" si="15"/>
        <v>0</v>
      </c>
      <c r="AC53" s="471">
        <f t="shared" si="15"/>
        <v>0</v>
      </c>
      <c r="AD53" s="471">
        <f t="shared" si="15"/>
        <v>0</v>
      </c>
      <c r="AE53" s="471">
        <f t="shared" si="15"/>
        <v>0</v>
      </c>
      <c r="AF53" s="471">
        <f t="shared" si="15"/>
        <v>0</v>
      </c>
      <c r="AG53" s="471">
        <f t="shared" si="15"/>
        <v>0</v>
      </c>
      <c r="AH53" s="471">
        <f t="shared" si="15"/>
        <v>0</v>
      </c>
      <c r="AI53" s="471">
        <f t="shared" si="15"/>
        <v>0</v>
      </c>
    </row>
    <row r="54" spans="2:35" x14ac:dyDescent="0.3">
      <c r="B54" s="49" t="str">
        <f>Legend!A$51</f>
        <v>Other uses</v>
      </c>
      <c r="C54" s="49" t="str">
        <f>LEFT(Legend!$C$4)&amp;"-"&amp;Legend!B$51</f>
        <v>S-OTH</v>
      </c>
      <c r="D54" s="49" t="str">
        <f>Legend!A$66</f>
        <v>Liquid biofuels</v>
      </c>
      <c r="E54" s="49" t="str">
        <f>Legend!B$66</f>
        <v>SRVBLQ</v>
      </c>
      <c r="F54" s="49" t="s">
        <v>154</v>
      </c>
      <c r="H54" s="471">
        <f t="shared" ref="H54:AI54" si="16">H25</f>
        <v>0</v>
      </c>
      <c r="I54" s="471">
        <f t="shared" si="16"/>
        <v>0</v>
      </c>
      <c r="J54" s="471">
        <f t="shared" si="16"/>
        <v>0</v>
      </c>
      <c r="K54" s="471">
        <f t="shared" si="16"/>
        <v>0</v>
      </c>
      <c r="L54" s="471">
        <f t="shared" si="16"/>
        <v>0</v>
      </c>
      <c r="M54" s="471">
        <f t="shared" si="16"/>
        <v>0</v>
      </c>
      <c r="N54" s="471">
        <f t="shared" si="16"/>
        <v>0</v>
      </c>
      <c r="O54" s="471">
        <f t="shared" si="16"/>
        <v>0</v>
      </c>
      <c r="P54" s="471">
        <f t="shared" si="16"/>
        <v>0</v>
      </c>
      <c r="Q54" s="471">
        <f t="shared" si="16"/>
        <v>0</v>
      </c>
      <c r="R54" s="471">
        <f t="shared" si="16"/>
        <v>0</v>
      </c>
      <c r="S54" s="471">
        <f t="shared" si="16"/>
        <v>0</v>
      </c>
      <c r="T54" s="471">
        <f t="shared" si="16"/>
        <v>0</v>
      </c>
      <c r="U54" s="471">
        <f t="shared" si="16"/>
        <v>0</v>
      </c>
      <c r="V54" s="471">
        <f t="shared" si="16"/>
        <v>0</v>
      </c>
      <c r="W54" s="471">
        <f t="shared" si="16"/>
        <v>0</v>
      </c>
      <c r="X54" s="471">
        <f t="shared" si="16"/>
        <v>0</v>
      </c>
      <c r="Y54" s="471">
        <f t="shared" si="16"/>
        <v>0</v>
      </c>
      <c r="Z54" s="471">
        <f t="shared" si="16"/>
        <v>0</v>
      </c>
      <c r="AA54" s="471">
        <f t="shared" si="16"/>
        <v>0</v>
      </c>
      <c r="AB54" s="471">
        <f t="shared" si="16"/>
        <v>0</v>
      </c>
      <c r="AC54" s="471">
        <f t="shared" si="16"/>
        <v>0</v>
      </c>
      <c r="AD54" s="471">
        <f t="shared" si="16"/>
        <v>0</v>
      </c>
      <c r="AE54" s="471">
        <f t="shared" si="16"/>
        <v>0</v>
      </c>
      <c r="AF54" s="471">
        <f t="shared" si="16"/>
        <v>0</v>
      </c>
      <c r="AG54" s="471">
        <f t="shared" si="16"/>
        <v>0</v>
      </c>
      <c r="AH54" s="471">
        <f t="shared" si="16"/>
        <v>0</v>
      </c>
      <c r="AI54" s="471">
        <f t="shared" si="16"/>
        <v>7.0000000000000007E-2</v>
      </c>
    </row>
    <row r="55" spans="2:35" s="76" customFormat="1" ht="13.8" x14ac:dyDescent="0.3">
      <c r="B55" s="73"/>
      <c r="C55" s="74" t="s">
        <v>157</v>
      </c>
      <c r="D55" s="73"/>
      <c r="E55" s="73"/>
      <c r="F55" s="74"/>
      <c r="G55" s="74"/>
      <c r="H55" s="75">
        <f t="shared" ref="H55:AI55" si="17">IF(H$4="","",IF(SUM(H49:H54)=0,"",IF(SUM(H49:H54)&lt;&gt;1,"CHECK",SUM(H49:H54))))</f>
        <v>1</v>
      </c>
      <c r="I55" s="75">
        <f t="shared" si="17"/>
        <v>1</v>
      </c>
      <c r="J55" s="75">
        <f t="shared" si="17"/>
        <v>1</v>
      </c>
      <c r="K55" s="75">
        <f t="shared" si="17"/>
        <v>1</v>
      </c>
      <c r="L55" s="75">
        <f t="shared" si="17"/>
        <v>1</v>
      </c>
      <c r="M55" s="75">
        <f t="shared" si="17"/>
        <v>1</v>
      </c>
      <c r="N55" s="75">
        <f t="shared" si="17"/>
        <v>1</v>
      </c>
      <c r="O55" s="75">
        <f t="shared" si="17"/>
        <v>1</v>
      </c>
      <c r="P55" s="75">
        <f t="shared" si="17"/>
        <v>1</v>
      </c>
      <c r="Q55" s="75">
        <f t="shared" si="17"/>
        <v>1</v>
      </c>
      <c r="R55" s="75">
        <f t="shared" si="17"/>
        <v>1</v>
      </c>
      <c r="S55" s="75">
        <f t="shared" si="17"/>
        <v>1</v>
      </c>
      <c r="T55" s="75">
        <f t="shared" si="17"/>
        <v>1</v>
      </c>
      <c r="U55" s="75">
        <f t="shared" si="17"/>
        <v>1</v>
      </c>
      <c r="V55" s="75">
        <f t="shared" si="17"/>
        <v>1</v>
      </c>
      <c r="W55" s="75">
        <f t="shared" si="17"/>
        <v>1</v>
      </c>
      <c r="X55" s="75">
        <f t="shared" si="17"/>
        <v>1</v>
      </c>
      <c r="Y55" s="75">
        <f t="shared" si="17"/>
        <v>1</v>
      </c>
      <c r="Z55" s="75">
        <f t="shared" si="17"/>
        <v>1</v>
      </c>
      <c r="AA55" s="75">
        <f t="shared" si="17"/>
        <v>1</v>
      </c>
      <c r="AB55" s="75">
        <f t="shared" si="17"/>
        <v>1</v>
      </c>
      <c r="AC55" s="75">
        <f t="shared" si="17"/>
        <v>1</v>
      </c>
      <c r="AD55" s="75">
        <f t="shared" si="17"/>
        <v>1</v>
      </c>
      <c r="AE55" s="75">
        <f t="shared" si="17"/>
        <v>1</v>
      </c>
      <c r="AF55" s="75">
        <f t="shared" si="17"/>
        <v>1</v>
      </c>
      <c r="AG55" s="75">
        <f t="shared" si="17"/>
        <v>1</v>
      </c>
      <c r="AH55" s="75">
        <f t="shared" si="17"/>
        <v>1</v>
      </c>
      <c r="AI55" s="75">
        <f t="shared" si="17"/>
        <v>1</v>
      </c>
    </row>
    <row r="56" spans="2:35" x14ac:dyDescent="0.3">
      <c r="B56" s="49" t="str">
        <f>Legend!A$45</f>
        <v>Thermal uses</v>
      </c>
      <c r="C56" s="49" t="str">
        <f>LEFT(Legend!$C$4)&amp;"-"&amp;Legend!B$45</f>
        <v>S-TH</v>
      </c>
      <c r="D56" s="49" t="str">
        <f>Legend!A$67</f>
        <v>LPG</v>
      </c>
      <c r="E56" s="49" t="str">
        <f>Legend!B$67</f>
        <v>SRVLPG</v>
      </c>
      <c r="F56" s="49" t="s">
        <v>154</v>
      </c>
      <c r="H56" s="471">
        <f>SUMIFS('S7'!E:E,'S7'!$C:$C,'Key inputs_EB'!$E56,'S7'!$D:$D,'Key inputs_EB'!$C56)</f>
        <v>0.30000000000000004</v>
      </c>
      <c r="I56" s="471">
        <f>SUMIFS('S7'!F:F,'S7'!$C:$C,'Key inputs_EB'!$E56,'S7'!$D:$D,'Key inputs_EB'!$C56)</f>
        <v>0.30000000000000004</v>
      </c>
      <c r="J56" s="471">
        <f>SUMIFS('S7'!G:G,'S7'!$C:$C,'Key inputs_EB'!$E56,'S7'!$D:$D,'Key inputs_EB'!$C56)</f>
        <v>0.30000000000000004</v>
      </c>
      <c r="K56" s="471">
        <f>SUMIFS('S7'!H:H,'S7'!$C:$C,'Key inputs_EB'!$E56,'S7'!$D:$D,'Key inputs_EB'!$C56)</f>
        <v>0.30000000000000004</v>
      </c>
      <c r="L56" s="471">
        <f>SUMIFS('S7'!I:I,'S7'!$C:$C,'Key inputs_EB'!$E56,'S7'!$D:$D,'Key inputs_EB'!$C56)</f>
        <v>0.6</v>
      </c>
      <c r="M56" s="471">
        <f>SUMIFS('S7'!J:J,'S7'!$C:$C,'Key inputs_EB'!$E56,'S7'!$D:$D,'Key inputs_EB'!$C56)</f>
        <v>0.92806891396946378</v>
      </c>
      <c r="N56" s="471">
        <f>SUMIFS('S7'!K:K,'S7'!$C:$C,'Key inputs_EB'!$E56,'S7'!$D:$D,'Key inputs_EB'!$C56)</f>
        <v>0.30000000000000004</v>
      </c>
      <c r="O56" s="471">
        <f>SUMIFS('S7'!L:L,'S7'!$C:$C,'Key inputs_EB'!$E56,'S7'!$D:$D,'Key inputs_EB'!$C56)</f>
        <v>0.30000000000000004</v>
      </c>
      <c r="P56" s="471">
        <f>SUMIFS('S7'!M:M,'S7'!$C:$C,'Key inputs_EB'!$E56,'S7'!$D:$D,'Key inputs_EB'!$C56)</f>
        <v>0.1</v>
      </c>
      <c r="Q56" s="471">
        <f>SUMIFS('S7'!N:N,'S7'!$C:$C,'Key inputs_EB'!$E56,'S7'!$D:$D,'Key inputs_EB'!$C56)</f>
        <v>0.30000000000000004</v>
      </c>
      <c r="R56" s="471">
        <f>SUMIFS('S7'!O:O,'S7'!$C:$C,'Key inputs_EB'!$E56,'S7'!$D:$D,'Key inputs_EB'!$C56)</f>
        <v>0.1</v>
      </c>
      <c r="S56" s="471">
        <f>SUMIFS('S7'!P:P,'S7'!$C:$C,'Key inputs_EB'!$E56,'S7'!$D:$D,'Key inputs_EB'!$C56)</f>
        <v>0.5</v>
      </c>
      <c r="T56" s="471">
        <f>SUMIFS('S7'!Q:Q,'S7'!$C:$C,'Key inputs_EB'!$E56,'S7'!$D:$D,'Key inputs_EB'!$C56)</f>
        <v>0.92806891396946378</v>
      </c>
      <c r="U56" s="471">
        <f>SUMIFS('S7'!R:R,'S7'!$C:$C,'Key inputs_EB'!$E56,'S7'!$D:$D,'Key inputs_EB'!$C56)</f>
        <v>0.5</v>
      </c>
      <c r="V56" s="471">
        <f>SUMIFS('S7'!S:S,'S7'!$C:$C,'Key inputs_EB'!$E56,'S7'!$D:$D,'Key inputs_EB'!$C56)</f>
        <v>0.92806891396946378</v>
      </c>
      <c r="W56" s="471">
        <f>SUMIFS('S7'!T:T,'S7'!$C:$C,'Key inputs_EB'!$E56,'S7'!$D:$D,'Key inputs_EB'!$C56)</f>
        <v>0.5</v>
      </c>
      <c r="X56" s="471">
        <f>SUMIFS('S7'!U:U,'S7'!$C:$C,'Key inputs_EB'!$E56,'S7'!$D:$D,'Key inputs_EB'!$C56)</f>
        <v>0.5</v>
      </c>
      <c r="Y56" s="471">
        <f>SUMIFS('S7'!V:V,'S7'!$C:$C,'Key inputs_EB'!$E56,'S7'!$D:$D,'Key inputs_EB'!$C56)</f>
        <v>0.30000000000000004</v>
      </c>
      <c r="Z56" s="471">
        <f>SUMIFS('S7'!W:W,'S7'!$C:$C,'Key inputs_EB'!$E56,'S7'!$D:$D,'Key inputs_EB'!$C56)</f>
        <v>0.1</v>
      </c>
      <c r="AA56" s="471">
        <f>SUMIFS('S7'!X:X,'S7'!$C:$C,'Key inputs_EB'!$E56,'S7'!$D:$D,'Key inputs_EB'!$C56)</f>
        <v>1</v>
      </c>
      <c r="AB56" s="471">
        <f>SUMIFS('S7'!Y:Y,'S7'!$C:$C,'Key inputs_EB'!$E56,'S7'!$D:$D,'Key inputs_EB'!$C56)</f>
        <v>0.1</v>
      </c>
      <c r="AC56" s="471">
        <f>SUMIFS('S7'!Z:Z,'S7'!$C:$C,'Key inputs_EB'!$E56,'S7'!$D:$D,'Key inputs_EB'!$C56)</f>
        <v>0.15000000000000002</v>
      </c>
      <c r="AD56" s="471">
        <f>SUMIFS('S7'!AA:AA,'S7'!$C:$C,'Key inputs_EB'!$E56,'S7'!$D:$D,'Key inputs_EB'!$C56)</f>
        <v>0.15000000000000002</v>
      </c>
      <c r="AE56" s="471">
        <f>SUMIFS('S7'!AB:AB,'S7'!$C:$C,'Key inputs_EB'!$E56,'S7'!$D:$D,'Key inputs_EB'!$C56)</f>
        <v>0.1</v>
      </c>
      <c r="AF56" s="471">
        <f>SUMIFS('S7'!AC:AC,'S7'!$C:$C,'Key inputs_EB'!$E56,'S7'!$D:$D,'Key inputs_EB'!$C56)</f>
        <v>0.30000000000000004</v>
      </c>
      <c r="AG56" s="471">
        <f>SUMIFS('S7'!AD:AD,'S7'!$C:$C,'Key inputs_EB'!$E56,'S7'!$D:$D,'Key inputs_EB'!$C56)</f>
        <v>0.92806891396946378</v>
      </c>
      <c r="AH56" s="471">
        <f>SUMIFS('S7'!AE:AE,'S7'!$C:$C,'Key inputs_EB'!$E56,'S7'!$D:$D,'Key inputs_EB'!$C56)</f>
        <v>0.95</v>
      </c>
      <c r="AI56" s="471">
        <f>SUMIFS('S7'!AF:AF,'S7'!$C:$C,'Key inputs_EB'!$E56,'S7'!$D:$D,'Key inputs_EB'!$C56)</f>
        <v>0.92806891396946378</v>
      </c>
    </row>
    <row r="57" spans="2:35" x14ac:dyDescent="0.3">
      <c r="B57" s="49" t="str">
        <f>Legend!A$46</f>
        <v>Air conditioning</v>
      </c>
      <c r="C57" s="49" t="str">
        <f>LEFT(Legend!$C$4)&amp;"-"&amp;Legend!B$46</f>
        <v>S-AC</v>
      </c>
      <c r="D57" s="49" t="str">
        <f>Legend!A$67</f>
        <v>LPG</v>
      </c>
      <c r="E57" s="49" t="str">
        <f>Legend!B$67</f>
        <v>SRVLPG</v>
      </c>
      <c r="F57" s="49" t="s">
        <v>154</v>
      </c>
      <c r="H57" s="471">
        <f>SUMIFS('S7'!E:E,'S7'!$C:$C,'Key inputs_EB'!$E57,'S7'!$D:$D,'Key inputs_EB'!$C57)</f>
        <v>0</v>
      </c>
      <c r="I57" s="471">
        <f>SUMIFS('S7'!F:F,'S7'!$C:$C,'Key inputs_EB'!$E57,'S7'!$D:$D,'Key inputs_EB'!$C57)</f>
        <v>0</v>
      </c>
      <c r="J57" s="471">
        <f>SUMIFS('S7'!G:G,'S7'!$C:$C,'Key inputs_EB'!$E57,'S7'!$D:$D,'Key inputs_EB'!$C57)</f>
        <v>0</v>
      </c>
      <c r="K57" s="471">
        <f>SUMIFS('S7'!H:H,'S7'!$C:$C,'Key inputs_EB'!$E57,'S7'!$D:$D,'Key inputs_EB'!$C57)</f>
        <v>0</v>
      </c>
      <c r="L57" s="471">
        <f>SUMIFS('S7'!I:I,'S7'!$C:$C,'Key inputs_EB'!$E57,'S7'!$D:$D,'Key inputs_EB'!$C57)</f>
        <v>0</v>
      </c>
      <c r="M57" s="471">
        <f>SUMIFS('S7'!J:J,'S7'!$C:$C,'Key inputs_EB'!$E57,'S7'!$D:$D,'Key inputs_EB'!$C57)</f>
        <v>0</v>
      </c>
      <c r="N57" s="471">
        <f>SUMIFS('S7'!K:K,'S7'!$C:$C,'Key inputs_EB'!$E57,'S7'!$D:$D,'Key inputs_EB'!$C57)</f>
        <v>0</v>
      </c>
      <c r="O57" s="471">
        <f>SUMIFS('S7'!L:L,'S7'!$C:$C,'Key inputs_EB'!$E57,'S7'!$D:$D,'Key inputs_EB'!$C57)</f>
        <v>0</v>
      </c>
      <c r="P57" s="471">
        <f>SUMIFS('S7'!M:M,'S7'!$C:$C,'Key inputs_EB'!$E57,'S7'!$D:$D,'Key inputs_EB'!$C57)</f>
        <v>0</v>
      </c>
      <c r="Q57" s="471">
        <f>SUMIFS('S7'!N:N,'S7'!$C:$C,'Key inputs_EB'!$E57,'S7'!$D:$D,'Key inputs_EB'!$C57)</f>
        <v>0</v>
      </c>
      <c r="R57" s="471">
        <f>SUMIFS('S7'!O:O,'S7'!$C:$C,'Key inputs_EB'!$E57,'S7'!$D:$D,'Key inputs_EB'!$C57)</f>
        <v>0</v>
      </c>
      <c r="S57" s="471">
        <f>SUMIFS('S7'!P:P,'S7'!$C:$C,'Key inputs_EB'!$E57,'S7'!$D:$D,'Key inputs_EB'!$C57)</f>
        <v>0</v>
      </c>
      <c r="T57" s="471">
        <f>SUMIFS('S7'!Q:Q,'S7'!$C:$C,'Key inputs_EB'!$E57,'S7'!$D:$D,'Key inputs_EB'!$C57)</f>
        <v>0</v>
      </c>
      <c r="U57" s="471">
        <f>SUMIFS('S7'!R:R,'S7'!$C:$C,'Key inputs_EB'!$E57,'S7'!$D:$D,'Key inputs_EB'!$C57)</f>
        <v>0</v>
      </c>
      <c r="V57" s="471">
        <f>SUMIFS('S7'!S:S,'S7'!$C:$C,'Key inputs_EB'!$E57,'S7'!$D:$D,'Key inputs_EB'!$C57)</f>
        <v>0</v>
      </c>
      <c r="W57" s="471">
        <f>SUMIFS('S7'!T:T,'S7'!$C:$C,'Key inputs_EB'!$E57,'S7'!$D:$D,'Key inputs_EB'!$C57)</f>
        <v>0</v>
      </c>
      <c r="X57" s="471">
        <f>SUMIFS('S7'!U:U,'S7'!$C:$C,'Key inputs_EB'!$E57,'S7'!$D:$D,'Key inputs_EB'!$C57)</f>
        <v>0</v>
      </c>
      <c r="Y57" s="471">
        <f>SUMIFS('S7'!V:V,'S7'!$C:$C,'Key inputs_EB'!$E57,'S7'!$D:$D,'Key inputs_EB'!$C57)</f>
        <v>0</v>
      </c>
      <c r="Z57" s="471">
        <f>SUMIFS('S7'!W:W,'S7'!$C:$C,'Key inputs_EB'!$E57,'S7'!$D:$D,'Key inputs_EB'!$C57)</f>
        <v>0</v>
      </c>
      <c r="AA57" s="471">
        <f>SUMIFS('S7'!X:X,'S7'!$C:$C,'Key inputs_EB'!$E57,'S7'!$D:$D,'Key inputs_EB'!$C57)</f>
        <v>0</v>
      </c>
      <c r="AB57" s="471">
        <f>SUMIFS('S7'!Y:Y,'S7'!$C:$C,'Key inputs_EB'!$E57,'S7'!$D:$D,'Key inputs_EB'!$C57)</f>
        <v>0</v>
      </c>
      <c r="AC57" s="471">
        <f>SUMIFS('S7'!Z:Z,'S7'!$C:$C,'Key inputs_EB'!$E57,'S7'!$D:$D,'Key inputs_EB'!$C57)</f>
        <v>0</v>
      </c>
      <c r="AD57" s="471">
        <f>SUMIFS('S7'!AA:AA,'S7'!$C:$C,'Key inputs_EB'!$E57,'S7'!$D:$D,'Key inputs_EB'!$C57)</f>
        <v>0</v>
      </c>
      <c r="AE57" s="471">
        <f>SUMIFS('S7'!AB:AB,'S7'!$C:$C,'Key inputs_EB'!$E57,'S7'!$D:$D,'Key inputs_EB'!$C57)</f>
        <v>0</v>
      </c>
      <c r="AF57" s="471">
        <f>SUMIFS('S7'!AC:AC,'S7'!$C:$C,'Key inputs_EB'!$E57,'S7'!$D:$D,'Key inputs_EB'!$C57)</f>
        <v>0</v>
      </c>
      <c r="AG57" s="471">
        <f>SUMIFS('S7'!AD:AD,'S7'!$C:$C,'Key inputs_EB'!$E57,'S7'!$D:$D,'Key inputs_EB'!$C57)</f>
        <v>0</v>
      </c>
      <c r="AH57" s="471">
        <f>SUMIFS('S7'!AE:AE,'S7'!$C:$C,'Key inputs_EB'!$E57,'S7'!$D:$D,'Key inputs_EB'!$C57)</f>
        <v>0</v>
      </c>
      <c r="AI57" s="471">
        <f>SUMIFS('S7'!AF:AF,'S7'!$C:$C,'Key inputs_EB'!$E57,'S7'!$D:$D,'Key inputs_EB'!$C57)</f>
        <v>0</v>
      </c>
    </row>
    <row r="58" spans="2:35" x14ac:dyDescent="0.3">
      <c r="B58" s="49" t="str">
        <f>Legend!A$47</f>
        <v>Cooking</v>
      </c>
      <c r="C58" s="49" t="str">
        <f>LEFT(Legend!$C$4)&amp;"-"&amp;Legend!B$47</f>
        <v>S-CK</v>
      </c>
      <c r="D58" s="49" t="str">
        <f>Legend!A$67</f>
        <v>LPG</v>
      </c>
      <c r="E58" s="49" t="str">
        <f>Legend!B$67</f>
        <v>SRVLPG</v>
      </c>
      <c r="F58" s="49" t="s">
        <v>154</v>
      </c>
      <c r="H58" s="471">
        <f>SUMIFS('S7'!E:E,'S7'!$C:$C,'Key inputs_EB'!$E58,'S7'!$D:$D,'Key inputs_EB'!$C58)</f>
        <v>0.7</v>
      </c>
      <c r="I58" s="471">
        <f>SUMIFS('S7'!F:F,'S7'!$C:$C,'Key inputs_EB'!$E58,'S7'!$D:$D,'Key inputs_EB'!$C58)</f>
        <v>0.7</v>
      </c>
      <c r="J58" s="471">
        <f>SUMIFS('S7'!G:G,'S7'!$C:$C,'Key inputs_EB'!$E58,'S7'!$D:$D,'Key inputs_EB'!$C58)</f>
        <v>0.7</v>
      </c>
      <c r="K58" s="471">
        <f>SUMIFS('S7'!H:H,'S7'!$C:$C,'Key inputs_EB'!$E58,'S7'!$D:$D,'Key inputs_EB'!$C58)</f>
        <v>0.7</v>
      </c>
      <c r="L58" s="471">
        <f>SUMIFS('S7'!I:I,'S7'!$C:$C,'Key inputs_EB'!$E58,'S7'!$D:$D,'Key inputs_EB'!$C58)</f>
        <v>0.4</v>
      </c>
      <c r="M58" s="471">
        <f>SUMIFS('S7'!J:J,'S7'!$C:$C,'Key inputs_EB'!$E58,'S7'!$D:$D,'Key inputs_EB'!$C58)</f>
        <v>7.193108603053619E-2</v>
      </c>
      <c r="N58" s="471">
        <f>SUMIFS('S7'!K:K,'S7'!$C:$C,'Key inputs_EB'!$E58,'S7'!$D:$D,'Key inputs_EB'!$C58)</f>
        <v>0.7</v>
      </c>
      <c r="O58" s="471">
        <f>SUMIFS('S7'!L:L,'S7'!$C:$C,'Key inputs_EB'!$E58,'S7'!$D:$D,'Key inputs_EB'!$C58)</f>
        <v>0.7</v>
      </c>
      <c r="P58" s="471">
        <f>SUMIFS('S7'!M:M,'S7'!$C:$C,'Key inputs_EB'!$E58,'S7'!$D:$D,'Key inputs_EB'!$C58)</f>
        <v>0.9</v>
      </c>
      <c r="Q58" s="471">
        <f>SUMIFS('S7'!N:N,'S7'!$C:$C,'Key inputs_EB'!$E58,'S7'!$D:$D,'Key inputs_EB'!$C58)</f>
        <v>0.7</v>
      </c>
      <c r="R58" s="471">
        <f>SUMIFS('S7'!O:O,'S7'!$C:$C,'Key inputs_EB'!$E58,'S7'!$D:$D,'Key inputs_EB'!$C58)</f>
        <v>0.9</v>
      </c>
      <c r="S58" s="471">
        <f>SUMIFS('S7'!P:P,'S7'!$C:$C,'Key inputs_EB'!$E58,'S7'!$D:$D,'Key inputs_EB'!$C58)</f>
        <v>0.5</v>
      </c>
      <c r="T58" s="471">
        <f>SUMIFS('S7'!Q:Q,'S7'!$C:$C,'Key inputs_EB'!$E58,'S7'!$D:$D,'Key inputs_EB'!$C58)</f>
        <v>7.193108603053619E-2</v>
      </c>
      <c r="U58" s="471">
        <f>SUMIFS('S7'!R:R,'S7'!$C:$C,'Key inputs_EB'!$E58,'S7'!$D:$D,'Key inputs_EB'!$C58)</f>
        <v>0.5</v>
      </c>
      <c r="V58" s="471">
        <f>SUMIFS('S7'!S:S,'S7'!$C:$C,'Key inputs_EB'!$E58,'S7'!$D:$D,'Key inputs_EB'!$C58)</f>
        <v>7.193108603053619E-2</v>
      </c>
      <c r="W58" s="471">
        <f>SUMIFS('S7'!T:T,'S7'!$C:$C,'Key inputs_EB'!$E58,'S7'!$D:$D,'Key inputs_EB'!$C58)</f>
        <v>0.5</v>
      </c>
      <c r="X58" s="471">
        <f>SUMIFS('S7'!U:U,'S7'!$C:$C,'Key inputs_EB'!$E58,'S7'!$D:$D,'Key inputs_EB'!$C58)</f>
        <v>0.5</v>
      </c>
      <c r="Y58" s="471">
        <f>SUMIFS('S7'!V:V,'S7'!$C:$C,'Key inputs_EB'!$E58,'S7'!$D:$D,'Key inputs_EB'!$C58)</f>
        <v>0.7</v>
      </c>
      <c r="Z58" s="471">
        <f>SUMIFS('S7'!W:W,'S7'!$C:$C,'Key inputs_EB'!$E58,'S7'!$D:$D,'Key inputs_EB'!$C58)</f>
        <v>0.9</v>
      </c>
      <c r="AA58" s="471">
        <f>SUMIFS('S7'!X:X,'S7'!$C:$C,'Key inputs_EB'!$E58,'S7'!$D:$D,'Key inputs_EB'!$C58)</f>
        <v>0</v>
      </c>
      <c r="AB58" s="471">
        <f>SUMIFS('S7'!Y:Y,'S7'!$C:$C,'Key inputs_EB'!$E58,'S7'!$D:$D,'Key inputs_EB'!$C58)</f>
        <v>0.9</v>
      </c>
      <c r="AC58" s="471">
        <f>SUMIFS('S7'!Z:Z,'S7'!$C:$C,'Key inputs_EB'!$E58,'S7'!$D:$D,'Key inputs_EB'!$C58)</f>
        <v>0.85</v>
      </c>
      <c r="AD58" s="471">
        <f>SUMIFS('S7'!AA:AA,'S7'!$C:$C,'Key inputs_EB'!$E58,'S7'!$D:$D,'Key inputs_EB'!$C58)</f>
        <v>0.85</v>
      </c>
      <c r="AE58" s="471">
        <f>SUMIFS('S7'!AB:AB,'S7'!$C:$C,'Key inputs_EB'!$E58,'S7'!$D:$D,'Key inputs_EB'!$C58)</f>
        <v>0.9</v>
      </c>
      <c r="AF58" s="471">
        <f>SUMIFS('S7'!AC:AC,'S7'!$C:$C,'Key inputs_EB'!$E58,'S7'!$D:$D,'Key inputs_EB'!$C58)</f>
        <v>0.7</v>
      </c>
      <c r="AG58" s="471">
        <f>SUMIFS('S7'!AD:AD,'S7'!$C:$C,'Key inputs_EB'!$E58,'S7'!$D:$D,'Key inputs_EB'!$C58)</f>
        <v>7.193108603053619E-2</v>
      </c>
      <c r="AH58" s="471">
        <f>SUMIFS('S7'!AE:AE,'S7'!$C:$C,'Key inputs_EB'!$E58,'S7'!$D:$D,'Key inputs_EB'!$C58)</f>
        <v>0.05</v>
      </c>
      <c r="AI58" s="471">
        <f>SUMIFS('S7'!AF:AF,'S7'!$C:$C,'Key inputs_EB'!$E58,'S7'!$D:$D,'Key inputs_EB'!$C58)</f>
        <v>7.193108603053619E-2</v>
      </c>
    </row>
    <row r="59" spans="2:35" x14ac:dyDescent="0.3">
      <c r="B59" s="49" t="str">
        <f>Legend!A$49</f>
        <v>Lighting</v>
      </c>
      <c r="C59" s="49" t="str">
        <f>LEFT(Legend!$C$4)&amp;"-"&amp;Legend!B$49</f>
        <v>S-LIG</v>
      </c>
      <c r="D59" s="49" t="str">
        <f>Legend!A$67</f>
        <v>LPG</v>
      </c>
      <c r="E59" s="49" t="str">
        <f>Legend!B$67</f>
        <v>SRVLPG</v>
      </c>
      <c r="F59" s="49" t="s">
        <v>154</v>
      </c>
      <c r="H59" s="471">
        <f>SUMIFS('S7'!E:E,'S7'!$C:$C,'Key inputs_EB'!$E59,'S7'!$D:$D,'Key inputs_EB'!$C59)</f>
        <v>0</v>
      </c>
      <c r="I59" s="471">
        <f>SUMIFS('S7'!F:F,'S7'!$C:$C,'Key inputs_EB'!$E59,'S7'!$D:$D,'Key inputs_EB'!$C59)</f>
        <v>0</v>
      </c>
      <c r="J59" s="471">
        <f>SUMIFS('S7'!G:G,'S7'!$C:$C,'Key inputs_EB'!$E59,'S7'!$D:$D,'Key inputs_EB'!$C59)</f>
        <v>0</v>
      </c>
      <c r="K59" s="471">
        <f>SUMIFS('S7'!H:H,'S7'!$C:$C,'Key inputs_EB'!$E59,'S7'!$D:$D,'Key inputs_EB'!$C59)</f>
        <v>0</v>
      </c>
      <c r="L59" s="471">
        <f>SUMIFS('S7'!I:I,'S7'!$C:$C,'Key inputs_EB'!$E59,'S7'!$D:$D,'Key inputs_EB'!$C59)</f>
        <v>0</v>
      </c>
      <c r="M59" s="471">
        <f>SUMIFS('S7'!J:J,'S7'!$C:$C,'Key inputs_EB'!$E59,'S7'!$D:$D,'Key inputs_EB'!$C59)</f>
        <v>0</v>
      </c>
      <c r="N59" s="471">
        <f>SUMIFS('S7'!K:K,'S7'!$C:$C,'Key inputs_EB'!$E59,'S7'!$D:$D,'Key inputs_EB'!$C59)</f>
        <v>0</v>
      </c>
      <c r="O59" s="471">
        <f>SUMIFS('S7'!L:L,'S7'!$C:$C,'Key inputs_EB'!$E59,'S7'!$D:$D,'Key inputs_EB'!$C59)</f>
        <v>0</v>
      </c>
      <c r="P59" s="471">
        <f>SUMIFS('S7'!M:M,'S7'!$C:$C,'Key inputs_EB'!$E59,'S7'!$D:$D,'Key inputs_EB'!$C59)</f>
        <v>0</v>
      </c>
      <c r="Q59" s="471">
        <f>SUMIFS('S7'!N:N,'S7'!$C:$C,'Key inputs_EB'!$E59,'S7'!$D:$D,'Key inputs_EB'!$C59)</f>
        <v>0</v>
      </c>
      <c r="R59" s="471">
        <f>SUMIFS('S7'!O:O,'S7'!$C:$C,'Key inputs_EB'!$E59,'S7'!$D:$D,'Key inputs_EB'!$C59)</f>
        <v>0</v>
      </c>
      <c r="S59" s="471">
        <f>SUMIFS('S7'!P:P,'S7'!$C:$C,'Key inputs_EB'!$E59,'S7'!$D:$D,'Key inputs_EB'!$C59)</f>
        <v>0</v>
      </c>
      <c r="T59" s="471">
        <f>SUMIFS('S7'!Q:Q,'S7'!$C:$C,'Key inputs_EB'!$E59,'S7'!$D:$D,'Key inputs_EB'!$C59)</f>
        <v>0</v>
      </c>
      <c r="U59" s="471">
        <f>SUMIFS('S7'!R:R,'S7'!$C:$C,'Key inputs_EB'!$E59,'S7'!$D:$D,'Key inputs_EB'!$C59)</f>
        <v>0</v>
      </c>
      <c r="V59" s="471">
        <f>SUMIFS('S7'!S:S,'S7'!$C:$C,'Key inputs_EB'!$E59,'S7'!$D:$D,'Key inputs_EB'!$C59)</f>
        <v>0</v>
      </c>
      <c r="W59" s="471">
        <f>SUMIFS('S7'!T:T,'S7'!$C:$C,'Key inputs_EB'!$E59,'S7'!$D:$D,'Key inputs_EB'!$C59)</f>
        <v>0</v>
      </c>
      <c r="X59" s="471">
        <f>SUMIFS('S7'!U:U,'S7'!$C:$C,'Key inputs_EB'!$E59,'S7'!$D:$D,'Key inputs_EB'!$C59)</f>
        <v>0</v>
      </c>
      <c r="Y59" s="471">
        <f>SUMIFS('S7'!V:V,'S7'!$C:$C,'Key inputs_EB'!$E59,'S7'!$D:$D,'Key inputs_EB'!$C59)</f>
        <v>0</v>
      </c>
      <c r="Z59" s="471">
        <f>SUMIFS('S7'!W:W,'S7'!$C:$C,'Key inputs_EB'!$E59,'S7'!$D:$D,'Key inputs_EB'!$C59)</f>
        <v>0</v>
      </c>
      <c r="AA59" s="471">
        <f>SUMIFS('S7'!X:X,'S7'!$C:$C,'Key inputs_EB'!$E59,'S7'!$D:$D,'Key inputs_EB'!$C59)</f>
        <v>0</v>
      </c>
      <c r="AB59" s="471">
        <f>SUMIFS('S7'!Y:Y,'S7'!$C:$C,'Key inputs_EB'!$E59,'S7'!$D:$D,'Key inputs_EB'!$C59)</f>
        <v>0</v>
      </c>
      <c r="AC59" s="471">
        <f>SUMIFS('S7'!Z:Z,'S7'!$C:$C,'Key inputs_EB'!$E59,'S7'!$D:$D,'Key inputs_EB'!$C59)</f>
        <v>0</v>
      </c>
      <c r="AD59" s="471">
        <f>SUMIFS('S7'!AA:AA,'S7'!$C:$C,'Key inputs_EB'!$E59,'S7'!$D:$D,'Key inputs_EB'!$C59)</f>
        <v>0</v>
      </c>
      <c r="AE59" s="471">
        <f>SUMIFS('S7'!AB:AB,'S7'!$C:$C,'Key inputs_EB'!$E59,'S7'!$D:$D,'Key inputs_EB'!$C59)</f>
        <v>0</v>
      </c>
      <c r="AF59" s="471">
        <f>SUMIFS('S7'!AC:AC,'S7'!$C:$C,'Key inputs_EB'!$E59,'S7'!$D:$D,'Key inputs_EB'!$C59)</f>
        <v>0</v>
      </c>
      <c r="AG59" s="471">
        <f>SUMIFS('S7'!AD:AD,'S7'!$C:$C,'Key inputs_EB'!$E59,'S7'!$D:$D,'Key inputs_EB'!$C59)</f>
        <v>0</v>
      </c>
      <c r="AH59" s="471">
        <f>SUMIFS('S7'!AE:AE,'S7'!$C:$C,'Key inputs_EB'!$E59,'S7'!$D:$D,'Key inputs_EB'!$C59)</f>
        <v>0</v>
      </c>
      <c r="AI59" s="471">
        <f>SUMIFS('S7'!AF:AF,'S7'!$C:$C,'Key inputs_EB'!$E59,'S7'!$D:$D,'Key inputs_EB'!$C59)</f>
        <v>0</v>
      </c>
    </row>
    <row r="60" spans="2:35" x14ac:dyDescent="0.3">
      <c r="B60" s="49" t="str">
        <f>Legend!A$50</f>
        <v>Electric Appliances</v>
      </c>
      <c r="C60" s="49" t="str">
        <f>LEFT(Legend!$C$4)&amp;"-"&amp;Legend!B$50</f>
        <v>S-EAP</v>
      </c>
      <c r="D60" s="49" t="str">
        <f>Legend!A$67</f>
        <v>LPG</v>
      </c>
      <c r="E60" s="49" t="str">
        <f>Legend!B$67</f>
        <v>SRVLPG</v>
      </c>
      <c r="F60" s="49" t="s">
        <v>154</v>
      </c>
      <c r="H60" s="471">
        <f>SUMIFS('S7'!E:E,'S7'!$C:$C,'Key inputs_EB'!$E60,'S7'!$D:$D,'Key inputs_EB'!$C60)</f>
        <v>0</v>
      </c>
      <c r="I60" s="471">
        <f>SUMIFS('S7'!F:F,'S7'!$C:$C,'Key inputs_EB'!$E60,'S7'!$D:$D,'Key inputs_EB'!$C60)</f>
        <v>0</v>
      </c>
      <c r="J60" s="471">
        <f>SUMIFS('S7'!G:G,'S7'!$C:$C,'Key inputs_EB'!$E60,'S7'!$D:$D,'Key inputs_EB'!$C60)</f>
        <v>0</v>
      </c>
      <c r="K60" s="471">
        <f>SUMIFS('S7'!H:H,'S7'!$C:$C,'Key inputs_EB'!$E60,'S7'!$D:$D,'Key inputs_EB'!$C60)</f>
        <v>0</v>
      </c>
      <c r="L60" s="471">
        <f>SUMIFS('S7'!I:I,'S7'!$C:$C,'Key inputs_EB'!$E60,'S7'!$D:$D,'Key inputs_EB'!$C60)</f>
        <v>0</v>
      </c>
      <c r="M60" s="471">
        <f>SUMIFS('S7'!J:J,'S7'!$C:$C,'Key inputs_EB'!$E60,'S7'!$D:$D,'Key inputs_EB'!$C60)</f>
        <v>0</v>
      </c>
      <c r="N60" s="471">
        <f>SUMIFS('S7'!K:K,'S7'!$C:$C,'Key inputs_EB'!$E60,'S7'!$D:$D,'Key inputs_EB'!$C60)</f>
        <v>0</v>
      </c>
      <c r="O60" s="471">
        <f>SUMIFS('S7'!L:L,'S7'!$C:$C,'Key inputs_EB'!$E60,'S7'!$D:$D,'Key inputs_EB'!$C60)</f>
        <v>0</v>
      </c>
      <c r="P60" s="471">
        <f>SUMIFS('S7'!M:M,'S7'!$C:$C,'Key inputs_EB'!$E60,'S7'!$D:$D,'Key inputs_EB'!$C60)</f>
        <v>0</v>
      </c>
      <c r="Q60" s="471">
        <f>SUMIFS('S7'!N:N,'S7'!$C:$C,'Key inputs_EB'!$E60,'S7'!$D:$D,'Key inputs_EB'!$C60)</f>
        <v>0</v>
      </c>
      <c r="R60" s="471">
        <f>SUMIFS('S7'!O:O,'S7'!$C:$C,'Key inputs_EB'!$E60,'S7'!$D:$D,'Key inputs_EB'!$C60)</f>
        <v>0</v>
      </c>
      <c r="S60" s="471">
        <f>SUMIFS('S7'!P:P,'S7'!$C:$C,'Key inputs_EB'!$E60,'S7'!$D:$D,'Key inputs_EB'!$C60)</f>
        <v>0</v>
      </c>
      <c r="T60" s="471">
        <f>SUMIFS('S7'!Q:Q,'S7'!$C:$C,'Key inputs_EB'!$E60,'S7'!$D:$D,'Key inputs_EB'!$C60)</f>
        <v>0</v>
      </c>
      <c r="U60" s="471">
        <f>SUMIFS('S7'!R:R,'S7'!$C:$C,'Key inputs_EB'!$E60,'S7'!$D:$D,'Key inputs_EB'!$C60)</f>
        <v>0</v>
      </c>
      <c r="V60" s="471">
        <f>SUMIFS('S7'!S:S,'S7'!$C:$C,'Key inputs_EB'!$E60,'S7'!$D:$D,'Key inputs_EB'!$C60)</f>
        <v>0</v>
      </c>
      <c r="W60" s="471">
        <f>SUMIFS('S7'!T:T,'S7'!$C:$C,'Key inputs_EB'!$E60,'S7'!$D:$D,'Key inputs_EB'!$C60)</f>
        <v>0</v>
      </c>
      <c r="X60" s="471">
        <f>SUMIFS('S7'!U:U,'S7'!$C:$C,'Key inputs_EB'!$E60,'S7'!$D:$D,'Key inputs_EB'!$C60)</f>
        <v>0</v>
      </c>
      <c r="Y60" s="471">
        <f>SUMIFS('S7'!V:V,'S7'!$C:$C,'Key inputs_EB'!$E60,'S7'!$D:$D,'Key inputs_EB'!$C60)</f>
        <v>0</v>
      </c>
      <c r="Z60" s="471">
        <f>SUMIFS('S7'!W:W,'S7'!$C:$C,'Key inputs_EB'!$E60,'S7'!$D:$D,'Key inputs_EB'!$C60)</f>
        <v>0</v>
      </c>
      <c r="AA60" s="471">
        <f>SUMIFS('S7'!X:X,'S7'!$C:$C,'Key inputs_EB'!$E60,'S7'!$D:$D,'Key inputs_EB'!$C60)</f>
        <v>0</v>
      </c>
      <c r="AB60" s="471">
        <f>SUMIFS('S7'!Y:Y,'S7'!$C:$C,'Key inputs_EB'!$E60,'S7'!$D:$D,'Key inputs_EB'!$C60)</f>
        <v>0</v>
      </c>
      <c r="AC60" s="471">
        <f>SUMIFS('S7'!Z:Z,'S7'!$C:$C,'Key inputs_EB'!$E60,'S7'!$D:$D,'Key inputs_EB'!$C60)</f>
        <v>0</v>
      </c>
      <c r="AD60" s="471">
        <f>SUMIFS('S7'!AA:AA,'S7'!$C:$C,'Key inputs_EB'!$E60,'S7'!$D:$D,'Key inputs_EB'!$C60)</f>
        <v>0</v>
      </c>
      <c r="AE60" s="471">
        <f>SUMIFS('S7'!AB:AB,'S7'!$C:$C,'Key inputs_EB'!$E60,'S7'!$D:$D,'Key inputs_EB'!$C60)</f>
        <v>0</v>
      </c>
      <c r="AF60" s="471">
        <f>SUMIFS('S7'!AC:AC,'S7'!$C:$C,'Key inputs_EB'!$E60,'S7'!$D:$D,'Key inputs_EB'!$C60)</f>
        <v>0</v>
      </c>
      <c r="AG60" s="471">
        <f>SUMIFS('S7'!AD:AD,'S7'!$C:$C,'Key inputs_EB'!$E60,'S7'!$D:$D,'Key inputs_EB'!$C60)</f>
        <v>0</v>
      </c>
      <c r="AH60" s="471">
        <f>SUMIFS('S7'!AE:AE,'S7'!$C:$C,'Key inputs_EB'!$E60,'S7'!$D:$D,'Key inputs_EB'!$C60)</f>
        <v>0</v>
      </c>
      <c r="AI60" s="471">
        <f>SUMIFS('S7'!AF:AF,'S7'!$C:$C,'Key inputs_EB'!$E60,'S7'!$D:$D,'Key inputs_EB'!$C60)</f>
        <v>0</v>
      </c>
    </row>
    <row r="61" spans="2:35" x14ac:dyDescent="0.3">
      <c r="B61" s="49" t="str">
        <f>Legend!A$51</f>
        <v>Other uses</v>
      </c>
      <c r="C61" s="49" t="str">
        <f>LEFT(Legend!$C$4)&amp;"-"&amp;Legend!B$51</f>
        <v>S-OTH</v>
      </c>
      <c r="D61" s="49" t="str">
        <f>Legend!A$67</f>
        <v>LPG</v>
      </c>
      <c r="E61" s="49" t="str">
        <f>Legend!B$67</f>
        <v>SRVLPG</v>
      </c>
      <c r="F61" s="49" t="s">
        <v>154</v>
      </c>
      <c r="H61" s="471">
        <f>SUMIFS('S7'!E:E,'S7'!$C:$C,'Key inputs_EB'!$E61,'S7'!$D:$D,'Key inputs_EB'!$C61)</f>
        <v>0</v>
      </c>
      <c r="I61" s="471">
        <f>SUMIFS('S7'!F:F,'S7'!$C:$C,'Key inputs_EB'!$E61,'S7'!$D:$D,'Key inputs_EB'!$C61)</f>
        <v>0</v>
      </c>
      <c r="J61" s="471">
        <f>SUMIFS('S7'!G:G,'S7'!$C:$C,'Key inputs_EB'!$E61,'S7'!$D:$D,'Key inputs_EB'!$C61)</f>
        <v>0</v>
      </c>
      <c r="K61" s="471">
        <f>SUMIFS('S7'!H:H,'S7'!$C:$C,'Key inputs_EB'!$E61,'S7'!$D:$D,'Key inputs_EB'!$C61)</f>
        <v>0</v>
      </c>
      <c r="L61" s="471">
        <f>SUMIFS('S7'!I:I,'S7'!$C:$C,'Key inputs_EB'!$E61,'S7'!$D:$D,'Key inputs_EB'!$C61)</f>
        <v>0</v>
      </c>
      <c r="M61" s="471">
        <f>SUMIFS('S7'!J:J,'S7'!$C:$C,'Key inputs_EB'!$E61,'S7'!$D:$D,'Key inputs_EB'!$C61)</f>
        <v>0</v>
      </c>
      <c r="N61" s="471">
        <f>SUMIFS('S7'!K:K,'S7'!$C:$C,'Key inputs_EB'!$E61,'S7'!$D:$D,'Key inputs_EB'!$C61)</f>
        <v>0</v>
      </c>
      <c r="O61" s="471">
        <f>SUMIFS('S7'!L:L,'S7'!$C:$C,'Key inputs_EB'!$E61,'S7'!$D:$D,'Key inputs_EB'!$C61)</f>
        <v>0</v>
      </c>
      <c r="P61" s="471">
        <f>SUMIFS('S7'!M:M,'S7'!$C:$C,'Key inputs_EB'!$E61,'S7'!$D:$D,'Key inputs_EB'!$C61)</f>
        <v>0</v>
      </c>
      <c r="Q61" s="471">
        <f>SUMIFS('S7'!N:N,'S7'!$C:$C,'Key inputs_EB'!$E61,'S7'!$D:$D,'Key inputs_EB'!$C61)</f>
        <v>0</v>
      </c>
      <c r="R61" s="471">
        <f>SUMIFS('S7'!O:O,'S7'!$C:$C,'Key inputs_EB'!$E61,'S7'!$D:$D,'Key inputs_EB'!$C61)</f>
        <v>0</v>
      </c>
      <c r="S61" s="471">
        <f>SUMIFS('S7'!P:P,'S7'!$C:$C,'Key inputs_EB'!$E61,'S7'!$D:$D,'Key inputs_EB'!$C61)</f>
        <v>0</v>
      </c>
      <c r="T61" s="471">
        <f>SUMIFS('S7'!Q:Q,'S7'!$C:$C,'Key inputs_EB'!$E61,'S7'!$D:$D,'Key inputs_EB'!$C61)</f>
        <v>0</v>
      </c>
      <c r="U61" s="471">
        <f>SUMIFS('S7'!R:R,'S7'!$C:$C,'Key inputs_EB'!$E61,'S7'!$D:$D,'Key inputs_EB'!$C61)</f>
        <v>0</v>
      </c>
      <c r="V61" s="471">
        <f>SUMIFS('S7'!S:S,'S7'!$C:$C,'Key inputs_EB'!$E61,'S7'!$D:$D,'Key inputs_EB'!$C61)</f>
        <v>0</v>
      </c>
      <c r="W61" s="471">
        <f>SUMIFS('S7'!T:T,'S7'!$C:$C,'Key inputs_EB'!$E61,'S7'!$D:$D,'Key inputs_EB'!$C61)</f>
        <v>0</v>
      </c>
      <c r="X61" s="471">
        <f>SUMIFS('S7'!U:U,'S7'!$C:$C,'Key inputs_EB'!$E61,'S7'!$D:$D,'Key inputs_EB'!$C61)</f>
        <v>0</v>
      </c>
      <c r="Y61" s="471">
        <f>SUMIFS('S7'!V:V,'S7'!$C:$C,'Key inputs_EB'!$E61,'S7'!$D:$D,'Key inputs_EB'!$C61)</f>
        <v>0</v>
      </c>
      <c r="Z61" s="471">
        <f>SUMIFS('S7'!W:W,'S7'!$C:$C,'Key inputs_EB'!$E61,'S7'!$D:$D,'Key inputs_EB'!$C61)</f>
        <v>0</v>
      </c>
      <c r="AA61" s="471">
        <f>SUMIFS('S7'!X:X,'S7'!$C:$C,'Key inputs_EB'!$E61,'S7'!$D:$D,'Key inputs_EB'!$C61)</f>
        <v>0</v>
      </c>
      <c r="AB61" s="471">
        <f>SUMIFS('S7'!Y:Y,'S7'!$C:$C,'Key inputs_EB'!$E61,'S7'!$D:$D,'Key inputs_EB'!$C61)</f>
        <v>0</v>
      </c>
      <c r="AC61" s="471">
        <f>SUMIFS('S7'!Z:Z,'S7'!$C:$C,'Key inputs_EB'!$E61,'S7'!$D:$D,'Key inputs_EB'!$C61)</f>
        <v>0</v>
      </c>
      <c r="AD61" s="471">
        <f>SUMIFS('S7'!AA:AA,'S7'!$C:$C,'Key inputs_EB'!$E61,'S7'!$D:$D,'Key inputs_EB'!$C61)</f>
        <v>0</v>
      </c>
      <c r="AE61" s="471">
        <f>SUMIFS('S7'!AB:AB,'S7'!$C:$C,'Key inputs_EB'!$E61,'S7'!$D:$D,'Key inputs_EB'!$C61)</f>
        <v>0</v>
      </c>
      <c r="AF61" s="471">
        <f>SUMIFS('S7'!AC:AC,'S7'!$C:$C,'Key inputs_EB'!$E61,'S7'!$D:$D,'Key inputs_EB'!$C61)</f>
        <v>0</v>
      </c>
      <c r="AG61" s="471">
        <f>SUMIFS('S7'!AD:AD,'S7'!$C:$C,'Key inputs_EB'!$E61,'S7'!$D:$D,'Key inputs_EB'!$C61)</f>
        <v>0</v>
      </c>
      <c r="AH61" s="471">
        <f>SUMIFS('S7'!AE:AE,'S7'!$C:$C,'Key inputs_EB'!$E61,'S7'!$D:$D,'Key inputs_EB'!$C61)</f>
        <v>0</v>
      </c>
      <c r="AI61" s="471">
        <f>SUMIFS('S7'!AF:AF,'S7'!$C:$C,'Key inputs_EB'!$E61,'S7'!$D:$D,'Key inputs_EB'!$C61)</f>
        <v>0</v>
      </c>
    </row>
    <row r="62" spans="2:35" s="76" customFormat="1" ht="13.8" x14ac:dyDescent="0.3">
      <c r="B62" s="73"/>
      <c r="C62" s="74" t="s">
        <v>157</v>
      </c>
      <c r="D62" s="73"/>
      <c r="E62" s="73"/>
      <c r="F62" s="74"/>
      <c r="G62" s="74"/>
      <c r="H62" s="75">
        <f t="shared" ref="H62:AI62" si="18">IF(H$4="","",IF(SUM(H56:H61)=0,"",IF(SUM(H56:H61)&lt;&gt;1,"CHECK",SUM(H56:H61))))</f>
        <v>1</v>
      </c>
      <c r="I62" s="75">
        <f t="shared" si="18"/>
        <v>1</v>
      </c>
      <c r="J62" s="75">
        <f t="shared" si="18"/>
        <v>1</v>
      </c>
      <c r="K62" s="75">
        <f t="shared" si="18"/>
        <v>1</v>
      </c>
      <c r="L62" s="75">
        <f t="shared" si="18"/>
        <v>1</v>
      </c>
      <c r="M62" s="75">
        <f t="shared" si="18"/>
        <v>1</v>
      </c>
      <c r="N62" s="75">
        <f t="shared" si="18"/>
        <v>1</v>
      </c>
      <c r="O62" s="75">
        <f t="shared" si="18"/>
        <v>1</v>
      </c>
      <c r="P62" s="75">
        <f t="shared" si="18"/>
        <v>1</v>
      </c>
      <c r="Q62" s="75">
        <f t="shared" si="18"/>
        <v>1</v>
      </c>
      <c r="R62" s="75">
        <f t="shared" si="18"/>
        <v>1</v>
      </c>
      <c r="S62" s="75">
        <f t="shared" si="18"/>
        <v>1</v>
      </c>
      <c r="T62" s="75">
        <f t="shared" si="18"/>
        <v>1</v>
      </c>
      <c r="U62" s="75">
        <f t="shared" si="18"/>
        <v>1</v>
      </c>
      <c r="V62" s="75">
        <f t="shared" si="18"/>
        <v>1</v>
      </c>
      <c r="W62" s="75">
        <f t="shared" si="18"/>
        <v>1</v>
      </c>
      <c r="X62" s="75">
        <f t="shared" si="18"/>
        <v>1</v>
      </c>
      <c r="Y62" s="75">
        <f t="shared" si="18"/>
        <v>1</v>
      </c>
      <c r="Z62" s="75">
        <f t="shared" si="18"/>
        <v>1</v>
      </c>
      <c r="AA62" s="75">
        <f t="shared" si="18"/>
        <v>1</v>
      </c>
      <c r="AB62" s="75">
        <f t="shared" si="18"/>
        <v>1</v>
      </c>
      <c r="AC62" s="75">
        <f t="shared" si="18"/>
        <v>1</v>
      </c>
      <c r="AD62" s="75">
        <f t="shared" si="18"/>
        <v>1</v>
      </c>
      <c r="AE62" s="75">
        <f t="shared" si="18"/>
        <v>1</v>
      </c>
      <c r="AF62" s="75">
        <f t="shared" si="18"/>
        <v>1</v>
      </c>
      <c r="AG62" s="75">
        <f t="shared" si="18"/>
        <v>1</v>
      </c>
      <c r="AH62" s="75">
        <f t="shared" si="18"/>
        <v>1</v>
      </c>
      <c r="AI62" s="75">
        <f t="shared" si="18"/>
        <v>1</v>
      </c>
    </row>
    <row r="63" spans="2:35" x14ac:dyDescent="0.3">
      <c r="B63" s="49" t="str">
        <f>Legend!A$45</f>
        <v>Thermal uses</v>
      </c>
      <c r="C63" s="49" t="str">
        <f>LEFT(Legend!$C$4)&amp;"-"&amp;Legend!B$45</f>
        <v>S-TH</v>
      </c>
      <c r="D63" s="49" t="str">
        <f>Legend!A$68</f>
        <v>Natural gas</v>
      </c>
      <c r="E63" s="49" t="str">
        <f>Legend!B$68</f>
        <v>SRVGAS</v>
      </c>
      <c r="F63" s="49" t="s">
        <v>154</v>
      </c>
      <c r="H63" s="471">
        <f>SUMIFS('S7'!E:E,'S7'!$C:$C,'Key inputs_EB'!$E63,'S7'!$D:$D,'Key inputs_EB'!$C63)</f>
        <v>0.30000000000000004</v>
      </c>
      <c r="I63" s="471">
        <f>SUMIFS('S7'!F:F,'S7'!$C:$C,'Key inputs_EB'!$E63,'S7'!$D:$D,'Key inputs_EB'!$C63)</f>
        <v>0.30000000000000004</v>
      </c>
      <c r="J63" s="471">
        <f>SUMIFS('S7'!G:G,'S7'!$C:$C,'Key inputs_EB'!$E63,'S7'!$D:$D,'Key inputs_EB'!$C63)</f>
        <v>0.30000000000000004</v>
      </c>
      <c r="K63" s="471">
        <f>SUMIFS('S7'!H:H,'S7'!$C:$C,'Key inputs_EB'!$E63,'S7'!$D:$D,'Key inputs_EB'!$C63)</f>
        <v>0.30000000000000004</v>
      </c>
      <c r="L63" s="471">
        <f>SUMIFS('S7'!I:I,'S7'!$C:$C,'Key inputs_EB'!$E63,'S7'!$D:$D,'Key inputs_EB'!$C63)</f>
        <v>0.9</v>
      </c>
      <c r="M63" s="471">
        <f>SUMIFS('S7'!J:J,'S7'!$C:$C,'Key inputs_EB'!$E63,'S7'!$D:$D,'Key inputs_EB'!$C63)</f>
        <v>0.79999999999999993</v>
      </c>
      <c r="N63" s="471">
        <f>SUMIFS('S7'!K:K,'S7'!$C:$C,'Key inputs_EB'!$E63,'S7'!$D:$D,'Key inputs_EB'!$C63)</f>
        <v>0.48000000000000004</v>
      </c>
      <c r="O63" s="471">
        <f>SUMIFS('S7'!L:L,'S7'!$C:$C,'Key inputs_EB'!$E63,'S7'!$D:$D,'Key inputs_EB'!$C63)</f>
        <v>0.48000000000000004</v>
      </c>
      <c r="P63" s="471">
        <f>SUMIFS('S7'!M:M,'S7'!$C:$C,'Key inputs_EB'!$E63,'S7'!$D:$D,'Key inputs_EB'!$C63)</f>
        <v>0.30000000000000004</v>
      </c>
      <c r="Q63" s="471">
        <f>SUMIFS('S7'!N:N,'S7'!$C:$C,'Key inputs_EB'!$E63,'S7'!$D:$D,'Key inputs_EB'!$C63)</f>
        <v>0.85</v>
      </c>
      <c r="R63" s="471">
        <f>SUMIFS('S7'!O:O,'S7'!$C:$C,'Key inputs_EB'!$E63,'S7'!$D:$D,'Key inputs_EB'!$C63)</f>
        <v>0.30000000000000004</v>
      </c>
      <c r="S63" s="471">
        <f>SUMIFS('S7'!P:P,'S7'!$C:$C,'Key inputs_EB'!$E63,'S7'!$D:$D,'Key inputs_EB'!$C63)</f>
        <v>0.4</v>
      </c>
      <c r="T63" s="471">
        <f>SUMIFS('S7'!Q:Q,'S7'!$C:$C,'Key inputs_EB'!$E63,'S7'!$D:$D,'Key inputs_EB'!$C63)</f>
        <v>0.79999999999999993</v>
      </c>
      <c r="U63" s="471">
        <f>SUMIFS('S7'!R:R,'S7'!$C:$C,'Key inputs_EB'!$E63,'S7'!$D:$D,'Key inputs_EB'!$C63)</f>
        <v>0.79500000000000004</v>
      </c>
      <c r="V63" s="471">
        <f>SUMIFS('S7'!S:S,'S7'!$C:$C,'Key inputs_EB'!$E63,'S7'!$D:$D,'Key inputs_EB'!$C63)</f>
        <v>0.79999999999999993</v>
      </c>
      <c r="W63" s="471">
        <f>SUMIFS('S7'!T:T,'S7'!$C:$C,'Key inputs_EB'!$E63,'S7'!$D:$D,'Key inputs_EB'!$C63)</f>
        <v>0.79500000000000004</v>
      </c>
      <c r="X63" s="471">
        <f>SUMIFS('S7'!U:U,'S7'!$C:$C,'Key inputs_EB'!$E63,'S7'!$D:$D,'Key inputs_EB'!$C63)</f>
        <v>0.79500000000000004</v>
      </c>
      <c r="Y63" s="471">
        <f>SUMIFS('S7'!V:V,'S7'!$C:$C,'Key inputs_EB'!$E63,'S7'!$D:$D,'Key inputs_EB'!$C63)</f>
        <v>0.48000000000000004</v>
      </c>
      <c r="Z63" s="471">
        <f>SUMIFS('S7'!W:W,'S7'!$C:$C,'Key inputs_EB'!$E63,'S7'!$D:$D,'Key inputs_EB'!$C63)</f>
        <v>0.3</v>
      </c>
      <c r="AA63" s="471">
        <f>SUMIFS('S7'!X:X,'S7'!$C:$C,'Key inputs_EB'!$E63,'S7'!$D:$D,'Key inputs_EB'!$C63)</f>
        <v>0.51</v>
      </c>
      <c r="AB63" s="471">
        <f>SUMIFS('S7'!Y:Y,'S7'!$C:$C,'Key inputs_EB'!$E63,'S7'!$D:$D,'Key inputs_EB'!$C63)</f>
        <v>0.30000000000000004</v>
      </c>
      <c r="AC63" s="471">
        <f>SUMIFS('S7'!Z:Z,'S7'!$C:$C,'Key inputs_EB'!$E63,'S7'!$D:$D,'Key inputs_EB'!$C63)</f>
        <v>0.2</v>
      </c>
      <c r="AD63" s="471">
        <f>SUMIFS('S7'!AA:AA,'S7'!$C:$C,'Key inputs_EB'!$E63,'S7'!$D:$D,'Key inputs_EB'!$C63)</f>
        <v>0.2</v>
      </c>
      <c r="AE63" s="471">
        <f>SUMIFS('S7'!AB:AB,'S7'!$C:$C,'Key inputs_EB'!$E63,'S7'!$D:$D,'Key inputs_EB'!$C63)</f>
        <v>0.30000000000000004</v>
      </c>
      <c r="AF63" s="471">
        <f>SUMIFS('S7'!AC:AC,'S7'!$C:$C,'Key inputs_EB'!$E63,'S7'!$D:$D,'Key inputs_EB'!$C63)</f>
        <v>0.30000000000000004</v>
      </c>
      <c r="AG63" s="471">
        <f>SUMIFS('S7'!AD:AD,'S7'!$C:$C,'Key inputs_EB'!$E63,'S7'!$D:$D,'Key inputs_EB'!$C63)</f>
        <v>0.79999999999999993</v>
      </c>
      <c r="AH63" s="471">
        <f>SUMIFS('S7'!AE:AE,'S7'!$C:$C,'Key inputs_EB'!$E63,'S7'!$D:$D,'Key inputs_EB'!$C63)</f>
        <v>0.7</v>
      </c>
      <c r="AI63" s="471">
        <f>SUMIFS('S7'!AF:AF,'S7'!$C:$C,'Key inputs_EB'!$E63,'S7'!$D:$D,'Key inputs_EB'!$C63)</f>
        <v>0.82995429950154131</v>
      </c>
    </row>
    <row r="64" spans="2:35" x14ac:dyDescent="0.3">
      <c r="B64" s="49" t="str">
        <f>Legend!A$46</f>
        <v>Air conditioning</v>
      </c>
      <c r="C64" s="49" t="str">
        <f>LEFT(Legend!$C$4)&amp;"-"&amp;Legend!B$46</f>
        <v>S-AC</v>
      </c>
      <c r="D64" s="49" t="str">
        <f>Legend!A$68</f>
        <v>Natural gas</v>
      </c>
      <c r="E64" s="49" t="str">
        <f>Legend!B$68</f>
        <v>SRVGAS</v>
      </c>
      <c r="F64" s="49" t="s">
        <v>154</v>
      </c>
      <c r="H64" s="471">
        <f>SUMIFS('S7'!E:E,'S7'!$C:$C,'Key inputs_EB'!$E64,'S7'!$D:$D,'Key inputs_EB'!$C64)</f>
        <v>0</v>
      </c>
      <c r="I64" s="471">
        <f>SUMIFS('S7'!F:F,'S7'!$C:$C,'Key inputs_EB'!$E64,'S7'!$D:$D,'Key inputs_EB'!$C64)</f>
        <v>0</v>
      </c>
      <c r="J64" s="471">
        <f>SUMIFS('S7'!G:G,'S7'!$C:$C,'Key inputs_EB'!$E64,'S7'!$D:$D,'Key inputs_EB'!$C64)</f>
        <v>0</v>
      </c>
      <c r="K64" s="471">
        <f>SUMIFS('S7'!H:H,'S7'!$C:$C,'Key inputs_EB'!$E64,'S7'!$D:$D,'Key inputs_EB'!$C64)</f>
        <v>0</v>
      </c>
      <c r="L64" s="471">
        <f>SUMIFS('S7'!I:I,'S7'!$C:$C,'Key inputs_EB'!$E64,'S7'!$D:$D,'Key inputs_EB'!$C64)</f>
        <v>0</v>
      </c>
      <c r="M64" s="471">
        <f>SUMIFS('S7'!J:J,'S7'!$C:$C,'Key inputs_EB'!$E64,'S7'!$D:$D,'Key inputs_EB'!$C64)</f>
        <v>0.01</v>
      </c>
      <c r="N64" s="471">
        <f>SUMIFS('S7'!K:K,'S7'!$C:$C,'Key inputs_EB'!$E64,'S7'!$D:$D,'Key inputs_EB'!$C64)</f>
        <v>0.02</v>
      </c>
      <c r="O64" s="471">
        <f>SUMIFS('S7'!L:L,'S7'!$C:$C,'Key inputs_EB'!$E64,'S7'!$D:$D,'Key inputs_EB'!$C64)</f>
        <v>0.02</v>
      </c>
      <c r="P64" s="471">
        <f>SUMIFS('S7'!M:M,'S7'!$C:$C,'Key inputs_EB'!$E64,'S7'!$D:$D,'Key inputs_EB'!$C64)</f>
        <v>0</v>
      </c>
      <c r="Q64" s="471">
        <f>SUMIFS('S7'!N:N,'S7'!$C:$C,'Key inputs_EB'!$E64,'S7'!$D:$D,'Key inputs_EB'!$C64)</f>
        <v>0</v>
      </c>
      <c r="R64" s="471">
        <f>SUMIFS('S7'!O:O,'S7'!$C:$C,'Key inputs_EB'!$E64,'S7'!$D:$D,'Key inputs_EB'!$C64)</f>
        <v>0</v>
      </c>
      <c r="S64" s="471">
        <f>SUMIFS('S7'!P:P,'S7'!$C:$C,'Key inputs_EB'!$E64,'S7'!$D:$D,'Key inputs_EB'!$C64)</f>
        <v>0.05</v>
      </c>
      <c r="T64" s="471">
        <f>SUMIFS('S7'!Q:Q,'S7'!$C:$C,'Key inputs_EB'!$E64,'S7'!$D:$D,'Key inputs_EB'!$C64)</f>
        <v>0.01</v>
      </c>
      <c r="U64" s="471">
        <f>SUMIFS('S7'!R:R,'S7'!$C:$C,'Key inputs_EB'!$E64,'S7'!$D:$D,'Key inputs_EB'!$C64)</f>
        <v>5.0000000000000001E-3</v>
      </c>
      <c r="V64" s="471">
        <f>SUMIFS('S7'!S:S,'S7'!$C:$C,'Key inputs_EB'!$E64,'S7'!$D:$D,'Key inputs_EB'!$C64)</f>
        <v>0.01</v>
      </c>
      <c r="W64" s="471">
        <f>SUMIFS('S7'!T:T,'S7'!$C:$C,'Key inputs_EB'!$E64,'S7'!$D:$D,'Key inputs_EB'!$C64)</f>
        <v>5.0000000000000001E-3</v>
      </c>
      <c r="X64" s="471">
        <f>SUMIFS('S7'!U:U,'S7'!$C:$C,'Key inputs_EB'!$E64,'S7'!$D:$D,'Key inputs_EB'!$C64)</f>
        <v>5.0000000000000001E-3</v>
      </c>
      <c r="Y64" s="471">
        <f>SUMIFS('S7'!V:V,'S7'!$C:$C,'Key inputs_EB'!$E64,'S7'!$D:$D,'Key inputs_EB'!$C64)</f>
        <v>0.02</v>
      </c>
      <c r="Z64" s="471">
        <f>SUMIFS('S7'!W:W,'S7'!$C:$C,'Key inputs_EB'!$E64,'S7'!$D:$D,'Key inputs_EB'!$C64)</f>
        <v>0</v>
      </c>
      <c r="AA64" s="471">
        <f>SUMIFS('S7'!X:X,'S7'!$C:$C,'Key inputs_EB'!$E64,'S7'!$D:$D,'Key inputs_EB'!$C64)</f>
        <v>0.06</v>
      </c>
      <c r="AB64" s="471">
        <f>SUMIFS('S7'!Y:Y,'S7'!$C:$C,'Key inputs_EB'!$E64,'S7'!$D:$D,'Key inputs_EB'!$C64)</f>
        <v>0</v>
      </c>
      <c r="AC64" s="471">
        <f>SUMIFS('S7'!Z:Z,'S7'!$C:$C,'Key inputs_EB'!$E64,'S7'!$D:$D,'Key inputs_EB'!$C64)</f>
        <v>0.01</v>
      </c>
      <c r="AD64" s="471">
        <f>SUMIFS('S7'!AA:AA,'S7'!$C:$C,'Key inputs_EB'!$E64,'S7'!$D:$D,'Key inputs_EB'!$C64)</f>
        <v>0.01</v>
      </c>
      <c r="AE64" s="471">
        <f>SUMIFS('S7'!AB:AB,'S7'!$C:$C,'Key inputs_EB'!$E64,'S7'!$D:$D,'Key inputs_EB'!$C64)</f>
        <v>0</v>
      </c>
      <c r="AF64" s="471">
        <f>SUMIFS('S7'!AC:AC,'S7'!$C:$C,'Key inputs_EB'!$E64,'S7'!$D:$D,'Key inputs_EB'!$C64)</f>
        <v>0</v>
      </c>
      <c r="AG64" s="471">
        <f>SUMIFS('S7'!AD:AD,'S7'!$C:$C,'Key inputs_EB'!$E64,'S7'!$D:$D,'Key inputs_EB'!$C64)</f>
        <v>0.01</v>
      </c>
      <c r="AH64" s="471">
        <f>SUMIFS('S7'!AE:AE,'S7'!$C:$C,'Key inputs_EB'!$E64,'S7'!$D:$D,'Key inputs_EB'!$C64)</f>
        <v>0.05</v>
      </c>
      <c r="AI64" s="471">
        <f>SUMIFS('S7'!AF:AF,'S7'!$C:$C,'Key inputs_EB'!$E64,'S7'!$D:$D,'Key inputs_EB'!$C64)</f>
        <v>6.1803959920273691E-3</v>
      </c>
    </row>
    <row r="65" spans="2:35" x14ac:dyDescent="0.3">
      <c r="B65" s="49" t="str">
        <f>Legend!A$47</f>
        <v>Cooking</v>
      </c>
      <c r="C65" s="49" t="str">
        <f>LEFT(Legend!$C$4)&amp;"-"&amp;Legend!B$47</f>
        <v>S-CK</v>
      </c>
      <c r="D65" s="49" t="str">
        <f>Legend!A$68</f>
        <v>Natural gas</v>
      </c>
      <c r="E65" s="49" t="str">
        <f>Legend!B$68</f>
        <v>SRVGAS</v>
      </c>
      <c r="F65" s="49" t="s">
        <v>154</v>
      </c>
      <c r="H65" s="471">
        <f>SUMIFS('S7'!E:E,'S7'!$C:$C,'Key inputs_EB'!$E65,'S7'!$D:$D,'Key inputs_EB'!$C65)</f>
        <v>0.7</v>
      </c>
      <c r="I65" s="471">
        <f>SUMIFS('S7'!F:F,'S7'!$C:$C,'Key inputs_EB'!$E65,'S7'!$D:$D,'Key inputs_EB'!$C65)</f>
        <v>0.7</v>
      </c>
      <c r="J65" s="471">
        <f>SUMIFS('S7'!G:G,'S7'!$C:$C,'Key inputs_EB'!$E65,'S7'!$D:$D,'Key inputs_EB'!$C65)</f>
        <v>0.7</v>
      </c>
      <c r="K65" s="471">
        <f>SUMIFS('S7'!H:H,'S7'!$C:$C,'Key inputs_EB'!$E65,'S7'!$D:$D,'Key inputs_EB'!$C65)</f>
        <v>0.7</v>
      </c>
      <c r="L65" s="471">
        <f>SUMIFS('S7'!I:I,'S7'!$C:$C,'Key inputs_EB'!$E65,'S7'!$D:$D,'Key inputs_EB'!$C65)</f>
        <v>0.1</v>
      </c>
      <c r="M65" s="471">
        <f>SUMIFS('S7'!J:J,'S7'!$C:$C,'Key inputs_EB'!$E65,'S7'!$D:$D,'Key inputs_EB'!$C65)</f>
        <v>0.19</v>
      </c>
      <c r="N65" s="471">
        <f>SUMIFS('S7'!K:K,'S7'!$C:$C,'Key inputs_EB'!$E65,'S7'!$D:$D,'Key inputs_EB'!$C65)</f>
        <v>0.5</v>
      </c>
      <c r="O65" s="471">
        <f>SUMIFS('S7'!L:L,'S7'!$C:$C,'Key inputs_EB'!$E65,'S7'!$D:$D,'Key inputs_EB'!$C65)</f>
        <v>0.5</v>
      </c>
      <c r="P65" s="471">
        <f>SUMIFS('S7'!M:M,'S7'!$C:$C,'Key inputs_EB'!$E65,'S7'!$D:$D,'Key inputs_EB'!$C65)</f>
        <v>0.7</v>
      </c>
      <c r="Q65" s="471">
        <f>SUMIFS('S7'!N:N,'S7'!$C:$C,'Key inputs_EB'!$E65,'S7'!$D:$D,'Key inputs_EB'!$C65)</f>
        <v>0.1</v>
      </c>
      <c r="R65" s="471">
        <f>SUMIFS('S7'!O:O,'S7'!$C:$C,'Key inputs_EB'!$E65,'S7'!$D:$D,'Key inputs_EB'!$C65)</f>
        <v>0.7</v>
      </c>
      <c r="S65" s="471">
        <f>SUMIFS('S7'!P:P,'S7'!$C:$C,'Key inputs_EB'!$E65,'S7'!$D:$D,'Key inputs_EB'!$C65)</f>
        <v>0.55000000000000004</v>
      </c>
      <c r="T65" s="471">
        <f>SUMIFS('S7'!Q:Q,'S7'!$C:$C,'Key inputs_EB'!$E65,'S7'!$D:$D,'Key inputs_EB'!$C65)</f>
        <v>0.19</v>
      </c>
      <c r="U65" s="471">
        <f>SUMIFS('S7'!R:R,'S7'!$C:$C,'Key inputs_EB'!$E65,'S7'!$D:$D,'Key inputs_EB'!$C65)</f>
        <v>0.2</v>
      </c>
      <c r="V65" s="471">
        <f>SUMIFS('S7'!S:S,'S7'!$C:$C,'Key inputs_EB'!$E65,'S7'!$D:$D,'Key inputs_EB'!$C65)</f>
        <v>0.19</v>
      </c>
      <c r="W65" s="471">
        <f>SUMIFS('S7'!T:T,'S7'!$C:$C,'Key inputs_EB'!$E65,'S7'!$D:$D,'Key inputs_EB'!$C65)</f>
        <v>0.2</v>
      </c>
      <c r="X65" s="471">
        <f>SUMIFS('S7'!U:U,'S7'!$C:$C,'Key inputs_EB'!$E65,'S7'!$D:$D,'Key inputs_EB'!$C65)</f>
        <v>0.2</v>
      </c>
      <c r="Y65" s="471">
        <f>SUMIFS('S7'!V:V,'S7'!$C:$C,'Key inputs_EB'!$E65,'S7'!$D:$D,'Key inputs_EB'!$C65)</f>
        <v>0.5</v>
      </c>
      <c r="Z65" s="471">
        <f>SUMIFS('S7'!W:W,'S7'!$C:$C,'Key inputs_EB'!$E65,'S7'!$D:$D,'Key inputs_EB'!$C65)</f>
        <v>0.7</v>
      </c>
      <c r="AA65" s="471">
        <f>SUMIFS('S7'!X:X,'S7'!$C:$C,'Key inputs_EB'!$E65,'S7'!$D:$D,'Key inputs_EB'!$C65)</f>
        <v>0.43</v>
      </c>
      <c r="AB65" s="471">
        <f>SUMIFS('S7'!Y:Y,'S7'!$C:$C,'Key inputs_EB'!$E65,'S7'!$D:$D,'Key inputs_EB'!$C65)</f>
        <v>0.7</v>
      </c>
      <c r="AC65" s="471">
        <f>SUMIFS('S7'!Z:Z,'S7'!$C:$C,'Key inputs_EB'!$E65,'S7'!$D:$D,'Key inputs_EB'!$C65)</f>
        <v>0.79</v>
      </c>
      <c r="AD65" s="471">
        <f>SUMIFS('S7'!AA:AA,'S7'!$C:$C,'Key inputs_EB'!$E65,'S7'!$D:$D,'Key inputs_EB'!$C65)</f>
        <v>0.79</v>
      </c>
      <c r="AE65" s="471">
        <f>SUMIFS('S7'!AB:AB,'S7'!$C:$C,'Key inputs_EB'!$E65,'S7'!$D:$D,'Key inputs_EB'!$C65)</f>
        <v>0.7</v>
      </c>
      <c r="AF65" s="471">
        <f>SUMIFS('S7'!AC:AC,'S7'!$C:$C,'Key inputs_EB'!$E65,'S7'!$D:$D,'Key inputs_EB'!$C65)</f>
        <v>0.7</v>
      </c>
      <c r="AG65" s="471">
        <f>SUMIFS('S7'!AD:AD,'S7'!$C:$C,'Key inputs_EB'!$E65,'S7'!$D:$D,'Key inputs_EB'!$C65)</f>
        <v>0.19</v>
      </c>
      <c r="AH65" s="471">
        <f>SUMIFS('S7'!AE:AE,'S7'!$C:$C,'Key inputs_EB'!$E65,'S7'!$D:$D,'Key inputs_EB'!$C65)</f>
        <v>0.25</v>
      </c>
      <c r="AI65" s="471">
        <f>SUMIFS('S7'!AF:AF,'S7'!$C:$C,'Key inputs_EB'!$E65,'S7'!$D:$D,'Key inputs_EB'!$C65)</f>
        <v>8.4512505456649664E-2</v>
      </c>
    </row>
    <row r="66" spans="2:35" x14ac:dyDescent="0.3">
      <c r="B66" s="49" t="str">
        <f>Legend!A$49</f>
        <v>Lighting</v>
      </c>
      <c r="C66" s="49" t="str">
        <f>LEFT(Legend!$C$4)&amp;"-"&amp;Legend!B$49</f>
        <v>S-LIG</v>
      </c>
      <c r="D66" s="49" t="str">
        <f>Legend!A$68</f>
        <v>Natural gas</v>
      </c>
      <c r="E66" s="49" t="str">
        <f>Legend!B$68</f>
        <v>SRVGAS</v>
      </c>
      <c r="F66" s="49" t="s">
        <v>154</v>
      </c>
      <c r="H66" s="471">
        <f>SUMIFS('S7'!E:E,'S7'!$C:$C,'Key inputs_EB'!$E66,'S7'!$D:$D,'Key inputs_EB'!$C66)</f>
        <v>0</v>
      </c>
      <c r="I66" s="471">
        <f>SUMIFS('S7'!F:F,'S7'!$C:$C,'Key inputs_EB'!$E66,'S7'!$D:$D,'Key inputs_EB'!$C66)</f>
        <v>0</v>
      </c>
      <c r="J66" s="471">
        <f>SUMIFS('S7'!G:G,'S7'!$C:$C,'Key inputs_EB'!$E66,'S7'!$D:$D,'Key inputs_EB'!$C66)</f>
        <v>0</v>
      </c>
      <c r="K66" s="471">
        <f>SUMIFS('S7'!H:H,'S7'!$C:$C,'Key inputs_EB'!$E66,'S7'!$D:$D,'Key inputs_EB'!$C66)</f>
        <v>0</v>
      </c>
      <c r="L66" s="471">
        <f>SUMIFS('S7'!I:I,'S7'!$C:$C,'Key inputs_EB'!$E66,'S7'!$D:$D,'Key inputs_EB'!$C66)</f>
        <v>0</v>
      </c>
      <c r="M66" s="471">
        <f>SUMIFS('S7'!J:J,'S7'!$C:$C,'Key inputs_EB'!$E66,'S7'!$D:$D,'Key inputs_EB'!$C66)</f>
        <v>0</v>
      </c>
      <c r="N66" s="471">
        <f>SUMIFS('S7'!K:K,'S7'!$C:$C,'Key inputs_EB'!$E66,'S7'!$D:$D,'Key inputs_EB'!$C66)</f>
        <v>0</v>
      </c>
      <c r="O66" s="471">
        <f>SUMIFS('S7'!L:L,'S7'!$C:$C,'Key inputs_EB'!$E66,'S7'!$D:$D,'Key inputs_EB'!$C66)</f>
        <v>0</v>
      </c>
      <c r="P66" s="471">
        <f>SUMIFS('S7'!M:M,'S7'!$C:$C,'Key inputs_EB'!$E66,'S7'!$D:$D,'Key inputs_EB'!$C66)</f>
        <v>0</v>
      </c>
      <c r="Q66" s="471">
        <f>SUMIFS('S7'!N:N,'S7'!$C:$C,'Key inputs_EB'!$E66,'S7'!$D:$D,'Key inputs_EB'!$C66)</f>
        <v>0</v>
      </c>
      <c r="R66" s="471">
        <f>SUMIFS('S7'!O:O,'S7'!$C:$C,'Key inputs_EB'!$E66,'S7'!$D:$D,'Key inputs_EB'!$C66)</f>
        <v>0</v>
      </c>
      <c r="S66" s="471">
        <f>SUMIFS('S7'!P:P,'S7'!$C:$C,'Key inputs_EB'!$E66,'S7'!$D:$D,'Key inputs_EB'!$C66)</f>
        <v>0</v>
      </c>
      <c r="T66" s="471">
        <f>SUMIFS('S7'!Q:Q,'S7'!$C:$C,'Key inputs_EB'!$E66,'S7'!$D:$D,'Key inputs_EB'!$C66)</f>
        <v>0</v>
      </c>
      <c r="U66" s="471">
        <f>SUMIFS('S7'!R:R,'S7'!$C:$C,'Key inputs_EB'!$E66,'S7'!$D:$D,'Key inputs_EB'!$C66)</f>
        <v>0</v>
      </c>
      <c r="V66" s="471">
        <f>SUMIFS('S7'!S:S,'S7'!$C:$C,'Key inputs_EB'!$E66,'S7'!$D:$D,'Key inputs_EB'!$C66)</f>
        <v>0</v>
      </c>
      <c r="W66" s="471">
        <f>SUMIFS('S7'!T:T,'S7'!$C:$C,'Key inputs_EB'!$E66,'S7'!$D:$D,'Key inputs_EB'!$C66)</f>
        <v>0</v>
      </c>
      <c r="X66" s="471">
        <f>SUMIFS('S7'!U:U,'S7'!$C:$C,'Key inputs_EB'!$E66,'S7'!$D:$D,'Key inputs_EB'!$C66)</f>
        <v>0</v>
      </c>
      <c r="Y66" s="471">
        <f>SUMIFS('S7'!V:V,'S7'!$C:$C,'Key inputs_EB'!$E66,'S7'!$D:$D,'Key inputs_EB'!$C66)</f>
        <v>0</v>
      </c>
      <c r="Z66" s="471">
        <f>SUMIFS('S7'!W:W,'S7'!$C:$C,'Key inputs_EB'!$E66,'S7'!$D:$D,'Key inputs_EB'!$C66)</f>
        <v>0</v>
      </c>
      <c r="AA66" s="471">
        <f>SUMIFS('S7'!X:X,'S7'!$C:$C,'Key inputs_EB'!$E66,'S7'!$D:$D,'Key inputs_EB'!$C66)</f>
        <v>0</v>
      </c>
      <c r="AB66" s="471">
        <f>SUMIFS('S7'!Y:Y,'S7'!$C:$C,'Key inputs_EB'!$E66,'S7'!$D:$D,'Key inputs_EB'!$C66)</f>
        <v>0</v>
      </c>
      <c r="AC66" s="471">
        <f>SUMIFS('S7'!Z:Z,'S7'!$C:$C,'Key inputs_EB'!$E66,'S7'!$D:$D,'Key inputs_EB'!$C66)</f>
        <v>0</v>
      </c>
      <c r="AD66" s="471">
        <f>SUMIFS('S7'!AA:AA,'S7'!$C:$C,'Key inputs_EB'!$E66,'S7'!$D:$D,'Key inputs_EB'!$C66)</f>
        <v>0</v>
      </c>
      <c r="AE66" s="471">
        <f>SUMIFS('S7'!AB:AB,'S7'!$C:$C,'Key inputs_EB'!$E66,'S7'!$D:$D,'Key inputs_EB'!$C66)</f>
        <v>0</v>
      </c>
      <c r="AF66" s="471">
        <f>SUMIFS('S7'!AC:AC,'S7'!$C:$C,'Key inputs_EB'!$E66,'S7'!$D:$D,'Key inputs_EB'!$C66)</f>
        <v>0</v>
      </c>
      <c r="AG66" s="471">
        <f>SUMIFS('S7'!AD:AD,'S7'!$C:$C,'Key inputs_EB'!$E66,'S7'!$D:$D,'Key inputs_EB'!$C66)</f>
        <v>0</v>
      </c>
      <c r="AH66" s="471">
        <f>SUMIFS('S7'!AE:AE,'S7'!$C:$C,'Key inputs_EB'!$E66,'S7'!$D:$D,'Key inputs_EB'!$C66)</f>
        <v>0</v>
      </c>
      <c r="AI66" s="471">
        <f>SUMIFS('S7'!AF:AF,'S7'!$C:$C,'Key inputs_EB'!$E66,'S7'!$D:$D,'Key inputs_EB'!$C66)</f>
        <v>0</v>
      </c>
    </row>
    <row r="67" spans="2:35" x14ac:dyDescent="0.3">
      <c r="B67" s="49" t="str">
        <f>Legend!A$50</f>
        <v>Electric Appliances</v>
      </c>
      <c r="C67" s="49" t="str">
        <f>LEFT(Legend!$C$4)&amp;"-"&amp;Legend!B$50</f>
        <v>S-EAP</v>
      </c>
      <c r="D67" s="49" t="str">
        <f>Legend!A$68</f>
        <v>Natural gas</v>
      </c>
      <c r="E67" s="49" t="str">
        <f>Legend!B$68</f>
        <v>SRVGAS</v>
      </c>
      <c r="F67" s="49" t="s">
        <v>154</v>
      </c>
      <c r="H67" s="471">
        <f>SUMIFS('S7'!E:E,'S7'!$C:$C,'Key inputs_EB'!$E67,'S7'!$D:$D,'Key inputs_EB'!$C67)</f>
        <v>0</v>
      </c>
      <c r="I67" s="471">
        <f>SUMIFS('S7'!F:F,'S7'!$C:$C,'Key inputs_EB'!$E67,'S7'!$D:$D,'Key inputs_EB'!$C67)</f>
        <v>0</v>
      </c>
      <c r="J67" s="471">
        <f>SUMIFS('S7'!G:G,'S7'!$C:$C,'Key inputs_EB'!$E67,'S7'!$D:$D,'Key inputs_EB'!$C67)</f>
        <v>0</v>
      </c>
      <c r="K67" s="471">
        <f>SUMIFS('S7'!H:H,'S7'!$C:$C,'Key inputs_EB'!$E67,'S7'!$D:$D,'Key inputs_EB'!$C67)</f>
        <v>0</v>
      </c>
      <c r="L67" s="471">
        <f>SUMIFS('S7'!I:I,'S7'!$C:$C,'Key inputs_EB'!$E67,'S7'!$D:$D,'Key inputs_EB'!$C67)</f>
        <v>0</v>
      </c>
      <c r="M67" s="471">
        <f>SUMIFS('S7'!J:J,'S7'!$C:$C,'Key inputs_EB'!$E67,'S7'!$D:$D,'Key inputs_EB'!$C67)</f>
        <v>0</v>
      </c>
      <c r="N67" s="471">
        <f>SUMIFS('S7'!K:K,'S7'!$C:$C,'Key inputs_EB'!$E67,'S7'!$D:$D,'Key inputs_EB'!$C67)</f>
        <v>0</v>
      </c>
      <c r="O67" s="471">
        <f>SUMIFS('S7'!L:L,'S7'!$C:$C,'Key inputs_EB'!$E67,'S7'!$D:$D,'Key inputs_EB'!$C67)</f>
        <v>0</v>
      </c>
      <c r="P67" s="471">
        <f>SUMIFS('S7'!M:M,'S7'!$C:$C,'Key inputs_EB'!$E67,'S7'!$D:$D,'Key inputs_EB'!$C67)</f>
        <v>0</v>
      </c>
      <c r="Q67" s="471">
        <f>SUMIFS('S7'!N:N,'S7'!$C:$C,'Key inputs_EB'!$E67,'S7'!$D:$D,'Key inputs_EB'!$C67)</f>
        <v>0</v>
      </c>
      <c r="R67" s="471">
        <f>SUMIFS('S7'!O:O,'S7'!$C:$C,'Key inputs_EB'!$E67,'S7'!$D:$D,'Key inputs_EB'!$C67)</f>
        <v>0</v>
      </c>
      <c r="S67" s="471">
        <f>SUMIFS('S7'!P:P,'S7'!$C:$C,'Key inputs_EB'!$E67,'S7'!$D:$D,'Key inputs_EB'!$C67)</f>
        <v>0</v>
      </c>
      <c r="T67" s="471">
        <f>SUMIFS('S7'!Q:Q,'S7'!$C:$C,'Key inputs_EB'!$E67,'S7'!$D:$D,'Key inputs_EB'!$C67)</f>
        <v>0</v>
      </c>
      <c r="U67" s="471">
        <f>SUMIFS('S7'!R:R,'S7'!$C:$C,'Key inputs_EB'!$E67,'S7'!$D:$D,'Key inputs_EB'!$C67)</f>
        <v>0</v>
      </c>
      <c r="V67" s="471">
        <f>SUMIFS('S7'!S:S,'S7'!$C:$C,'Key inputs_EB'!$E67,'S7'!$D:$D,'Key inputs_EB'!$C67)</f>
        <v>0</v>
      </c>
      <c r="W67" s="471">
        <f>SUMIFS('S7'!T:T,'S7'!$C:$C,'Key inputs_EB'!$E67,'S7'!$D:$D,'Key inputs_EB'!$C67)</f>
        <v>0</v>
      </c>
      <c r="X67" s="471">
        <f>SUMIFS('S7'!U:U,'S7'!$C:$C,'Key inputs_EB'!$E67,'S7'!$D:$D,'Key inputs_EB'!$C67)</f>
        <v>0</v>
      </c>
      <c r="Y67" s="471">
        <f>SUMIFS('S7'!V:V,'S7'!$C:$C,'Key inputs_EB'!$E67,'S7'!$D:$D,'Key inputs_EB'!$C67)</f>
        <v>0</v>
      </c>
      <c r="Z67" s="471">
        <f>SUMIFS('S7'!W:W,'S7'!$C:$C,'Key inputs_EB'!$E67,'S7'!$D:$D,'Key inputs_EB'!$C67)</f>
        <v>0</v>
      </c>
      <c r="AA67" s="471">
        <f>SUMIFS('S7'!X:X,'S7'!$C:$C,'Key inputs_EB'!$E67,'S7'!$D:$D,'Key inputs_EB'!$C67)</f>
        <v>0</v>
      </c>
      <c r="AB67" s="471">
        <f>SUMIFS('S7'!Y:Y,'S7'!$C:$C,'Key inputs_EB'!$E67,'S7'!$D:$D,'Key inputs_EB'!$C67)</f>
        <v>0</v>
      </c>
      <c r="AC67" s="471">
        <f>SUMIFS('S7'!Z:Z,'S7'!$C:$C,'Key inputs_EB'!$E67,'S7'!$D:$D,'Key inputs_EB'!$C67)</f>
        <v>0</v>
      </c>
      <c r="AD67" s="471">
        <f>SUMIFS('S7'!AA:AA,'S7'!$C:$C,'Key inputs_EB'!$E67,'S7'!$D:$D,'Key inputs_EB'!$C67)</f>
        <v>0</v>
      </c>
      <c r="AE67" s="471">
        <f>SUMIFS('S7'!AB:AB,'S7'!$C:$C,'Key inputs_EB'!$E67,'S7'!$D:$D,'Key inputs_EB'!$C67)</f>
        <v>0</v>
      </c>
      <c r="AF67" s="471">
        <f>SUMIFS('S7'!AC:AC,'S7'!$C:$C,'Key inputs_EB'!$E67,'S7'!$D:$D,'Key inputs_EB'!$C67)</f>
        <v>0</v>
      </c>
      <c r="AG67" s="471">
        <f>SUMIFS('S7'!AD:AD,'S7'!$C:$C,'Key inputs_EB'!$E67,'S7'!$D:$D,'Key inputs_EB'!$C67)</f>
        <v>0</v>
      </c>
      <c r="AH67" s="471">
        <f>SUMIFS('S7'!AE:AE,'S7'!$C:$C,'Key inputs_EB'!$E67,'S7'!$D:$D,'Key inputs_EB'!$C67)</f>
        <v>0</v>
      </c>
      <c r="AI67" s="471">
        <f>SUMIFS('S7'!AF:AF,'S7'!$C:$C,'Key inputs_EB'!$E67,'S7'!$D:$D,'Key inputs_EB'!$C67)</f>
        <v>0</v>
      </c>
    </row>
    <row r="68" spans="2:35" x14ac:dyDescent="0.3">
      <c r="B68" s="49" t="str">
        <f>Legend!A$51</f>
        <v>Other uses</v>
      </c>
      <c r="C68" s="49" t="str">
        <f>LEFT(Legend!$C$4)&amp;"-"&amp;Legend!B$51</f>
        <v>S-OTH</v>
      </c>
      <c r="D68" s="49" t="str">
        <f>Legend!A$68</f>
        <v>Natural gas</v>
      </c>
      <c r="E68" s="49" t="str">
        <f>Legend!B$68</f>
        <v>SRVGAS</v>
      </c>
      <c r="F68" s="49" t="s">
        <v>154</v>
      </c>
      <c r="H68" s="471">
        <f>SUMIFS('S7'!E:E,'S7'!$C:$C,'Key inputs_EB'!$E68,'S7'!$D:$D,'Key inputs_EB'!$C68)</f>
        <v>0</v>
      </c>
      <c r="I68" s="471">
        <f>SUMIFS('S7'!F:F,'S7'!$C:$C,'Key inputs_EB'!$E68,'S7'!$D:$D,'Key inputs_EB'!$C68)</f>
        <v>0</v>
      </c>
      <c r="J68" s="471">
        <f>SUMIFS('S7'!G:G,'S7'!$C:$C,'Key inputs_EB'!$E68,'S7'!$D:$D,'Key inputs_EB'!$C68)</f>
        <v>0</v>
      </c>
      <c r="K68" s="471">
        <f>SUMIFS('S7'!H:H,'S7'!$C:$C,'Key inputs_EB'!$E68,'S7'!$D:$D,'Key inputs_EB'!$C68)</f>
        <v>0</v>
      </c>
      <c r="L68" s="471">
        <f>SUMIFS('S7'!I:I,'S7'!$C:$C,'Key inputs_EB'!$E68,'S7'!$D:$D,'Key inputs_EB'!$C68)</f>
        <v>0</v>
      </c>
      <c r="M68" s="471">
        <f>SUMIFS('S7'!J:J,'S7'!$C:$C,'Key inputs_EB'!$E68,'S7'!$D:$D,'Key inputs_EB'!$C68)</f>
        <v>0</v>
      </c>
      <c r="N68" s="471">
        <f>SUMIFS('S7'!K:K,'S7'!$C:$C,'Key inputs_EB'!$E68,'S7'!$D:$D,'Key inputs_EB'!$C68)</f>
        <v>0</v>
      </c>
      <c r="O68" s="471">
        <f>SUMIFS('S7'!L:L,'S7'!$C:$C,'Key inputs_EB'!$E68,'S7'!$D:$D,'Key inputs_EB'!$C68)</f>
        <v>0</v>
      </c>
      <c r="P68" s="471">
        <f>SUMIFS('S7'!M:M,'S7'!$C:$C,'Key inputs_EB'!$E68,'S7'!$D:$D,'Key inputs_EB'!$C68)</f>
        <v>0</v>
      </c>
      <c r="Q68" s="471">
        <f>SUMIFS('S7'!N:N,'S7'!$C:$C,'Key inputs_EB'!$E68,'S7'!$D:$D,'Key inputs_EB'!$C68)</f>
        <v>0.05</v>
      </c>
      <c r="R68" s="471">
        <f>SUMIFS('S7'!O:O,'S7'!$C:$C,'Key inputs_EB'!$E68,'S7'!$D:$D,'Key inputs_EB'!$C68)</f>
        <v>0</v>
      </c>
      <c r="S68" s="471">
        <f>SUMIFS('S7'!P:P,'S7'!$C:$C,'Key inputs_EB'!$E68,'S7'!$D:$D,'Key inputs_EB'!$C68)</f>
        <v>0</v>
      </c>
      <c r="T68" s="471">
        <f>SUMIFS('S7'!Q:Q,'S7'!$C:$C,'Key inputs_EB'!$E68,'S7'!$D:$D,'Key inputs_EB'!$C68)</f>
        <v>0</v>
      </c>
      <c r="U68" s="471">
        <f>SUMIFS('S7'!R:R,'S7'!$C:$C,'Key inputs_EB'!$E68,'S7'!$D:$D,'Key inputs_EB'!$C68)</f>
        <v>0</v>
      </c>
      <c r="V68" s="471">
        <f>SUMIFS('S7'!S:S,'S7'!$C:$C,'Key inputs_EB'!$E68,'S7'!$D:$D,'Key inputs_EB'!$C68)</f>
        <v>0</v>
      </c>
      <c r="W68" s="471">
        <f>SUMIFS('S7'!T:T,'S7'!$C:$C,'Key inputs_EB'!$E68,'S7'!$D:$D,'Key inputs_EB'!$C68)</f>
        <v>0</v>
      </c>
      <c r="X68" s="471">
        <f>SUMIFS('S7'!U:U,'S7'!$C:$C,'Key inputs_EB'!$E68,'S7'!$D:$D,'Key inputs_EB'!$C68)</f>
        <v>0</v>
      </c>
      <c r="Y68" s="471">
        <f>SUMIFS('S7'!V:V,'S7'!$C:$C,'Key inputs_EB'!$E68,'S7'!$D:$D,'Key inputs_EB'!$C68)</f>
        <v>0</v>
      </c>
      <c r="Z68" s="471">
        <f>SUMIFS('S7'!W:W,'S7'!$C:$C,'Key inputs_EB'!$E68,'S7'!$D:$D,'Key inputs_EB'!$C68)</f>
        <v>0</v>
      </c>
      <c r="AA68" s="471">
        <f>SUMIFS('S7'!X:X,'S7'!$C:$C,'Key inputs_EB'!$E68,'S7'!$D:$D,'Key inputs_EB'!$C68)</f>
        <v>0</v>
      </c>
      <c r="AB68" s="471">
        <f>SUMIFS('S7'!Y:Y,'S7'!$C:$C,'Key inputs_EB'!$E68,'S7'!$D:$D,'Key inputs_EB'!$C68)</f>
        <v>0</v>
      </c>
      <c r="AC68" s="471">
        <f>SUMIFS('S7'!Z:Z,'S7'!$C:$C,'Key inputs_EB'!$E68,'S7'!$D:$D,'Key inputs_EB'!$C68)</f>
        <v>0</v>
      </c>
      <c r="AD68" s="471">
        <f>SUMIFS('S7'!AA:AA,'S7'!$C:$C,'Key inputs_EB'!$E68,'S7'!$D:$D,'Key inputs_EB'!$C68)</f>
        <v>0</v>
      </c>
      <c r="AE68" s="471">
        <f>SUMIFS('S7'!AB:AB,'S7'!$C:$C,'Key inputs_EB'!$E68,'S7'!$D:$D,'Key inputs_EB'!$C68)</f>
        <v>0</v>
      </c>
      <c r="AF68" s="471">
        <f>SUMIFS('S7'!AC:AC,'S7'!$C:$C,'Key inputs_EB'!$E68,'S7'!$D:$D,'Key inputs_EB'!$C68)</f>
        <v>0</v>
      </c>
      <c r="AG68" s="471">
        <f>SUMIFS('S7'!AD:AD,'S7'!$C:$C,'Key inputs_EB'!$E68,'S7'!$D:$D,'Key inputs_EB'!$C68)</f>
        <v>0</v>
      </c>
      <c r="AH68" s="471">
        <f>SUMIFS('S7'!AE:AE,'S7'!$C:$C,'Key inputs_EB'!$E68,'S7'!$D:$D,'Key inputs_EB'!$C68)</f>
        <v>0</v>
      </c>
      <c r="AI68" s="471">
        <f>SUMIFS('S7'!AF:AF,'S7'!$C:$C,'Key inputs_EB'!$E68,'S7'!$D:$D,'Key inputs_EB'!$C68)</f>
        <v>7.9352799049781569E-2</v>
      </c>
    </row>
    <row r="69" spans="2:35" s="76" customFormat="1" ht="13.8" x14ac:dyDescent="0.3">
      <c r="B69" s="73"/>
      <c r="C69" s="74" t="s">
        <v>157</v>
      </c>
      <c r="D69" s="73"/>
      <c r="E69" s="73"/>
      <c r="F69" s="74"/>
      <c r="G69" s="74"/>
      <c r="H69" s="75">
        <f t="shared" ref="H69:AI69" si="19">IF(H$4="","",IF(SUM(H63:H68)=0,"",IF(SUM(H63:H68)&lt;&gt;1,"CHECK",SUM(H63:H68))))</f>
        <v>1</v>
      </c>
      <c r="I69" s="75">
        <f t="shared" si="19"/>
        <v>1</v>
      </c>
      <c r="J69" s="75">
        <f t="shared" si="19"/>
        <v>1</v>
      </c>
      <c r="K69" s="75">
        <f t="shared" si="19"/>
        <v>1</v>
      </c>
      <c r="L69" s="75">
        <f t="shared" si="19"/>
        <v>1</v>
      </c>
      <c r="M69" s="75">
        <f t="shared" si="19"/>
        <v>1</v>
      </c>
      <c r="N69" s="75">
        <f t="shared" si="19"/>
        <v>1</v>
      </c>
      <c r="O69" s="75">
        <f t="shared" si="19"/>
        <v>1</v>
      </c>
      <c r="P69" s="75">
        <f t="shared" si="19"/>
        <v>1</v>
      </c>
      <c r="Q69" s="75">
        <f t="shared" si="19"/>
        <v>1</v>
      </c>
      <c r="R69" s="75">
        <f t="shared" si="19"/>
        <v>1</v>
      </c>
      <c r="S69" s="75">
        <f t="shared" si="19"/>
        <v>1</v>
      </c>
      <c r="T69" s="75">
        <f t="shared" si="19"/>
        <v>1</v>
      </c>
      <c r="U69" s="75">
        <f t="shared" si="19"/>
        <v>1</v>
      </c>
      <c r="V69" s="75">
        <f t="shared" si="19"/>
        <v>1</v>
      </c>
      <c r="W69" s="75">
        <f t="shared" si="19"/>
        <v>1</v>
      </c>
      <c r="X69" s="75">
        <f t="shared" si="19"/>
        <v>1</v>
      </c>
      <c r="Y69" s="75">
        <f t="shared" si="19"/>
        <v>1</v>
      </c>
      <c r="Z69" s="75">
        <f t="shared" si="19"/>
        <v>1</v>
      </c>
      <c r="AA69" s="75">
        <f t="shared" si="19"/>
        <v>1</v>
      </c>
      <c r="AB69" s="75">
        <f t="shared" si="19"/>
        <v>1</v>
      </c>
      <c r="AC69" s="75">
        <f t="shared" si="19"/>
        <v>1</v>
      </c>
      <c r="AD69" s="75">
        <f t="shared" si="19"/>
        <v>1</v>
      </c>
      <c r="AE69" s="75">
        <f t="shared" si="19"/>
        <v>1</v>
      </c>
      <c r="AF69" s="75">
        <f t="shared" si="19"/>
        <v>1</v>
      </c>
      <c r="AG69" s="75">
        <f t="shared" si="19"/>
        <v>1</v>
      </c>
      <c r="AH69" s="75">
        <f t="shared" si="19"/>
        <v>1</v>
      </c>
      <c r="AI69" s="75">
        <f t="shared" si="19"/>
        <v>0.99999999999999989</v>
      </c>
    </row>
    <row r="70" spans="2:35" x14ac:dyDescent="0.3">
      <c r="B70" s="49" t="str">
        <f>Legend!A$45</f>
        <v>Thermal uses</v>
      </c>
      <c r="C70" s="49" t="str">
        <f>LEFT(Legend!$C$4)&amp;"-"&amp;Legend!B$45</f>
        <v>S-TH</v>
      </c>
      <c r="D70" s="49" t="str">
        <f>Legend!A$69</f>
        <v>Solar</v>
      </c>
      <c r="E70" s="49" t="str">
        <f>Legend!B$69</f>
        <v>SRVSOL</v>
      </c>
      <c r="F70" s="49" t="s">
        <v>154</v>
      </c>
      <c r="H70" s="471">
        <f>SUMIFS('S7'!E:E,'S7'!$C:$C,'Key inputs_EB'!$E70,'S7'!$D:$D,'Key inputs_EB'!$C70)</f>
        <v>1</v>
      </c>
      <c r="I70" s="471">
        <f>SUMIFS('S7'!F:F,'S7'!$C:$C,'Key inputs_EB'!$E70,'S7'!$D:$D,'Key inputs_EB'!$C70)</f>
        <v>1</v>
      </c>
      <c r="J70" s="471">
        <f>SUMIFS('S7'!G:G,'S7'!$C:$C,'Key inputs_EB'!$E70,'S7'!$D:$D,'Key inputs_EB'!$C70)</f>
        <v>1</v>
      </c>
      <c r="K70" s="471">
        <f>SUMIFS('S7'!H:H,'S7'!$C:$C,'Key inputs_EB'!$E70,'S7'!$D:$D,'Key inputs_EB'!$C70)</f>
        <v>1</v>
      </c>
      <c r="L70" s="471">
        <f>SUMIFS('S7'!I:I,'S7'!$C:$C,'Key inputs_EB'!$E70,'S7'!$D:$D,'Key inputs_EB'!$C70)</f>
        <v>1</v>
      </c>
      <c r="M70" s="471">
        <f>SUMIFS('S7'!J:J,'S7'!$C:$C,'Key inputs_EB'!$E70,'S7'!$D:$D,'Key inputs_EB'!$C70)</f>
        <v>1</v>
      </c>
      <c r="N70" s="471">
        <f>SUMIFS('S7'!K:K,'S7'!$C:$C,'Key inputs_EB'!$E70,'S7'!$D:$D,'Key inputs_EB'!$C70)</f>
        <v>1</v>
      </c>
      <c r="O70" s="471">
        <f>SUMIFS('S7'!L:L,'S7'!$C:$C,'Key inputs_EB'!$E70,'S7'!$D:$D,'Key inputs_EB'!$C70)</f>
        <v>1</v>
      </c>
      <c r="P70" s="471">
        <f>SUMIFS('S7'!M:M,'S7'!$C:$C,'Key inputs_EB'!$E70,'S7'!$D:$D,'Key inputs_EB'!$C70)</f>
        <v>1</v>
      </c>
      <c r="Q70" s="471">
        <f>SUMIFS('S7'!N:N,'S7'!$C:$C,'Key inputs_EB'!$E70,'S7'!$D:$D,'Key inputs_EB'!$C70)</f>
        <v>1</v>
      </c>
      <c r="R70" s="471">
        <f>SUMIFS('S7'!O:O,'S7'!$C:$C,'Key inputs_EB'!$E70,'S7'!$D:$D,'Key inputs_EB'!$C70)</f>
        <v>1</v>
      </c>
      <c r="S70" s="471">
        <f>SUMIFS('S7'!P:P,'S7'!$C:$C,'Key inputs_EB'!$E70,'S7'!$D:$D,'Key inputs_EB'!$C70)</f>
        <v>1</v>
      </c>
      <c r="T70" s="471">
        <f>SUMIFS('S7'!Q:Q,'S7'!$C:$C,'Key inputs_EB'!$E70,'S7'!$D:$D,'Key inputs_EB'!$C70)</f>
        <v>1</v>
      </c>
      <c r="U70" s="471">
        <f>SUMIFS('S7'!R:R,'S7'!$C:$C,'Key inputs_EB'!$E70,'S7'!$D:$D,'Key inputs_EB'!$C70)</f>
        <v>1</v>
      </c>
      <c r="V70" s="471">
        <f>SUMIFS('S7'!S:S,'S7'!$C:$C,'Key inputs_EB'!$E70,'S7'!$D:$D,'Key inputs_EB'!$C70)</f>
        <v>1</v>
      </c>
      <c r="W70" s="471">
        <f>SUMIFS('S7'!T:T,'S7'!$C:$C,'Key inputs_EB'!$E70,'S7'!$D:$D,'Key inputs_EB'!$C70)</f>
        <v>1</v>
      </c>
      <c r="X70" s="471">
        <f>SUMIFS('S7'!U:U,'S7'!$C:$C,'Key inputs_EB'!$E70,'S7'!$D:$D,'Key inputs_EB'!$C70)</f>
        <v>1</v>
      </c>
      <c r="Y70" s="471">
        <f>SUMIFS('S7'!V:V,'S7'!$C:$C,'Key inputs_EB'!$E70,'S7'!$D:$D,'Key inputs_EB'!$C70)</f>
        <v>1</v>
      </c>
      <c r="Z70" s="471">
        <f>SUMIFS('S7'!W:W,'S7'!$C:$C,'Key inputs_EB'!$E70,'S7'!$D:$D,'Key inputs_EB'!$C70)</f>
        <v>0.95</v>
      </c>
      <c r="AA70" s="471">
        <f>SUMIFS('S7'!X:X,'S7'!$C:$C,'Key inputs_EB'!$E70,'S7'!$D:$D,'Key inputs_EB'!$C70)</f>
        <v>1</v>
      </c>
      <c r="AB70" s="471">
        <f>SUMIFS('S7'!Y:Y,'S7'!$C:$C,'Key inputs_EB'!$E70,'S7'!$D:$D,'Key inputs_EB'!$C70)</f>
        <v>1</v>
      </c>
      <c r="AC70" s="471">
        <f>SUMIFS('S7'!Z:Z,'S7'!$C:$C,'Key inputs_EB'!$E70,'S7'!$D:$D,'Key inputs_EB'!$C70)</f>
        <v>1</v>
      </c>
      <c r="AD70" s="471">
        <f>SUMIFS('S7'!AA:AA,'S7'!$C:$C,'Key inputs_EB'!$E70,'S7'!$D:$D,'Key inputs_EB'!$C70)</f>
        <v>1</v>
      </c>
      <c r="AE70" s="471">
        <f>SUMIFS('S7'!AB:AB,'S7'!$C:$C,'Key inputs_EB'!$E70,'S7'!$D:$D,'Key inputs_EB'!$C70)</f>
        <v>1</v>
      </c>
      <c r="AF70" s="471">
        <f>SUMIFS('S7'!AC:AC,'S7'!$C:$C,'Key inputs_EB'!$E70,'S7'!$D:$D,'Key inputs_EB'!$C70)</f>
        <v>1</v>
      </c>
      <c r="AG70" s="471">
        <f>SUMIFS('S7'!AD:AD,'S7'!$C:$C,'Key inputs_EB'!$E70,'S7'!$D:$D,'Key inputs_EB'!$C70)</f>
        <v>1</v>
      </c>
      <c r="AH70" s="471">
        <f>SUMIFS('S7'!AE:AE,'S7'!$C:$C,'Key inputs_EB'!$E70,'S7'!$D:$D,'Key inputs_EB'!$C70)</f>
        <v>1</v>
      </c>
      <c r="AI70" s="471">
        <f>SUMIFS('S7'!AF:AF,'S7'!$C:$C,'Key inputs_EB'!$E70,'S7'!$D:$D,'Key inputs_EB'!$C70)</f>
        <v>1</v>
      </c>
    </row>
    <row r="71" spans="2:35" x14ac:dyDescent="0.3">
      <c r="B71" s="49" t="str">
        <f>Legend!A$46</f>
        <v>Air conditioning</v>
      </c>
      <c r="C71" s="49" t="str">
        <f>LEFT(Legend!$C$4)&amp;"-"&amp;Legend!B$46</f>
        <v>S-AC</v>
      </c>
      <c r="D71" s="49" t="str">
        <f>Legend!A$69</f>
        <v>Solar</v>
      </c>
      <c r="E71" s="49" t="str">
        <f>Legend!B$69</f>
        <v>SRVSOL</v>
      </c>
      <c r="F71" s="49" t="s">
        <v>154</v>
      </c>
      <c r="H71" s="471">
        <f>SUMIFS('S7'!E:E,'S7'!$C:$C,'Key inputs_EB'!$E71,'S7'!$D:$D,'Key inputs_EB'!$C71)</f>
        <v>0</v>
      </c>
      <c r="I71" s="471">
        <f>SUMIFS('S7'!F:F,'S7'!$C:$C,'Key inputs_EB'!$E71,'S7'!$D:$D,'Key inputs_EB'!$C71)</f>
        <v>0</v>
      </c>
      <c r="J71" s="471">
        <f>SUMIFS('S7'!G:G,'S7'!$C:$C,'Key inputs_EB'!$E71,'S7'!$D:$D,'Key inputs_EB'!$C71)</f>
        <v>0</v>
      </c>
      <c r="K71" s="471">
        <f>SUMIFS('S7'!H:H,'S7'!$C:$C,'Key inputs_EB'!$E71,'S7'!$D:$D,'Key inputs_EB'!$C71)</f>
        <v>0</v>
      </c>
      <c r="L71" s="471">
        <f>SUMIFS('S7'!I:I,'S7'!$C:$C,'Key inputs_EB'!$E71,'S7'!$D:$D,'Key inputs_EB'!$C71)</f>
        <v>0</v>
      </c>
      <c r="M71" s="471">
        <f>SUMIFS('S7'!J:J,'S7'!$C:$C,'Key inputs_EB'!$E71,'S7'!$D:$D,'Key inputs_EB'!$C71)</f>
        <v>0</v>
      </c>
      <c r="N71" s="471">
        <f>SUMIFS('S7'!K:K,'S7'!$C:$C,'Key inputs_EB'!$E71,'S7'!$D:$D,'Key inputs_EB'!$C71)</f>
        <v>0</v>
      </c>
      <c r="O71" s="471">
        <f>SUMIFS('S7'!L:L,'S7'!$C:$C,'Key inputs_EB'!$E71,'S7'!$D:$D,'Key inputs_EB'!$C71)</f>
        <v>0</v>
      </c>
      <c r="P71" s="471">
        <f>SUMIFS('S7'!M:M,'S7'!$C:$C,'Key inputs_EB'!$E71,'S7'!$D:$D,'Key inputs_EB'!$C71)</f>
        <v>0</v>
      </c>
      <c r="Q71" s="471">
        <f>SUMIFS('S7'!N:N,'S7'!$C:$C,'Key inputs_EB'!$E71,'S7'!$D:$D,'Key inputs_EB'!$C71)</f>
        <v>0</v>
      </c>
      <c r="R71" s="471">
        <f>SUMIFS('S7'!O:O,'S7'!$C:$C,'Key inputs_EB'!$E71,'S7'!$D:$D,'Key inputs_EB'!$C71)</f>
        <v>0</v>
      </c>
      <c r="S71" s="471">
        <f>SUMIFS('S7'!P:P,'S7'!$C:$C,'Key inputs_EB'!$E71,'S7'!$D:$D,'Key inputs_EB'!$C71)</f>
        <v>0</v>
      </c>
      <c r="T71" s="471">
        <f>SUMIFS('S7'!Q:Q,'S7'!$C:$C,'Key inputs_EB'!$E71,'S7'!$D:$D,'Key inputs_EB'!$C71)</f>
        <v>0</v>
      </c>
      <c r="U71" s="471">
        <f>SUMIFS('S7'!R:R,'S7'!$C:$C,'Key inputs_EB'!$E71,'S7'!$D:$D,'Key inputs_EB'!$C71)</f>
        <v>0</v>
      </c>
      <c r="V71" s="471">
        <f>SUMIFS('S7'!S:S,'S7'!$C:$C,'Key inputs_EB'!$E71,'S7'!$D:$D,'Key inputs_EB'!$C71)</f>
        <v>0</v>
      </c>
      <c r="W71" s="471">
        <f>SUMIFS('S7'!T:T,'S7'!$C:$C,'Key inputs_EB'!$E71,'S7'!$D:$D,'Key inputs_EB'!$C71)</f>
        <v>0</v>
      </c>
      <c r="X71" s="471">
        <f>SUMIFS('S7'!U:U,'S7'!$C:$C,'Key inputs_EB'!$E71,'S7'!$D:$D,'Key inputs_EB'!$C71)</f>
        <v>0</v>
      </c>
      <c r="Y71" s="471">
        <f>SUMIFS('S7'!V:V,'S7'!$C:$C,'Key inputs_EB'!$E71,'S7'!$D:$D,'Key inputs_EB'!$C71)</f>
        <v>0</v>
      </c>
      <c r="Z71" s="471">
        <f>SUMIFS('S7'!W:W,'S7'!$C:$C,'Key inputs_EB'!$E71,'S7'!$D:$D,'Key inputs_EB'!$C71)</f>
        <v>0</v>
      </c>
      <c r="AA71" s="471">
        <f>SUMIFS('S7'!X:X,'S7'!$C:$C,'Key inputs_EB'!$E71,'S7'!$D:$D,'Key inputs_EB'!$C71)</f>
        <v>0</v>
      </c>
      <c r="AB71" s="471">
        <f>SUMIFS('S7'!Y:Y,'S7'!$C:$C,'Key inputs_EB'!$E71,'S7'!$D:$D,'Key inputs_EB'!$C71)</f>
        <v>0</v>
      </c>
      <c r="AC71" s="471">
        <f>SUMIFS('S7'!Z:Z,'S7'!$C:$C,'Key inputs_EB'!$E71,'S7'!$D:$D,'Key inputs_EB'!$C71)</f>
        <v>0</v>
      </c>
      <c r="AD71" s="471">
        <f>SUMIFS('S7'!AA:AA,'S7'!$C:$C,'Key inputs_EB'!$E71,'S7'!$D:$D,'Key inputs_EB'!$C71)</f>
        <v>0</v>
      </c>
      <c r="AE71" s="471">
        <f>SUMIFS('S7'!AB:AB,'S7'!$C:$C,'Key inputs_EB'!$E71,'S7'!$D:$D,'Key inputs_EB'!$C71)</f>
        <v>0</v>
      </c>
      <c r="AF71" s="471">
        <f>SUMIFS('S7'!AC:AC,'S7'!$C:$C,'Key inputs_EB'!$E71,'S7'!$D:$D,'Key inputs_EB'!$C71)</f>
        <v>0</v>
      </c>
      <c r="AG71" s="471">
        <f>SUMIFS('S7'!AD:AD,'S7'!$C:$C,'Key inputs_EB'!$E71,'S7'!$D:$D,'Key inputs_EB'!$C71)</f>
        <v>0</v>
      </c>
      <c r="AH71" s="471">
        <f>SUMIFS('S7'!AE:AE,'S7'!$C:$C,'Key inputs_EB'!$E71,'S7'!$D:$D,'Key inputs_EB'!$C71)</f>
        <v>0</v>
      </c>
      <c r="AI71" s="471">
        <f>SUMIFS('S7'!AF:AF,'S7'!$C:$C,'Key inputs_EB'!$E71,'S7'!$D:$D,'Key inputs_EB'!$C71)</f>
        <v>0</v>
      </c>
    </row>
    <row r="72" spans="2:35" x14ac:dyDescent="0.3">
      <c r="B72" s="49" t="str">
        <f>Legend!A$47</f>
        <v>Cooking</v>
      </c>
      <c r="C72" s="49" t="str">
        <f>LEFT(Legend!$C$4)&amp;"-"&amp;Legend!B$47</f>
        <v>S-CK</v>
      </c>
      <c r="D72" s="49" t="str">
        <f>Legend!A$69</f>
        <v>Solar</v>
      </c>
      <c r="E72" s="49" t="str">
        <f>Legend!B$69</f>
        <v>SRVSOL</v>
      </c>
      <c r="F72" s="49" t="s">
        <v>154</v>
      </c>
      <c r="H72" s="471">
        <f>SUMIFS('S7'!E:E,'S7'!$C:$C,'Key inputs_EB'!$E72,'S7'!$D:$D,'Key inputs_EB'!$C72)</f>
        <v>0</v>
      </c>
      <c r="I72" s="471">
        <f>SUMIFS('S7'!F:F,'S7'!$C:$C,'Key inputs_EB'!$E72,'S7'!$D:$D,'Key inputs_EB'!$C72)</f>
        <v>0</v>
      </c>
      <c r="J72" s="471">
        <f>SUMIFS('S7'!G:G,'S7'!$C:$C,'Key inputs_EB'!$E72,'S7'!$D:$D,'Key inputs_EB'!$C72)</f>
        <v>0</v>
      </c>
      <c r="K72" s="471">
        <f>SUMIFS('S7'!H:H,'S7'!$C:$C,'Key inputs_EB'!$E72,'S7'!$D:$D,'Key inputs_EB'!$C72)</f>
        <v>0</v>
      </c>
      <c r="L72" s="471">
        <f>SUMIFS('S7'!I:I,'S7'!$C:$C,'Key inputs_EB'!$E72,'S7'!$D:$D,'Key inputs_EB'!$C72)</f>
        <v>0</v>
      </c>
      <c r="M72" s="471">
        <f>SUMIFS('S7'!J:J,'S7'!$C:$C,'Key inputs_EB'!$E72,'S7'!$D:$D,'Key inputs_EB'!$C72)</f>
        <v>0</v>
      </c>
      <c r="N72" s="471">
        <f>SUMIFS('S7'!K:K,'S7'!$C:$C,'Key inputs_EB'!$E72,'S7'!$D:$D,'Key inputs_EB'!$C72)</f>
        <v>0</v>
      </c>
      <c r="O72" s="471">
        <f>SUMIFS('S7'!L:L,'S7'!$C:$C,'Key inputs_EB'!$E72,'S7'!$D:$D,'Key inputs_EB'!$C72)</f>
        <v>0</v>
      </c>
      <c r="P72" s="471">
        <f>SUMIFS('S7'!M:M,'S7'!$C:$C,'Key inputs_EB'!$E72,'S7'!$D:$D,'Key inputs_EB'!$C72)</f>
        <v>0</v>
      </c>
      <c r="Q72" s="471">
        <f>SUMIFS('S7'!N:N,'S7'!$C:$C,'Key inputs_EB'!$E72,'S7'!$D:$D,'Key inputs_EB'!$C72)</f>
        <v>0</v>
      </c>
      <c r="R72" s="471">
        <f>SUMIFS('S7'!O:O,'S7'!$C:$C,'Key inputs_EB'!$E72,'S7'!$D:$D,'Key inputs_EB'!$C72)</f>
        <v>0</v>
      </c>
      <c r="S72" s="471">
        <f>SUMIFS('S7'!P:P,'S7'!$C:$C,'Key inputs_EB'!$E72,'S7'!$D:$D,'Key inputs_EB'!$C72)</f>
        <v>0</v>
      </c>
      <c r="T72" s="471">
        <f>SUMIFS('S7'!Q:Q,'S7'!$C:$C,'Key inputs_EB'!$E72,'S7'!$D:$D,'Key inputs_EB'!$C72)</f>
        <v>0</v>
      </c>
      <c r="U72" s="471">
        <f>SUMIFS('S7'!R:R,'S7'!$C:$C,'Key inputs_EB'!$E72,'S7'!$D:$D,'Key inputs_EB'!$C72)</f>
        <v>0</v>
      </c>
      <c r="V72" s="471">
        <f>SUMIFS('S7'!S:S,'S7'!$C:$C,'Key inputs_EB'!$E72,'S7'!$D:$D,'Key inputs_EB'!$C72)</f>
        <v>0</v>
      </c>
      <c r="W72" s="471">
        <f>SUMIFS('S7'!T:T,'S7'!$C:$C,'Key inputs_EB'!$E72,'S7'!$D:$D,'Key inputs_EB'!$C72)</f>
        <v>0</v>
      </c>
      <c r="X72" s="471">
        <f>SUMIFS('S7'!U:U,'S7'!$C:$C,'Key inputs_EB'!$E72,'S7'!$D:$D,'Key inputs_EB'!$C72)</f>
        <v>0</v>
      </c>
      <c r="Y72" s="471">
        <f>SUMIFS('S7'!V:V,'S7'!$C:$C,'Key inputs_EB'!$E72,'S7'!$D:$D,'Key inputs_EB'!$C72)</f>
        <v>0</v>
      </c>
      <c r="Z72" s="471">
        <f>SUMIFS('S7'!W:W,'S7'!$C:$C,'Key inputs_EB'!$E72,'S7'!$D:$D,'Key inputs_EB'!$C72)</f>
        <v>0.05</v>
      </c>
      <c r="AA72" s="471">
        <f>SUMIFS('S7'!X:X,'S7'!$C:$C,'Key inputs_EB'!$E72,'S7'!$D:$D,'Key inputs_EB'!$C72)</f>
        <v>0</v>
      </c>
      <c r="AB72" s="471">
        <f>SUMIFS('S7'!Y:Y,'S7'!$C:$C,'Key inputs_EB'!$E72,'S7'!$D:$D,'Key inputs_EB'!$C72)</f>
        <v>0</v>
      </c>
      <c r="AC72" s="471">
        <f>SUMIFS('S7'!Z:Z,'S7'!$C:$C,'Key inputs_EB'!$E72,'S7'!$D:$D,'Key inputs_EB'!$C72)</f>
        <v>0</v>
      </c>
      <c r="AD72" s="471">
        <f>SUMIFS('S7'!AA:AA,'S7'!$C:$C,'Key inputs_EB'!$E72,'S7'!$D:$D,'Key inputs_EB'!$C72)</f>
        <v>0</v>
      </c>
      <c r="AE72" s="471">
        <f>SUMIFS('S7'!AB:AB,'S7'!$C:$C,'Key inputs_EB'!$E72,'S7'!$D:$D,'Key inputs_EB'!$C72)</f>
        <v>0</v>
      </c>
      <c r="AF72" s="471">
        <f>SUMIFS('S7'!AC:AC,'S7'!$C:$C,'Key inputs_EB'!$E72,'S7'!$D:$D,'Key inputs_EB'!$C72)</f>
        <v>0</v>
      </c>
      <c r="AG72" s="471">
        <f>SUMIFS('S7'!AD:AD,'S7'!$C:$C,'Key inputs_EB'!$E72,'S7'!$D:$D,'Key inputs_EB'!$C72)</f>
        <v>0</v>
      </c>
      <c r="AH72" s="471">
        <f>SUMIFS('S7'!AE:AE,'S7'!$C:$C,'Key inputs_EB'!$E72,'S7'!$D:$D,'Key inputs_EB'!$C72)</f>
        <v>0</v>
      </c>
      <c r="AI72" s="471">
        <f>SUMIFS('S7'!AF:AF,'S7'!$C:$C,'Key inputs_EB'!$E72,'S7'!$D:$D,'Key inputs_EB'!$C72)</f>
        <v>0</v>
      </c>
    </row>
    <row r="73" spans="2:35" x14ac:dyDescent="0.3">
      <c r="B73" s="49" t="str">
        <f>Legend!A$49</f>
        <v>Lighting</v>
      </c>
      <c r="C73" s="49" t="str">
        <f>LEFT(Legend!$C$4)&amp;"-"&amp;Legend!B$49</f>
        <v>S-LIG</v>
      </c>
      <c r="D73" s="49" t="str">
        <f>Legend!A$69</f>
        <v>Solar</v>
      </c>
      <c r="E73" s="49" t="str">
        <f>Legend!B$69</f>
        <v>SRVSOL</v>
      </c>
      <c r="F73" s="49" t="s">
        <v>154</v>
      </c>
      <c r="H73" s="471">
        <f>SUMIFS('S7'!E:E,'S7'!$C:$C,'Key inputs_EB'!$E73,'S7'!$D:$D,'Key inputs_EB'!$C73)</f>
        <v>0</v>
      </c>
      <c r="I73" s="471">
        <f>SUMIFS('S7'!F:F,'S7'!$C:$C,'Key inputs_EB'!$E73,'S7'!$D:$D,'Key inputs_EB'!$C73)</f>
        <v>0</v>
      </c>
      <c r="J73" s="471">
        <f>SUMIFS('S7'!G:G,'S7'!$C:$C,'Key inputs_EB'!$E73,'S7'!$D:$D,'Key inputs_EB'!$C73)</f>
        <v>0</v>
      </c>
      <c r="K73" s="471">
        <f>SUMIFS('S7'!H:H,'S7'!$C:$C,'Key inputs_EB'!$E73,'S7'!$D:$D,'Key inputs_EB'!$C73)</f>
        <v>0</v>
      </c>
      <c r="L73" s="471">
        <f>SUMIFS('S7'!I:I,'S7'!$C:$C,'Key inputs_EB'!$E73,'S7'!$D:$D,'Key inputs_EB'!$C73)</f>
        <v>0</v>
      </c>
      <c r="M73" s="471">
        <f>SUMIFS('S7'!J:J,'S7'!$C:$C,'Key inputs_EB'!$E73,'S7'!$D:$D,'Key inputs_EB'!$C73)</f>
        <v>0</v>
      </c>
      <c r="N73" s="471">
        <f>SUMIFS('S7'!K:K,'S7'!$C:$C,'Key inputs_EB'!$E73,'S7'!$D:$D,'Key inputs_EB'!$C73)</f>
        <v>0</v>
      </c>
      <c r="O73" s="471">
        <f>SUMIFS('S7'!L:L,'S7'!$C:$C,'Key inputs_EB'!$E73,'S7'!$D:$D,'Key inputs_EB'!$C73)</f>
        <v>0</v>
      </c>
      <c r="P73" s="471">
        <f>SUMIFS('S7'!M:M,'S7'!$C:$C,'Key inputs_EB'!$E73,'S7'!$D:$D,'Key inputs_EB'!$C73)</f>
        <v>0</v>
      </c>
      <c r="Q73" s="471">
        <f>SUMIFS('S7'!N:N,'S7'!$C:$C,'Key inputs_EB'!$E73,'S7'!$D:$D,'Key inputs_EB'!$C73)</f>
        <v>0</v>
      </c>
      <c r="R73" s="471">
        <f>SUMIFS('S7'!O:O,'S7'!$C:$C,'Key inputs_EB'!$E73,'S7'!$D:$D,'Key inputs_EB'!$C73)</f>
        <v>0</v>
      </c>
      <c r="S73" s="471">
        <f>SUMIFS('S7'!P:P,'S7'!$C:$C,'Key inputs_EB'!$E73,'S7'!$D:$D,'Key inputs_EB'!$C73)</f>
        <v>0</v>
      </c>
      <c r="T73" s="471">
        <f>SUMIFS('S7'!Q:Q,'S7'!$C:$C,'Key inputs_EB'!$E73,'S7'!$D:$D,'Key inputs_EB'!$C73)</f>
        <v>0</v>
      </c>
      <c r="U73" s="471">
        <f>SUMIFS('S7'!R:R,'S7'!$C:$C,'Key inputs_EB'!$E73,'S7'!$D:$D,'Key inputs_EB'!$C73)</f>
        <v>0</v>
      </c>
      <c r="V73" s="471">
        <f>SUMIFS('S7'!S:S,'S7'!$C:$C,'Key inputs_EB'!$E73,'S7'!$D:$D,'Key inputs_EB'!$C73)</f>
        <v>0</v>
      </c>
      <c r="W73" s="471">
        <f>SUMIFS('S7'!T:T,'S7'!$C:$C,'Key inputs_EB'!$E73,'S7'!$D:$D,'Key inputs_EB'!$C73)</f>
        <v>0</v>
      </c>
      <c r="X73" s="471">
        <f>SUMIFS('S7'!U:U,'S7'!$C:$C,'Key inputs_EB'!$E73,'S7'!$D:$D,'Key inputs_EB'!$C73)</f>
        <v>0</v>
      </c>
      <c r="Y73" s="471">
        <f>SUMIFS('S7'!V:V,'S7'!$C:$C,'Key inputs_EB'!$E73,'S7'!$D:$D,'Key inputs_EB'!$C73)</f>
        <v>0</v>
      </c>
      <c r="Z73" s="471">
        <f>SUMIFS('S7'!W:W,'S7'!$C:$C,'Key inputs_EB'!$E73,'S7'!$D:$D,'Key inputs_EB'!$C73)</f>
        <v>0</v>
      </c>
      <c r="AA73" s="471">
        <f>SUMIFS('S7'!X:X,'S7'!$C:$C,'Key inputs_EB'!$E73,'S7'!$D:$D,'Key inputs_EB'!$C73)</f>
        <v>0</v>
      </c>
      <c r="AB73" s="471">
        <f>SUMIFS('S7'!Y:Y,'S7'!$C:$C,'Key inputs_EB'!$E73,'S7'!$D:$D,'Key inputs_EB'!$C73)</f>
        <v>0</v>
      </c>
      <c r="AC73" s="471">
        <f>SUMIFS('S7'!Z:Z,'S7'!$C:$C,'Key inputs_EB'!$E73,'S7'!$D:$D,'Key inputs_EB'!$C73)</f>
        <v>0</v>
      </c>
      <c r="AD73" s="471">
        <f>SUMIFS('S7'!AA:AA,'S7'!$C:$C,'Key inputs_EB'!$E73,'S7'!$D:$D,'Key inputs_EB'!$C73)</f>
        <v>0</v>
      </c>
      <c r="AE73" s="471">
        <f>SUMIFS('S7'!AB:AB,'S7'!$C:$C,'Key inputs_EB'!$E73,'S7'!$D:$D,'Key inputs_EB'!$C73)</f>
        <v>0</v>
      </c>
      <c r="AF73" s="471">
        <f>SUMIFS('S7'!AC:AC,'S7'!$C:$C,'Key inputs_EB'!$E73,'S7'!$D:$D,'Key inputs_EB'!$C73)</f>
        <v>0</v>
      </c>
      <c r="AG73" s="471">
        <f>SUMIFS('S7'!AD:AD,'S7'!$C:$C,'Key inputs_EB'!$E73,'S7'!$D:$D,'Key inputs_EB'!$C73)</f>
        <v>0</v>
      </c>
      <c r="AH73" s="471">
        <f>SUMIFS('S7'!AE:AE,'S7'!$C:$C,'Key inputs_EB'!$E73,'S7'!$D:$D,'Key inputs_EB'!$C73)</f>
        <v>0</v>
      </c>
      <c r="AI73" s="471">
        <f>SUMIFS('S7'!AF:AF,'S7'!$C:$C,'Key inputs_EB'!$E73,'S7'!$D:$D,'Key inputs_EB'!$C73)</f>
        <v>0</v>
      </c>
    </row>
    <row r="74" spans="2:35" x14ac:dyDescent="0.3">
      <c r="B74" s="49" t="str">
        <f>Legend!A$50</f>
        <v>Electric Appliances</v>
      </c>
      <c r="C74" s="49" t="str">
        <f>LEFT(Legend!$C$4)&amp;"-"&amp;Legend!B$50</f>
        <v>S-EAP</v>
      </c>
      <c r="D74" s="49" t="str">
        <f>Legend!A$69</f>
        <v>Solar</v>
      </c>
      <c r="E74" s="49" t="str">
        <f>Legend!B$69</f>
        <v>SRVSOL</v>
      </c>
      <c r="F74" s="49" t="s">
        <v>154</v>
      </c>
      <c r="H74" s="471">
        <f>SUMIFS('S7'!E:E,'S7'!$C:$C,'Key inputs_EB'!$E74,'S7'!$D:$D,'Key inputs_EB'!$C74)</f>
        <v>0</v>
      </c>
      <c r="I74" s="471">
        <f>SUMIFS('S7'!F:F,'S7'!$C:$C,'Key inputs_EB'!$E74,'S7'!$D:$D,'Key inputs_EB'!$C74)</f>
        <v>0</v>
      </c>
      <c r="J74" s="471">
        <f>SUMIFS('S7'!G:G,'S7'!$C:$C,'Key inputs_EB'!$E74,'S7'!$D:$D,'Key inputs_EB'!$C74)</f>
        <v>0</v>
      </c>
      <c r="K74" s="471">
        <f>SUMIFS('S7'!H:H,'S7'!$C:$C,'Key inputs_EB'!$E74,'S7'!$D:$D,'Key inputs_EB'!$C74)</f>
        <v>0</v>
      </c>
      <c r="L74" s="471">
        <f>SUMIFS('S7'!I:I,'S7'!$C:$C,'Key inputs_EB'!$E74,'S7'!$D:$D,'Key inputs_EB'!$C74)</f>
        <v>0</v>
      </c>
      <c r="M74" s="471">
        <f>SUMIFS('S7'!J:J,'S7'!$C:$C,'Key inputs_EB'!$E74,'S7'!$D:$D,'Key inputs_EB'!$C74)</f>
        <v>0</v>
      </c>
      <c r="N74" s="471">
        <f>SUMIFS('S7'!K:K,'S7'!$C:$C,'Key inputs_EB'!$E74,'S7'!$D:$D,'Key inputs_EB'!$C74)</f>
        <v>0</v>
      </c>
      <c r="O74" s="471">
        <f>SUMIFS('S7'!L:L,'S7'!$C:$C,'Key inputs_EB'!$E74,'S7'!$D:$D,'Key inputs_EB'!$C74)</f>
        <v>0</v>
      </c>
      <c r="P74" s="471">
        <f>SUMIFS('S7'!M:M,'S7'!$C:$C,'Key inputs_EB'!$E74,'S7'!$D:$D,'Key inputs_EB'!$C74)</f>
        <v>0</v>
      </c>
      <c r="Q74" s="471">
        <f>SUMIFS('S7'!N:N,'S7'!$C:$C,'Key inputs_EB'!$E74,'S7'!$D:$D,'Key inputs_EB'!$C74)</f>
        <v>0</v>
      </c>
      <c r="R74" s="471">
        <f>SUMIFS('S7'!O:O,'S7'!$C:$C,'Key inputs_EB'!$E74,'S7'!$D:$D,'Key inputs_EB'!$C74)</f>
        <v>0</v>
      </c>
      <c r="S74" s="471">
        <f>SUMIFS('S7'!P:P,'S7'!$C:$C,'Key inputs_EB'!$E74,'S7'!$D:$D,'Key inputs_EB'!$C74)</f>
        <v>0</v>
      </c>
      <c r="T74" s="471">
        <f>SUMIFS('S7'!Q:Q,'S7'!$C:$C,'Key inputs_EB'!$E74,'S7'!$D:$D,'Key inputs_EB'!$C74)</f>
        <v>0</v>
      </c>
      <c r="U74" s="471">
        <f>SUMIFS('S7'!R:R,'S7'!$C:$C,'Key inputs_EB'!$E74,'S7'!$D:$D,'Key inputs_EB'!$C74)</f>
        <v>0</v>
      </c>
      <c r="V74" s="471">
        <f>SUMIFS('S7'!S:S,'S7'!$C:$C,'Key inputs_EB'!$E74,'S7'!$D:$D,'Key inputs_EB'!$C74)</f>
        <v>0</v>
      </c>
      <c r="W74" s="471">
        <f>SUMIFS('S7'!T:T,'S7'!$C:$C,'Key inputs_EB'!$E74,'S7'!$D:$D,'Key inputs_EB'!$C74)</f>
        <v>0</v>
      </c>
      <c r="X74" s="471">
        <f>SUMIFS('S7'!U:U,'S7'!$C:$C,'Key inputs_EB'!$E74,'S7'!$D:$D,'Key inputs_EB'!$C74)</f>
        <v>0</v>
      </c>
      <c r="Y74" s="471">
        <f>SUMIFS('S7'!V:V,'S7'!$C:$C,'Key inputs_EB'!$E74,'S7'!$D:$D,'Key inputs_EB'!$C74)</f>
        <v>0</v>
      </c>
      <c r="Z74" s="471">
        <f>SUMIFS('S7'!W:W,'S7'!$C:$C,'Key inputs_EB'!$E74,'S7'!$D:$D,'Key inputs_EB'!$C74)</f>
        <v>0</v>
      </c>
      <c r="AA74" s="471">
        <f>SUMIFS('S7'!X:X,'S7'!$C:$C,'Key inputs_EB'!$E74,'S7'!$D:$D,'Key inputs_EB'!$C74)</f>
        <v>0</v>
      </c>
      <c r="AB74" s="471">
        <f>SUMIFS('S7'!Y:Y,'S7'!$C:$C,'Key inputs_EB'!$E74,'S7'!$D:$D,'Key inputs_EB'!$C74)</f>
        <v>0</v>
      </c>
      <c r="AC74" s="471">
        <f>SUMIFS('S7'!Z:Z,'S7'!$C:$C,'Key inputs_EB'!$E74,'S7'!$D:$D,'Key inputs_EB'!$C74)</f>
        <v>0</v>
      </c>
      <c r="AD74" s="471">
        <f>SUMIFS('S7'!AA:AA,'S7'!$C:$C,'Key inputs_EB'!$E74,'S7'!$D:$D,'Key inputs_EB'!$C74)</f>
        <v>0</v>
      </c>
      <c r="AE74" s="471">
        <f>SUMIFS('S7'!AB:AB,'S7'!$C:$C,'Key inputs_EB'!$E74,'S7'!$D:$D,'Key inputs_EB'!$C74)</f>
        <v>0</v>
      </c>
      <c r="AF74" s="471">
        <f>SUMIFS('S7'!AC:AC,'S7'!$C:$C,'Key inputs_EB'!$E74,'S7'!$D:$D,'Key inputs_EB'!$C74)</f>
        <v>0</v>
      </c>
      <c r="AG74" s="471">
        <f>SUMIFS('S7'!AD:AD,'S7'!$C:$C,'Key inputs_EB'!$E74,'S7'!$D:$D,'Key inputs_EB'!$C74)</f>
        <v>0</v>
      </c>
      <c r="AH74" s="471">
        <f>SUMIFS('S7'!AE:AE,'S7'!$C:$C,'Key inputs_EB'!$E74,'S7'!$D:$D,'Key inputs_EB'!$C74)</f>
        <v>0</v>
      </c>
      <c r="AI74" s="471">
        <f>SUMIFS('S7'!AF:AF,'S7'!$C:$C,'Key inputs_EB'!$E74,'S7'!$D:$D,'Key inputs_EB'!$C74)</f>
        <v>0</v>
      </c>
    </row>
    <row r="75" spans="2:35" x14ac:dyDescent="0.3">
      <c r="B75" s="49" t="str">
        <f>Legend!A$51</f>
        <v>Other uses</v>
      </c>
      <c r="C75" s="49" t="str">
        <f>LEFT(Legend!$C$4)&amp;"-"&amp;Legend!B$51</f>
        <v>S-OTH</v>
      </c>
      <c r="D75" s="49" t="str">
        <f>Legend!A$69</f>
        <v>Solar</v>
      </c>
      <c r="E75" s="49" t="str">
        <f>Legend!B$69</f>
        <v>SRVSOL</v>
      </c>
      <c r="F75" s="49" t="s">
        <v>154</v>
      </c>
      <c r="H75" s="471">
        <f>SUMIFS('S7'!E:E,'S7'!$C:$C,'Key inputs_EB'!$E75,'S7'!$D:$D,'Key inputs_EB'!$C75)</f>
        <v>0</v>
      </c>
      <c r="I75" s="471">
        <f>SUMIFS('S7'!F:F,'S7'!$C:$C,'Key inputs_EB'!$E75,'S7'!$D:$D,'Key inputs_EB'!$C75)</f>
        <v>0</v>
      </c>
      <c r="J75" s="471">
        <f>SUMIFS('S7'!G:G,'S7'!$C:$C,'Key inputs_EB'!$E75,'S7'!$D:$D,'Key inputs_EB'!$C75)</f>
        <v>0</v>
      </c>
      <c r="K75" s="471">
        <f>SUMIFS('S7'!H:H,'S7'!$C:$C,'Key inputs_EB'!$E75,'S7'!$D:$D,'Key inputs_EB'!$C75)</f>
        <v>0</v>
      </c>
      <c r="L75" s="471">
        <f>SUMIFS('S7'!I:I,'S7'!$C:$C,'Key inputs_EB'!$E75,'S7'!$D:$D,'Key inputs_EB'!$C75)</f>
        <v>0</v>
      </c>
      <c r="M75" s="471">
        <f>SUMIFS('S7'!J:J,'S7'!$C:$C,'Key inputs_EB'!$E75,'S7'!$D:$D,'Key inputs_EB'!$C75)</f>
        <v>0</v>
      </c>
      <c r="N75" s="471">
        <f>SUMIFS('S7'!K:K,'S7'!$C:$C,'Key inputs_EB'!$E75,'S7'!$D:$D,'Key inputs_EB'!$C75)</f>
        <v>0</v>
      </c>
      <c r="O75" s="471">
        <f>SUMIFS('S7'!L:L,'S7'!$C:$C,'Key inputs_EB'!$E75,'S7'!$D:$D,'Key inputs_EB'!$C75)</f>
        <v>0</v>
      </c>
      <c r="P75" s="471">
        <f>SUMIFS('S7'!M:M,'S7'!$C:$C,'Key inputs_EB'!$E75,'S7'!$D:$D,'Key inputs_EB'!$C75)</f>
        <v>0</v>
      </c>
      <c r="Q75" s="471">
        <f>SUMIFS('S7'!N:N,'S7'!$C:$C,'Key inputs_EB'!$E75,'S7'!$D:$D,'Key inputs_EB'!$C75)</f>
        <v>0</v>
      </c>
      <c r="R75" s="471">
        <f>SUMIFS('S7'!O:O,'S7'!$C:$C,'Key inputs_EB'!$E75,'S7'!$D:$D,'Key inputs_EB'!$C75)</f>
        <v>0</v>
      </c>
      <c r="S75" s="471">
        <f>SUMIFS('S7'!P:P,'S7'!$C:$C,'Key inputs_EB'!$E75,'S7'!$D:$D,'Key inputs_EB'!$C75)</f>
        <v>0</v>
      </c>
      <c r="T75" s="471">
        <f>SUMIFS('S7'!Q:Q,'S7'!$C:$C,'Key inputs_EB'!$E75,'S7'!$D:$D,'Key inputs_EB'!$C75)</f>
        <v>0</v>
      </c>
      <c r="U75" s="471">
        <f>SUMIFS('S7'!R:R,'S7'!$C:$C,'Key inputs_EB'!$E75,'S7'!$D:$D,'Key inputs_EB'!$C75)</f>
        <v>0</v>
      </c>
      <c r="V75" s="471">
        <f>SUMIFS('S7'!S:S,'S7'!$C:$C,'Key inputs_EB'!$E75,'S7'!$D:$D,'Key inputs_EB'!$C75)</f>
        <v>0</v>
      </c>
      <c r="W75" s="471">
        <f>SUMIFS('S7'!T:T,'S7'!$C:$C,'Key inputs_EB'!$E75,'S7'!$D:$D,'Key inputs_EB'!$C75)</f>
        <v>0</v>
      </c>
      <c r="X75" s="471">
        <f>SUMIFS('S7'!U:U,'S7'!$C:$C,'Key inputs_EB'!$E75,'S7'!$D:$D,'Key inputs_EB'!$C75)</f>
        <v>0</v>
      </c>
      <c r="Y75" s="471">
        <f>SUMIFS('S7'!V:V,'S7'!$C:$C,'Key inputs_EB'!$E75,'S7'!$D:$D,'Key inputs_EB'!$C75)</f>
        <v>0</v>
      </c>
      <c r="Z75" s="471">
        <f>SUMIFS('S7'!W:W,'S7'!$C:$C,'Key inputs_EB'!$E75,'S7'!$D:$D,'Key inputs_EB'!$C75)</f>
        <v>0</v>
      </c>
      <c r="AA75" s="471">
        <f>SUMIFS('S7'!X:X,'S7'!$C:$C,'Key inputs_EB'!$E75,'S7'!$D:$D,'Key inputs_EB'!$C75)</f>
        <v>0</v>
      </c>
      <c r="AB75" s="471">
        <f>SUMIFS('S7'!Y:Y,'S7'!$C:$C,'Key inputs_EB'!$E75,'S7'!$D:$D,'Key inputs_EB'!$C75)</f>
        <v>0</v>
      </c>
      <c r="AC75" s="471">
        <f>SUMIFS('S7'!Z:Z,'S7'!$C:$C,'Key inputs_EB'!$E75,'S7'!$D:$D,'Key inputs_EB'!$C75)</f>
        <v>0</v>
      </c>
      <c r="AD75" s="471">
        <f>SUMIFS('S7'!AA:AA,'S7'!$C:$C,'Key inputs_EB'!$E75,'S7'!$D:$D,'Key inputs_EB'!$C75)</f>
        <v>0</v>
      </c>
      <c r="AE75" s="471">
        <f>SUMIFS('S7'!AB:AB,'S7'!$C:$C,'Key inputs_EB'!$E75,'S7'!$D:$D,'Key inputs_EB'!$C75)</f>
        <v>0</v>
      </c>
      <c r="AF75" s="471">
        <f>SUMIFS('S7'!AC:AC,'S7'!$C:$C,'Key inputs_EB'!$E75,'S7'!$D:$D,'Key inputs_EB'!$C75)</f>
        <v>0</v>
      </c>
      <c r="AG75" s="471">
        <f>SUMIFS('S7'!AD:AD,'S7'!$C:$C,'Key inputs_EB'!$E75,'S7'!$D:$D,'Key inputs_EB'!$C75)</f>
        <v>0</v>
      </c>
      <c r="AH75" s="471">
        <f>SUMIFS('S7'!AE:AE,'S7'!$C:$C,'Key inputs_EB'!$E75,'S7'!$D:$D,'Key inputs_EB'!$C75)</f>
        <v>0</v>
      </c>
      <c r="AI75" s="471">
        <f>SUMIFS('S7'!AF:AF,'S7'!$C:$C,'Key inputs_EB'!$E75,'S7'!$D:$D,'Key inputs_EB'!$C75)</f>
        <v>0</v>
      </c>
    </row>
    <row r="76" spans="2:35" s="76" customFormat="1" ht="13.8" x14ac:dyDescent="0.3">
      <c r="B76" s="73"/>
      <c r="C76" s="74" t="s">
        <v>157</v>
      </c>
      <c r="D76" s="73"/>
      <c r="E76" s="73"/>
      <c r="F76" s="74"/>
      <c r="G76" s="74"/>
      <c r="H76" s="75">
        <f t="shared" ref="H76:AI76" si="20">IF(H$4="","",IF(SUM(H70:H75)=0,"",IF(SUM(H70:H75)&lt;&gt;1,"CHECK",SUM(H70:H75))))</f>
        <v>1</v>
      </c>
      <c r="I76" s="75">
        <f t="shared" si="20"/>
        <v>1</v>
      </c>
      <c r="J76" s="75">
        <f t="shared" si="20"/>
        <v>1</v>
      </c>
      <c r="K76" s="75">
        <f t="shared" si="20"/>
        <v>1</v>
      </c>
      <c r="L76" s="75">
        <f t="shared" si="20"/>
        <v>1</v>
      </c>
      <c r="M76" s="75">
        <f t="shared" si="20"/>
        <v>1</v>
      </c>
      <c r="N76" s="75">
        <f t="shared" si="20"/>
        <v>1</v>
      </c>
      <c r="O76" s="75">
        <f t="shared" si="20"/>
        <v>1</v>
      </c>
      <c r="P76" s="75">
        <f t="shared" si="20"/>
        <v>1</v>
      </c>
      <c r="Q76" s="75">
        <f t="shared" si="20"/>
        <v>1</v>
      </c>
      <c r="R76" s="75">
        <f t="shared" si="20"/>
        <v>1</v>
      </c>
      <c r="S76" s="75">
        <f t="shared" si="20"/>
        <v>1</v>
      </c>
      <c r="T76" s="75">
        <f t="shared" si="20"/>
        <v>1</v>
      </c>
      <c r="U76" s="75">
        <f t="shared" si="20"/>
        <v>1</v>
      </c>
      <c r="V76" s="75">
        <f t="shared" si="20"/>
        <v>1</v>
      </c>
      <c r="W76" s="75">
        <f t="shared" si="20"/>
        <v>1</v>
      </c>
      <c r="X76" s="75">
        <f t="shared" si="20"/>
        <v>1</v>
      </c>
      <c r="Y76" s="75">
        <f t="shared" si="20"/>
        <v>1</v>
      </c>
      <c r="Z76" s="75">
        <f t="shared" si="20"/>
        <v>1</v>
      </c>
      <c r="AA76" s="75">
        <f t="shared" si="20"/>
        <v>1</v>
      </c>
      <c r="AB76" s="75">
        <f t="shared" si="20"/>
        <v>1</v>
      </c>
      <c r="AC76" s="75">
        <f t="shared" si="20"/>
        <v>1</v>
      </c>
      <c r="AD76" s="75">
        <f t="shared" si="20"/>
        <v>1</v>
      </c>
      <c r="AE76" s="75">
        <f t="shared" si="20"/>
        <v>1</v>
      </c>
      <c r="AF76" s="75">
        <f t="shared" si="20"/>
        <v>1</v>
      </c>
      <c r="AG76" s="75">
        <f t="shared" si="20"/>
        <v>1</v>
      </c>
      <c r="AH76" s="75">
        <f t="shared" si="20"/>
        <v>1</v>
      </c>
      <c r="AI76" s="75">
        <f t="shared" si="20"/>
        <v>1</v>
      </c>
    </row>
    <row r="77" spans="2:35" x14ac:dyDescent="0.3">
      <c r="B77" s="49" t="str">
        <f>Legend!A$45</f>
        <v>Thermal uses</v>
      </c>
      <c r="C77" s="49" t="str">
        <f>LEFT(Legend!$C$4)&amp;"-"&amp;Legend!B$45</f>
        <v>S-TH</v>
      </c>
      <c r="D77" s="49" t="str">
        <f>Legend!A$70</f>
        <v>Biomass</v>
      </c>
      <c r="E77" s="49" t="str">
        <f>Legend!B$70</f>
        <v>SRVBIO</v>
      </c>
      <c r="F77" s="49" t="s">
        <v>154</v>
      </c>
      <c r="H77" s="471">
        <f>SUMIFS('S7'!E:E,'S7'!$C:$C,'Key inputs_EB'!$E77,'S7'!$D:$D,'Key inputs_EB'!$C77)</f>
        <v>0.30000000000000004</v>
      </c>
      <c r="I77" s="471">
        <f>SUMIFS('S7'!F:F,'S7'!$C:$C,'Key inputs_EB'!$E77,'S7'!$D:$D,'Key inputs_EB'!$C77)</f>
        <v>0.30000000000000004</v>
      </c>
      <c r="J77" s="471">
        <f>SUMIFS('S7'!G:G,'S7'!$C:$C,'Key inputs_EB'!$E77,'S7'!$D:$D,'Key inputs_EB'!$C77)</f>
        <v>0.30000000000000004</v>
      </c>
      <c r="K77" s="471">
        <f>SUMIFS('S7'!H:H,'S7'!$C:$C,'Key inputs_EB'!$E77,'S7'!$D:$D,'Key inputs_EB'!$C77)</f>
        <v>0.30000000000000004</v>
      </c>
      <c r="L77" s="471">
        <f>SUMIFS('S7'!I:I,'S7'!$C:$C,'Key inputs_EB'!$E77,'S7'!$D:$D,'Key inputs_EB'!$C77)</f>
        <v>1</v>
      </c>
      <c r="M77" s="471">
        <f>SUMIFS('S7'!J:J,'S7'!$C:$C,'Key inputs_EB'!$E77,'S7'!$D:$D,'Key inputs_EB'!$C77)</f>
        <v>1</v>
      </c>
      <c r="N77" s="471">
        <f>SUMIFS('S7'!K:K,'S7'!$C:$C,'Key inputs_EB'!$E77,'S7'!$D:$D,'Key inputs_EB'!$C77)</f>
        <v>0.5</v>
      </c>
      <c r="O77" s="471">
        <f>SUMIFS('S7'!L:L,'S7'!$C:$C,'Key inputs_EB'!$E77,'S7'!$D:$D,'Key inputs_EB'!$C77)</f>
        <v>0.5</v>
      </c>
      <c r="P77" s="471">
        <f>SUMIFS('S7'!M:M,'S7'!$C:$C,'Key inputs_EB'!$E77,'S7'!$D:$D,'Key inputs_EB'!$C77)</f>
        <v>0.30000000000000004</v>
      </c>
      <c r="Q77" s="471">
        <f>SUMIFS('S7'!N:N,'S7'!$C:$C,'Key inputs_EB'!$E77,'S7'!$D:$D,'Key inputs_EB'!$C77)</f>
        <v>1</v>
      </c>
      <c r="R77" s="471">
        <f>SUMIFS('S7'!O:O,'S7'!$C:$C,'Key inputs_EB'!$E77,'S7'!$D:$D,'Key inputs_EB'!$C77)</f>
        <v>0.30000000000000004</v>
      </c>
      <c r="S77" s="471">
        <f>SUMIFS('S7'!P:P,'S7'!$C:$C,'Key inputs_EB'!$E77,'S7'!$D:$D,'Key inputs_EB'!$C77)</f>
        <v>0.64999999999999991</v>
      </c>
      <c r="T77" s="471">
        <f>SUMIFS('S7'!Q:Q,'S7'!$C:$C,'Key inputs_EB'!$E77,'S7'!$D:$D,'Key inputs_EB'!$C77)</f>
        <v>1</v>
      </c>
      <c r="U77" s="471">
        <f>SUMIFS('S7'!R:R,'S7'!$C:$C,'Key inputs_EB'!$E77,'S7'!$D:$D,'Key inputs_EB'!$C77)</f>
        <v>0.8</v>
      </c>
      <c r="V77" s="471">
        <f>SUMIFS('S7'!S:S,'S7'!$C:$C,'Key inputs_EB'!$E77,'S7'!$D:$D,'Key inputs_EB'!$C77)</f>
        <v>1</v>
      </c>
      <c r="W77" s="471">
        <f>SUMIFS('S7'!T:T,'S7'!$C:$C,'Key inputs_EB'!$E77,'S7'!$D:$D,'Key inputs_EB'!$C77)</f>
        <v>0.8</v>
      </c>
      <c r="X77" s="471">
        <f>SUMIFS('S7'!U:U,'S7'!$C:$C,'Key inputs_EB'!$E77,'S7'!$D:$D,'Key inputs_EB'!$C77)</f>
        <v>0.8</v>
      </c>
      <c r="Y77" s="471">
        <f>SUMIFS('S7'!V:V,'S7'!$C:$C,'Key inputs_EB'!$E77,'S7'!$D:$D,'Key inputs_EB'!$C77)</f>
        <v>0.5</v>
      </c>
      <c r="Z77" s="471">
        <f>SUMIFS('S7'!W:W,'S7'!$C:$C,'Key inputs_EB'!$E77,'S7'!$D:$D,'Key inputs_EB'!$C77)</f>
        <v>0.30000000000000004</v>
      </c>
      <c r="AA77" s="471">
        <f>SUMIFS('S7'!X:X,'S7'!$C:$C,'Key inputs_EB'!$E77,'S7'!$D:$D,'Key inputs_EB'!$C77)</f>
        <v>1</v>
      </c>
      <c r="AB77" s="471">
        <f>SUMIFS('S7'!Y:Y,'S7'!$C:$C,'Key inputs_EB'!$E77,'S7'!$D:$D,'Key inputs_EB'!$C77)</f>
        <v>0.30000000000000004</v>
      </c>
      <c r="AC77" s="471">
        <f>SUMIFS('S7'!Z:Z,'S7'!$C:$C,'Key inputs_EB'!$E77,'S7'!$D:$D,'Key inputs_EB'!$C77)</f>
        <v>1</v>
      </c>
      <c r="AD77" s="471">
        <f>SUMIFS('S7'!AA:AA,'S7'!$C:$C,'Key inputs_EB'!$E77,'S7'!$D:$D,'Key inputs_EB'!$C77)</f>
        <v>1</v>
      </c>
      <c r="AE77" s="471">
        <f>SUMIFS('S7'!AB:AB,'S7'!$C:$C,'Key inputs_EB'!$E77,'S7'!$D:$D,'Key inputs_EB'!$C77)</f>
        <v>0.30000000000000004</v>
      </c>
      <c r="AF77" s="471">
        <f>SUMIFS('S7'!AC:AC,'S7'!$C:$C,'Key inputs_EB'!$E77,'S7'!$D:$D,'Key inputs_EB'!$C77)</f>
        <v>0.30000000000000004</v>
      </c>
      <c r="AG77" s="471">
        <f>SUMIFS('S7'!AD:AD,'S7'!$C:$C,'Key inputs_EB'!$E77,'S7'!$D:$D,'Key inputs_EB'!$C77)</f>
        <v>1</v>
      </c>
      <c r="AH77" s="471">
        <f>SUMIFS('S7'!AE:AE,'S7'!$C:$C,'Key inputs_EB'!$E77,'S7'!$D:$D,'Key inputs_EB'!$C77)</f>
        <v>0.30000000000000004</v>
      </c>
      <c r="AI77" s="471">
        <f>SUMIFS('S7'!AF:AF,'S7'!$C:$C,'Key inputs_EB'!$E77,'S7'!$D:$D,'Key inputs_EB'!$C77)</f>
        <v>1</v>
      </c>
    </row>
    <row r="78" spans="2:35" x14ac:dyDescent="0.3">
      <c r="B78" s="49" t="str">
        <f>Legend!A$46</f>
        <v>Air conditioning</v>
      </c>
      <c r="C78" s="49" t="str">
        <f>LEFT(Legend!$C$4)&amp;"-"&amp;Legend!B$46</f>
        <v>S-AC</v>
      </c>
      <c r="D78" s="49" t="str">
        <f>Legend!A$70</f>
        <v>Biomass</v>
      </c>
      <c r="E78" s="49" t="str">
        <f>Legend!B$70</f>
        <v>SRVBIO</v>
      </c>
      <c r="F78" s="49" t="s">
        <v>154</v>
      </c>
      <c r="H78" s="471">
        <f>SUMIFS('S7'!E:E,'S7'!$C:$C,'Key inputs_EB'!$E78,'S7'!$D:$D,'Key inputs_EB'!$C78)</f>
        <v>0</v>
      </c>
      <c r="I78" s="471">
        <f>SUMIFS('S7'!F:F,'S7'!$C:$C,'Key inputs_EB'!$E78,'S7'!$D:$D,'Key inputs_EB'!$C78)</f>
        <v>0</v>
      </c>
      <c r="J78" s="471">
        <f>SUMIFS('S7'!G:G,'S7'!$C:$C,'Key inputs_EB'!$E78,'S7'!$D:$D,'Key inputs_EB'!$C78)</f>
        <v>0</v>
      </c>
      <c r="K78" s="471">
        <f>SUMIFS('S7'!H:H,'S7'!$C:$C,'Key inputs_EB'!$E78,'S7'!$D:$D,'Key inputs_EB'!$C78)</f>
        <v>0</v>
      </c>
      <c r="L78" s="471">
        <f>SUMIFS('S7'!I:I,'S7'!$C:$C,'Key inputs_EB'!$E78,'S7'!$D:$D,'Key inputs_EB'!$C78)</f>
        <v>0</v>
      </c>
      <c r="M78" s="471">
        <f>SUMIFS('S7'!J:J,'S7'!$C:$C,'Key inputs_EB'!$E78,'S7'!$D:$D,'Key inputs_EB'!$C78)</f>
        <v>0</v>
      </c>
      <c r="N78" s="471">
        <f>SUMIFS('S7'!K:K,'S7'!$C:$C,'Key inputs_EB'!$E78,'S7'!$D:$D,'Key inputs_EB'!$C78)</f>
        <v>0</v>
      </c>
      <c r="O78" s="471">
        <f>SUMIFS('S7'!L:L,'S7'!$C:$C,'Key inputs_EB'!$E78,'S7'!$D:$D,'Key inputs_EB'!$C78)</f>
        <v>0</v>
      </c>
      <c r="P78" s="471">
        <f>SUMIFS('S7'!M:M,'S7'!$C:$C,'Key inputs_EB'!$E78,'S7'!$D:$D,'Key inputs_EB'!$C78)</f>
        <v>0</v>
      </c>
      <c r="Q78" s="471">
        <f>SUMIFS('S7'!N:N,'S7'!$C:$C,'Key inputs_EB'!$E78,'S7'!$D:$D,'Key inputs_EB'!$C78)</f>
        <v>0</v>
      </c>
      <c r="R78" s="471">
        <f>SUMIFS('S7'!O:O,'S7'!$C:$C,'Key inputs_EB'!$E78,'S7'!$D:$D,'Key inputs_EB'!$C78)</f>
        <v>0</v>
      </c>
      <c r="S78" s="471">
        <f>SUMIFS('S7'!P:P,'S7'!$C:$C,'Key inputs_EB'!$E78,'S7'!$D:$D,'Key inputs_EB'!$C78)</f>
        <v>0</v>
      </c>
      <c r="T78" s="471">
        <f>SUMIFS('S7'!Q:Q,'S7'!$C:$C,'Key inputs_EB'!$E78,'S7'!$D:$D,'Key inputs_EB'!$C78)</f>
        <v>0</v>
      </c>
      <c r="U78" s="471">
        <f>SUMIFS('S7'!R:R,'S7'!$C:$C,'Key inputs_EB'!$E78,'S7'!$D:$D,'Key inputs_EB'!$C78)</f>
        <v>0</v>
      </c>
      <c r="V78" s="471">
        <f>SUMIFS('S7'!S:S,'S7'!$C:$C,'Key inputs_EB'!$E78,'S7'!$D:$D,'Key inputs_EB'!$C78)</f>
        <v>0</v>
      </c>
      <c r="W78" s="471">
        <f>SUMIFS('S7'!T:T,'S7'!$C:$C,'Key inputs_EB'!$E78,'S7'!$D:$D,'Key inputs_EB'!$C78)</f>
        <v>0</v>
      </c>
      <c r="X78" s="471">
        <f>SUMIFS('S7'!U:U,'S7'!$C:$C,'Key inputs_EB'!$E78,'S7'!$D:$D,'Key inputs_EB'!$C78)</f>
        <v>0</v>
      </c>
      <c r="Y78" s="471">
        <f>SUMIFS('S7'!V:V,'S7'!$C:$C,'Key inputs_EB'!$E78,'S7'!$D:$D,'Key inputs_EB'!$C78)</f>
        <v>0</v>
      </c>
      <c r="Z78" s="471">
        <f>SUMIFS('S7'!W:W,'S7'!$C:$C,'Key inputs_EB'!$E78,'S7'!$D:$D,'Key inputs_EB'!$C78)</f>
        <v>0</v>
      </c>
      <c r="AA78" s="471">
        <f>SUMIFS('S7'!X:X,'S7'!$C:$C,'Key inputs_EB'!$E78,'S7'!$D:$D,'Key inputs_EB'!$C78)</f>
        <v>0</v>
      </c>
      <c r="AB78" s="471">
        <f>SUMIFS('S7'!Y:Y,'S7'!$C:$C,'Key inputs_EB'!$E78,'S7'!$D:$D,'Key inputs_EB'!$C78)</f>
        <v>0</v>
      </c>
      <c r="AC78" s="471">
        <f>SUMIFS('S7'!Z:Z,'S7'!$C:$C,'Key inputs_EB'!$E78,'S7'!$D:$D,'Key inputs_EB'!$C78)</f>
        <v>0</v>
      </c>
      <c r="AD78" s="471">
        <f>SUMIFS('S7'!AA:AA,'S7'!$C:$C,'Key inputs_EB'!$E78,'S7'!$D:$D,'Key inputs_EB'!$C78)</f>
        <v>0</v>
      </c>
      <c r="AE78" s="471">
        <f>SUMIFS('S7'!AB:AB,'S7'!$C:$C,'Key inputs_EB'!$E78,'S7'!$D:$D,'Key inputs_EB'!$C78)</f>
        <v>0</v>
      </c>
      <c r="AF78" s="471">
        <f>SUMIFS('S7'!AC:AC,'S7'!$C:$C,'Key inputs_EB'!$E78,'S7'!$D:$D,'Key inputs_EB'!$C78)</f>
        <v>0</v>
      </c>
      <c r="AG78" s="471">
        <f>SUMIFS('S7'!AD:AD,'S7'!$C:$C,'Key inputs_EB'!$E78,'S7'!$D:$D,'Key inputs_EB'!$C78)</f>
        <v>0</v>
      </c>
      <c r="AH78" s="471">
        <f>SUMIFS('S7'!AE:AE,'S7'!$C:$C,'Key inputs_EB'!$E78,'S7'!$D:$D,'Key inputs_EB'!$C78)</f>
        <v>0</v>
      </c>
      <c r="AI78" s="471">
        <f>SUMIFS('S7'!AF:AF,'S7'!$C:$C,'Key inputs_EB'!$E78,'S7'!$D:$D,'Key inputs_EB'!$C78)</f>
        <v>0</v>
      </c>
    </row>
    <row r="79" spans="2:35" x14ac:dyDescent="0.3">
      <c r="B79" s="49" t="str">
        <f>Legend!A$47</f>
        <v>Cooking</v>
      </c>
      <c r="C79" s="49" t="str">
        <f>LEFT(Legend!$C$4)&amp;"-"&amp;Legend!B$47</f>
        <v>S-CK</v>
      </c>
      <c r="D79" s="49" t="str">
        <f>Legend!A$70</f>
        <v>Biomass</v>
      </c>
      <c r="E79" s="49" t="str">
        <f>Legend!B$70</f>
        <v>SRVBIO</v>
      </c>
      <c r="F79" s="49" t="s">
        <v>154</v>
      </c>
      <c r="H79" s="471">
        <f>SUMIFS('S7'!E:E,'S7'!$C:$C,'Key inputs_EB'!$E79,'S7'!$D:$D,'Key inputs_EB'!$C79)</f>
        <v>0.7</v>
      </c>
      <c r="I79" s="471">
        <f>SUMIFS('S7'!F:F,'S7'!$C:$C,'Key inputs_EB'!$E79,'S7'!$D:$D,'Key inputs_EB'!$C79)</f>
        <v>0.7</v>
      </c>
      <c r="J79" s="471">
        <f>SUMIFS('S7'!G:G,'S7'!$C:$C,'Key inputs_EB'!$E79,'S7'!$D:$D,'Key inputs_EB'!$C79)</f>
        <v>0.7</v>
      </c>
      <c r="K79" s="471">
        <f>SUMIFS('S7'!H:H,'S7'!$C:$C,'Key inputs_EB'!$E79,'S7'!$D:$D,'Key inputs_EB'!$C79)</f>
        <v>0.7</v>
      </c>
      <c r="L79" s="471">
        <f>SUMIFS('S7'!I:I,'S7'!$C:$C,'Key inputs_EB'!$E79,'S7'!$D:$D,'Key inputs_EB'!$C79)</f>
        <v>0</v>
      </c>
      <c r="M79" s="471">
        <f>SUMIFS('S7'!J:J,'S7'!$C:$C,'Key inputs_EB'!$E79,'S7'!$D:$D,'Key inputs_EB'!$C79)</f>
        <v>0</v>
      </c>
      <c r="N79" s="471">
        <f>SUMIFS('S7'!K:K,'S7'!$C:$C,'Key inputs_EB'!$E79,'S7'!$D:$D,'Key inputs_EB'!$C79)</f>
        <v>0.5</v>
      </c>
      <c r="O79" s="471">
        <f>SUMIFS('S7'!L:L,'S7'!$C:$C,'Key inputs_EB'!$E79,'S7'!$D:$D,'Key inputs_EB'!$C79)</f>
        <v>0.5</v>
      </c>
      <c r="P79" s="471">
        <f>SUMIFS('S7'!M:M,'S7'!$C:$C,'Key inputs_EB'!$E79,'S7'!$D:$D,'Key inputs_EB'!$C79)</f>
        <v>0.7</v>
      </c>
      <c r="Q79" s="471">
        <f>SUMIFS('S7'!N:N,'S7'!$C:$C,'Key inputs_EB'!$E79,'S7'!$D:$D,'Key inputs_EB'!$C79)</f>
        <v>0</v>
      </c>
      <c r="R79" s="471">
        <f>SUMIFS('S7'!O:O,'S7'!$C:$C,'Key inputs_EB'!$E79,'S7'!$D:$D,'Key inputs_EB'!$C79)</f>
        <v>0.7</v>
      </c>
      <c r="S79" s="471">
        <f>SUMIFS('S7'!P:P,'S7'!$C:$C,'Key inputs_EB'!$E79,'S7'!$D:$D,'Key inputs_EB'!$C79)</f>
        <v>0.35</v>
      </c>
      <c r="T79" s="471">
        <f>SUMIFS('S7'!Q:Q,'S7'!$C:$C,'Key inputs_EB'!$E79,'S7'!$D:$D,'Key inputs_EB'!$C79)</f>
        <v>0</v>
      </c>
      <c r="U79" s="471">
        <f>SUMIFS('S7'!R:R,'S7'!$C:$C,'Key inputs_EB'!$E79,'S7'!$D:$D,'Key inputs_EB'!$C79)</f>
        <v>0.2</v>
      </c>
      <c r="V79" s="471">
        <f>SUMIFS('S7'!S:S,'S7'!$C:$C,'Key inputs_EB'!$E79,'S7'!$D:$D,'Key inputs_EB'!$C79)</f>
        <v>0</v>
      </c>
      <c r="W79" s="471">
        <f>SUMIFS('S7'!T:T,'S7'!$C:$C,'Key inputs_EB'!$E79,'S7'!$D:$D,'Key inputs_EB'!$C79)</f>
        <v>0.2</v>
      </c>
      <c r="X79" s="471">
        <f>SUMIFS('S7'!U:U,'S7'!$C:$C,'Key inputs_EB'!$E79,'S7'!$D:$D,'Key inputs_EB'!$C79)</f>
        <v>0.2</v>
      </c>
      <c r="Y79" s="471">
        <f>SUMIFS('S7'!V:V,'S7'!$C:$C,'Key inputs_EB'!$E79,'S7'!$D:$D,'Key inputs_EB'!$C79)</f>
        <v>0.5</v>
      </c>
      <c r="Z79" s="471">
        <f>SUMIFS('S7'!W:W,'S7'!$C:$C,'Key inputs_EB'!$E79,'S7'!$D:$D,'Key inputs_EB'!$C79)</f>
        <v>0.7</v>
      </c>
      <c r="AA79" s="471">
        <f>SUMIFS('S7'!X:X,'S7'!$C:$C,'Key inputs_EB'!$E79,'S7'!$D:$D,'Key inputs_EB'!$C79)</f>
        <v>0</v>
      </c>
      <c r="AB79" s="471">
        <f>SUMIFS('S7'!Y:Y,'S7'!$C:$C,'Key inputs_EB'!$E79,'S7'!$D:$D,'Key inputs_EB'!$C79)</f>
        <v>0.7</v>
      </c>
      <c r="AC79" s="471">
        <f>SUMIFS('S7'!Z:Z,'S7'!$C:$C,'Key inputs_EB'!$E79,'S7'!$D:$D,'Key inputs_EB'!$C79)</f>
        <v>0</v>
      </c>
      <c r="AD79" s="471">
        <f>SUMIFS('S7'!AA:AA,'S7'!$C:$C,'Key inputs_EB'!$E79,'S7'!$D:$D,'Key inputs_EB'!$C79)</f>
        <v>0</v>
      </c>
      <c r="AE79" s="471">
        <f>SUMIFS('S7'!AB:AB,'S7'!$C:$C,'Key inputs_EB'!$E79,'S7'!$D:$D,'Key inputs_EB'!$C79)</f>
        <v>0.7</v>
      </c>
      <c r="AF79" s="471">
        <f>SUMIFS('S7'!AC:AC,'S7'!$C:$C,'Key inputs_EB'!$E79,'S7'!$D:$D,'Key inputs_EB'!$C79)</f>
        <v>0.7</v>
      </c>
      <c r="AG79" s="471">
        <f>SUMIFS('S7'!AD:AD,'S7'!$C:$C,'Key inputs_EB'!$E79,'S7'!$D:$D,'Key inputs_EB'!$C79)</f>
        <v>0</v>
      </c>
      <c r="AH79" s="471">
        <f>SUMIFS('S7'!AE:AE,'S7'!$C:$C,'Key inputs_EB'!$E79,'S7'!$D:$D,'Key inputs_EB'!$C79)</f>
        <v>0.7</v>
      </c>
      <c r="AI79" s="471">
        <f>SUMIFS('S7'!AF:AF,'S7'!$C:$C,'Key inputs_EB'!$E79,'S7'!$D:$D,'Key inputs_EB'!$C79)</f>
        <v>0</v>
      </c>
    </row>
    <row r="80" spans="2:35" x14ac:dyDescent="0.3">
      <c r="B80" s="49" t="str">
        <f>Legend!A$49</f>
        <v>Lighting</v>
      </c>
      <c r="C80" s="49" t="str">
        <f>LEFT(Legend!$C$4)&amp;"-"&amp;Legend!B$49</f>
        <v>S-LIG</v>
      </c>
      <c r="D80" s="49" t="str">
        <f>Legend!A$70</f>
        <v>Biomass</v>
      </c>
      <c r="E80" s="49" t="str">
        <f>Legend!B$70</f>
        <v>SRVBIO</v>
      </c>
      <c r="F80" s="49" t="s">
        <v>154</v>
      </c>
      <c r="H80" s="471">
        <f>SUMIFS('S7'!E:E,'S7'!$C:$C,'Key inputs_EB'!$E80,'S7'!$D:$D,'Key inputs_EB'!$C80)</f>
        <v>0</v>
      </c>
      <c r="I80" s="471">
        <f>SUMIFS('S7'!F:F,'S7'!$C:$C,'Key inputs_EB'!$E80,'S7'!$D:$D,'Key inputs_EB'!$C80)</f>
        <v>0</v>
      </c>
      <c r="J80" s="471">
        <f>SUMIFS('S7'!G:G,'S7'!$C:$C,'Key inputs_EB'!$E80,'S7'!$D:$D,'Key inputs_EB'!$C80)</f>
        <v>0</v>
      </c>
      <c r="K80" s="471">
        <f>SUMIFS('S7'!H:H,'S7'!$C:$C,'Key inputs_EB'!$E80,'S7'!$D:$D,'Key inputs_EB'!$C80)</f>
        <v>0</v>
      </c>
      <c r="L80" s="471">
        <f>SUMIFS('S7'!I:I,'S7'!$C:$C,'Key inputs_EB'!$E80,'S7'!$D:$D,'Key inputs_EB'!$C80)</f>
        <v>0</v>
      </c>
      <c r="M80" s="471">
        <f>SUMIFS('S7'!J:J,'S7'!$C:$C,'Key inputs_EB'!$E80,'S7'!$D:$D,'Key inputs_EB'!$C80)</f>
        <v>0</v>
      </c>
      <c r="N80" s="471">
        <f>SUMIFS('S7'!K:K,'S7'!$C:$C,'Key inputs_EB'!$E80,'S7'!$D:$D,'Key inputs_EB'!$C80)</f>
        <v>0</v>
      </c>
      <c r="O80" s="471">
        <f>SUMIFS('S7'!L:L,'S7'!$C:$C,'Key inputs_EB'!$E80,'S7'!$D:$D,'Key inputs_EB'!$C80)</f>
        <v>0</v>
      </c>
      <c r="P80" s="471">
        <f>SUMIFS('S7'!M:M,'S7'!$C:$C,'Key inputs_EB'!$E80,'S7'!$D:$D,'Key inputs_EB'!$C80)</f>
        <v>0</v>
      </c>
      <c r="Q80" s="471">
        <f>SUMIFS('S7'!N:N,'S7'!$C:$C,'Key inputs_EB'!$E80,'S7'!$D:$D,'Key inputs_EB'!$C80)</f>
        <v>0</v>
      </c>
      <c r="R80" s="471">
        <f>SUMIFS('S7'!O:O,'S7'!$C:$C,'Key inputs_EB'!$E80,'S7'!$D:$D,'Key inputs_EB'!$C80)</f>
        <v>0</v>
      </c>
      <c r="S80" s="471">
        <f>SUMIFS('S7'!P:P,'S7'!$C:$C,'Key inputs_EB'!$E80,'S7'!$D:$D,'Key inputs_EB'!$C80)</f>
        <v>0</v>
      </c>
      <c r="T80" s="471">
        <f>SUMIFS('S7'!Q:Q,'S7'!$C:$C,'Key inputs_EB'!$E80,'S7'!$D:$D,'Key inputs_EB'!$C80)</f>
        <v>0</v>
      </c>
      <c r="U80" s="471">
        <f>SUMIFS('S7'!R:R,'S7'!$C:$C,'Key inputs_EB'!$E80,'S7'!$D:$D,'Key inputs_EB'!$C80)</f>
        <v>0</v>
      </c>
      <c r="V80" s="471">
        <f>SUMIFS('S7'!S:S,'S7'!$C:$C,'Key inputs_EB'!$E80,'S7'!$D:$D,'Key inputs_EB'!$C80)</f>
        <v>0</v>
      </c>
      <c r="W80" s="471">
        <f>SUMIFS('S7'!T:T,'S7'!$C:$C,'Key inputs_EB'!$E80,'S7'!$D:$D,'Key inputs_EB'!$C80)</f>
        <v>0</v>
      </c>
      <c r="X80" s="471">
        <f>SUMIFS('S7'!U:U,'S7'!$C:$C,'Key inputs_EB'!$E80,'S7'!$D:$D,'Key inputs_EB'!$C80)</f>
        <v>0</v>
      </c>
      <c r="Y80" s="471">
        <f>SUMIFS('S7'!V:V,'S7'!$C:$C,'Key inputs_EB'!$E80,'S7'!$D:$D,'Key inputs_EB'!$C80)</f>
        <v>0</v>
      </c>
      <c r="Z80" s="471">
        <f>SUMIFS('S7'!W:W,'S7'!$C:$C,'Key inputs_EB'!$E80,'S7'!$D:$D,'Key inputs_EB'!$C80)</f>
        <v>0</v>
      </c>
      <c r="AA80" s="471">
        <f>SUMIFS('S7'!X:X,'S7'!$C:$C,'Key inputs_EB'!$E80,'S7'!$D:$D,'Key inputs_EB'!$C80)</f>
        <v>0</v>
      </c>
      <c r="AB80" s="471">
        <f>SUMIFS('S7'!Y:Y,'S7'!$C:$C,'Key inputs_EB'!$E80,'S7'!$D:$D,'Key inputs_EB'!$C80)</f>
        <v>0</v>
      </c>
      <c r="AC80" s="471">
        <f>SUMIFS('S7'!Z:Z,'S7'!$C:$C,'Key inputs_EB'!$E80,'S7'!$D:$D,'Key inputs_EB'!$C80)</f>
        <v>0</v>
      </c>
      <c r="AD80" s="471">
        <f>SUMIFS('S7'!AA:AA,'S7'!$C:$C,'Key inputs_EB'!$E80,'S7'!$D:$D,'Key inputs_EB'!$C80)</f>
        <v>0</v>
      </c>
      <c r="AE80" s="471">
        <f>SUMIFS('S7'!AB:AB,'S7'!$C:$C,'Key inputs_EB'!$E80,'S7'!$D:$D,'Key inputs_EB'!$C80)</f>
        <v>0</v>
      </c>
      <c r="AF80" s="471">
        <f>SUMIFS('S7'!AC:AC,'S7'!$C:$C,'Key inputs_EB'!$E80,'S7'!$D:$D,'Key inputs_EB'!$C80)</f>
        <v>0</v>
      </c>
      <c r="AG80" s="471">
        <f>SUMIFS('S7'!AD:AD,'S7'!$C:$C,'Key inputs_EB'!$E80,'S7'!$D:$D,'Key inputs_EB'!$C80)</f>
        <v>0</v>
      </c>
      <c r="AH80" s="471">
        <f>SUMIFS('S7'!AE:AE,'S7'!$C:$C,'Key inputs_EB'!$E80,'S7'!$D:$D,'Key inputs_EB'!$C80)</f>
        <v>0</v>
      </c>
      <c r="AI80" s="471">
        <f>SUMIFS('S7'!AF:AF,'S7'!$C:$C,'Key inputs_EB'!$E80,'S7'!$D:$D,'Key inputs_EB'!$C80)</f>
        <v>0</v>
      </c>
    </row>
    <row r="81" spans="2:35" x14ac:dyDescent="0.3">
      <c r="B81" s="49" t="str">
        <f>Legend!A$50</f>
        <v>Electric Appliances</v>
      </c>
      <c r="C81" s="49" t="str">
        <f>LEFT(Legend!$C$4)&amp;"-"&amp;Legend!B$50</f>
        <v>S-EAP</v>
      </c>
      <c r="D81" s="49" t="str">
        <f>Legend!A$70</f>
        <v>Biomass</v>
      </c>
      <c r="E81" s="49" t="str">
        <f>Legend!B$70</f>
        <v>SRVBIO</v>
      </c>
      <c r="F81" s="49" t="s">
        <v>154</v>
      </c>
      <c r="H81" s="471">
        <f>SUMIFS('S7'!E:E,'S7'!$C:$C,'Key inputs_EB'!$E81,'S7'!$D:$D,'Key inputs_EB'!$C81)</f>
        <v>0</v>
      </c>
      <c r="I81" s="471">
        <f>SUMIFS('S7'!F:F,'S7'!$C:$C,'Key inputs_EB'!$E81,'S7'!$D:$D,'Key inputs_EB'!$C81)</f>
        <v>0</v>
      </c>
      <c r="J81" s="471">
        <f>SUMIFS('S7'!G:G,'S7'!$C:$C,'Key inputs_EB'!$E81,'S7'!$D:$D,'Key inputs_EB'!$C81)</f>
        <v>0</v>
      </c>
      <c r="K81" s="471">
        <f>SUMIFS('S7'!H:H,'S7'!$C:$C,'Key inputs_EB'!$E81,'S7'!$D:$D,'Key inputs_EB'!$C81)</f>
        <v>0</v>
      </c>
      <c r="L81" s="471">
        <f>SUMIFS('S7'!I:I,'S7'!$C:$C,'Key inputs_EB'!$E81,'S7'!$D:$D,'Key inputs_EB'!$C81)</f>
        <v>0</v>
      </c>
      <c r="M81" s="471">
        <f>SUMIFS('S7'!J:J,'S7'!$C:$C,'Key inputs_EB'!$E81,'S7'!$D:$D,'Key inputs_EB'!$C81)</f>
        <v>0</v>
      </c>
      <c r="N81" s="471">
        <f>SUMIFS('S7'!K:K,'S7'!$C:$C,'Key inputs_EB'!$E81,'S7'!$D:$D,'Key inputs_EB'!$C81)</f>
        <v>0</v>
      </c>
      <c r="O81" s="471">
        <f>SUMIFS('S7'!L:L,'S7'!$C:$C,'Key inputs_EB'!$E81,'S7'!$D:$D,'Key inputs_EB'!$C81)</f>
        <v>0</v>
      </c>
      <c r="P81" s="471">
        <f>SUMIFS('S7'!M:M,'S7'!$C:$C,'Key inputs_EB'!$E81,'S7'!$D:$D,'Key inputs_EB'!$C81)</f>
        <v>0</v>
      </c>
      <c r="Q81" s="471">
        <f>SUMIFS('S7'!N:N,'S7'!$C:$C,'Key inputs_EB'!$E81,'S7'!$D:$D,'Key inputs_EB'!$C81)</f>
        <v>0</v>
      </c>
      <c r="R81" s="471">
        <f>SUMIFS('S7'!O:O,'S7'!$C:$C,'Key inputs_EB'!$E81,'S7'!$D:$D,'Key inputs_EB'!$C81)</f>
        <v>0</v>
      </c>
      <c r="S81" s="471">
        <f>SUMIFS('S7'!P:P,'S7'!$C:$C,'Key inputs_EB'!$E81,'S7'!$D:$D,'Key inputs_EB'!$C81)</f>
        <v>0</v>
      </c>
      <c r="T81" s="471">
        <f>SUMIFS('S7'!Q:Q,'S7'!$C:$C,'Key inputs_EB'!$E81,'S7'!$D:$D,'Key inputs_EB'!$C81)</f>
        <v>0</v>
      </c>
      <c r="U81" s="471">
        <f>SUMIFS('S7'!R:R,'S7'!$C:$C,'Key inputs_EB'!$E81,'S7'!$D:$D,'Key inputs_EB'!$C81)</f>
        <v>0</v>
      </c>
      <c r="V81" s="471">
        <f>SUMIFS('S7'!S:S,'S7'!$C:$C,'Key inputs_EB'!$E81,'S7'!$D:$D,'Key inputs_EB'!$C81)</f>
        <v>0</v>
      </c>
      <c r="W81" s="471">
        <f>SUMIFS('S7'!T:T,'S7'!$C:$C,'Key inputs_EB'!$E81,'S7'!$D:$D,'Key inputs_EB'!$C81)</f>
        <v>0</v>
      </c>
      <c r="X81" s="471">
        <f>SUMIFS('S7'!U:U,'S7'!$C:$C,'Key inputs_EB'!$E81,'S7'!$D:$D,'Key inputs_EB'!$C81)</f>
        <v>0</v>
      </c>
      <c r="Y81" s="471">
        <f>SUMIFS('S7'!V:V,'S7'!$C:$C,'Key inputs_EB'!$E81,'S7'!$D:$D,'Key inputs_EB'!$C81)</f>
        <v>0</v>
      </c>
      <c r="Z81" s="471">
        <f>SUMIFS('S7'!W:W,'S7'!$C:$C,'Key inputs_EB'!$E81,'S7'!$D:$D,'Key inputs_EB'!$C81)</f>
        <v>0</v>
      </c>
      <c r="AA81" s="471">
        <f>SUMIFS('S7'!X:X,'S7'!$C:$C,'Key inputs_EB'!$E81,'S7'!$D:$D,'Key inputs_EB'!$C81)</f>
        <v>0</v>
      </c>
      <c r="AB81" s="471">
        <f>SUMIFS('S7'!Y:Y,'S7'!$C:$C,'Key inputs_EB'!$E81,'S7'!$D:$D,'Key inputs_EB'!$C81)</f>
        <v>0</v>
      </c>
      <c r="AC81" s="471">
        <f>SUMIFS('S7'!Z:Z,'S7'!$C:$C,'Key inputs_EB'!$E81,'S7'!$D:$D,'Key inputs_EB'!$C81)</f>
        <v>0</v>
      </c>
      <c r="AD81" s="471">
        <f>SUMIFS('S7'!AA:AA,'S7'!$C:$C,'Key inputs_EB'!$E81,'S7'!$D:$D,'Key inputs_EB'!$C81)</f>
        <v>0</v>
      </c>
      <c r="AE81" s="471">
        <f>SUMIFS('S7'!AB:AB,'S7'!$C:$C,'Key inputs_EB'!$E81,'S7'!$D:$D,'Key inputs_EB'!$C81)</f>
        <v>0</v>
      </c>
      <c r="AF81" s="471">
        <f>SUMIFS('S7'!AC:AC,'S7'!$C:$C,'Key inputs_EB'!$E81,'S7'!$D:$D,'Key inputs_EB'!$C81)</f>
        <v>0</v>
      </c>
      <c r="AG81" s="471">
        <f>SUMIFS('S7'!AD:AD,'S7'!$C:$C,'Key inputs_EB'!$E81,'S7'!$D:$D,'Key inputs_EB'!$C81)</f>
        <v>0</v>
      </c>
      <c r="AH81" s="471">
        <f>SUMIFS('S7'!AE:AE,'S7'!$C:$C,'Key inputs_EB'!$E81,'S7'!$D:$D,'Key inputs_EB'!$C81)</f>
        <v>0</v>
      </c>
      <c r="AI81" s="471">
        <f>SUMIFS('S7'!AF:AF,'S7'!$C:$C,'Key inputs_EB'!$E81,'S7'!$D:$D,'Key inputs_EB'!$C81)</f>
        <v>0</v>
      </c>
    </row>
    <row r="82" spans="2:35" x14ac:dyDescent="0.3">
      <c r="B82" s="49" t="str">
        <f>Legend!A$51</f>
        <v>Other uses</v>
      </c>
      <c r="C82" s="49" t="str">
        <f>LEFT(Legend!$C$4)&amp;"-"&amp;Legend!B$51</f>
        <v>S-OTH</v>
      </c>
      <c r="D82" s="49" t="str">
        <f>Legend!A$70</f>
        <v>Biomass</v>
      </c>
      <c r="E82" s="49" t="str">
        <f>Legend!B$70</f>
        <v>SRVBIO</v>
      </c>
      <c r="F82" s="49" t="s">
        <v>154</v>
      </c>
      <c r="H82" s="471">
        <f>SUMIFS('S7'!E:E,'S7'!$C:$C,'Key inputs_EB'!$E82,'S7'!$D:$D,'Key inputs_EB'!$C82)</f>
        <v>0</v>
      </c>
      <c r="I82" s="471">
        <f>SUMIFS('S7'!F:F,'S7'!$C:$C,'Key inputs_EB'!$E82,'S7'!$D:$D,'Key inputs_EB'!$C82)</f>
        <v>0</v>
      </c>
      <c r="J82" s="471">
        <f>SUMIFS('S7'!G:G,'S7'!$C:$C,'Key inputs_EB'!$E82,'S7'!$D:$D,'Key inputs_EB'!$C82)</f>
        <v>0</v>
      </c>
      <c r="K82" s="471">
        <f>SUMIFS('S7'!H:H,'S7'!$C:$C,'Key inputs_EB'!$E82,'S7'!$D:$D,'Key inputs_EB'!$C82)</f>
        <v>0</v>
      </c>
      <c r="L82" s="471">
        <f>SUMIFS('S7'!I:I,'S7'!$C:$C,'Key inputs_EB'!$E82,'S7'!$D:$D,'Key inputs_EB'!$C82)</f>
        <v>0</v>
      </c>
      <c r="M82" s="471">
        <f>SUMIFS('S7'!J:J,'S7'!$C:$C,'Key inputs_EB'!$E82,'S7'!$D:$D,'Key inputs_EB'!$C82)</f>
        <v>0</v>
      </c>
      <c r="N82" s="471">
        <f>SUMIFS('S7'!K:K,'S7'!$C:$C,'Key inputs_EB'!$E82,'S7'!$D:$D,'Key inputs_EB'!$C82)</f>
        <v>0</v>
      </c>
      <c r="O82" s="471">
        <f>SUMIFS('S7'!L:L,'S7'!$C:$C,'Key inputs_EB'!$E82,'S7'!$D:$D,'Key inputs_EB'!$C82)</f>
        <v>0</v>
      </c>
      <c r="P82" s="471">
        <f>SUMIFS('S7'!M:M,'S7'!$C:$C,'Key inputs_EB'!$E82,'S7'!$D:$D,'Key inputs_EB'!$C82)</f>
        <v>0</v>
      </c>
      <c r="Q82" s="471">
        <f>SUMIFS('S7'!N:N,'S7'!$C:$C,'Key inputs_EB'!$E82,'S7'!$D:$D,'Key inputs_EB'!$C82)</f>
        <v>0</v>
      </c>
      <c r="R82" s="471">
        <f>SUMIFS('S7'!O:O,'S7'!$C:$C,'Key inputs_EB'!$E82,'S7'!$D:$D,'Key inputs_EB'!$C82)</f>
        <v>0</v>
      </c>
      <c r="S82" s="471">
        <f>SUMIFS('S7'!P:P,'S7'!$C:$C,'Key inputs_EB'!$E82,'S7'!$D:$D,'Key inputs_EB'!$C82)</f>
        <v>0</v>
      </c>
      <c r="T82" s="471">
        <f>SUMIFS('S7'!Q:Q,'S7'!$C:$C,'Key inputs_EB'!$E82,'S7'!$D:$D,'Key inputs_EB'!$C82)</f>
        <v>0</v>
      </c>
      <c r="U82" s="471">
        <f>SUMIFS('S7'!R:R,'S7'!$C:$C,'Key inputs_EB'!$E82,'S7'!$D:$D,'Key inputs_EB'!$C82)</f>
        <v>0</v>
      </c>
      <c r="V82" s="471">
        <f>SUMIFS('S7'!S:S,'S7'!$C:$C,'Key inputs_EB'!$E82,'S7'!$D:$D,'Key inputs_EB'!$C82)</f>
        <v>0</v>
      </c>
      <c r="W82" s="471">
        <f>SUMIFS('S7'!T:T,'S7'!$C:$C,'Key inputs_EB'!$E82,'S7'!$D:$D,'Key inputs_EB'!$C82)</f>
        <v>0</v>
      </c>
      <c r="X82" s="471">
        <f>SUMIFS('S7'!U:U,'S7'!$C:$C,'Key inputs_EB'!$E82,'S7'!$D:$D,'Key inputs_EB'!$C82)</f>
        <v>0</v>
      </c>
      <c r="Y82" s="471">
        <f>SUMIFS('S7'!V:V,'S7'!$C:$C,'Key inputs_EB'!$E82,'S7'!$D:$D,'Key inputs_EB'!$C82)</f>
        <v>0</v>
      </c>
      <c r="Z82" s="471">
        <f>SUMIFS('S7'!W:W,'S7'!$C:$C,'Key inputs_EB'!$E82,'S7'!$D:$D,'Key inputs_EB'!$C82)</f>
        <v>0</v>
      </c>
      <c r="AA82" s="471">
        <f>SUMIFS('S7'!X:X,'S7'!$C:$C,'Key inputs_EB'!$E82,'S7'!$D:$D,'Key inputs_EB'!$C82)</f>
        <v>0</v>
      </c>
      <c r="AB82" s="471">
        <f>SUMIFS('S7'!Y:Y,'S7'!$C:$C,'Key inputs_EB'!$E82,'S7'!$D:$D,'Key inputs_EB'!$C82)</f>
        <v>0</v>
      </c>
      <c r="AC82" s="471">
        <f>SUMIFS('S7'!Z:Z,'S7'!$C:$C,'Key inputs_EB'!$E82,'S7'!$D:$D,'Key inputs_EB'!$C82)</f>
        <v>0</v>
      </c>
      <c r="AD82" s="471">
        <f>SUMIFS('S7'!AA:AA,'S7'!$C:$C,'Key inputs_EB'!$E82,'S7'!$D:$D,'Key inputs_EB'!$C82)</f>
        <v>0</v>
      </c>
      <c r="AE82" s="471">
        <f>SUMIFS('S7'!AB:AB,'S7'!$C:$C,'Key inputs_EB'!$E82,'S7'!$D:$D,'Key inputs_EB'!$C82)</f>
        <v>0</v>
      </c>
      <c r="AF82" s="471">
        <f>SUMIFS('S7'!AC:AC,'S7'!$C:$C,'Key inputs_EB'!$E82,'S7'!$D:$D,'Key inputs_EB'!$C82)</f>
        <v>0</v>
      </c>
      <c r="AG82" s="471">
        <f>SUMIFS('S7'!AD:AD,'S7'!$C:$C,'Key inputs_EB'!$E82,'S7'!$D:$D,'Key inputs_EB'!$C82)</f>
        <v>0</v>
      </c>
      <c r="AH82" s="471">
        <f>SUMIFS('S7'!AE:AE,'S7'!$C:$C,'Key inputs_EB'!$E82,'S7'!$D:$D,'Key inputs_EB'!$C82)</f>
        <v>0</v>
      </c>
      <c r="AI82" s="471">
        <f>SUMIFS('S7'!AF:AF,'S7'!$C:$C,'Key inputs_EB'!$E82,'S7'!$D:$D,'Key inputs_EB'!$C82)</f>
        <v>0</v>
      </c>
    </row>
    <row r="83" spans="2:35" s="76" customFormat="1" ht="13.8" x14ac:dyDescent="0.3">
      <c r="B83" s="73"/>
      <c r="C83" s="74" t="s">
        <v>157</v>
      </c>
      <c r="D83" s="73"/>
      <c r="E83" s="73"/>
      <c r="F83" s="74"/>
      <c r="G83" s="74"/>
      <c r="H83" s="75">
        <f t="shared" ref="H83:AI83" si="21">IF(H$4="","",IF(SUM(H77:H82)=0,"",IF(SUM(H77:H82)&lt;&gt;1,"CHECK",SUM(H77:H82))))</f>
        <v>1</v>
      </c>
      <c r="I83" s="75">
        <f t="shared" si="21"/>
        <v>1</v>
      </c>
      <c r="J83" s="75">
        <f t="shared" si="21"/>
        <v>1</v>
      </c>
      <c r="K83" s="75">
        <f t="shared" si="21"/>
        <v>1</v>
      </c>
      <c r="L83" s="75">
        <f t="shared" si="21"/>
        <v>1</v>
      </c>
      <c r="M83" s="75">
        <f t="shared" si="21"/>
        <v>1</v>
      </c>
      <c r="N83" s="75">
        <f t="shared" si="21"/>
        <v>1</v>
      </c>
      <c r="O83" s="75">
        <f t="shared" si="21"/>
        <v>1</v>
      </c>
      <c r="P83" s="75">
        <f t="shared" si="21"/>
        <v>1</v>
      </c>
      <c r="Q83" s="75">
        <f t="shared" si="21"/>
        <v>1</v>
      </c>
      <c r="R83" s="75">
        <f t="shared" si="21"/>
        <v>1</v>
      </c>
      <c r="S83" s="75">
        <f t="shared" si="21"/>
        <v>0.99999999999999989</v>
      </c>
      <c r="T83" s="75">
        <f t="shared" si="21"/>
        <v>1</v>
      </c>
      <c r="U83" s="75">
        <f t="shared" si="21"/>
        <v>1</v>
      </c>
      <c r="V83" s="75">
        <f t="shared" si="21"/>
        <v>1</v>
      </c>
      <c r="W83" s="75">
        <f t="shared" si="21"/>
        <v>1</v>
      </c>
      <c r="X83" s="75">
        <f t="shared" si="21"/>
        <v>1</v>
      </c>
      <c r="Y83" s="75">
        <f t="shared" si="21"/>
        <v>1</v>
      </c>
      <c r="Z83" s="75">
        <f t="shared" si="21"/>
        <v>1</v>
      </c>
      <c r="AA83" s="75">
        <f t="shared" si="21"/>
        <v>1</v>
      </c>
      <c r="AB83" s="75">
        <f t="shared" si="21"/>
        <v>1</v>
      </c>
      <c r="AC83" s="75">
        <f t="shared" si="21"/>
        <v>1</v>
      </c>
      <c r="AD83" s="75">
        <f t="shared" si="21"/>
        <v>1</v>
      </c>
      <c r="AE83" s="75">
        <f t="shared" si="21"/>
        <v>1</v>
      </c>
      <c r="AF83" s="75">
        <f t="shared" si="21"/>
        <v>1</v>
      </c>
      <c r="AG83" s="75">
        <f t="shared" si="21"/>
        <v>1</v>
      </c>
      <c r="AH83" s="75">
        <f t="shared" si="21"/>
        <v>1</v>
      </c>
      <c r="AI83" s="75">
        <f t="shared" si="21"/>
        <v>1</v>
      </c>
    </row>
    <row r="84" spans="2:35" x14ac:dyDescent="0.3">
      <c r="B84" s="49" t="str">
        <f>Legend!A$45</f>
        <v>Thermal uses</v>
      </c>
      <c r="C84" s="49" t="str">
        <f>LEFT(Legend!$C$4)&amp;"-"&amp;Legend!B$45</f>
        <v>S-TH</v>
      </c>
      <c r="D84" s="49" t="str">
        <f>Legend!A$71</f>
        <v>Waste</v>
      </c>
      <c r="E84" s="49" t="str">
        <f>Legend!B$71</f>
        <v>SRVWAS</v>
      </c>
      <c r="F84" s="49" t="s">
        <v>154</v>
      </c>
      <c r="H84" s="471">
        <f>SUMIFS('S7'!E:E,'S7'!$C:$C,'Key inputs_EB'!$E84,'S7'!$D:$D,'Key inputs_EB'!$C84)</f>
        <v>1</v>
      </c>
      <c r="I84" s="471">
        <f>SUMIFS('S7'!F:F,'S7'!$C:$C,'Key inputs_EB'!$E84,'S7'!$D:$D,'Key inputs_EB'!$C84)</f>
        <v>1</v>
      </c>
      <c r="J84" s="471">
        <f>SUMIFS('S7'!G:G,'S7'!$C:$C,'Key inputs_EB'!$E84,'S7'!$D:$D,'Key inputs_EB'!$C84)</f>
        <v>1</v>
      </c>
      <c r="K84" s="471">
        <f>SUMIFS('S7'!H:H,'S7'!$C:$C,'Key inputs_EB'!$E84,'S7'!$D:$D,'Key inputs_EB'!$C84)</f>
        <v>1</v>
      </c>
      <c r="L84" s="471">
        <f>SUMIFS('S7'!I:I,'S7'!$C:$C,'Key inputs_EB'!$E84,'S7'!$D:$D,'Key inputs_EB'!$C84)</f>
        <v>1</v>
      </c>
      <c r="M84" s="471">
        <f>SUMIFS('S7'!J:J,'S7'!$C:$C,'Key inputs_EB'!$E84,'S7'!$D:$D,'Key inputs_EB'!$C84)</f>
        <v>1</v>
      </c>
      <c r="N84" s="471">
        <f>SUMIFS('S7'!K:K,'S7'!$C:$C,'Key inputs_EB'!$E84,'S7'!$D:$D,'Key inputs_EB'!$C84)</f>
        <v>1</v>
      </c>
      <c r="O84" s="471">
        <f>SUMIFS('S7'!L:L,'S7'!$C:$C,'Key inputs_EB'!$E84,'S7'!$D:$D,'Key inputs_EB'!$C84)</f>
        <v>1</v>
      </c>
      <c r="P84" s="471">
        <f>SUMIFS('S7'!M:M,'S7'!$C:$C,'Key inputs_EB'!$E84,'S7'!$D:$D,'Key inputs_EB'!$C84)</f>
        <v>1</v>
      </c>
      <c r="Q84" s="471">
        <f>SUMIFS('S7'!N:N,'S7'!$C:$C,'Key inputs_EB'!$E84,'S7'!$D:$D,'Key inputs_EB'!$C84)</f>
        <v>1</v>
      </c>
      <c r="R84" s="471">
        <f>SUMIFS('S7'!O:O,'S7'!$C:$C,'Key inputs_EB'!$E84,'S7'!$D:$D,'Key inputs_EB'!$C84)</f>
        <v>1</v>
      </c>
      <c r="S84" s="471">
        <f>SUMIFS('S7'!P:P,'S7'!$C:$C,'Key inputs_EB'!$E84,'S7'!$D:$D,'Key inputs_EB'!$C84)</f>
        <v>1</v>
      </c>
      <c r="T84" s="471">
        <f>SUMIFS('S7'!Q:Q,'S7'!$C:$C,'Key inputs_EB'!$E84,'S7'!$D:$D,'Key inputs_EB'!$C84)</f>
        <v>1</v>
      </c>
      <c r="U84" s="471">
        <f>SUMIFS('S7'!R:R,'S7'!$C:$C,'Key inputs_EB'!$E84,'S7'!$D:$D,'Key inputs_EB'!$C84)</f>
        <v>1</v>
      </c>
      <c r="V84" s="471">
        <f>SUMIFS('S7'!S:S,'S7'!$C:$C,'Key inputs_EB'!$E84,'S7'!$D:$D,'Key inputs_EB'!$C84)</f>
        <v>1</v>
      </c>
      <c r="W84" s="471">
        <f>SUMIFS('S7'!T:T,'S7'!$C:$C,'Key inputs_EB'!$E84,'S7'!$D:$D,'Key inputs_EB'!$C84)</f>
        <v>1</v>
      </c>
      <c r="X84" s="471">
        <f>SUMIFS('S7'!U:U,'S7'!$C:$C,'Key inputs_EB'!$E84,'S7'!$D:$D,'Key inputs_EB'!$C84)</f>
        <v>1</v>
      </c>
      <c r="Y84" s="471">
        <f>SUMIFS('S7'!V:V,'S7'!$C:$C,'Key inputs_EB'!$E84,'S7'!$D:$D,'Key inputs_EB'!$C84)</f>
        <v>1</v>
      </c>
      <c r="Z84" s="471">
        <f>SUMIFS('S7'!W:W,'S7'!$C:$C,'Key inputs_EB'!$E84,'S7'!$D:$D,'Key inputs_EB'!$C84)</f>
        <v>1</v>
      </c>
      <c r="AA84" s="471">
        <f>SUMIFS('S7'!X:X,'S7'!$C:$C,'Key inputs_EB'!$E84,'S7'!$D:$D,'Key inputs_EB'!$C84)</f>
        <v>1</v>
      </c>
      <c r="AB84" s="471">
        <f>SUMIFS('S7'!Y:Y,'S7'!$C:$C,'Key inputs_EB'!$E84,'S7'!$D:$D,'Key inputs_EB'!$C84)</f>
        <v>1</v>
      </c>
      <c r="AC84" s="471">
        <f>SUMIFS('S7'!Z:Z,'S7'!$C:$C,'Key inputs_EB'!$E84,'S7'!$D:$D,'Key inputs_EB'!$C84)</f>
        <v>1</v>
      </c>
      <c r="AD84" s="471">
        <f>SUMIFS('S7'!AA:AA,'S7'!$C:$C,'Key inputs_EB'!$E84,'S7'!$D:$D,'Key inputs_EB'!$C84)</f>
        <v>1</v>
      </c>
      <c r="AE84" s="471">
        <f>SUMIFS('S7'!AB:AB,'S7'!$C:$C,'Key inputs_EB'!$E84,'S7'!$D:$D,'Key inputs_EB'!$C84)</f>
        <v>1</v>
      </c>
      <c r="AF84" s="471">
        <f>SUMIFS('S7'!AC:AC,'S7'!$C:$C,'Key inputs_EB'!$E84,'S7'!$D:$D,'Key inputs_EB'!$C84)</f>
        <v>1</v>
      </c>
      <c r="AG84" s="471">
        <f>SUMIFS('S7'!AD:AD,'S7'!$C:$C,'Key inputs_EB'!$E84,'S7'!$D:$D,'Key inputs_EB'!$C84)</f>
        <v>1</v>
      </c>
      <c r="AH84" s="471">
        <f>SUMIFS('S7'!AE:AE,'S7'!$C:$C,'Key inputs_EB'!$E84,'S7'!$D:$D,'Key inputs_EB'!$C84)</f>
        <v>1</v>
      </c>
      <c r="AI84" s="471">
        <f>SUMIFS('S7'!AF:AF,'S7'!$C:$C,'Key inputs_EB'!$E84,'S7'!$D:$D,'Key inputs_EB'!$C84)</f>
        <v>1</v>
      </c>
    </row>
    <row r="85" spans="2:35" x14ac:dyDescent="0.3">
      <c r="B85" s="49" t="str">
        <f>Legend!A$46</f>
        <v>Air conditioning</v>
      </c>
      <c r="C85" s="49" t="str">
        <f>LEFT(Legend!$C$4)&amp;"-"&amp;Legend!B$46</f>
        <v>S-AC</v>
      </c>
      <c r="D85" s="49" t="str">
        <f>Legend!A$71</f>
        <v>Waste</v>
      </c>
      <c r="E85" s="49" t="str">
        <f>Legend!B$71</f>
        <v>SRVWAS</v>
      </c>
      <c r="F85" s="49" t="s">
        <v>154</v>
      </c>
      <c r="H85" s="471">
        <f>SUMIFS('S7'!E:E,'S7'!$C:$C,'Key inputs_EB'!$E85,'S7'!$D:$D,'Key inputs_EB'!$C85)</f>
        <v>0</v>
      </c>
      <c r="I85" s="471">
        <f>SUMIFS('S7'!F:F,'S7'!$C:$C,'Key inputs_EB'!$E85,'S7'!$D:$D,'Key inputs_EB'!$C85)</f>
        <v>0</v>
      </c>
      <c r="J85" s="471">
        <f>SUMIFS('S7'!G:G,'S7'!$C:$C,'Key inputs_EB'!$E85,'S7'!$D:$D,'Key inputs_EB'!$C85)</f>
        <v>0</v>
      </c>
      <c r="K85" s="471">
        <f>SUMIFS('S7'!H:H,'S7'!$C:$C,'Key inputs_EB'!$E85,'S7'!$D:$D,'Key inputs_EB'!$C85)</f>
        <v>0</v>
      </c>
      <c r="L85" s="471">
        <f>SUMIFS('S7'!I:I,'S7'!$C:$C,'Key inputs_EB'!$E85,'S7'!$D:$D,'Key inputs_EB'!$C85)</f>
        <v>0</v>
      </c>
      <c r="M85" s="471">
        <f>SUMIFS('S7'!J:J,'S7'!$C:$C,'Key inputs_EB'!$E85,'S7'!$D:$D,'Key inputs_EB'!$C85)</f>
        <v>0</v>
      </c>
      <c r="N85" s="471">
        <f>SUMIFS('S7'!K:K,'S7'!$C:$C,'Key inputs_EB'!$E85,'S7'!$D:$D,'Key inputs_EB'!$C85)</f>
        <v>0</v>
      </c>
      <c r="O85" s="471">
        <f>SUMIFS('S7'!L:L,'S7'!$C:$C,'Key inputs_EB'!$E85,'S7'!$D:$D,'Key inputs_EB'!$C85)</f>
        <v>0</v>
      </c>
      <c r="P85" s="471">
        <f>SUMIFS('S7'!M:M,'S7'!$C:$C,'Key inputs_EB'!$E85,'S7'!$D:$D,'Key inputs_EB'!$C85)</f>
        <v>0</v>
      </c>
      <c r="Q85" s="471">
        <f>SUMIFS('S7'!N:N,'S7'!$C:$C,'Key inputs_EB'!$E85,'S7'!$D:$D,'Key inputs_EB'!$C85)</f>
        <v>0</v>
      </c>
      <c r="R85" s="471">
        <f>SUMIFS('S7'!O:O,'S7'!$C:$C,'Key inputs_EB'!$E85,'S7'!$D:$D,'Key inputs_EB'!$C85)</f>
        <v>0</v>
      </c>
      <c r="S85" s="471">
        <f>SUMIFS('S7'!P:P,'S7'!$C:$C,'Key inputs_EB'!$E85,'S7'!$D:$D,'Key inputs_EB'!$C85)</f>
        <v>0</v>
      </c>
      <c r="T85" s="471">
        <f>SUMIFS('S7'!Q:Q,'S7'!$C:$C,'Key inputs_EB'!$E85,'S7'!$D:$D,'Key inputs_EB'!$C85)</f>
        <v>0</v>
      </c>
      <c r="U85" s="471">
        <f>SUMIFS('S7'!R:R,'S7'!$C:$C,'Key inputs_EB'!$E85,'S7'!$D:$D,'Key inputs_EB'!$C85)</f>
        <v>0</v>
      </c>
      <c r="V85" s="471">
        <f>SUMIFS('S7'!S:S,'S7'!$C:$C,'Key inputs_EB'!$E85,'S7'!$D:$D,'Key inputs_EB'!$C85)</f>
        <v>0</v>
      </c>
      <c r="W85" s="471">
        <f>SUMIFS('S7'!T:T,'S7'!$C:$C,'Key inputs_EB'!$E85,'S7'!$D:$D,'Key inputs_EB'!$C85)</f>
        <v>0</v>
      </c>
      <c r="X85" s="471">
        <f>SUMIFS('S7'!U:U,'S7'!$C:$C,'Key inputs_EB'!$E85,'S7'!$D:$D,'Key inputs_EB'!$C85)</f>
        <v>0</v>
      </c>
      <c r="Y85" s="471">
        <f>SUMIFS('S7'!V:V,'S7'!$C:$C,'Key inputs_EB'!$E85,'S7'!$D:$D,'Key inputs_EB'!$C85)</f>
        <v>0</v>
      </c>
      <c r="Z85" s="471">
        <f>SUMIFS('S7'!W:W,'S7'!$C:$C,'Key inputs_EB'!$E85,'S7'!$D:$D,'Key inputs_EB'!$C85)</f>
        <v>0</v>
      </c>
      <c r="AA85" s="471">
        <f>SUMIFS('S7'!X:X,'S7'!$C:$C,'Key inputs_EB'!$E85,'S7'!$D:$D,'Key inputs_EB'!$C85)</f>
        <v>0</v>
      </c>
      <c r="AB85" s="471">
        <f>SUMIFS('S7'!Y:Y,'S7'!$C:$C,'Key inputs_EB'!$E85,'S7'!$D:$D,'Key inputs_EB'!$C85)</f>
        <v>0</v>
      </c>
      <c r="AC85" s="471">
        <f>SUMIFS('S7'!Z:Z,'S7'!$C:$C,'Key inputs_EB'!$E85,'S7'!$D:$D,'Key inputs_EB'!$C85)</f>
        <v>0</v>
      </c>
      <c r="AD85" s="471">
        <f>SUMIFS('S7'!AA:AA,'S7'!$C:$C,'Key inputs_EB'!$E85,'S7'!$D:$D,'Key inputs_EB'!$C85)</f>
        <v>0</v>
      </c>
      <c r="AE85" s="471">
        <f>SUMIFS('S7'!AB:AB,'S7'!$C:$C,'Key inputs_EB'!$E85,'S7'!$D:$D,'Key inputs_EB'!$C85)</f>
        <v>0</v>
      </c>
      <c r="AF85" s="471">
        <f>SUMIFS('S7'!AC:AC,'S7'!$C:$C,'Key inputs_EB'!$E85,'S7'!$D:$D,'Key inputs_EB'!$C85)</f>
        <v>0</v>
      </c>
      <c r="AG85" s="471">
        <f>SUMIFS('S7'!AD:AD,'S7'!$C:$C,'Key inputs_EB'!$E85,'S7'!$D:$D,'Key inputs_EB'!$C85)</f>
        <v>0</v>
      </c>
      <c r="AH85" s="471">
        <f>SUMIFS('S7'!AE:AE,'S7'!$C:$C,'Key inputs_EB'!$E85,'S7'!$D:$D,'Key inputs_EB'!$C85)</f>
        <v>0</v>
      </c>
      <c r="AI85" s="471">
        <f>SUMIFS('S7'!AF:AF,'S7'!$C:$C,'Key inputs_EB'!$E85,'S7'!$D:$D,'Key inputs_EB'!$C85)</f>
        <v>0</v>
      </c>
    </row>
    <row r="86" spans="2:35" x14ac:dyDescent="0.3">
      <c r="B86" s="49" t="str">
        <f>Legend!A$47</f>
        <v>Cooking</v>
      </c>
      <c r="C86" s="49" t="str">
        <f>LEFT(Legend!$C$4)&amp;"-"&amp;Legend!B$47</f>
        <v>S-CK</v>
      </c>
      <c r="D86" s="49" t="str">
        <f>Legend!A$71</f>
        <v>Waste</v>
      </c>
      <c r="E86" s="49" t="str">
        <f>Legend!B$71</f>
        <v>SRVWAS</v>
      </c>
      <c r="F86" s="49" t="s">
        <v>154</v>
      </c>
      <c r="H86" s="471">
        <f>SUMIFS('S7'!E:E,'S7'!$C:$C,'Key inputs_EB'!$E86,'S7'!$D:$D,'Key inputs_EB'!$C86)</f>
        <v>0</v>
      </c>
      <c r="I86" s="471">
        <f>SUMIFS('S7'!F:F,'S7'!$C:$C,'Key inputs_EB'!$E86,'S7'!$D:$D,'Key inputs_EB'!$C86)</f>
        <v>0</v>
      </c>
      <c r="J86" s="471">
        <f>SUMIFS('S7'!G:G,'S7'!$C:$C,'Key inputs_EB'!$E86,'S7'!$D:$D,'Key inputs_EB'!$C86)</f>
        <v>0</v>
      </c>
      <c r="K86" s="471">
        <f>SUMIFS('S7'!H:H,'S7'!$C:$C,'Key inputs_EB'!$E86,'S7'!$D:$D,'Key inputs_EB'!$C86)</f>
        <v>0</v>
      </c>
      <c r="L86" s="471">
        <f>SUMIFS('S7'!I:I,'S7'!$C:$C,'Key inputs_EB'!$E86,'S7'!$D:$D,'Key inputs_EB'!$C86)</f>
        <v>0</v>
      </c>
      <c r="M86" s="471">
        <f>SUMIFS('S7'!J:J,'S7'!$C:$C,'Key inputs_EB'!$E86,'S7'!$D:$D,'Key inputs_EB'!$C86)</f>
        <v>0</v>
      </c>
      <c r="N86" s="471">
        <f>SUMIFS('S7'!K:K,'S7'!$C:$C,'Key inputs_EB'!$E86,'S7'!$D:$D,'Key inputs_EB'!$C86)</f>
        <v>0</v>
      </c>
      <c r="O86" s="471">
        <f>SUMIFS('S7'!L:L,'S7'!$C:$C,'Key inputs_EB'!$E86,'S7'!$D:$D,'Key inputs_EB'!$C86)</f>
        <v>0</v>
      </c>
      <c r="P86" s="471">
        <f>SUMIFS('S7'!M:M,'S7'!$C:$C,'Key inputs_EB'!$E86,'S7'!$D:$D,'Key inputs_EB'!$C86)</f>
        <v>0</v>
      </c>
      <c r="Q86" s="471">
        <f>SUMIFS('S7'!N:N,'S7'!$C:$C,'Key inputs_EB'!$E86,'S7'!$D:$D,'Key inputs_EB'!$C86)</f>
        <v>0</v>
      </c>
      <c r="R86" s="471">
        <f>SUMIFS('S7'!O:O,'S7'!$C:$C,'Key inputs_EB'!$E86,'S7'!$D:$D,'Key inputs_EB'!$C86)</f>
        <v>0</v>
      </c>
      <c r="S86" s="471">
        <f>SUMIFS('S7'!P:P,'S7'!$C:$C,'Key inputs_EB'!$E86,'S7'!$D:$D,'Key inputs_EB'!$C86)</f>
        <v>0</v>
      </c>
      <c r="T86" s="471">
        <f>SUMIFS('S7'!Q:Q,'S7'!$C:$C,'Key inputs_EB'!$E86,'S7'!$D:$D,'Key inputs_EB'!$C86)</f>
        <v>0</v>
      </c>
      <c r="U86" s="471">
        <f>SUMIFS('S7'!R:R,'S7'!$C:$C,'Key inputs_EB'!$E86,'S7'!$D:$D,'Key inputs_EB'!$C86)</f>
        <v>0</v>
      </c>
      <c r="V86" s="471">
        <f>SUMIFS('S7'!S:S,'S7'!$C:$C,'Key inputs_EB'!$E86,'S7'!$D:$D,'Key inputs_EB'!$C86)</f>
        <v>0</v>
      </c>
      <c r="W86" s="471">
        <f>SUMIFS('S7'!T:T,'S7'!$C:$C,'Key inputs_EB'!$E86,'S7'!$D:$D,'Key inputs_EB'!$C86)</f>
        <v>0</v>
      </c>
      <c r="X86" s="471">
        <f>SUMIFS('S7'!U:U,'S7'!$C:$C,'Key inputs_EB'!$E86,'S7'!$D:$D,'Key inputs_EB'!$C86)</f>
        <v>0</v>
      </c>
      <c r="Y86" s="471">
        <f>SUMIFS('S7'!V:V,'S7'!$C:$C,'Key inputs_EB'!$E86,'S7'!$D:$D,'Key inputs_EB'!$C86)</f>
        <v>0</v>
      </c>
      <c r="Z86" s="471">
        <f>SUMIFS('S7'!W:W,'S7'!$C:$C,'Key inputs_EB'!$E86,'S7'!$D:$D,'Key inputs_EB'!$C86)</f>
        <v>0</v>
      </c>
      <c r="AA86" s="471">
        <f>SUMIFS('S7'!X:X,'S7'!$C:$C,'Key inputs_EB'!$E86,'S7'!$D:$D,'Key inputs_EB'!$C86)</f>
        <v>0</v>
      </c>
      <c r="AB86" s="471">
        <f>SUMIFS('S7'!Y:Y,'S7'!$C:$C,'Key inputs_EB'!$E86,'S7'!$D:$D,'Key inputs_EB'!$C86)</f>
        <v>0</v>
      </c>
      <c r="AC86" s="471">
        <f>SUMIFS('S7'!Z:Z,'S7'!$C:$C,'Key inputs_EB'!$E86,'S7'!$D:$D,'Key inputs_EB'!$C86)</f>
        <v>0</v>
      </c>
      <c r="AD86" s="471">
        <f>SUMIFS('S7'!AA:AA,'S7'!$C:$C,'Key inputs_EB'!$E86,'S7'!$D:$D,'Key inputs_EB'!$C86)</f>
        <v>0</v>
      </c>
      <c r="AE86" s="471">
        <f>SUMIFS('S7'!AB:AB,'S7'!$C:$C,'Key inputs_EB'!$E86,'S7'!$D:$D,'Key inputs_EB'!$C86)</f>
        <v>0</v>
      </c>
      <c r="AF86" s="471">
        <f>SUMIFS('S7'!AC:AC,'S7'!$C:$C,'Key inputs_EB'!$E86,'S7'!$D:$D,'Key inputs_EB'!$C86)</f>
        <v>0</v>
      </c>
      <c r="AG86" s="471">
        <f>SUMIFS('S7'!AD:AD,'S7'!$C:$C,'Key inputs_EB'!$E86,'S7'!$D:$D,'Key inputs_EB'!$C86)</f>
        <v>0</v>
      </c>
      <c r="AH86" s="471">
        <f>SUMIFS('S7'!AE:AE,'S7'!$C:$C,'Key inputs_EB'!$E86,'S7'!$D:$D,'Key inputs_EB'!$C86)</f>
        <v>0</v>
      </c>
      <c r="AI86" s="471">
        <f>SUMIFS('S7'!AF:AF,'S7'!$C:$C,'Key inputs_EB'!$E86,'S7'!$D:$D,'Key inputs_EB'!$C86)</f>
        <v>0</v>
      </c>
    </row>
    <row r="87" spans="2:35" x14ac:dyDescent="0.3">
      <c r="B87" s="49" t="str">
        <f>Legend!A$49</f>
        <v>Lighting</v>
      </c>
      <c r="C87" s="49" t="str">
        <f>LEFT(Legend!$C$4)&amp;"-"&amp;Legend!B$49</f>
        <v>S-LIG</v>
      </c>
      <c r="D87" s="49" t="str">
        <f>Legend!A$71</f>
        <v>Waste</v>
      </c>
      <c r="E87" s="49" t="str">
        <f>Legend!B$71</f>
        <v>SRVWAS</v>
      </c>
      <c r="F87" s="49" t="s">
        <v>154</v>
      </c>
      <c r="H87" s="471">
        <f>SUMIFS('S7'!E:E,'S7'!$C:$C,'Key inputs_EB'!$E87,'S7'!$D:$D,'Key inputs_EB'!$C87)</f>
        <v>0</v>
      </c>
      <c r="I87" s="471">
        <f>SUMIFS('S7'!F:F,'S7'!$C:$C,'Key inputs_EB'!$E87,'S7'!$D:$D,'Key inputs_EB'!$C87)</f>
        <v>0</v>
      </c>
      <c r="J87" s="471">
        <f>SUMIFS('S7'!G:G,'S7'!$C:$C,'Key inputs_EB'!$E87,'S7'!$D:$D,'Key inputs_EB'!$C87)</f>
        <v>0</v>
      </c>
      <c r="K87" s="471">
        <f>SUMIFS('S7'!H:H,'S7'!$C:$C,'Key inputs_EB'!$E87,'S7'!$D:$D,'Key inputs_EB'!$C87)</f>
        <v>0</v>
      </c>
      <c r="L87" s="471">
        <f>SUMIFS('S7'!I:I,'S7'!$C:$C,'Key inputs_EB'!$E87,'S7'!$D:$D,'Key inputs_EB'!$C87)</f>
        <v>0</v>
      </c>
      <c r="M87" s="471">
        <f>SUMIFS('S7'!J:J,'S7'!$C:$C,'Key inputs_EB'!$E87,'S7'!$D:$D,'Key inputs_EB'!$C87)</f>
        <v>0</v>
      </c>
      <c r="N87" s="471">
        <f>SUMIFS('S7'!K:K,'S7'!$C:$C,'Key inputs_EB'!$E87,'S7'!$D:$D,'Key inputs_EB'!$C87)</f>
        <v>0</v>
      </c>
      <c r="O87" s="471">
        <f>SUMIFS('S7'!L:L,'S7'!$C:$C,'Key inputs_EB'!$E87,'S7'!$D:$D,'Key inputs_EB'!$C87)</f>
        <v>0</v>
      </c>
      <c r="P87" s="471">
        <f>SUMIFS('S7'!M:M,'S7'!$C:$C,'Key inputs_EB'!$E87,'S7'!$D:$D,'Key inputs_EB'!$C87)</f>
        <v>0</v>
      </c>
      <c r="Q87" s="471">
        <f>SUMIFS('S7'!N:N,'S7'!$C:$C,'Key inputs_EB'!$E87,'S7'!$D:$D,'Key inputs_EB'!$C87)</f>
        <v>0</v>
      </c>
      <c r="R87" s="471">
        <f>SUMIFS('S7'!O:O,'S7'!$C:$C,'Key inputs_EB'!$E87,'S7'!$D:$D,'Key inputs_EB'!$C87)</f>
        <v>0</v>
      </c>
      <c r="S87" s="471">
        <f>SUMIFS('S7'!P:P,'S7'!$C:$C,'Key inputs_EB'!$E87,'S7'!$D:$D,'Key inputs_EB'!$C87)</f>
        <v>0</v>
      </c>
      <c r="T87" s="471">
        <f>SUMIFS('S7'!Q:Q,'S7'!$C:$C,'Key inputs_EB'!$E87,'S7'!$D:$D,'Key inputs_EB'!$C87)</f>
        <v>0</v>
      </c>
      <c r="U87" s="471">
        <f>SUMIFS('S7'!R:R,'S7'!$C:$C,'Key inputs_EB'!$E87,'S7'!$D:$D,'Key inputs_EB'!$C87)</f>
        <v>0</v>
      </c>
      <c r="V87" s="471">
        <f>SUMIFS('S7'!S:S,'S7'!$C:$C,'Key inputs_EB'!$E87,'S7'!$D:$D,'Key inputs_EB'!$C87)</f>
        <v>0</v>
      </c>
      <c r="W87" s="471">
        <f>SUMIFS('S7'!T:T,'S7'!$C:$C,'Key inputs_EB'!$E87,'S7'!$D:$D,'Key inputs_EB'!$C87)</f>
        <v>0</v>
      </c>
      <c r="X87" s="471">
        <f>SUMIFS('S7'!U:U,'S7'!$C:$C,'Key inputs_EB'!$E87,'S7'!$D:$D,'Key inputs_EB'!$C87)</f>
        <v>0</v>
      </c>
      <c r="Y87" s="471">
        <f>SUMIFS('S7'!V:V,'S7'!$C:$C,'Key inputs_EB'!$E87,'S7'!$D:$D,'Key inputs_EB'!$C87)</f>
        <v>0</v>
      </c>
      <c r="Z87" s="471">
        <f>SUMIFS('S7'!W:W,'S7'!$C:$C,'Key inputs_EB'!$E87,'S7'!$D:$D,'Key inputs_EB'!$C87)</f>
        <v>0</v>
      </c>
      <c r="AA87" s="471">
        <f>SUMIFS('S7'!X:X,'S7'!$C:$C,'Key inputs_EB'!$E87,'S7'!$D:$D,'Key inputs_EB'!$C87)</f>
        <v>0</v>
      </c>
      <c r="AB87" s="471">
        <f>SUMIFS('S7'!Y:Y,'S7'!$C:$C,'Key inputs_EB'!$E87,'S7'!$D:$D,'Key inputs_EB'!$C87)</f>
        <v>0</v>
      </c>
      <c r="AC87" s="471">
        <f>SUMIFS('S7'!Z:Z,'S7'!$C:$C,'Key inputs_EB'!$E87,'S7'!$D:$D,'Key inputs_EB'!$C87)</f>
        <v>0</v>
      </c>
      <c r="AD87" s="471">
        <f>SUMIFS('S7'!AA:AA,'S7'!$C:$C,'Key inputs_EB'!$E87,'S7'!$D:$D,'Key inputs_EB'!$C87)</f>
        <v>0</v>
      </c>
      <c r="AE87" s="471">
        <f>SUMIFS('S7'!AB:AB,'S7'!$C:$C,'Key inputs_EB'!$E87,'S7'!$D:$D,'Key inputs_EB'!$C87)</f>
        <v>0</v>
      </c>
      <c r="AF87" s="471">
        <f>SUMIFS('S7'!AC:AC,'S7'!$C:$C,'Key inputs_EB'!$E87,'S7'!$D:$D,'Key inputs_EB'!$C87)</f>
        <v>0</v>
      </c>
      <c r="AG87" s="471">
        <f>SUMIFS('S7'!AD:AD,'S7'!$C:$C,'Key inputs_EB'!$E87,'S7'!$D:$D,'Key inputs_EB'!$C87)</f>
        <v>0</v>
      </c>
      <c r="AH87" s="471">
        <f>SUMIFS('S7'!AE:AE,'S7'!$C:$C,'Key inputs_EB'!$E87,'S7'!$D:$D,'Key inputs_EB'!$C87)</f>
        <v>0</v>
      </c>
      <c r="AI87" s="471">
        <f>SUMIFS('S7'!AF:AF,'S7'!$C:$C,'Key inputs_EB'!$E87,'S7'!$D:$D,'Key inputs_EB'!$C87)</f>
        <v>0</v>
      </c>
    </row>
    <row r="88" spans="2:35" x14ac:dyDescent="0.3">
      <c r="B88" s="49" t="str">
        <f>Legend!A$50</f>
        <v>Electric Appliances</v>
      </c>
      <c r="C88" s="49" t="str">
        <f>LEFT(Legend!$C$4)&amp;"-"&amp;Legend!B$50</f>
        <v>S-EAP</v>
      </c>
      <c r="D88" s="49" t="str">
        <f>Legend!A$71</f>
        <v>Waste</v>
      </c>
      <c r="E88" s="49" t="str">
        <f>Legend!B$71</f>
        <v>SRVWAS</v>
      </c>
      <c r="F88" s="49" t="s">
        <v>154</v>
      </c>
      <c r="H88" s="471">
        <f>SUMIFS('S7'!E:E,'S7'!$C:$C,'Key inputs_EB'!$E88,'S7'!$D:$D,'Key inputs_EB'!$C88)</f>
        <v>0</v>
      </c>
      <c r="I88" s="471">
        <f>SUMIFS('S7'!F:F,'S7'!$C:$C,'Key inputs_EB'!$E88,'S7'!$D:$D,'Key inputs_EB'!$C88)</f>
        <v>0</v>
      </c>
      <c r="J88" s="471">
        <f>SUMIFS('S7'!G:G,'S7'!$C:$C,'Key inputs_EB'!$E88,'S7'!$D:$D,'Key inputs_EB'!$C88)</f>
        <v>0</v>
      </c>
      <c r="K88" s="471">
        <f>SUMIFS('S7'!H:H,'S7'!$C:$C,'Key inputs_EB'!$E88,'S7'!$D:$D,'Key inputs_EB'!$C88)</f>
        <v>0</v>
      </c>
      <c r="L88" s="471">
        <f>SUMIFS('S7'!I:I,'S7'!$C:$C,'Key inputs_EB'!$E88,'S7'!$D:$D,'Key inputs_EB'!$C88)</f>
        <v>0</v>
      </c>
      <c r="M88" s="471">
        <f>SUMIFS('S7'!J:J,'S7'!$C:$C,'Key inputs_EB'!$E88,'S7'!$D:$D,'Key inputs_EB'!$C88)</f>
        <v>0</v>
      </c>
      <c r="N88" s="471">
        <f>SUMIFS('S7'!K:K,'S7'!$C:$C,'Key inputs_EB'!$E88,'S7'!$D:$D,'Key inputs_EB'!$C88)</f>
        <v>0</v>
      </c>
      <c r="O88" s="471">
        <f>SUMIFS('S7'!L:L,'S7'!$C:$C,'Key inputs_EB'!$E88,'S7'!$D:$D,'Key inputs_EB'!$C88)</f>
        <v>0</v>
      </c>
      <c r="P88" s="471">
        <f>SUMIFS('S7'!M:M,'S7'!$C:$C,'Key inputs_EB'!$E88,'S7'!$D:$D,'Key inputs_EB'!$C88)</f>
        <v>0</v>
      </c>
      <c r="Q88" s="471">
        <f>SUMIFS('S7'!N:N,'S7'!$C:$C,'Key inputs_EB'!$E88,'S7'!$D:$D,'Key inputs_EB'!$C88)</f>
        <v>0</v>
      </c>
      <c r="R88" s="471">
        <f>SUMIFS('S7'!O:O,'S7'!$C:$C,'Key inputs_EB'!$E88,'S7'!$D:$D,'Key inputs_EB'!$C88)</f>
        <v>0</v>
      </c>
      <c r="S88" s="471">
        <f>SUMIFS('S7'!P:P,'S7'!$C:$C,'Key inputs_EB'!$E88,'S7'!$D:$D,'Key inputs_EB'!$C88)</f>
        <v>0</v>
      </c>
      <c r="T88" s="471">
        <f>SUMIFS('S7'!Q:Q,'S7'!$C:$C,'Key inputs_EB'!$E88,'S7'!$D:$D,'Key inputs_EB'!$C88)</f>
        <v>0</v>
      </c>
      <c r="U88" s="471">
        <f>SUMIFS('S7'!R:R,'S7'!$C:$C,'Key inputs_EB'!$E88,'S7'!$D:$D,'Key inputs_EB'!$C88)</f>
        <v>0</v>
      </c>
      <c r="V88" s="471">
        <f>SUMIFS('S7'!S:S,'S7'!$C:$C,'Key inputs_EB'!$E88,'S7'!$D:$D,'Key inputs_EB'!$C88)</f>
        <v>0</v>
      </c>
      <c r="W88" s="471">
        <f>SUMIFS('S7'!T:T,'S7'!$C:$C,'Key inputs_EB'!$E88,'S7'!$D:$D,'Key inputs_EB'!$C88)</f>
        <v>0</v>
      </c>
      <c r="X88" s="471">
        <f>SUMIFS('S7'!U:U,'S7'!$C:$C,'Key inputs_EB'!$E88,'S7'!$D:$D,'Key inputs_EB'!$C88)</f>
        <v>0</v>
      </c>
      <c r="Y88" s="471">
        <f>SUMIFS('S7'!V:V,'S7'!$C:$C,'Key inputs_EB'!$E88,'S7'!$D:$D,'Key inputs_EB'!$C88)</f>
        <v>0</v>
      </c>
      <c r="Z88" s="471">
        <f>SUMIFS('S7'!W:W,'S7'!$C:$C,'Key inputs_EB'!$E88,'S7'!$D:$D,'Key inputs_EB'!$C88)</f>
        <v>0</v>
      </c>
      <c r="AA88" s="471">
        <f>SUMIFS('S7'!X:X,'S7'!$C:$C,'Key inputs_EB'!$E88,'S7'!$D:$D,'Key inputs_EB'!$C88)</f>
        <v>0</v>
      </c>
      <c r="AB88" s="471">
        <f>SUMIFS('S7'!Y:Y,'S7'!$C:$C,'Key inputs_EB'!$E88,'S7'!$D:$D,'Key inputs_EB'!$C88)</f>
        <v>0</v>
      </c>
      <c r="AC88" s="471">
        <f>SUMIFS('S7'!Z:Z,'S7'!$C:$C,'Key inputs_EB'!$E88,'S7'!$D:$D,'Key inputs_EB'!$C88)</f>
        <v>0</v>
      </c>
      <c r="AD88" s="471">
        <f>SUMIFS('S7'!AA:AA,'S7'!$C:$C,'Key inputs_EB'!$E88,'S7'!$D:$D,'Key inputs_EB'!$C88)</f>
        <v>0</v>
      </c>
      <c r="AE88" s="471">
        <f>SUMIFS('S7'!AB:AB,'S7'!$C:$C,'Key inputs_EB'!$E88,'S7'!$D:$D,'Key inputs_EB'!$C88)</f>
        <v>0</v>
      </c>
      <c r="AF88" s="471">
        <f>SUMIFS('S7'!AC:AC,'S7'!$C:$C,'Key inputs_EB'!$E88,'S7'!$D:$D,'Key inputs_EB'!$C88)</f>
        <v>0</v>
      </c>
      <c r="AG88" s="471">
        <f>SUMIFS('S7'!AD:AD,'S7'!$C:$C,'Key inputs_EB'!$E88,'S7'!$D:$D,'Key inputs_EB'!$C88)</f>
        <v>0</v>
      </c>
      <c r="AH88" s="471">
        <f>SUMIFS('S7'!AE:AE,'S7'!$C:$C,'Key inputs_EB'!$E88,'S7'!$D:$D,'Key inputs_EB'!$C88)</f>
        <v>0</v>
      </c>
      <c r="AI88" s="471">
        <f>SUMIFS('S7'!AF:AF,'S7'!$C:$C,'Key inputs_EB'!$E88,'S7'!$D:$D,'Key inputs_EB'!$C88)</f>
        <v>0</v>
      </c>
    </row>
    <row r="89" spans="2:35" x14ac:dyDescent="0.3">
      <c r="B89" s="49" t="str">
        <f>Legend!A$51</f>
        <v>Other uses</v>
      </c>
      <c r="C89" s="49" t="str">
        <f>LEFT(Legend!$C$4)&amp;"-"&amp;Legend!B$51</f>
        <v>S-OTH</v>
      </c>
      <c r="D89" s="49" t="str">
        <f>Legend!A$71</f>
        <v>Waste</v>
      </c>
      <c r="E89" s="49" t="str">
        <f>Legend!B$71</f>
        <v>SRVWAS</v>
      </c>
      <c r="F89" s="49" t="s">
        <v>154</v>
      </c>
      <c r="H89" s="471">
        <f>SUMIFS('S7'!E:E,'S7'!$C:$C,'Key inputs_EB'!$E89,'S7'!$D:$D,'Key inputs_EB'!$C89)</f>
        <v>0</v>
      </c>
      <c r="I89" s="471">
        <f>SUMIFS('S7'!F:F,'S7'!$C:$C,'Key inputs_EB'!$E89,'S7'!$D:$D,'Key inputs_EB'!$C89)</f>
        <v>0</v>
      </c>
      <c r="J89" s="471">
        <f>SUMIFS('S7'!G:G,'S7'!$C:$C,'Key inputs_EB'!$E89,'S7'!$D:$D,'Key inputs_EB'!$C89)</f>
        <v>0</v>
      </c>
      <c r="K89" s="471">
        <f>SUMIFS('S7'!H:H,'S7'!$C:$C,'Key inputs_EB'!$E89,'S7'!$D:$D,'Key inputs_EB'!$C89)</f>
        <v>0</v>
      </c>
      <c r="L89" s="471">
        <f>SUMIFS('S7'!I:I,'S7'!$C:$C,'Key inputs_EB'!$E89,'S7'!$D:$D,'Key inputs_EB'!$C89)</f>
        <v>0</v>
      </c>
      <c r="M89" s="471">
        <f>SUMIFS('S7'!J:J,'S7'!$C:$C,'Key inputs_EB'!$E89,'S7'!$D:$D,'Key inputs_EB'!$C89)</f>
        <v>0</v>
      </c>
      <c r="N89" s="471">
        <f>SUMIFS('S7'!K:K,'S7'!$C:$C,'Key inputs_EB'!$E89,'S7'!$D:$D,'Key inputs_EB'!$C89)</f>
        <v>0</v>
      </c>
      <c r="O89" s="471">
        <f>SUMIFS('S7'!L:L,'S7'!$C:$C,'Key inputs_EB'!$E89,'S7'!$D:$D,'Key inputs_EB'!$C89)</f>
        <v>0</v>
      </c>
      <c r="P89" s="471">
        <f>SUMIFS('S7'!M:M,'S7'!$C:$C,'Key inputs_EB'!$E89,'S7'!$D:$D,'Key inputs_EB'!$C89)</f>
        <v>0</v>
      </c>
      <c r="Q89" s="471">
        <f>SUMIFS('S7'!N:N,'S7'!$C:$C,'Key inputs_EB'!$E89,'S7'!$D:$D,'Key inputs_EB'!$C89)</f>
        <v>0</v>
      </c>
      <c r="R89" s="471">
        <f>SUMIFS('S7'!O:O,'S7'!$C:$C,'Key inputs_EB'!$E89,'S7'!$D:$D,'Key inputs_EB'!$C89)</f>
        <v>0</v>
      </c>
      <c r="S89" s="471">
        <f>SUMIFS('S7'!P:P,'S7'!$C:$C,'Key inputs_EB'!$E89,'S7'!$D:$D,'Key inputs_EB'!$C89)</f>
        <v>0</v>
      </c>
      <c r="T89" s="471">
        <f>SUMIFS('S7'!Q:Q,'S7'!$C:$C,'Key inputs_EB'!$E89,'S7'!$D:$D,'Key inputs_EB'!$C89)</f>
        <v>0</v>
      </c>
      <c r="U89" s="471">
        <f>SUMIFS('S7'!R:R,'S7'!$C:$C,'Key inputs_EB'!$E89,'S7'!$D:$D,'Key inputs_EB'!$C89)</f>
        <v>0</v>
      </c>
      <c r="V89" s="471">
        <f>SUMIFS('S7'!S:S,'S7'!$C:$C,'Key inputs_EB'!$E89,'S7'!$D:$D,'Key inputs_EB'!$C89)</f>
        <v>0</v>
      </c>
      <c r="W89" s="471">
        <f>SUMIFS('S7'!T:T,'S7'!$C:$C,'Key inputs_EB'!$E89,'S7'!$D:$D,'Key inputs_EB'!$C89)</f>
        <v>0</v>
      </c>
      <c r="X89" s="471">
        <f>SUMIFS('S7'!U:U,'S7'!$C:$C,'Key inputs_EB'!$E89,'S7'!$D:$D,'Key inputs_EB'!$C89)</f>
        <v>0</v>
      </c>
      <c r="Y89" s="471">
        <f>SUMIFS('S7'!V:V,'S7'!$C:$C,'Key inputs_EB'!$E89,'S7'!$D:$D,'Key inputs_EB'!$C89)</f>
        <v>0</v>
      </c>
      <c r="Z89" s="471">
        <f>SUMIFS('S7'!W:W,'S7'!$C:$C,'Key inputs_EB'!$E89,'S7'!$D:$D,'Key inputs_EB'!$C89)</f>
        <v>0</v>
      </c>
      <c r="AA89" s="471">
        <f>SUMIFS('S7'!X:X,'S7'!$C:$C,'Key inputs_EB'!$E89,'S7'!$D:$D,'Key inputs_EB'!$C89)</f>
        <v>0</v>
      </c>
      <c r="AB89" s="471">
        <f>SUMIFS('S7'!Y:Y,'S7'!$C:$C,'Key inputs_EB'!$E89,'S7'!$D:$D,'Key inputs_EB'!$C89)</f>
        <v>0</v>
      </c>
      <c r="AC89" s="471">
        <f>SUMIFS('S7'!Z:Z,'S7'!$C:$C,'Key inputs_EB'!$E89,'S7'!$D:$D,'Key inputs_EB'!$C89)</f>
        <v>0</v>
      </c>
      <c r="AD89" s="471">
        <f>SUMIFS('S7'!AA:AA,'S7'!$C:$C,'Key inputs_EB'!$E89,'S7'!$D:$D,'Key inputs_EB'!$C89)</f>
        <v>0</v>
      </c>
      <c r="AE89" s="471">
        <f>SUMIFS('S7'!AB:AB,'S7'!$C:$C,'Key inputs_EB'!$E89,'S7'!$D:$D,'Key inputs_EB'!$C89)</f>
        <v>0</v>
      </c>
      <c r="AF89" s="471">
        <f>SUMIFS('S7'!AC:AC,'S7'!$C:$C,'Key inputs_EB'!$E89,'S7'!$D:$D,'Key inputs_EB'!$C89)</f>
        <v>0</v>
      </c>
      <c r="AG89" s="471">
        <f>SUMIFS('S7'!AD:AD,'S7'!$C:$C,'Key inputs_EB'!$E89,'S7'!$D:$D,'Key inputs_EB'!$C89)</f>
        <v>0</v>
      </c>
      <c r="AH89" s="471">
        <f>SUMIFS('S7'!AE:AE,'S7'!$C:$C,'Key inputs_EB'!$E89,'S7'!$D:$D,'Key inputs_EB'!$C89)</f>
        <v>0</v>
      </c>
      <c r="AI89" s="471">
        <f>SUMIFS('S7'!AF:AF,'S7'!$C:$C,'Key inputs_EB'!$E89,'S7'!$D:$D,'Key inputs_EB'!$C89)</f>
        <v>0</v>
      </c>
    </row>
    <row r="90" spans="2:35" s="76" customFormat="1" ht="13.8" x14ac:dyDescent="0.3">
      <c r="B90" s="73"/>
      <c r="C90" s="74" t="s">
        <v>157</v>
      </c>
      <c r="D90" s="73"/>
      <c r="E90" s="73"/>
      <c r="F90" s="74"/>
      <c r="G90" s="74"/>
      <c r="H90" s="75">
        <f t="shared" ref="H90:AI90" si="22">IF(H$4="","",IF(SUM(H84:H89)=0,"",IF(SUM(H84:H89)&lt;&gt;1,"CHECK",SUM(H84:H89))))</f>
        <v>1</v>
      </c>
      <c r="I90" s="75">
        <f t="shared" si="22"/>
        <v>1</v>
      </c>
      <c r="J90" s="75">
        <f t="shared" si="22"/>
        <v>1</v>
      </c>
      <c r="K90" s="75">
        <f t="shared" si="22"/>
        <v>1</v>
      </c>
      <c r="L90" s="75">
        <f t="shared" si="22"/>
        <v>1</v>
      </c>
      <c r="M90" s="75">
        <f t="shared" si="22"/>
        <v>1</v>
      </c>
      <c r="N90" s="75">
        <f t="shared" si="22"/>
        <v>1</v>
      </c>
      <c r="O90" s="75">
        <f t="shared" si="22"/>
        <v>1</v>
      </c>
      <c r="P90" s="75">
        <f t="shared" si="22"/>
        <v>1</v>
      </c>
      <c r="Q90" s="75">
        <f t="shared" si="22"/>
        <v>1</v>
      </c>
      <c r="R90" s="75">
        <f t="shared" si="22"/>
        <v>1</v>
      </c>
      <c r="S90" s="75">
        <f t="shared" si="22"/>
        <v>1</v>
      </c>
      <c r="T90" s="75">
        <f t="shared" si="22"/>
        <v>1</v>
      </c>
      <c r="U90" s="75">
        <f t="shared" si="22"/>
        <v>1</v>
      </c>
      <c r="V90" s="75">
        <f t="shared" si="22"/>
        <v>1</v>
      </c>
      <c r="W90" s="75">
        <f t="shared" si="22"/>
        <v>1</v>
      </c>
      <c r="X90" s="75">
        <f t="shared" si="22"/>
        <v>1</v>
      </c>
      <c r="Y90" s="75">
        <f t="shared" si="22"/>
        <v>1</v>
      </c>
      <c r="Z90" s="75">
        <f t="shared" si="22"/>
        <v>1</v>
      </c>
      <c r="AA90" s="75">
        <f t="shared" si="22"/>
        <v>1</v>
      </c>
      <c r="AB90" s="75">
        <f t="shared" si="22"/>
        <v>1</v>
      </c>
      <c r="AC90" s="75">
        <f t="shared" si="22"/>
        <v>1</v>
      </c>
      <c r="AD90" s="75">
        <f t="shared" si="22"/>
        <v>1</v>
      </c>
      <c r="AE90" s="75">
        <f t="shared" si="22"/>
        <v>1</v>
      </c>
      <c r="AF90" s="75">
        <f t="shared" si="22"/>
        <v>1</v>
      </c>
      <c r="AG90" s="75">
        <f t="shared" si="22"/>
        <v>1</v>
      </c>
      <c r="AH90" s="75">
        <f t="shared" si="22"/>
        <v>1</v>
      </c>
      <c r="AI90" s="75">
        <f t="shared" si="22"/>
        <v>1</v>
      </c>
    </row>
    <row r="93" spans="2:35" ht="18" x14ac:dyDescent="0.3">
      <c r="B93" s="60" t="s">
        <v>19</v>
      </c>
      <c r="C93" s="60" t="s">
        <v>156</v>
      </c>
      <c r="E93" s="60"/>
      <c r="F93" s="60"/>
      <c r="G93" s="60"/>
      <c r="H93" s="60"/>
      <c r="I93" s="60"/>
      <c r="J93" s="60"/>
    </row>
    <row r="94" spans="2:35" x14ac:dyDescent="0.3">
      <c r="B94" s="61" t="s">
        <v>98</v>
      </c>
      <c r="C94" s="61"/>
      <c r="D94" s="64" t="s">
        <v>99</v>
      </c>
      <c r="E94" s="64"/>
      <c r="F94" s="61" t="s">
        <v>49</v>
      </c>
      <c r="G94" s="61" t="s">
        <v>88</v>
      </c>
      <c r="H94" s="62" t="s">
        <v>457</v>
      </c>
      <c r="I94" s="62" t="s">
        <v>458</v>
      </c>
      <c r="J94" s="62" t="s">
        <v>460</v>
      </c>
      <c r="K94" s="62" t="s">
        <v>459</v>
      </c>
      <c r="L94" s="62" t="s">
        <v>461</v>
      </c>
      <c r="M94" s="62" t="s">
        <v>463</v>
      </c>
      <c r="N94" s="62" t="s">
        <v>464</v>
      </c>
      <c r="O94" s="62" t="s">
        <v>465</v>
      </c>
      <c r="P94" s="62" t="s">
        <v>1</v>
      </c>
      <c r="Q94" s="62" t="s">
        <v>2</v>
      </c>
      <c r="R94" s="62" t="s">
        <v>707</v>
      </c>
      <c r="S94" s="62" t="s">
        <v>3</v>
      </c>
      <c r="T94" s="62" t="s">
        <v>467</v>
      </c>
      <c r="U94" s="62" t="s">
        <v>468</v>
      </c>
      <c r="V94" s="62" t="s">
        <v>469</v>
      </c>
      <c r="W94" s="62" t="s">
        <v>708</v>
      </c>
      <c r="X94" s="62" t="s">
        <v>470</v>
      </c>
      <c r="Y94" s="62" t="s">
        <v>5</v>
      </c>
      <c r="Z94" s="62" t="s">
        <v>6</v>
      </c>
      <c r="AA94" s="62" t="s">
        <v>7</v>
      </c>
      <c r="AB94" s="62" t="s">
        <v>8</v>
      </c>
      <c r="AC94" s="62" t="s">
        <v>709</v>
      </c>
      <c r="AD94" s="62" t="s">
        <v>9</v>
      </c>
      <c r="AE94" s="62" t="s">
        <v>10</v>
      </c>
      <c r="AF94" s="62" t="s">
        <v>710</v>
      </c>
      <c r="AG94" s="62" t="s">
        <v>11</v>
      </c>
      <c r="AH94" s="62" t="s">
        <v>711</v>
      </c>
      <c r="AI94" s="62" t="s">
        <v>13</v>
      </c>
    </row>
    <row r="95" spans="2:35" ht="16.2" thickBot="1" x14ac:dyDescent="0.35">
      <c r="B95" s="65" t="s">
        <v>30</v>
      </c>
      <c r="C95" s="65" t="s">
        <v>35</v>
      </c>
      <c r="D95" s="65" t="s">
        <v>30</v>
      </c>
      <c r="E95" s="65" t="s">
        <v>35</v>
      </c>
      <c r="F95" s="65"/>
      <c r="G95" s="65"/>
      <c r="H95" s="65" t="s">
        <v>477</v>
      </c>
      <c r="I95" s="65" t="s">
        <v>478</v>
      </c>
      <c r="J95" s="65" t="s">
        <v>480</v>
      </c>
      <c r="K95" s="65" t="s">
        <v>479</v>
      </c>
      <c r="L95" s="65" t="s">
        <v>481</v>
      </c>
      <c r="M95" s="65" t="s">
        <v>482</v>
      </c>
      <c r="N95" s="65" t="s">
        <v>483</v>
      </c>
      <c r="O95" s="65" t="s">
        <v>484</v>
      </c>
      <c r="P95" s="65" t="s">
        <v>90</v>
      </c>
      <c r="Q95" s="65" t="s">
        <v>91</v>
      </c>
      <c r="R95" s="65" t="s">
        <v>715</v>
      </c>
      <c r="S95" s="65" t="s">
        <v>716</v>
      </c>
      <c r="T95" s="65" t="s">
        <v>485</v>
      </c>
      <c r="U95" s="65" t="s">
        <v>486</v>
      </c>
      <c r="V95" s="65" t="s">
        <v>487</v>
      </c>
      <c r="W95" s="65" t="s">
        <v>717</v>
      </c>
      <c r="X95" s="65" t="s">
        <v>488</v>
      </c>
      <c r="Y95" s="65" t="s">
        <v>718</v>
      </c>
      <c r="Z95" s="65" t="s">
        <v>92</v>
      </c>
      <c r="AA95" s="65" t="s">
        <v>93</v>
      </c>
      <c r="AB95" s="65" t="s">
        <v>94</v>
      </c>
      <c r="AC95" s="65" t="s">
        <v>719</v>
      </c>
      <c r="AD95" s="65" t="s">
        <v>720</v>
      </c>
      <c r="AE95" s="65" t="s">
        <v>95</v>
      </c>
      <c r="AF95" s="65" t="s">
        <v>721</v>
      </c>
      <c r="AG95" s="65" t="s">
        <v>722</v>
      </c>
      <c r="AH95" s="65" t="s">
        <v>769</v>
      </c>
      <c r="AI95" s="65" t="s">
        <v>489</v>
      </c>
    </row>
    <row r="96" spans="2:35" s="594" customFormat="1" x14ac:dyDescent="0.3">
      <c r="B96" s="594" t="str">
        <f>Legend!A$45</f>
        <v>Thermal uses</v>
      </c>
      <c r="C96" s="594" t="str">
        <f>LEFT(Legend!$C$4)&amp;"-"&amp;Legend!B$45</f>
        <v>S-TH</v>
      </c>
      <c r="D96" s="594" t="str">
        <f>Legend!A60</f>
        <v>Biogas</v>
      </c>
      <c r="E96" s="594" t="str">
        <f>Legend!B60</f>
        <v>SRVBGS</v>
      </c>
      <c r="F96" s="594" t="s">
        <v>15</v>
      </c>
      <c r="H96" s="600">
        <f>SUMIF('S1'!$C:$C,'Key inputs_EB'!$E96,'S1'!E:E)*SUMIFS(H$6:H$90,$C$6:$C$90,$C96,$E$6:$E$90,$E96)</f>
        <v>0</v>
      </c>
      <c r="I96" s="600">
        <f>SUMIF('S1'!$C:$C,'Key inputs_EB'!$E96,'S1'!F:F)*SUMIFS(I$6:I$90,$C$6:$C$90,$C96,$E$6:$E$90,$E96)</f>
        <v>0</v>
      </c>
      <c r="J96" s="600">
        <f>SUMIF('S1'!$C:$C,'Key inputs_EB'!$E96,'S1'!G:G)*SUMIFS(J$6:J$90,$C$6:$C$90,$C96,$E$6:$E$90,$E96)</f>
        <v>0</v>
      </c>
      <c r="K96" s="600">
        <f>SUMIF('S1'!$C:$C,'Key inputs_EB'!$E96,'S1'!H:H)*SUMIFS(K$6:K$90,$C$6:$C$90,$C96,$E$6:$E$90,$E96)</f>
        <v>0</v>
      </c>
      <c r="L96" s="600">
        <f>SUMIF('S1'!$C:$C,'Key inputs_EB'!$E96,'S1'!I:I)*SUMIFS(L$6:L$90,$C$6:$C$90,$C96,$E$6:$E$90,$E96)</f>
        <v>0.53549999999999998</v>
      </c>
      <c r="M96" s="600">
        <f>SUMIF('S1'!$C:$C,'Key inputs_EB'!$E96,'S1'!J:J)*SUMIFS(M$6:M$90,$C$6:$C$90,$C96,$E$6:$E$90,$E96)</f>
        <v>0</v>
      </c>
      <c r="N96" s="600">
        <f>SUMIF('S1'!$C:$C,'Key inputs_EB'!$E96,'S1'!K:K)*SUMIFS(N$6:N$90,$C$6:$C$90,$C96,$E$6:$E$90,$E96)</f>
        <v>0</v>
      </c>
      <c r="O96" s="600">
        <f>SUMIF('S1'!$C:$C,'Key inputs_EB'!$E96,'S1'!L:L)*SUMIFS(O$6:O$90,$C$6:$C$90,$C96,$E$6:$E$90,$E96)</f>
        <v>5.7600000000000004E-3</v>
      </c>
      <c r="P96" s="600">
        <f>SUMIF('S1'!$C:$C,'Key inputs_EB'!$E96,'S1'!M:M)*SUMIFS(P$6:P$90,$C$6:$C$90,$C96,$E$6:$E$90,$E96)</f>
        <v>0</v>
      </c>
      <c r="Q96" s="600">
        <f>SUMIF('S1'!$C:$C,'Key inputs_EB'!$E96,'S1'!N:N)*SUMIFS(Q$6:Q$90,$C$6:$C$90,$C96,$E$6:$E$90,$E96)</f>
        <v>0.5423</v>
      </c>
      <c r="R96" s="600">
        <f>SUMIF('S1'!$C:$C,'Key inputs_EB'!$E96,'S1'!O:O)*SUMIFS(R$6:R$90,$C$6:$C$90,$C96,$E$6:$E$90,$E96)</f>
        <v>0.1053</v>
      </c>
      <c r="S96" s="600">
        <f>SUMIF('S1'!$C:$C,'Key inputs_EB'!$E96,'S1'!P:P)*SUMIFS(S$6:S$90,$C$6:$C$90,$C96,$E$6:$E$90,$E96)</f>
        <v>0</v>
      </c>
      <c r="T96" s="600">
        <f>SUMIF('S1'!$C:$C,'Key inputs_EB'!$E96,'S1'!Q:Q)*SUMIFS(T$6:T$90,$C$6:$C$90,$C96,$E$6:$E$90,$E96)</f>
        <v>4.1599999999999998E-2</v>
      </c>
      <c r="U96" s="600">
        <f>SUMIF('S1'!$C:$C,'Key inputs_EB'!$E96,'S1'!R:R)*SUMIFS(U$6:U$90,$C$6:$C$90,$C96,$E$6:$E$90,$E96)</f>
        <v>1.6663200000000002</v>
      </c>
      <c r="V96" s="600">
        <f>SUMIF('S1'!$C:$C,'Key inputs_EB'!$E96,'S1'!S:S)*SUMIFS(V$6:V$90,$C$6:$C$90,$C96,$E$6:$E$90,$E96)</f>
        <v>2.5831999999999997</v>
      </c>
      <c r="W96" s="600">
        <f>SUMIF('S1'!$C:$C,'Key inputs_EB'!$E96,'S1'!T:T)*SUMIFS(W$6:W$90,$C$6:$C$90,$C96,$E$6:$E$90,$E96)</f>
        <v>5.3479650000000003</v>
      </c>
      <c r="X96" s="600">
        <f>SUMIF('S1'!$C:$C,'Key inputs_EB'!$E96,'S1'!U:U)*SUMIFS(X$6:X$90,$C$6:$C$90,$C96,$E$6:$E$90,$E96)</f>
        <v>10.927275</v>
      </c>
      <c r="Y96" s="600">
        <f>SUMIF('S1'!$C:$C,'Key inputs_EB'!$E96,'S1'!V:V)*SUMIFS(Y$6:Y$90,$C$6:$C$90,$C96,$E$6:$E$90,$E96)</f>
        <v>0</v>
      </c>
      <c r="Z96" s="600">
        <f>SUMIF('S1'!$C:$C,'Key inputs_EB'!$E96,'S1'!W:W)*SUMIFS(Z$6:Z$90,$C$6:$C$90,$C96,$E$6:$E$90,$E96)</f>
        <v>0</v>
      </c>
      <c r="AA96" s="600">
        <f>SUMIF('S1'!$C:$C,'Key inputs_EB'!$E96,'S1'!X:X)*SUMIFS(AA$6:AA$90,$C$6:$C$90,$C96,$E$6:$E$90,$E96)</f>
        <v>0</v>
      </c>
      <c r="AB96" s="600">
        <f>SUMIF('S1'!$C:$C,'Key inputs_EB'!$E96,'S1'!Y:Y)*SUMIFS(AB$6:AB$90,$C$6:$C$90,$C96,$E$6:$E$90,$E96)</f>
        <v>0</v>
      </c>
      <c r="AC96" s="600">
        <f>SUMIF('S1'!$C:$C,'Key inputs_EB'!$E96,'S1'!Z:Z)*SUMIFS(AC$6:AC$90,$C$6:$C$90,$C96,$E$6:$E$90,$E96)</f>
        <v>0</v>
      </c>
      <c r="AD96" s="600">
        <f>SUMIF('S1'!$C:$C,'Key inputs_EB'!$E96,'S1'!AA:AA)*SUMIFS(AD$6:AD$90,$C$6:$C$90,$C96,$E$6:$E$90,$E96)</f>
        <v>0</v>
      </c>
      <c r="AE96" s="600">
        <f>SUMIF('S1'!$C:$C,'Key inputs_EB'!$E96,'S1'!AB:AB)*SUMIFS(AE$6:AE$90,$C$6:$C$90,$C96,$E$6:$E$90,$E96)</f>
        <v>0</v>
      </c>
      <c r="AF96" s="600">
        <f>SUMIF('S1'!$C:$C,'Key inputs_EB'!$E96,'S1'!AC:AC)*SUMIFS(AF$6:AF$90,$C$6:$C$90,$C96,$E$6:$E$90,$E96)</f>
        <v>0</v>
      </c>
      <c r="AG96" s="600">
        <f>SUMIF('S1'!$C:$C,'Key inputs_EB'!$E96,'S1'!AD:AD)*SUMIFS(AG$6:AG$90,$C$6:$C$90,$C96,$E$6:$E$90,$E96)</f>
        <v>0</v>
      </c>
      <c r="AH96" s="600">
        <f>SUMIF('S1'!$C:$C,'Key inputs_EB'!$E96,'S1'!AE:AE)*SUMIFS(AH$6:AH$90,$C$6:$C$90,$C96,$E$6:$E$90,$E96)</f>
        <v>0.66989999999999994</v>
      </c>
      <c r="AI96" s="600">
        <f>SUMIF('S1'!$C:$C,'Key inputs_EB'!$E96,'S1'!AF:AF)*SUMIFS(AI$6:AI$90,$C$6:$C$90,$C96,$E$6:$E$90,$E96)</f>
        <v>1.9022552544575326</v>
      </c>
    </row>
    <row r="97" spans="2:36" s="49" customFormat="1" x14ac:dyDescent="0.3">
      <c r="B97" s="49" t="str">
        <f>Legend!A$45</f>
        <v>Thermal uses</v>
      </c>
      <c r="C97" s="49" t="str">
        <f>LEFT(Legend!$C$4)&amp;"-"&amp;Legend!B$45</f>
        <v>S-TH</v>
      </c>
      <c r="D97" s="49" t="str">
        <f>Legend!A61</f>
        <v>Coal</v>
      </c>
      <c r="E97" s="49" t="str">
        <f>Legend!B61</f>
        <v>SRVCOA</v>
      </c>
      <c r="F97" s="49" t="s">
        <v>15</v>
      </c>
      <c r="G97" s="49" t="s">
        <v>696</v>
      </c>
      <c r="H97" s="596">
        <f>SUMIF('S1'!$C:$C,'Key inputs_EB'!$E97,'S1'!E:E)*SUMIFS(H$6:H$90,$C$6:$C$90,$C97,$E$6:$E$90,$E97)</f>
        <v>0</v>
      </c>
      <c r="I97" s="596">
        <f>SUMIF('S1'!$C:$C,'Key inputs_EB'!$E97,'S1'!F:F)*SUMIFS(I$6:I$90,$C$6:$C$90,$C97,$E$6:$E$90,$E97)</f>
        <v>0</v>
      </c>
      <c r="J97" s="596">
        <f>SUMIF('S1'!$C:$C,'Key inputs_EB'!$E97,'S1'!G:G)*SUMIFS(J$6:J$90,$C$6:$C$90,$C97,$E$6:$E$90,$E97)</f>
        <v>0</v>
      </c>
      <c r="K97" s="54">
        <f>SUMIF('S1'!$C:$C,'Key inputs_EB'!$E97,'S1'!H:H)*SUMIFS(K$6:K$90,$C$6:$C$90,$C97,$E$6:$E$90,$E97)</f>
        <v>58.073400000000007</v>
      </c>
      <c r="L97" s="54">
        <f>SUMIF('S1'!$C:$C,'Key inputs_EB'!$E97,'S1'!I:I)*SUMIFS(L$6:L$90,$C$6:$C$90,$C97,$E$6:$E$90,$E97)</f>
        <v>1.621</v>
      </c>
      <c r="M97" s="54">
        <f>SUMIF('S1'!$C:$C,'Key inputs_EB'!$E97,'S1'!J:J)*SUMIFS(M$6:M$90,$C$6:$C$90,$C97,$E$6:$E$90,$E97)</f>
        <v>65.34</v>
      </c>
      <c r="N97" s="54">
        <f>SUMIF('S1'!$C:$C,'Key inputs_EB'!$E97,'S1'!K:K)*SUMIFS(N$6:N$90,$C$6:$C$90,$C97,$E$6:$E$90,$E97)</f>
        <v>8.2805</v>
      </c>
      <c r="O97" s="54">
        <f>SUMIF('S1'!$C:$C,'Key inputs_EB'!$E97,'S1'!L:L)*SUMIFS(O$6:O$90,$C$6:$C$90,$C97,$E$6:$E$90,$E97)</f>
        <v>0</v>
      </c>
      <c r="P97" s="54">
        <f>SUMIF('S1'!$C:$C,'Key inputs_EB'!$E97,'S1'!M:M)*SUMIFS(P$6:P$90,$C$6:$C$90,$C97,$E$6:$E$90,$E97)</f>
        <v>0</v>
      </c>
      <c r="Q97" s="54">
        <f>SUMIF('S1'!$C:$C,'Key inputs_EB'!$E97,'S1'!N:N)*SUMIFS(Q$6:Q$90,$C$6:$C$90,$C97,$E$6:$E$90,$E97)</f>
        <v>0</v>
      </c>
      <c r="R97" s="54">
        <f>SUMIF('S1'!$C:$C,'Key inputs_EB'!$E97,'S1'!O:O)*SUMIFS(R$6:R$90,$C$6:$C$90,$C97,$E$6:$E$90,$E97)</f>
        <v>0</v>
      </c>
      <c r="S97" s="54">
        <f>SUMIF('S1'!$C:$C,'Key inputs_EB'!$E97,'S1'!P:P)*SUMIFS(S$6:S$90,$C$6:$C$90,$C97,$E$6:$E$90,$E97)</f>
        <v>19.9192</v>
      </c>
      <c r="T97" s="54">
        <f>SUMIF('S1'!$C:$C,'Key inputs_EB'!$E97,'S1'!Q:Q)*SUMIFS(T$6:T$90,$C$6:$C$90,$C97,$E$6:$E$90,$E97)</f>
        <v>21.295000000000002</v>
      </c>
      <c r="U97" s="54">
        <f>SUMIF('S1'!$C:$C,'Key inputs_EB'!$E97,'S1'!R:R)*SUMIFS(U$6:U$90,$C$6:$C$90,$C97,$E$6:$E$90,$E97)</f>
        <v>0.65</v>
      </c>
      <c r="V97" s="54">
        <f>SUMIF('S1'!$C:$C,'Key inputs_EB'!$E97,'S1'!S:S)*SUMIFS(V$6:V$90,$C$6:$C$90,$C97,$E$6:$E$90,$E97)</f>
        <v>28.512</v>
      </c>
      <c r="W97" s="54">
        <f>SUMIF('S1'!$C:$C,'Key inputs_EB'!$E97,'S1'!T:T)*SUMIFS(W$6:W$90,$C$6:$C$90,$C97,$E$6:$E$90,$E97)</f>
        <v>1.5049999999999999</v>
      </c>
      <c r="X97" s="54">
        <f>SUMIF('S1'!$C:$C,'Key inputs_EB'!$E97,'S1'!U:U)*SUMIFS(X$6:X$90,$C$6:$C$90,$C97,$E$6:$E$90,$E97)</f>
        <v>0.32400000000000001</v>
      </c>
      <c r="Y97" s="54">
        <f>SUMIF('S1'!$C:$C,'Key inputs_EB'!$E97,'S1'!V:V)*SUMIFS(Y$6:Y$90,$C$6:$C$90,$C97,$E$6:$E$90,$E97)</f>
        <v>16.565999999999999</v>
      </c>
      <c r="Z97" s="54">
        <f>SUMIF('S1'!$C:$C,'Key inputs_EB'!$E97,'S1'!W:W)*SUMIFS(Z$6:Z$90,$C$6:$C$90,$C97,$E$6:$E$90,$E97)</f>
        <v>0</v>
      </c>
      <c r="AA97" s="54">
        <f>SUMIF('S1'!$C:$C,'Key inputs_EB'!$E97,'S1'!X:X)*SUMIFS(AA$6:AA$90,$C$6:$C$90,$C97,$E$6:$E$90,$E97)</f>
        <v>3.9639599999999997</v>
      </c>
      <c r="AB97" s="54">
        <f>SUMIF('S1'!$C:$C,'Key inputs_EB'!$E97,'S1'!Y:Y)*SUMIFS(AB$6:AB$90,$C$6:$C$90,$C97,$E$6:$E$90,$E97)</f>
        <v>0</v>
      </c>
      <c r="AC97" s="54">
        <f>SUMIF('S1'!$C:$C,'Key inputs_EB'!$E97,'S1'!Z:Z)*SUMIFS(AC$6:AC$90,$C$6:$C$90,$C97,$E$6:$E$90,$E97)</f>
        <v>112.07899999999999</v>
      </c>
      <c r="AD97" s="54">
        <f>SUMIF('S1'!$C:$C,'Key inputs_EB'!$E97,'S1'!AA:AA)*SUMIFS(AD$6:AD$90,$C$6:$C$90,$C97,$E$6:$E$90,$E97)</f>
        <v>0</v>
      </c>
      <c r="AE97" s="54">
        <f>SUMIF('S1'!$C:$C,'Key inputs_EB'!$E97,'S1'!AB:AB)*SUMIFS(AE$6:AE$90,$C$6:$C$90,$C97,$E$6:$E$90,$E97)</f>
        <v>0</v>
      </c>
      <c r="AF97" s="54">
        <f>SUMIF('S1'!$C:$C,'Key inputs_EB'!$E97,'S1'!AC:AC)*SUMIFS(AF$6:AF$90,$C$6:$C$90,$C97,$E$6:$E$90,$E97)</f>
        <v>0</v>
      </c>
      <c r="AG97" s="54">
        <f>SUMIF('S1'!$C:$C,'Key inputs_EB'!$E97,'S1'!AD:AD)*SUMIFS(AG$6:AG$90,$C$6:$C$90,$C97,$E$6:$E$90,$E97)</f>
        <v>33.196000000000005</v>
      </c>
      <c r="AH97" s="54">
        <f>SUMIF('S1'!$C:$C,'Key inputs_EB'!$E97,'S1'!AE:AE)*SUMIFS(AH$6:AH$90,$C$6:$C$90,$C97,$E$6:$E$90,$E97)</f>
        <v>0</v>
      </c>
      <c r="AI97" s="54">
        <f>SUMIF('S1'!$C:$C,'Key inputs_EB'!$E97,'S1'!AF:AF)*SUMIFS(AI$6:AI$90,$C$6:$C$90,$C97,$E$6:$E$90,$E97)</f>
        <v>15.938000000000001</v>
      </c>
    </row>
    <row r="98" spans="2:36" s="49" customFormat="1" x14ac:dyDescent="0.3">
      <c r="B98" s="49" t="str">
        <f>Legend!A$45</f>
        <v>Thermal uses</v>
      </c>
      <c r="C98" s="49" t="str">
        <f>LEFT(Legend!$C$4)&amp;"-"&amp;Legend!B$45</f>
        <v>S-TH</v>
      </c>
      <c r="D98" s="49" t="str">
        <f>Legend!A62</f>
        <v>Oil</v>
      </c>
      <c r="E98" s="49" t="str">
        <f>Legend!B62</f>
        <v>SRVOIL</v>
      </c>
      <c r="F98" s="49" t="s">
        <v>15</v>
      </c>
      <c r="G98" s="49" t="s">
        <v>696</v>
      </c>
      <c r="H98" s="596">
        <f>SUMIF('S1'!$C:$C,'Key inputs_EB'!$E98,'S1'!E:E)*SUMIFS(H$6:H$90,$C$6:$C$90,$C98,$E$6:$E$90,$E98)</f>
        <v>15.985000000000001</v>
      </c>
      <c r="I98" s="596">
        <f>SUMIF('S1'!$C:$C,'Key inputs_EB'!$E98,'S1'!F:F)*SUMIFS(I$6:I$90,$C$6:$C$90,$C98,$E$6:$E$90,$E98)</f>
        <v>5.3950000000000005</v>
      </c>
      <c r="J98" s="596">
        <f>SUMIF('S1'!$C:$C,'Key inputs_EB'!$E98,'S1'!G:G)*SUMIFS(J$6:J$90,$C$6:$C$90,$C98,$E$6:$E$90,$E98)</f>
        <v>0.93199999999999994</v>
      </c>
      <c r="K98" s="54">
        <f>SUMIF('S1'!$C:$C,'Key inputs_EB'!$E98,'S1'!H:H)*SUMIFS(K$6:K$90,$C$6:$C$90,$C98,$E$6:$E$90,$E98)</f>
        <v>35.225000000000001</v>
      </c>
      <c r="L98" s="54">
        <f>SUMIF('S1'!$C:$C,'Key inputs_EB'!$E98,'S1'!I:I)*SUMIFS(L$6:L$90,$C$6:$C$90,$C98,$E$6:$E$90,$E98)</f>
        <v>32.012999999999998</v>
      </c>
      <c r="M98" s="54">
        <f>SUMIF('S1'!$C:$C,'Key inputs_EB'!$E98,'S1'!J:J)*SUMIFS(M$6:M$90,$C$6:$C$90,$C98,$E$6:$E$90,$E98)</f>
        <v>28.556999999999999</v>
      </c>
      <c r="N98" s="54">
        <f>SUMIF('S1'!$C:$C,'Key inputs_EB'!$E98,'S1'!K:K)*SUMIFS(N$6:N$90,$C$6:$C$90,$C98,$E$6:$E$90,$E98)</f>
        <v>10.7464</v>
      </c>
      <c r="O98" s="54">
        <f>SUMIF('S1'!$C:$C,'Key inputs_EB'!$E98,'S1'!L:L)*SUMIFS(O$6:O$90,$C$6:$C$90,$C98,$E$6:$E$90,$E98)</f>
        <v>2.0999999999999998E-2</v>
      </c>
      <c r="P98" s="54">
        <f>SUMIF('S1'!$C:$C,'Key inputs_EB'!$E98,'S1'!M:M)*SUMIFS(P$6:P$90,$C$6:$C$90,$C98,$E$6:$E$90,$E98)</f>
        <v>1.1245000000000001</v>
      </c>
      <c r="Q98" s="54">
        <f>SUMIF('S1'!$C:$C,'Key inputs_EB'!$E98,'S1'!N:N)*SUMIFS(Q$6:Q$90,$C$6:$C$90,$C98,$E$6:$E$90,$E98)</f>
        <v>22.044999999999998</v>
      </c>
      <c r="R98" s="54">
        <f>SUMIF('S1'!$C:$C,'Key inputs_EB'!$E98,'S1'!O:O)*SUMIFS(R$6:R$90,$C$6:$C$90,$C98,$E$6:$E$90,$E98)</f>
        <v>9.2210000000000001</v>
      </c>
      <c r="S98" s="54">
        <f>SUMIF('S1'!$C:$C,'Key inputs_EB'!$E98,'S1'!P:P)*SUMIFS(S$6:S$90,$C$6:$C$90,$C98,$E$6:$E$90,$E98)</f>
        <v>0</v>
      </c>
      <c r="T98" s="54">
        <f>SUMIF('S1'!$C:$C,'Key inputs_EB'!$E98,'S1'!Q:Q)*SUMIFS(T$6:T$90,$C$6:$C$90,$C98,$E$6:$E$90,$E98)</f>
        <v>13.193999999999999</v>
      </c>
      <c r="U98" s="54">
        <f>SUMIF('S1'!$C:$C,'Key inputs_EB'!$E98,'S1'!R:R)*SUMIFS(U$6:U$90,$C$6:$C$90,$C98,$E$6:$E$90,$E98)</f>
        <v>115.44</v>
      </c>
      <c r="V98" s="54">
        <f>SUMIF('S1'!$C:$C,'Key inputs_EB'!$E98,'S1'!S:S)*SUMIFS(V$6:V$90,$C$6:$C$90,$C98,$E$6:$E$90,$E98)</f>
        <v>25.161000000000001</v>
      </c>
      <c r="W98" s="54">
        <f>SUMIF('S1'!$C:$C,'Key inputs_EB'!$E98,'S1'!T:T)*SUMIFS(W$6:W$90,$C$6:$C$90,$C98,$E$6:$E$90,$E98)</f>
        <v>143.304</v>
      </c>
      <c r="X98" s="54">
        <f>SUMIF('S1'!$C:$C,'Key inputs_EB'!$E98,'S1'!U:U)*SUMIFS(X$6:X$90,$C$6:$C$90,$C98,$E$6:$E$90,$E98)</f>
        <v>211.21699999999998</v>
      </c>
      <c r="Y98" s="54">
        <f>SUMIF('S1'!$C:$C,'Key inputs_EB'!$E98,'S1'!V:V)*SUMIFS(Y$6:Y$90,$C$6:$C$90,$C98,$E$6:$E$90,$E98)</f>
        <v>77.889699999999991</v>
      </c>
      <c r="Z98" s="54">
        <f>SUMIF('S1'!$C:$C,'Key inputs_EB'!$E98,'S1'!W:W)*SUMIFS(Z$6:Z$90,$C$6:$C$90,$C98,$E$6:$E$90,$E98)</f>
        <v>1.9055</v>
      </c>
      <c r="AA98" s="54">
        <f>SUMIF('S1'!$C:$C,'Key inputs_EB'!$E98,'S1'!X:X)*SUMIFS(AA$6:AA$90,$C$6:$C$90,$C98,$E$6:$E$90,$E98)</f>
        <v>405.64299999999997</v>
      </c>
      <c r="AB98" s="54">
        <f>SUMIF('S1'!$C:$C,'Key inputs_EB'!$E98,'S1'!Y:Y)*SUMIFS(AB$6:AB$90,$C$6:$C$90,$C98,$E$6:$E$90,$E98)</f>
        <v>23.821999999999999</v>
      </c>
      <c r="AC98" s="54">
        <f>SUMIF('S1'!$C:$C,'Key inputs_EB'!$E98,'S1'!Z:Z)*SUMIFS(AC$6:AC$90,$C$6:$C$90,$C98,$E$6:$E$90,$E98)</f>
        <v>7.3659999999999997</v>
      </c>
      <c r="AD98" s="54">
        <f>SUMIF('S1'!$C:$C,'Key inputs_EB'!$E98,'S1'!AA:AA)*SUMIFS(AD$6:AD$90,$C$6:$C$90,$C98,$E$6:$E$90,$E98)</f>
        <v>14.075599999999998</v>
      </c>
      <c r="AE98" s="54">
        <f>SUMIF('S1'!$C:$C,'Key inputs_EB'!$E98,'S1'!AB:AB)*SUMIFS(AE$6:AE$90,$C$6:$C$90,$C98,$E$6:$E$90,$E98)</f>
        <v>0.55359999999999998</v>
      </c>
      <c r="AF98" s="54">
        <f>SUMIF('S1'!$C:$C,'Key inputs_EB'!$E98,'S1'!AC:AC)*SUMIFS(AF$6:AF$90,$C$6:$C$90,$C98,$E$6:$E$90,$E98)</f>
        <v>4.5999999999999999E-2</v>
      </c>
      <c r="AG98" s="54">
        <f>SUMIF('S1'!$C:$C,'Key inputs_EB'!$E98,'S1'!AD:AD)*SUMIFS(AG$6:AG$90,$C$6:$C$90,$C98,$E$6:$E$90,$E98)</f>
        <v>61.445</v>
      </c>
      <c r="AH98" s="54">
        <f>SUMIF('S1'!$C:$C,'Key inputs_EB'!$E98,'S1'!AE:AE)*SUMIFS(AH$6:AH$90,$C$6:$C$90,$C98,$E$6:$E$90,$E98)</f>
        <v>25.519000000000002</v>
      </c>
      <c r="AI98" s="54">
        <f>SUMIF('S1'!$C:$C,'Key inputs_EB'!$E98,'S1'!AF:AF)*SUMIFS(AI$6:AI$90,$C$6:$C$90,$C98,$E$6:$E$90,$E98)</f>
        <v>369.30299999999994</v>
      </c>
    </row>
    <row r="99" spans="2:36" s="49" customFormat="1" x14ac:dyDescent="0.3">
      <c r="B99" s="49" t="str">
        <f>Legend!A$45</f>
        <v>Thermal uses</v>
      </c>
      <c r="C99" s="49" t="str">
        <f>LEFT(Legend!$C$4)&amp;"-"&amp;Legend!B$45</f>
        <v>S-TH</v>
      </c>
      <c r="D99" s="49" t="str">
        <f>Legend!A63</f>
        <v>Electricity</v>
      </c>
      <c r="E99" s="49" t="str">
        <f>Legend!B63</f>
        <v>SRVELC</v>
      </c>
      <c r="F99" s="49" t="s">
        <v>15</v>
      </c>
      <c r="G99" s="49" t="s">
        <v>696</v>
      </c>
      <c r="H99" s="596">
        <f>SUMIF('S1'!$C:$C,'Key inputs_EB'!$E99,'S1'!E:E)*SUMIFS(H$6:H$90,$C$6:$C$90,$C99,$E$6:$E$90,$E99)</f>
        <v>2.0577000000000001</v>
      </c>
      <c r="I99" s="596">
        <f>SUMIF('S1'!$C:$C,'Key inputs_EB'!$E99,'S1'!F:F)*SUMIFS(I$6:I$90,$C$6:$C$90,$C99,$E$6:$E$90,$E99)</f>
        <v>11.371500000000001</v>
      </c>
      <c r="J99" s="596">
        <f>SUMIF('S1'!$C:$C,'Key inputs_EB'!$E99,'S1'!G:G)*SUMIFS(J$6:J$90,$C$6:$C$90,$C99,$E$6:$E$90,$E99)</f>
        <v>2.6430000000000002</v>
      </c>
      <c r="K99" s="54">
        <f>SUMIF('S1'!$C:$C,'Key inputs_EB'!$E99,'S1'!H:H)*SUMIFS(K$6:K$90,$C$6:$C$90,$C99,$E$6:$E$90,$E99)</f>
        <v>6.9276600000000004</v>
      </c>
      <c r="L99" s="54">
        <f>SUMIF('S1'!$C:$C,'Key inputs_EB'!$E99,'S1'!I:I)*SUMIFS(L$6:L$90,$C$6:$C$90,$C99,$E$6:$E$90,$E99)</f>
        <v>40.735940000000006</v>
      </c>
      <c r="M99" s="54">
        <f>SUMIF('S1'!$C:$C,'Key inputs_EB'!$E99,'S1'!J:J)*SUMIFS(M$6:M$90,$C$6:$C$90,$C99,$E$6:$E$90,$E99)</f>
        <v>19.959200000000003</v>
      </c>
      <c r="N99" s="54">
        <f>SUMIF('S1'!$C:$C,'Key inputs_EB'!$E99,'S1'!K:K)*SUMIFS(N$6:N$90,$C$6:$C$90,$C99,$E$6:$E$90,$E99)</f>
        <v>42.784649999999999</v>
      </c>
      <c r="O99" s="54">
        <f>SUMIF('S1'!$C:$C,'Key inputs_EB'!$E99,'S1'!L:L)*SUMIFS(O$6:O$90,$C$6:$C$90,$C99,$E$6:$E$90,$E99)</f>
        <v>9.8846999999999987</v>
      </c>
      <c r="P99" s="54">
        <f>SUMIF('S1'!$C:$C,'Key inputs_EB'!$E99,'S1'!M:M)*SUMIFS(P$6:P$90,$C$6:$C$90,$C99,$E$6:$E$90,$E99)</f>
        <v>20.310040000000001</v>
      </c>
      <c r="Q99" s="54">
        <f>SUMIF('S1'!$C:$C,'Key inputs_EB'!$E99,'S1'!N:N)*SUMIFS(Q$6:Q$90,$C$6:$C$90,$C99,$E$6:$E$90,$E99)</f>
        <v>108.9692</v>
      </c>
      <c r="R99" s="54">
        <f>SUMIF('S1'!$C:$C,'Key inputs_EB'!$E99,'S1'!O:O)*SUMIFS(R$6:R$90,$C$6:$C$90,$C99,$E$6:$E$90,$E99)</f>
        <v>1.76688</v>
      </c>
      <c r="S99" s="54">
        <f>SUMIF('S1'!$C:$C,'Key inputs_EB'!$E99,'S1'!P:P)*SUMIFS(S$6:S$90,$C$6:$C$90,$C99,$E$6:$E$90,$E99)</f>
        <v>4.3182799999999997</v>
      </c>
      <c r="T99" s="54">
        <f>SUMIF('S1'!$C:$C,'Key inputs_EB'!$E99,'S1'!Q:Q)*SUMIFS(T$6:T$90,$C$6:$C$90,$C99,$E$6:$E$90,$E99)</f>
        <v>31.314400000000003</v>
      </c>
      <c r="U99" s="54">
        <f>SUMIF('S1'!$C:$C,'Key inputs_EB'!$E99,'S1'!R:R)*SUMIFS(U$6:U$90,$C$6:$C$90,$C99,$E$6:$E$90,$E99)</f>
        <v>101.70657</v>
      </c>
      <c r="V99" s="54">
        <f>SUMIF('S1'!$C:$C,'Key inputs_EB'!$E99,'S1'!S:S)*SUMIFS(V$6:V$90,$C$6:$C$90,$C99,$E$6:$E$90,$E99)</f>
        <v>84.071000000000012</v>
      </c>
      <c r="W99" s="54">
        <f>SUMIF('S1'!$C:$C,'Key inputs_EB'!$E99,'S1'!T:T)*SUMIFS(W$6:W$90,$C$6:$C$90,$C99,$E$6:$E$90,$E99)</f>
        <v>255.58049999999997</v>
      </c>
      <c r="X99" s="54">
        <f>SUMIF('S1'!$C:$C,'Key inputs_EB'!$E99,'S1'!U:U)*SUMIFS(X$6:X$90,$C$6:$C$90,$C99,$E$6:$E$90,$E99)</f>
        <v>205.39952999999997</v>
      </c>
      <c r="Y99" s="54">
        <f>SUMIF('S1'!$C:$C,'Key inputs_EB'!$E99,'S1'!V:V)*SUMIFS(Y$6:Y$90,$C$6:$C$90,$C99,$E$6:$E$90,$E99)</f>
        <v>35.517419999999994</v>
      </c>
      <c r="Z99" s="54">
        <f>SUMIF('S1'!$C:$C,'Key inputs_EB'!$E99,'S1'!W:W)*SUMIFS(Z$6:Z$90,$C$6:$C$90,$C99,$E$6:$E$90,$E99)</f>
        <v>11.21937</v>
      </c>
      <c r="AA99" s="54">
        <f>SUMIF('S1'!$C:$C,'Key inputs_EB'!$E99,'S1'!X:X)*SUMIFS(AA$6:AA$90,$C$6:$C$90,$C99,$E$6:$E$90,$E99)</f>
        <v>56.984200000000001</v>
      </c>
      <c r="AB99" s="54">
        <f>SUMIF('S1'!$C:$C,'Key inputs_EB'!$E99,'S1'!Y:Y)*SUMIFS(AB$6:AB$90,$C$6:$C$90,$C99,$E$6:$E$90,$E99)</f>
        <v>16.648479999999999</v>
      </c>
      <c r="AC99" s="54">
        <f>SUMIF('S1'!$C:$C,'Key inputs_EB'!$E99,'S1'!Z:Z)*SUMIFS(AC$6:AC$90,$C$6:$C$90,$C99,$E$6:$E$90,$E99)</f>
        <v>36.903300000000002</v>
      </c>
      <c r="AD99" s="54">
        <f>SUMIF('S1'!$C:$C,'Key inputs_EB'!$E99,'S1'!AA:AA)*SUMIFS(AD$6:AD$90,$C$6:$C$90,$C99,$E$6:$E$90,$E99)</f>
        <v>79.873199999999997</v>
      </c>
      <c r="AE99" s="54">
        <f>SUMIF('S1'!$C:$C,'Key inputs_EB'!$E99,'S1'!AB:AB)*SUMIFS(AE$6:AE$90,$C$6:$C$90,$C99,$E$6:$E$90,$E99)</f>
        <v>10.337900000000001</v>
      </c>
      <c r="AF99" s="54">
        <f>SUMIF('S1'!$C:$C,'Key inputs_EB'!$E99,'S1'!AC:AC)*SUMIFS(AF$6:AF$90,$C$6:$C$90,$C99,$E$6:$E$90,$E99)</f>
        <v>1.59714</v>
      </c>
      <c r="AG99" s="54">
        <f>SUMIF('S1'!$C:$C,'Key inputs_EB'!$E99,'S1'!AD:AD)*SUMIFS(AG$6:AG$90,$C$6:$C$90,$C99,$E$6:$E$90,$E99)</f>
        <v>110.0656</v>
      </c>
      <c r="AH99" s="54">
        <f>SUMIF('S1'!$C:$C,'Key inputs_EB'!$E99,'S1'!AE:AE)*SUMIFS(AH$6:AH$90,$C$6:$C$90,$C99,$E$6:$E$90,$E99)</f>
        <v>35.340119999999999</v>
      </c>
      <c r="AI99" s="54">
        <f>SUMIF('S1'!$C:$C,'Key inputs_EB'!$E99,'S1'!AF:AF)*SUMIFS(AI$6:AI$90,$C$6:$C$90,$C99,$E$6:$E$90,$E99)</f>
        <v>456.20005409322641</v>
      </c>
    </row>
    <row r="100" spans="2:36" s="49" customFormat="1" x14ac:dyDescent="0.3">
      <c r="B100" s="49" t="str">
        <f>Legend!A$45</f>
        <v>Thermal uses</v>
      </c>
      <c r="C100" s="49" t="str">
        <f>LEFT(Legend!$C$4)&amp;"-"&amp;Legend!B$45</f>
        <v>S-TH</v>
      </c>
      <c r="D100" s="49" t="str">
        <f>Legend!A64</f>
        <v>Geothermal</v>
      </c>
      <c r="E100" s="49" t="str">
        <f>Legend!B64</f>
        <v>SRVGEO</v>
      </c>
      <c r="F100" s="49" t="s">
        <v>15</v>
      </c>
      <c r="G100" s="49" t="s">
        <v>696</v>
      </c>
      <c r="H100" s="596">
        <f>SUMIF('S1'!$C:$C,'Key inputs_EB'!$E100,'S1'!E:E)*SUMIFS(H$6:H$90,$C$6:$C$90,$C100,$E$6:$E$90,$E100)</f>
        <v>0</v>
      </c>
      <c r="I100" s="596">
        <f>SUMIF('S1'!$C:$C,'Key inputs_EB'!$E100,'S1'!F:F)*SUMIFS(I$6:I$90,$C$6:$C$90,$C100,$E$6:$E$90,$E100)</f>
        <v>0</v>
      </c>
      <c r="J100" s="596">
        <f>SUMIF('S1'!$C:$C,'Key inputs_EB'!$E100,'S1'!G:G)*SUMIFS(J$6:J$90,$C$6:$C$90,$C100,$E$6:$E$90,$E100)</f>
        <v>0</v>
      </c>
      <c r="K100" s="54">
        <f>SUMIF('S1'!$C:$C,'Key inputs_EB'!$E100,'S1'!H:H)*SUMIFS(K$6:K$90,$C$6:$C$90,$C100,$E$6:$E$90,$E100)</f>
        <v>0</v>
      </c>
      <c r="L100" s="54">
        <f>SUMIF('S1'!$C:$C,'Key inputs_EB'!$E100,'S1'!I:I)*SUMIFS(L$6:L$90,$C$6:$C$90,$C100,$E$6:$E$90,$E100)</f>
        <v>2.3780000000000001</v>
      </c>
      <c r="M100" s="54">
        <f>SUMIF('S1'!$C:$C,'Key inputs_EB'!$E100,'S1'!J:J)*SUMIFS(M$6:M$90,$C$6:$C$90,$C100,$E$6:$E$90,$E100)</f>
        <v>0.372</v>
      </c>
      <c r="N100" s="54">
        <f>SUMIF('S1'!$C:$C,'Key inputs_EB'!$E100,'S1'!K:K)*SUMIFS(N$6:N$90,$C$6:$C$90,$C100,$E$6:$E$90,$E100)</f>
        <v>0</v>
      </c>
      <c r="O100" s="54">
        <f>SUMIF('S1'!$C:$C,'Key inputs_EB'!$E100,'S1'!L:L)*SUMIFS(O$6:O$90,$C$6:$C$90,$C100,$E$6:$E$90,$E100)</f>
        <v>0</v>
      </c>
      <c r="P100" s="54">
        <f>SUMIF('S1'!$C:$C,'Key inputs_EB'!$E100,'S1'!M:M)*SUMIFS(P$6:P$90,$C$6:$C$90,$C100,$E$6:$E$90,$E100)</f>
        <v>0</v>
      </c>
      <c r="Q100" s="54">
        <f>SUMIF('S1'!$C:$C,'Key inputs_EB'!$E100,'S1'!N:N)*SUMIFS(Q$6:Q$90,$C$6:$C$90,$C100,$E$6:$E$90,$E100)</f>
        <v>0</v>
      </c>
      <c r="R100" s="54">
        <f>SUMIF('S1'!$C:$C,'Key inputs_EB'!$E100,'S1'!O:O)*SUMIFS(R$6:R$90,$C$6:$C$90,$C100,$E$6:$E$90,$E100)</f>
        <v>0</v>
      </c>
      <c r="S100" s="54">
        <f>SUMIF('S1'!$C:$C,'Key inputs_EB'!$E100,'S1'!P:P)*SUMIFS(S$6:S$90,$C$6:$C$90,$C100,$E$6:$E$90,$E100)</f>
        <v>0</v>
      </c>
      <c r="T100" s="54">
        <f>SUMIF('S1'!$C:$C,'Key inputs_EB'!$E100,'S1'!Q:Q)*SUMIFS(T$6:T$90,$C$6:$C$90,$C100,$E$6:$E$90,$E100)</f>
        <v>8.7999999999999995E-2</v>
      </c>
      <c r="U100" s="54">
        <f>SUMIF('S1'!$C:$C,'Key inputs_EB'!$E100,'S1'!R:R)*SUMIFS(U$6:U$90,$C$6:$C$90,$C100,$E$6:$E$90,$E100)</f>
        <v>0.27800000000000002</v>
      </c>
      <c r="V100" s="54">
        <f>SUMIF('S1'!$C:$C,'Key inputs_EB'!$E100,'S1'!S:S)*SUMIFS(V$6:V$90,$C$6:$C$90,$C100,$E$6:$E$90,$E100)</f>
        <v>4.3099999999999996</v>
      </c>
      <c r="W100" s="54">
        <f>SUMIF('S1'!$C:$C,'Key inputs_EB'!$E100,'S1'!T:T)*SUMIFS(W$6:W$90,$C$6:$C$90,$C100,$E$6:$E$90,$E100)</f>
        <v>4.3920000000000003</v>
      </c>
      <c r="X100" s="54">
        <f>SUMIF('S1'!$C:$C,'Key inputs_EB'!$E100,'S1'!U:U)*SUMIFS(X$6:X$90,$C$6:$C$90,$C100,$E$6:$E$90,$E100)</f>
        <v>2.806</v>
      </c>
      <c r="Y100" s="54">
        <f>SUMIF('S1'!$C:$C,'Key inputs_EB'!$E100,'S1'!V:V)*SUMIFS(Y$6:Y$90,$C$6:$C$90,$C100,$E$6:$E$90,$E100)</f>
        <v>0</v>
      </c>
      <c r="Z100" s="54">
        <f>SUMIF('S1'!$C:$C,'Key inputs_EB'!$E100,'S1'!W:W)*SUMIFS(Z$6:Z$90,$C$6:$C$90,$C100,$E$6:$E$90,$E100)</f>
        <v>0</v>
      </c>
      <c r="AA100" s="54">
        <f>SUMIF('S1'!$C:$C,'Key inputs_EB'!$E100,'S1'!X:X)*SUMIFS(AA$6:AA$90,$C$6:$C$90,$C100,$E$6:$E$90,$E100)</f>
        <v>2.101</v>
      </c>
      <c r="AB100" s="54">
        <f>SUMIF('S1'!$C:$C,'Key inputs_EB'!$E100,'S1'!Y:Y)*SUMIFS(AB$6:AB$90,$C$6:$C$90,$C100,$E$6:$E$90,$E100)</f>
        <v>0.10199999999999999</v>
      </c>
      <c r="AC100" s="54">
        <f>SUMIF('S1'!$C:$C,'Key inputs_EB'!$E100,'S1'!Z:Z)*SUMIFS(AC$6:AC$90,$C$6:$C$90,$C100,$E$6:$E$90,$E100)</f>
        <v>0</v>
      </c>
      <c r="AD100" s="54">
        <f>SUMIF('S1'!$C:$C,'Key inputs_EB'!$E100,'S1'!AA:AA)*SUMIFS(AD$6:AD$90,$C$6:$C$90,$C100,$E$6:$E$90,$E100)</f>
        <v>0</v>
      </c>
      <c r="AE100" s="54">
        <f>SUMIF('S1'!$C:$C,'Key inputs_EB'!$E100,'S1'!AB:AB)*SUMIFS(AE$6:AE$90,$C$6:$C$90,$C100,$E$6:$E$90,$E100)</f>
        <v>0</v>
      </c>
      <c r="AF100" s="54">
        <f>SUMIF('S1'!$C:$C,'Key inputs_EB'!$E100,'S1'!AC:AC)*SUMIFS(AF$6:AF$90,$C$6:$C$90,$C100,$E$6:$E$90,$E100)</f>
        <v>0</v>
      </c>
      <c r="AG100" s="54">
        <f>SUMIF('S1'!$C:$C,'Key inputs_EB'!$E100,'S1'!AD:AD)*SUMIFS(AG$6:AG$90,$C$6:$C$90,$C100,$E$6:$E$90,$E100)</f>
        <v>0</v>
      </c>
      <c r="AH100" s="54">
        <f>SUMIF('S1'!$C:$C,'Key inputs_EB'!$E100,'S1'!AE:AE)*SUMIFS(AH$6:AH$90,$C$6:$C$90,$C100,$E$6:$E$90,$E100)</f>
        <v>6.4790000000000001</v>
      </c>
      <c r="AI100" s="54">
        <f>SUMIF('S1'!$C:$C,'Key inputs_EB'!$E100,'S1'!AF:AF)*SUMIFS(AI$6:AI$90,$C$6:$C$90,$C100,$E$6:$E$90,$E100)</f>
        <v>0</v>
      </c>
    </row>
    <row r="101" spans="2:36" s="49" customFormat="1" x14ac:dyDescent="0.3">
      <c r="B101" s="49" t="str">
        <f>Legend!A$45</f>
        <v>Thermal uses</v>
      </c>
      <c r="C101" s="49" t="str">
        <f>LEFT(Legend!$C$4)&amp;"-"&amp;Legend!B$45</f>
        <v>S-TH</v>
      </c>
      <c r="D101" s="49" t="str">
        <f>Legend!A65</f>
        <v>Heat</v>
      </c>
      <c r="E101" s="49" t="str">
        <f>Legend!B65</f>
        <v>SRVHET</v>
      </c>
      <c r="F101" s="49" t="s">
        <v>15</v>
      </c>
      <c r="G101" s="49" t="s">
        <v>696</v>
      </c>
      <c r="H101" s="596">
        <f>SUMIF('S1'!$C:$C,'Key inputs_EB'!$E101,'S1'!E:E)*SUMIFS(H$6:H$90,$C$6:$C$90,$C101,$E$6:$E$90,$E101)</f>
        <v>0</v>
      </c>
      <c r="I101" s="596">
        <f>SUMIF('S1'!$C:$C,'Key inputs_EB'!$E101,'S1'!F:F)*SUMIFS(I$6:I$90,$C$6:$C$90,$C101,$E$6:$E$90,$E101)</f>
        <v>0</v>
      </c>
      <c r="J101" s="596">
        <f>SUMIF('S1'!$C:$C,'Key inputs_EB'!$E101,'S1'!G:G)*SUMIFS(J$6:J$90,$C$6:$C$90,$C101,$E$6:$E$90,$E101)</f>
        <v>0</v>
      </c>
      <c r="K101" s="54">
        <f>SUMIF('S1'!$C:$C,'Key inputs_EB'!$E101,'S1'!H:H)*SUMIFS(K$6:K$90,$C$6:$C$90,$C101,$E$6:$E$90,$E101)</f>
        <v>0</v>
      </c>
      <c r="L101" s="54">
        <f>SUMIF('S1'!$C:$C,'Key inputs_EB'!$E101,'S1'!I:I)*SUMIFS(L$6:L$90,$C$6:$C$90,$C101,$E$6:$E$90,$E101)</f>
        <v>0</v>
      </c>
      <c r="M101" s="54">
        <f>SUMIF('S1'!$C:$C,'Key inputs_EB'!$E101,'S1'!J:J)*SUMIFS(M$6:M$90,$C$6:$C$90,$C101,$E$6:$E$90,$E101)</f>
        <v>109.797</v>
      </c>
      <c r="N101" s="54">
        <f>SUMIF('S1'!$C:$C,'Key inputs_EB'!$E101,'S1'!K:K)*SUMIFS(N$6:N$90,$C$6:$C$90,$C101,$E$6:$E$90,$E101)</f>
        <v>0.14099999999999999</v>
      </c>
      <c r="O101" s="54">
        <f>SUMIF('S1'!$C:$C,'Key inputs_EB'!$E101,'S1'!L:L)*SUMIFS(O$6:O$90,$C$6:$C$90,$C101,$E$6:$E$90,$E101)</f>
        <v>0</v>
      </c>
      <c r="P101" s="54">
        <f>SUMIF('S1'!$C:$C,'Key inputs_EB'!$E101,'S1'!M:M)*SUMIFS(P$6:P$90,$C$6:$C$90,$C101,$E$6:$E$90,$E101)</f>
        <v>0</v>
      </c>
      <c r="Q101" s="54">
        <f>SUMIF('S1'!$C:$C,'Key inputs_EB'!$E101,'S1'!N:N)*SUMIFS(Q$6:Q$90,$C$6:$C$90,$C101,$E$6:$E$90,$E101)</f>
        <v>0.29199999999999998</v>
      </c>
      <c r="R101" s="54">
        <f>SUMIF('S1'!$C:$C,'Key inputs_EB'!$E101,'S1'!O:O)*SUMIFS(R$6:R$90,$C$6:$C$90,$C101,$E$6:$E$90,$E101)</f>
        <v>0</v>
      </c>
      <c r="S101" s="54">
        <f>SUMIF('S1'!$C:$C,'Key inputs_EB'!$E101,'S1'!P:P)*SUMIFS(S$6:S$90,$C$6:$C$90,$C101,$E$6:$E$90,$E101)</f>
        <v>0</v>
      </c>
      <c r="T101" s="54">
        <f>SUMIF('S1'!$C:$C,'Key inputs_EB'!$E101,'S1'!Q:Q)*SUMIFS(T$6:T$90,$C$6:$C$90,$C101,$E$6:$E$90,$E101)</f>
        <v>61.746000000000002</v>
      </c>
      <c r="U101" s="54">
        <f>SUMIF('S1'!$C:$C,'Key inputs_EB'!$E101,'S1'!R:R)*SUMIFS(U$6:U$90,$C$6:$C$90,$C101,$E$6:$E$90,$E101)</f>
        <v>46.021000000000001</v>
      </c>
      <c r="V101" s="54">
        <f>SUMIF('S1'!$C:$C,'Key inputs_EB'!$E101,'S1'!S:S)*SUMIFS(V$6:V$90,$C$6:$C$90,$C101,$E$6:$E$90,$E101)</f>
        <v>106.482</v>
      </c>
      <c r="W101" s="54">
        <f>SUMIF('S1'!$C:$C,'Key inputs_EB'!$E101,'S1'!T:T)*SUMIFS(W$6:W$90,$C$6:$C$90,$C101,$E$6:$E$90,$E101)</f>
        <v>46.923000000000002</v>
      </c>
      <c r="X101" s="54">
        <f>SUMIF('S1'!$C:$C,'Key inputs_EB'!$E101,'S1'!U:U)*SUMIFS(X$6:X$90,$C$6:$C$90,$C101,$E$6:$E$90,$E101)</f>
        <v>230.5</v>
      </c>
      <c r="Y101" s="54">
        <f>SUMIF('S1'!$C:$C,'Key inputs_EB'!$E101,'S1'!V:V)*SUMIFS(Y$6:Y$90,$C$6:$C$90,$C101,$E$6:$E$90,$E101)</f>
        <v>0</v>
      </c>
      <c r="Z101" s="54">
        <f>SUMIF('S1'!$C:$C,'Key inputs_EB'!$E101,'S1'!W:W)*SUMIFS(Z$6:Z$90,$C$6:$C$90,$C101,$E$6:$E$90,$E101)</f>
        <v>0</v>
      </c>
      <c r="AA101" s="54">
        <f>SUMIF('S1'!$C:$C,'Key inputs_EB'!$E101,'S1'!X:X)*SUMIFS(AA$6:AA$90,$C$6:$C$90,$C101,$E$6:$E$90,$E101)</f>
        <v>21.561</v>
      </c>
      <c r="AB101" s="54">
        <f>SUMIF('S1'!$C:$C,'Key inputs_EB'!$E101,'S1'!Y:Y)*SUMIFS(AB$6:AB$90,$C$6:$C$90,$C101,$E$6:$E$90,$E101)</f>
        <v>2.8000000000000001E-2</v>
      </c>
      <c r="AC101" s="54">
        <f>SUMIF('S1'!$C:$C,'Key inputs_EB'!$E101,'S1'!Z:Z)*SUMIFS(AC$6:AC$90,$C$6:$C$90,$C101,$E$6:$E$90,$E101)</f>
        <v>0</v>
      </c>
      <c r="AD101" s="54">
        <f>SUMIF('S1'!$C:$C,'Key inputs_EB'!$E101,'S1'!AA:AA)*SUMIFS(AD$6:AD$90,$C$6:$C$90,$C101,$E$6:$E$90,$E101)</f>
        <v>0</v>
      </c>
      <c r="AE101" s="54">
        <f>SUMIF('S1'!$C:$C,'Key inputs_EB'!$E101,'S1'!AB:AB)*SUMIFS(AE$6:AE$90,$C$6:$C$90,$C101,$E$6:$E$90,$E101)</f>
        <v>0</v>
      </c>
      <c r="AF101" s="54">
        <f>SUMIF('S1'!$C:$C,'Key inputs_EB'!$E101,'S1'!AC:AC)*SUMIFS(AF$6:AF$90,$C$6:$C$90,$C101,$E$6:$E$90,$E101)</f>
        <v>0</v>
      </c>
      <c r="AG101" s="54">
        <f>SUMIF('S1'!$C:$C,'Key inputs_EB'!$E101,'S1'!AD:AD)*SUMIFS(AG$6:AG$90,$C$6:$C$90,$C101,$E$6:$E$90,$E101)</f>
        <v>791.35</v>
      </c>
      <c r="AH101" s="54">
        <f>SUMIF('S1'!$C:$C,'Key inputs_EB'!$E101,'S1'!AE:AE)*SUMIFS(AH$6:AH$90,$C$6:$C$90,$C101,$E$6:$E$90,$E101)</f>
        <v>13.342000000000001</v>
      </c>
      <c r="AI101" s="54">
        <f>SUMIF('S1'!$C:$C,'Key inputs_EB'!$E101,'S1'!AF:AF)*SUMIFS(AI$6:AI$90,$C$6:$C$90,$C101,$E$6:$E$90,$E101)</f>
        <v>53.012</v>
      </c>
    </row>
    <row r="102" spans="2:36" s="49" customFormat="1" x14ac:dyDescent="0.3">
      <c r="B102" s="49" t="str">
        <f>Legend!A$45</f>
        <v>Thermal uses</v>
      </c>
      <c r="C102" s="49" t="str">
        <f>LEFT(Legend!$C$4)&amp;"-"&amp;Legend!B$45</f>
        <v>S-TH</v>
      </c>
      <c r="D102" s="49" t="str">
        <f>Legend!A66</f>
        <v>Liquid biofuels</v>
      </c>
      <c r="E102" s="49" t="str">
        <f>Legend!B66</f>
        <v>SRVBLQ</v>
      </c>
      <c r="F102" s="49" t="s">
        <v>15</v>
      </c>
      <c r="G102" s="49" t="s">
        <v>696</v>
      </c>
      <c r="H102" s="596">
        <f>SUMIF('S1'!$C:$C,'Key inputs_EB'!$E102,'S1'!E:E)*SUMIFS(H$6:H$90,$C$6:$C$90,$C102,$E$6:$E$90,$E102)</f>
        <v>0</v>
      </c>
      <c r="I102" s="596">
        <f>SUMIF('S1'!$C:$C,'Key inputs_EB'!$E102,'S1'!F:F)*SUMIFS(I$6:I$90,$C$6:$C$90,$C102,$E$6:$E$90,$E102)</f>
        <v>0</v>
      </c>
      <c r="J102" s="596">
        <f>SUMIF('S1'!$C:$C,'Key inputs_EB'!$E102,'S1'!G:G)*SUMIFS(J$6:J$90,$C$6:$C$90,$C102,$E$6:$E$90,$E102)</f>
        <v>0</v>
      </c>
      <c r="K102" s="54">
        <f>SUMIF('S1'!$C:$C,'Key inputs_EB'!$E102,'S1'!H:H)*SUMIFS(K$6:K$90,$C$6:$C$90,$C102,$E$6:$E$90,$E102)</f>
        <v>0</v>
      </c>
      <c r="L102" s="54">
        <f>SUMIF('S1'!$C:$C,'Key inputs_EB'!$E102,'S1'!I:I)*SUMIFS(L$6:L$90,$C$6:$C$90,$C102,$E$6:$E$90,$E102)</f>
        <v>0</v>
      </c>
      <c r="M102" s="54">
        <f>SUMIF('S1'!$C:$C,'Key inputs_EB'!$E102,'S1'!J:J)*SUMIFS(M$6:M$90,$C$6:$C$90,$C102,$E$6:$E$90,$E102)</f>
        <v>0</v>
      </c>
      <c r="N102" s="54">
        <f>SUMIF('S1'!$C:$C,'Key inputs_EB'!$E102,'S1'!K:K)*SUMIFS(N$6:N$90,$C$6:$C$90,$C102,$E$6:$E$90,$E102)</f>
        <v>0</v>
      </c>
      <c r="O102" s="54">
        <f>SUMIF('S1'!$C:$C,'Key inputs_EB'!$E102,'S1'!L:L)*SUMIFS(O$6:O$90,$C$6:$C$90,$C102,$E$6:$E$90,$E102)</f>
        <v>0</v>
      </c>
      <c r="P102" s="54">
        <f>SUMIF('S1'!$C:$C,'Key inputs_EB'!$E102,'S1'!M:M)*SUMIFS(P$6:P$90,$C$6:$C$90,$C102,$E$6:$E$90,$E102)</f>
        <v>7.6999999999999999E-2</v>
      </c>
      <c r="Q102" s="54">
        <f>SUMIF('S1'!$C:$C,'Key inputs_EB'!$E102,'S1'!N:N)*SUMIFS(Q$6:Q$90,$C$6:$C$90,$C102,$E$6:$E$90,$E102)</f>
        <v>0</v>
      </c>
      <c r="R102" s="54">
        <f>SUMIF('S1'!$C:$C,'Key inputs_EB'!$E102,'S1'!O:O)*SUMIFS(R$6:R$90,$C$6:$C$90,$C102,$E$6:$E$90,$E102)</f>
        <v>0</v>
      </c>
      <c r="S102" s="54">
        <f>SUMIF('S1'!$C:$C,'Key inputs_EB'!$E102,'S1'!P:P)*SUMIFS(S$6:S$90,$C$6:$C$90,$C102,$E$6:$E$90,$E102)</f>
        <v>0</v>
      </c>
      <c r="T102" s="54">
        <f>SUMIF('S1'!$C:$C,'Key inputs_EB'!$E102,'S1'!Q:Q)*SUMIFS(T$6:T$90,$C$6:$C$90,$C102,$E$6:$E$90,$E102)</f>
        <v>0</v>
      </c>
      <c r="U102" s="54">
        <f>SUMIF('S1'!$C:$C,'Key inputs_EB'!$E102,'S1'!R:R)*SUMIFS(U$6:U$90,$C$6:$C$90,$C102,$E$6:$E$90,$E102)</f>
        <v>1E-3</v>
      </c>
      <c r="V102" s="54">
        <f>SUMIF('S1'!$C:$C,'Key inputs_EB'!$E102,'S1'!S:S)*SUMIFS(V$6:V$90,$C$6:$C$90,$C102,$E$6:$E$90,$E102)</f>
        <v>3.1E-2</v>
      </c>
      <c r="W102" s="54">
        <f>SUMIF('S1'!$C:$C,'Key inputs_EB'!$E102,'S1'!T:T)*SUMIFS(W$6:W$90,$C$6:$C$90,$C102,$E$6:$E$90,$E102)</f>
        <v>1.2909999999999999</v>
      </c>
      <c r="X102" s="54">
        <f>SUMIF('S1'!$C:$C,'Key inputs_EB'!$E102,'S1'!U:U)*SUMIFS(X$6:X$90,$C$6:$C$90,$C102,$E$6:$E$90,$E102)</f>
        <v>2.847</v>
      </c>
      <c r="Y102" s="54">
        <f>SUMIF('S1'!$C:$C,'Key inputs_EB'!$E102,'S1'!V:V)*SUMIFS(Y$6:Y$90,$C$6:$C$90,$C102,$E$6:$E$90,$E102)</f>
        <v>2.1839999999999997</v>
      </c>
      <c r="Z102" s="54">
        <f>SUMIF('S1'!$C:$C,'Key inputs_EB'!$E102,'S1'!W:W)*SUMIFS(Z$6:Z$90,$C$6:$C$90,$C102,$E$6:$E$90,$E102)</f>
        <v>0</v>
      </c>
      <c r="AA102" s="54">
        <f>SUMIF('S1'!$C:$C,'Key inputs_EB'!$E102,'S1'!X:X)*SUMIFS(AA$6:AA$90,$C$6:$C$90,$C102,$E$6:$E$90,$E102)</f>
        <v>0</v>
      </c>
      <c r="AB102" s="54">
        <f>SUMIF('S1'!$C:$C,'Key inputs_EB'!$E102,'S1'!Y:Y)*SUMIFS(AB$6:AB$90,$C$6:$C$90,$C102,$E$6:$E$90,$E102)</f>
        <v>0.14799999999999999</v>
      </c>
      <c r="AC102" s="54">
        <f>SUMIF('S1'!$C:$C,'Key inputs_EB'!$E102,'S1'!Z:Z)*SUMIFS(AC$6:AC$90,$C$6:$C$90,$C102,$E$6:$E$90,$E102)</f>
        <v>0</v>
      </c>
      <c r="AD102" s="54">
        <f>SUMIF('S1'!$C:$C,'Key inputs_EB'!$E102,'S1'!AA:AA)*SUMIFS(AD$6:AD$90,$C$6:$C$90,$C102,$E$6:$E$90,$E102)</f>
        <v>0</v>
      </c>
      <c r="AE102" s="54">
        <f>SUMIF('S1'!$C:$C,'Key inputs_EB'!$E102,'S1'!AB:AB)*SUMIFS(AE$6:AE$90,$C$6:$C$90,$C102,$E$6:$E$90,$E102)</f>
        <v>0</v>
      </c>
      <c r="AF102" s="54">
        <f>SUMIF('S1'!$C:$C,'Key inputs_EB'!$E102,'S1'!AC:AC)*SUMIFS(AF$6:AF$90,$C$6:$C$90,$C102,$E$6:$E$90,$E102)</f>
        <v>0</v>
      </c>
      <c r="AG102" s="54">
        <f>SUMIF('S1'!$C:$C,'Key inputs_EB'!$E102,'S1'!AD:AD)*SUMIFS(AG$6:AG$90,$C$6:$C$90,$C102,$E$6:$E$90,$E102)</f>
        <v>0</v>
      </c>
      <c r="AH102" s="54">
        <f>SUMIF('S1'!$C:$C,'Key inputs_EB'!$E102,'S1'!AE:AE)*SUMIFS(AH$6:AH$90,$C$6:$C$90,$C102,$E$6:$E$90,$E102)</f>
        <v>0</v>
      </c>
      <c r="AI102" s="54">
        <f>SUMIF('S1'!$C:$C,'Key inputs_EB'!$E102,'S1'!AF:AF)*SUMIFS(AI$6:AI$90,$C$6:$C$90,$C102,$E$6:$E$90,$E102)</f>
        <v>6.1445100000000004</v>
      </c>
    </row>
    <row r="103" spans="2:36" s="49" customFormat="1" x14ac:dyDescent="0.3">
      <c r="B103" s="49" t="str">
        <f>Legend!A$45</f>
        <v>Thermal uses</v>
      </c>
      <c r="C103" s="49" t="str">
        <f>LEFT(Legend!$C$4)&amp;"-"&amp;Legend!B$45</f>
        <v>S-TH</v>
      </c>
      <c r="D103" s="49" t="str">
        <f>Legend!A67</f>
        <v>LPG</v>
      </c>
      <c r="E103" s="49" t="str">
        <f>Legend!B67</f>
        <v>SRVLPG</v>
      </c>
      <c r="F103" s="49" t="s">
        <v>15</v>
      </c>
      <c r="G103" s="49" t="s">
        <v>696</v>
      </c>
      <c r="H103" s="596">
        <f>SUMIF('S1'!$C:$C,'Key inputs_EB'!$E103,'S1'!E:E)*SUMIFS(H$6:H$90,$C$6:$C$90,$C103,$E$6:$E$90,$E103)</f>
        <v>1.7205000000000004</v>
      </c>
      <c r="I103" s="596">
        <f>SUMIF('S1'!$C:$C,'Key inputs_EB'!$E103,'S1'!F:F)*SUMIFS(I$6:I$90,$C$6:$C$90,$C103,$E$6:$E$90,$E103)</f>
        <v>2.1606000000000005</v>
      </c>
      <c r="J103" s="596">
        <f>SUMIF('S1'!$C:$C,'Key inputs_EB'!$E103,'S1'!G:G)*SUMIFS(J$6:J$90,$C$6:$C$90,$C103,$E$6:$E$90,$E103)</f>
        <v>2.2320000000000007</v>
      </c>
      <c r="K103" s="54">
        <f>SUMIF('S1'!$C:$C,'Key inputs_EB'!$E103,'S1'!H:H)*SUMIFS(K$6:K$90,$C$6:$C$90,$C103,$E$6:$E$90,$E103)</f>
        <v>0.70290000000000008</v>
      </c>
      <c r="L103" s="54">
        <f>SUMIF('S1'!$C:$C,'Key inputs_EB'!$E103,'S1'!I:I)*SUMIFS(L$6:L$90,$C$6:$C$90,$C103,$E$6:$E$90,$E103)</f>
        <v>1.3235999999999999</v>
      </c>
      <c r="M103" s="54">
        <f>SUMIF('S1'!$C:$C,'Key inputs_EB'!$E103,'S1'!J:J)*SUMIFS(M$6:M$90,$C$6:$C$90,$C103,$E$6:$E$90,$E103)</f>
        <v>1.9740025800130492</v>
      </c>
      <c r="N103" s="54">
        <f>SUMIF('S1'!$C:$C,'Key inputs_EB'!$E103,'S1'!K:K)*SUMIFS(N$6:N$90,$C$6:$C$90,$C103,$E$6:$E$90,$E103)</f>
        <v>14.757600000000002</v>
      </c>
      <c r="O103" s="54">
        <f>SUMIF('S1'!$C:$C,'Key inputs_EB'!$E103,'S1'!L:L)*SUMIFS(O$6:O$90,$C$6:$C$90,$C103,$E$6:$E$90,$E103)</f>
        <v>9.8940000000000001</v>
      </c>
      <c r="P103" s="54">
        <f>SUMIF('S1'!$C:$C,'Key inputs_EB'!$E103,'S1'!M:M)*SUMIFS(P$6:P$90,$C$6:$C$90,$C103,$E$6:$E$90,$E103)</f>
        <v>0</v>
      </c>
      <c r="Q103" s="54">
        <f>SUMIF('S1'!$C:$C,'Key inputs_EB'!$E103,'S1'!N:N)*SUMIFS(Q$6:Q$90,$C$6:$C$90,$C103,$E$6:$E$90,$E103)</f>
        <v>11.302800000000003</v>
      </c>
      <c r="R103" s="54">
        <f>SUMIF('S1'!$C:$C,'Key inputs_EB'!$E103,'S1'!O:O)*SUMIFS(R$6:R$90,$C$6:$C$90,$C103,$E$6:$E$90,$E103)</f>
        <v>0.90329999999999999</v>
      </c>
      <c r="S103" s="54">
        <f>SUMIF('S1'!$C:$C,'Key inputs_EB'!$E103,'S1'!P:P)*SUMIFS(S$6:S$90,$C$6:$C$90,$C103,$E$6:$E$90,$E103)</f>
        <v>0</v>
      </c>
      <c r="T103" s="54">
        <f>SUMIF('S1'!$C:$C,'Key inputs_EB'!$E103,'S1'!Q:Q)*SUMIFS(T$6:T$90,$C$6:$C$90,$C103,$E$6:$E$90,$E103)</f>
        <v>3.3326954700643445</v>
      </c>
      <c r="U103" s="54">
        <f>SUMIF('S1'!$C:$C,'Key inputs_EB'!$E103,'S1'!R:R)*SUMIFS(U$6:U$90,$C$6:$C$90,$C103,$E$6:$E$90,$E103)</f>
        <v>8.8354999999999997</v>
      </c>
      <c r="V103" s="54">
        <f>SUMIF('S1'!$C:$C,'Key inputs_EB'!$E103,'S1'!S:S)*SUMIFS(V$6:V$90,$C$6:$C$90,$C103,$E$6:$E$90,$E103)</f>
        <v>6.5911454270111323</v>
      </c>
      <c r="W103" s="54">
        <f>SUMIF('S1'!$C:$C,'Key inputs_EB'!$E103,'S1'!T:T)*SUMIFS(W$6:W$90,$C$6:$C$90,$C103,$E$6:$E$90,$E103)</f>
        <v>23.742999999999999</v>
      </c>
      <c r="X103" s="54">
        <f>SUMIF('S1'!$C:$C,'Key inputs_EB'!$E103,'S1'!U:U)*SUMIFS(X$6:X$90,$C$6:$C$90,$C103,$E$6:$E$90,$E103)</f>
        <v>9.0169999999999995</v>
      </c>
      <c r="Y103" s="54">
        <f>SUMIF('S1'!$C:$C,'Key inputs_EB'!$E103,'S1'!V:V)*SUMIFS(Y$6:Y$90,$C$6:$C$90,$C103,$E$6:$E$90,$E103)</f>
        <v>17.397600000000001</v>
      </c>
      <c r="Z103" s="54">
        <f>SUMIF('S1'!$C:$C,'Key inputs_EB'!$E103,'S1'!W:W)*SUMIFS(Z$6:Z$90,$C$6:$C$90,$C103,$E$6:$E$90,$E103)</f>
        <v>0</v>
      </c>
      <c r="AA103" s="54">
        <f>SUMIF('S1'!$C:$C,'Key inputs_EB'!$E103,'S1'!X:X)*SUMIFS(AA$6:AA$90,$C$6:$C$90,$C103,$E$6:$E$90,$E103)</f>
        <v>36.875999999999998</v>
      </c>
      <c r="AB103" s="54">
        <f>SUMIF('S1'!$C:$C,'Key inputs_EB'!$E103,'S1'!Y:Y)*SUMIFS(AB$6:AB$90,$C$6:$C$90,$C103,$E$6:$E$90,$E103)</f>
        <v>3.3892000000000007</v>
      </c>
      <c r="AC103" s="54">
        <f>SUMIF('S1'!$C:$C,'Key inputs_EB'!$E103,'S1'!Z:Z)*SUMIFS(AC$6:AC$90,$C$6:$C$90,$C103,$E$6:$E$90,$E103)</f>
        <v>5.0950500000000005</v>
      </c>
      <c r="AD103" s="54">
        <f>SUMIF('S1'!$C:$C,'Key inputs_EB'!$E103,'S1'!AA:AA)*SUMIFS(AD$6:AD$90,$C$6:$C$90,$C103,$E$6:$E$90,$E103)</f>
        <v>0.34080000000000005</v>
      </c>
      <c r="AE103" s="54">
        <f>SUMIF('S1'!$C:$C,'Key inputs_EB'!$E103,'S1'!AB:AB)*SUMIFS(AE$6:AE$90,$C$6:$C$90,$C103,$E$6:$E$90,$E103)</f>
        <v>6.0479000000000003</v>
      </c>
      <c r="AF103" s="54">
        <f>SUMIF('S1'!$C:$C,'Key inputs_EB'!$E103,'S1'!AC:AC)*SUMIFS(AF$6:AF$90,$C$6:$C$90,$C103,$E$6:$E$90,$E103)</f>
        <v>0</v>
      </c>
      <c r="AG103" s="54">
        <f>SUMIF('S1'!$C:$C,'Key inputs_EB'!$E103,'S1'!AD:AD)*SUMIFS(AG$6:AG$90,$C$6:$C$90,$C103,$E$6:$E$90,$E103)</f>
        <v>0.91786015591579972</v>
      </c>
      <c r="AH103" s="54">
        <f>SUMIF('S1'!$C:$C,'Key inputs_EB'!$E103,'S1'!AE:AE)*SUMIFS(AH$6:AH$90,$C$6:$C$90,$C103,$E$6:$E$90,$E103)</f>
        <v>41.201499999999996</v>
      </c>
      <c r="AI103" s="54">
        <f>SUMIF('S1'!$C:$C,'Key inputs_EB'!$E103,'S1'!AF:AF)*SUMIFS(AI$6:AI$90,$C$6:$C$90,$C103,$E$6:$E$90,$E103)</f>
        <v>61.801037050140557</v>
      </c>
    </row>
    <row r="104" spans="2:36" s="49" customFormat="1" x14ac:dyDescent="0.3">
      <c r="B104" s="49" t="str">
        <f>Legend!A$45</f>
        <v>Thermal uses</v>
      </c>
      <c r="C104" s="49" t="str">
        <f>LEFT(Legend!$C$4)&amp;"-"&amp;Legend!B$45</f>
        <v>S-TH</v>
      </c>
      <c r="D104" s="49" t="str">
        <f>Legend!A68</f>
        <v>Natural gas</v>
      </c>
      <c r="E104" s="49" t="str">
        <f>Legend!B68</f>
        <v>SRVGAS</v>
      </c>
      <c r="F104" s="49" t="s">
        <v>15</v>
      </c>
      <c r="G104" s="49" t="s">
        <v>696</v>
      </c>
      <c r="H104" s="596">
        <f>SUMIF('S1'!$C:$C,'Key inputs_EB'!$E104,'S1'!E:E)*SUMIFS(H$6:H$90,$C$6:$C$90,$C104,$E$6:$E$90,$E104)</f>
        <v>0</v>
      </c>
      <c r="I104" s="596">
        <f>SUMIF('S1'!$C:$C,'Key inputs_EB'!$E104,'S1'!F:F)*SUMIFS(I$6:I$90,$C$6:$C$90,$C104,$E$6:$E$90,$E104)</f>
        <v>2.4762000000000004</v>
      </c>
      <c r="J104" s="596">
        <f>SUMIF('S1'!$C:$C,'Key inputs_EB'!$E104,'S1'!G:G)*SUMIFS(J$6:J$90,$C$6:$C$90,$C104,$E$6:$E$90,$E104)</f>
        <v>0</v>
      </c>
      <c r="K104" s="54">
        <f>SUMIF('S1'!$C:$C,'Key inputs_EB'!$E104,'S1'!H:H)*SUMIFS(K$6:K$90,$C$6:$C$90,$C104,$E$6:$E$90,$E104)</f>
        <v>0.3645000000000001</v>
      </c>
      <c r="L104" s="54">
        <f>SUMIF('S1'!$C:$C,'Key inputs_EB'!$E104,'S1'!I:I)*SUMIFS(L$6:L$90,$C$6:$C$90,$C104,$E$6:$E$90,$E104)</f>
        <v>54.975600000000007</v>
      </c>
      <c r="M104" s="54">
        <f>SUMIF('S1'!$C:$C,'Key inputs_EB'!$E104,'S1'!J:J)*SUMIFS(M$6:M$90,$C$6:$C$90,$C104,$E$6:$E$90,$E104)</f>
        <v>295.88959999999997</v>
      </c>
      <c r="N104" s="54">
        <f>SUMIF('S1'!$C:$C,'Key inputs_EB'!$E104,'S1'!K:K)*SUMIFS(N$6:N$90,$C$6:$C$90,$C104,$E$6:$E$90,$E104)</f>
        <v>2.3318400000000001</v>
      </c>
      <c r="O104" s="54">
        <f>SUMIF('S1'!$C:$C,'Key inputs_EB'!$E104,'S1'!L:L)*SUMIFS(O$6:O$90,$C$6:$C$90,$C104,$E$6:$E$90,$E104)</f>
        <v>3.8246400000000005</v>
      </c>
      <c r="P104" s="54">
        <f>SUMIF('S1'!$C:$C,'Key inputs_EB'!$E104,'S1'!M:M)*SUMIFS(P$6:P$90,$C$6:$C$90,$C104,$E$6:$E$90,$E104)</f>
        <v>1.7472000000000003</v>
      </c>
      <c r="Q104" s="54">
        <f>SUMIF('S1'!$C:$C,'Key inputs_EB'!$E104,'S1'!N:N)*SUMIFS(Q$6:Q$90,$C$6:$C$90,$C104,$E$6:$E$90,$E104)</f>
        <v>503.166</v>
      </c>
      <c r="R104" s="54">
        <f>SUMIF('S1'!$C:$C,'Key inputs_EB'!$E104,'S1'!O:O)*SUMIFS(R$6:R$90,$C$6:$C$90,$C104,$E$6:$E$90,$E104)</f>
        <v>1.8582000000000003</v>
      </c>
      <c r="S104" s="54">
        <f>SUMIF('S1'!$C:$C,'Key inputs_EB'!$E104,'S1'!P:P)*SUMIFS(S$6:S$90,$C$6:$C$90,$C104,$E$6:$E$90,$E104)</f>
        <v>0</v>
      </c>
      <c r="T104" s="54">
        <f>SUMIF('S1'!$C:$C,'Key inputs_EB'!$E104,'S1'!Q:Q)*SUMIFS(T$6:T$90,$C$6:$C$90,$C104,$E$6:$E$90,$E104)</f>
        <v>38.86</v>
      </c>
      <c r="U104" s="54">
        <f>SUMIF('S1'!$C:$C,'Key inputs_EB'!$E104,'S1'!R:R)*SUMIFS(U$6:U$90,$C$6:$C$90,$C104,$E$6:$E$90,$E104)</f>
        <v>234.14976000000001</v>
      </c>
      <c r="V104" s="54">
        <f>SUMIF('S1'!$C:$C,'Key inputs_EB'!$E104,'S1'!S:S)*SUMIFS(V$6:V$90,$C$6:$C$90,$C104,$E$6:$E$90,$E104)</f>
        <v>179.97519999999997</v>
      </c>
      <c r="W104" s="54">
        <f>SUMIF('S1'!$C:$C,'Key inputs_EB'!$E104,'S1'!T:T)*SUMIFS(W$6:W$90,$C$6:$C$90,$C104,$E$6:$E$90,$E104)</f>
        <v>512.99044500000002</v>
      </c>
      <c r="X104" s="54">
        <f>SUMIF('S1'!$C:$C,'Key inputs_EB'!$E104,'S1'!U:U)*SUMIFS(X$6:X$90,$C$6:$C$90,$C104,$E$6:$E$90,$E104)</f>
        <v>511.13491500000003</v>
      </c>
      <c r="Y104" s="54">
        <f>SUMIF('S1'!$C:$C,'Key inputs_EB'!$E104,'S1'!V:V)*SUMIFS(Y$6:Y$90,$C$6:$C$90,$C104,$E$6:$E$90,$E104)</f>
        <v>4.7745600000000001</v>
      </c>
      <c r="Z104" s="54">
        <f>SUMIF('S1'!$C:$C,'Key inputs_EB'!$E104,'S1'!W:W)*SUMIFS(Z$6:Z$90,$C$6:$C$90,$C104,$E$6:$E$90,$E104)</f>
        <v>29.188499999999998</v>
      </c>
      <c r="AA104" s="54">
        <f>SUMIF('S1'!$C:$C,'Key inputs_EB'!$E104,'S1'!X:X)*SUMIFS(AA$6:AA$90,$C$6:$C$90,$C104,$E$6:$E$90,$E104)</f>
        <v>195.87366</v>
      </c>
      <c r="AB104" s="54">
        <f>SUMIF('S1'!$C:$C,'Key inputs_EB'!$E104,'S1'!Y:Y)*SUMIFS(AB$6:AB$90,$C$6:$C$90,$C104,$E$6:$E$90,$E104)</f>
        <v>23.582400000000003</v>
      </c>
      <c r="AC104" s="54">
        <f>SUMIF('S1'!$C:$C,'Key inputs_EB'!$E104,'S1'!Z:Z)*SUMIFS(AC$6:AC$90,$C$6:$C$90,$C104,$E$6:$E$90,$E104)</f>
        <v>31.753800000000002</v>
      </c>
      <c r="AD104" s="54">
        <f>SUMIF('S1'!$C:$C,'Key inputs_EB'!$E104,'S1'!AA:AA)*SUMIFS(AD$6:AD$90,$C$6:$C$90,$C104,$E$6:$E$90,$E104)</f>
        <v>108.16040000000001</v>
      </c>
      <c r="AE104" s="54">
        <f>SUMIF('S1'!$C:$C,'Key inputs_EB'!$E104,'S1'!AB:AB)*SUMIFS(AE$6:AE$90,$C$6:$C$90,$C104,$E$6:$E$90,$E104)</f>
        <v>2.9598000000000004</v>
      </c>
      <c r="AF104" s="54">
        <f>SUMIF('S1'!$C:$C,'Key inputs_EB'!$E104,'S1'!AC:AC)*SUMIFS(AF$6:AF$90,$C$6:$C$90,$C104,$E$6:$E$90,$E104)</f>
        <v>0</v>
      </c>
      <c r="AG104" s="54">
        <f>SUMIF('S1'!$C:$C,'Key inputs_EB'!$E104,'S1'!AD:AD)*SUMIFS(AG$6:AG$90,$C$6:$C$90,$C104,$E$6:$E$90,$E104)</f>
        <v>188.85999999999999</v>
      </c>
      <c r="AH104" s="54">
        <f>SUMIF('S1'!$C:$C,'Key inputs_EB'!$E104,'S1'!AE:AE)*SUMIFS(AH$6:AH$90,$C$6:$C$90,$C104,$E$6:$E$90,$E104)</f>
        <v>117.17789999999998</v>
      </c>
      <c r="AI104" s="54">
        <f>SUMIF('S1'!$C:$C,'Key inputs_EB'!$E104,'S1'!AF:AF)*SUMIFS(AI$6:AI$90,$C$6:$C$90,$C104,$E$6:$E$90,$E104)</f>
        <v>2873.5399817582929</v>
      </c>
    </row>
    <row r="105" spans="2:36" s="49" customFormat="1" x14ac:dyDescent="0.3">
      <c r="B105" s="49" t="str">
        <f>Legend!A$45</f>
        <v>Thermal uses</v>
      </c>
      <c r="C105" s="49" t="str">
        <f>LEFT(Legend!$C$4)&amp;"-"&amp;Legend!B$45</f>
        <v>S-TH</v>
      </c>
      <c r="D105" s="49" t="str">
        <f>Legend!A69</f>
        <v>Solar</v>
      </c>
      <c r="E105" s="49" t="str">
        <f>Legend!B69</f>
        <v>SRVSOL</v>
      </c>
      <c r="F105" s="49" t="s">
        <v>15</v>
      </c>
      <c r="G105" s="49" t="s">
        <v>696</v>
      </c>
      <c r="H105" s="596">
        <f>SUMIF('S1'!$C:$C,'Key inputs_EB'!$E105,'S1'!E:E)*SUMIFS(H$6:H$90,$C$6:$C$90,$C105,$E$6:$E$90,$E105)</f>
        <v>0</v>
      </c>
      <c r="I105" s="596">
        <f>SUMIF('S1'!$C:$C,'Key inputs_EB'!$E105,'S1'!F:F)*SUMIFS(I$6:I$90,$C$6:$C$90,$C105,$E$6:$E$90,$E105)</f>
        <v>0.111</v>
      </c>
      <c r="J105" s="596">
        <f>SUMIF('S1'!$C:$C,'Key inputs_EB'!$E105,'S1'!G:G)*SUMIFS(J$6:J$90,$C$6:$C$90,$C105,$E$6:$E$90,$E105)</f>
        <v>0</v>
      </c>
      <c r="K105" s="54">
        <f>SUMIF('S1'!$C:$C,'Key inputs_EB'!$E105,'S1'!H:H)*SUMIFS(K$6:K$90,$C$6:$C$90,$C105,$E$6:$E$90,$E105)</f>
        <v>0</v>
      </c>
      <c r="L105" s="54">
        <f>SUMIF('S1'!$C:$C,'Key inputs_EB'!$E105,'S1'!I:I)*SUMIFS(L$6:L$90,$C$6:$C$90,$C105,$E$6:$E$90,$E105)</f>
        <v>0.47099999999999997</v>
      </c>
      <c r="M105" s="54">
        <f>SUMIF('S1'!$C:$C,'Key inputs_EB'!$E105,'S1'!J:J)*SUMIFS(M$6:M$90,$C$6:$C$90,$C105,$E$6:$E$90,$E105)</f>
        <v>0.30499999999999999</v>
      </c>
      <c r="N105" s="54">
        <f>SUMIF('S1'!$C:$C,'Key inputs_EB'!$E105,'S1'!K:K)*SUMIFS(N$6:N$90,$C$6:$C$90,$C105,$E$6:$E$90,$E105)</f>
        <v>0.42599999999999999</v>
      </c>
      <c r="O105" s="54">
        <f>SUMIF('S1'!$C:$C,'Key inputs_EB'!$E105,'S1'!L:L)*SUMIFS(O$6:O$90,$C$6:$C$90,$C105,$E$6:$E$90,$E105)</f>
        <v>0</v>
      </c>
      <c r="P105" s="54">
        <f>SUMIF('S1'!$C:$C,'Key inputs_EB'!$E105,'S1'!M:M)*SUMIFS(P$6:P$90,$C$6:$C$90,$C105,$E$6:$E$90,$E105)</f>
        <v>0</v>
      </c>
      <c r="Q105" s="54">
        <f>SUMIF('S1'!$C:$C,'Key inputs_EB'!$E105,'S1'!N:N)*SUMIFS(Q$6:Q$90,$C$6:$C$90,$C105,$E$6:$E$90,$E105)</f>
        <v>0</v>
      </c>
      <c r="R105" s="54">
        <f>SUMIF('S1'!$C:$C,'Key inputs_EB'!$E105,'S1'!O:O)*SUMIFS(R$6:R$90,$C$6:$C$90,$C105,$E$6:$E$90,$E105)</f>
        <v>0</v>
      </c>
      <c r="S105" s="54">
        <f>SUMIF('S1'!$C:$C,'Key inputs_EB'!$E105,'S1'!P:P)*SUMIFS(S$6:S$90,$C$6:$C$90,$C105,$E$6:$E$90,$E105)</f>
        <v>0</v>
      </c>
      <c r="T105" s="54">
        <f>SUMIF('S1'!$C:$C,'Key inputs_EB'!$E105,'S1'!Q:Q)*SUMIFS(T$6:T$90,$C$6:$C$90,$C105,$E$6:$E$90,$E105)</f>
        <v>0.20200000000000001</v>
      </c>
      <c r="U105" s="54">
        <f>SUMIF('S1'!$C:$C,'Key inputs_EB'!$E105,'S1'!R:R)*SUMIFS(U$6:U$90,$C$6:$C$90,$C105,$E$6:$E$90,$E105)</f>
        <v>1.117</v>
      </c>
      <c r="V105" s="54">
        <f>SUMIF('S1'!$C:$C,'Key inputs_EB'!$E105,'S1'!S:S)*SUMIFS(V$6:V$90,$C$6:$C$90,$C105,$E$6:$E$90,$E105)</f>
        <v>1.284</v>
      </c>
      <c r="W105" s="54">
        <f>SUMIF('S1'!$C:$C,'Key inputs_EB'!$E105,'S1'!T:T)*SUMIFS(W$6:W$90,$C$6:$C$90,$C105,$E$6:$E$90,$E105)</f>
        <v>7.0620000000000003</v>
      </c>
      <c r="X105" s="54">
        <f>SUMIF('S1'!$C:$C,'Key inputs_EB'!$E105,'S1'!U:U)*SUMIFS(X$6:X$90,$C$6:$C$90,$C105,$E$6:$E$90,$E105)</f>
        <v>4.2770000000000001</v>
      </c>
      <c r="Y105" s="54">
        <f>SUMIF('S1'!$C:$C,'Key inputs_EB'!$E105,'S1'!V:V)*SUMIFS(Y$6:Y$90,$C$6:$C$90,$C105,$E$6:$E$90,$E105)</f>
        <v>0</v>
      </c>
      <c r="Z105" s="54">
        <f>SUMIF('S1'!$C:$C,'Key inputs_EB'!$E105,'S1'!W:W)*SUMIFS(Z$6:Z$90,$C$6:$C$90,$C105,$E$6:$E$90,$E105)</f>
        <v>0</v>
      </c>
      <c r="AA105" s="54">
        <f>SUMIF('S1'!$C:$C,'Key inputs_EB'!$E105,'S1'!X:X)*SUMIFS(AA$6:AA$90,$C$6:$C$90,$C105,$E$6:$E$90,$E105)</f>
        <v>0.76600000000000001</v>
      </c>
      <c r="AB105" s="54">
        <f>SUMIF('S1'!$C:$C,'Key inputs_EB'!$E105,'S1'!Y:Y)*SUMIFS(AB$6:AB$90,$C$6:$C$90,$C105,$E$6:$E$90,$E105)</f>
        <v>0.57399999999999995</v>
      </c>
      <c r="AC105" s="54">
        <f>SUMIF('S1'!$C:$C,'Key inputs_EB'!$E105,'S1'!Z:Z)*SUMIFS(AC$6:AC$90,$C$6:$C$90,$C105,$E$6:$E$90,$E105)</f>
        <v>2.5819999999999999</v>
      </c>
      <c r="AD105" s="54">
        <f>SUMIF('S1'!$C:$C,'Key inputs_EB'!$E105,'S1'!AA:AA)*SUMIFS(AD$6:AD$90,$C$6:$C$90,$C105,$E$6:$E$90,$E105)</f>
        <v>0</v>
      </c>
      <c r="AE105" s="54">
        <f>SUMIF('S1'!$C:$C,'Key inputs_EB'!$E105,'S1'!AB:AB)*SUMIFS(AE$6:AE$90,$C$6:$C$90,$C105,$E$6:$E$90,$E105)</f>
        <v>5.1749999999999998</v>
      </c>
      <c r="AF105" s="54">
        <f>SUMIF('S1'!$C:$C,'Key inputs_EB'!$E105,'S1'!AC:AC)*SUMIFS(AF$6:AF$90,$C$6:$C$90,$C105,$E$6:$E$90,$E105)</f>
        <v>0</v>
      </c>
      <c r="AG105" s="54">
        <f>SUMIF('S1'!$C:$C,'Key inputs_EB'!$E105,'S1'!AD:AD)*SUMIFS(AG$6:AG$90,$C$6:$C$90,$C105,$E$6:$E$90,$E105)</f>
        <v>0</v>
      </c>
      <c r="AH105" s="54">
        <f>SUMIF('S1'!$C:$C,'Key inputs_EB'!$E105,'S1'!AE:AE)*SUMIFS(AH$6:AH$90,$C$6:$C$90,$C105,$E$6:$E$90,$E105)</f>
        <v>0.92</v>
      </c>
      <c r="AI105" s="54">
        <f>SUMIF('S1'!$C:$C,'Key inputs_EB'!$E105,'S1'!AF:AF)*SUMIFS(AI$6:AI$90,$C$6:$C$90,$C105,$E$6:$E$90,$E105)</f>
        <v>75.533000000000001</v>
      </c>
    </row>
    <row r="106" spans="2:36" s="49" customFormat="1" x14ac:dyDescent="0.3">
      <c r="B106" s="49" t="str">
        <f>Legend!A$45</f>
        <v>Thermal uses</v>
      </c>
      <c r="C106" s="49" t="str">
        <f>LEFT(Legend!$C$4)&amp;"-"&amp;Legend!B$45</f>
        <v>S-TH</v>
      </c>
      <c r="D106" s="49" t="str">
        <f>Legend!A70</f>
        <v>Biomass</v>
      </c>
      <c r="E106" s="49" t="str">
        <f>Legend!B70</f>
        <v>SRVBIO</v>
      </c>
      <c r="F106" s="49" t="s">
        <v>15</v>
      </c>
      <c r="G106" s="49" t="s">
        <v>696</v>
      </c>
      <c r="H106" s="596">
        <f>SUMIF('S1'!$C:$C,'Key inputs_EB'!$E106,'S1'!E:E)*SUMIFS(H$6:H$90,$C$6:$C$90,$C106,$E$6:$E$90,$E106)</f>
        <v>52.4313</v>
      </c>
      <c r="I106" s="596">
        <f>SUMIF('S1'!$C:$C,'Key inputs_EB'!$E106,'S1'!F:F)*SUMIFS(I$6:I$90,$C$6:$C$90,$C106,$E$6:$E$90,$E106)</f>
        <v>10.031400000000001</v>
      </c>
      <c r="J106" s="596">
        <f>SUMIF('S1'!$C:$C,'Key inputs_EB'!$E106,'S1'!G:G)*SUMIFS(J$6:J$90,$C$6:$C$90,$C106,$E$6:$E$90,$E106)</f>
        <v>33.883800000000008</v>
      </c>
      <c r="K106" s="54">
        <f>SUMIF('S1'!$C:$C,'Key inputs_EB'!$E106,'S1'!H:H)*SUMIFS(K$6:K$90,$C$6:$C$90,$C106,$E$6:$E$90,$E106)</f>
        <v>1.5816000000000003</v>
      </c>
      <c r="L106" s="54">
        <f>SUMIF('S1'!$C:$C,'Key inputs_EB'!$E106,'S1'!I:I)*SUMIFS(L$6:L$90,$C$6:$C$90,$C106,$E$6:$E$90,$E106)</f>
        <v>0.23200000000000001</v>
      </c>
      <c r="M106" s="54">
        <f>SUMIF('S1'!$C:$C,'Key inputs_EB'!$E106,'S1'!J:J)*SUMIFS(M$6:M$90,$C$6:$C$90,$C106,$E$6:$E$90,$E106)</f>
        <v>1.113</v>
      </c>
      <c r="N106" s="54">
        <f>SUMIF('S1'!$C:$C,'Key inputs_EB'!$E106,'S1'!K:K)*SUMIFS(N$6:N$90,$C$6:$C$90,$C106,$E$6:$E$90,$E106)</f>
        <v>10.055999999999999</v>
      </c>
      <c r="O106" s="54">
        <f>SUMIF('S1'!$C:$C,'Key inputs_EB'!$E106,'S1'!L:L)*SUMIFS(O$6:O$90,$C$6:$C$90,$C106,$E$6:$E$90,$E106)</f>
        <v>6.2245000000000008</v>
      </c>
      <c r="P106" s="54">
        <f>SUMIF('S1'!$C:$C,'Key inputs_EB'!$E106,'S1'!M:M)*SUMIFS(P$6:P$90,$C$6:$C$90,$C106,$E$6:$E$90,$E106)</f>
        <v>1.0686000000000002</v>
      </c>
      <c r="Q106" s="54">
        <f>SUMIF('S1'!$C:$C,'Key inputs_EB'!$E106,'S1'!N:N)*SUMIFS(Q$6:Q$90,$C$6:$C$90,$C106,$E$6:$E$90,$E106)</f>
        <v>0</v>
      </c>
      <c r="R106" s="54">
        <f>SUMIF('S1'!$C:$C,'Key inputs_EB'!$E106,'S1'!O:O)*SUMIFS(R$6:R$90,$C$6:$C$90,$C106,$E$6:$E$90,$E106)</f>
        <v>0.19439999999999999</v>
      </c>
      <c r="S106" s="54">
        <f>SUMIF('S1'!$C:$C,'Key inputs_EB'!$E106,'S1'!P:P)*SUMIFS(S$6:S$90,$C$6:$C$90,$C106,$E$6:$E$90,$E106)</f>
        <v>19.200349999999997</v>
      </c>
      <c r="T106" s="54">
        <f>SUMIF('S1'!$C:$C,'Key inputs_EB'!$E106,'S1'!Q:Q)*SUMIFS(T$6:T$90,$C$6:$C$90,$C106,$E$6:$E$90,$E106)</f>
        <v>11.417</v>
      </c>
      <c r="U106" s="54">
        <f>SUMIF('S1'!$C:$C,'Key inputs_EB'!$E106,'S1'!R:R)*SUMIFS(U$6:U$90,$C$6:$C$90,$C106,$E$6:$E$90,$E106)</f>
        <v>13.564</v>
      </c>
      <c r="V106" s="54">
        <f>SUMIF('S1'!$C:$C,'Key inputs_EB'!$E106,'S1'!S:S)*SUMIFS(V$6:V$90,$C$6:$C$90,$C106,$E$6:$E$90,$E106)</f>
        <v>25.414999999999999</v>
      </c>
      <c r="W106" s="54">
        <f>SUMIF('S1'!$C:$C,'Key inputs_EB'!$E106,'S1'!T:T)*SUMIFS(W$6:W$90,$C$6:$C$90,$C106,$E$6:$E$90,$E106)</f>
        <v>19.428000000000001</v>
      </c>
      <c r="X106" s="54">
        <f>SUMIF('S1'!$C:$C,'Key inputs_EB'!$E106,'S1'!U:U)*SUMIFS(X$6:X$90,$C$6:$C$90,$C106,$E$6:$E$90,$E106)</f>
        <v>70.268799999999999</v>
      </c>
      <c r="Y106" s="54">
        <f>SUMIF('S1'!$C:$C,'Key inputs_EB'!$E106,'S1'!V:V)*SUMIFS(Y$6:Y$90,$C$6:$C$90,$C106,$E$6:$E$90,$E106)</f>
        <v>28.423500000000001</v>
      </c>
      <c r="Z106" s="54">
        <f>SUMIF('S1'!$C:$C,'Key inputs_EB'!$E106,'S1'!W:W)*SUMIFS(Z$6:Z$90,$C$6:$C$90,$C106,$E$6:$E$90,$E106)</f>
        <v>32.923200000000001</v>
      </c>
      <c r="AA106" s="54">
        <f>SUMIF('S1'!$C:$C,'Key inputs_EB'!$E106,'S1'!X:X)*SUMIFS(AA$6:AA$90,$C$6:$C$90,$C106,$E$6:$E$90,$E106)</f>
        <v>63.097000000000001</v>
      </c>
      <c r="AB106" s="54">
        <f>SUMIF('S1'!$C:$C,'Key inputs_EB'!$E106,'S1'!Y:Y)*SUMIFS(AB$6:AB$90,$C$6:$C$90,$C106,$E$6:$E$90,$E106)</f>
        <v>8.5500000000000007</v>
      </c>
      <c r="AC106" s="54">
        <f>SUMIF('S1'!$C:$C,'Key inputs_EB'!$E106,'S1'!Z:Z)*SUMIFS(AC$6:AC$90,$C$6:$C$90,$C106,$E$6:$E$90,$E106)</f>
        <v>5.5E-2</v>
      </c>
      <c r="AD106" s="54">
        <f>SUMIF('S1'!$C:$C,'Key inputs_EB'!$E106,'S1'!AA:AA)*SUMIFS(AD$6:AD$90,$C$6:$C$90,$C106,$E$6:$E$90,$E106)</f>
        <v>0</v>
      </c>
      <c r="AE106" s="54">
        <f>SUMIF('S1'!$C:$C,'Key inputs_EB'!$E106,'S1'!AB:AB)*SUMIFS(AE$6:AE$90,$C$6:$C$90,$C106,$E$6:$E$90,$E106)</f>
        <v>0</v>
      </c>
      <c r="AF106" s="54">
        <f>SUMIF('S1'!$C:$C,'Key inputs_EB'!$E106,'S1'!AC:AC)*SUMIFS(AF$6:AF$90,$C$6:$C$90,$C106,$E$6:$E$90,$E106)</f>
        <v>34.655400000000007</v>
      </c>
      <c r="AG106" s="54">
        <f>SUMIF('S1'!$C:$C,'Key inputs_EB'!$E106,'S1'!AD:AD)*SUMIFS(AG$6:AG$90,$C$6:$C$90,$C106,$E$6:$E$90,$E106)</f>
        <v>45.021999999999998</v>
      </c>
      <c r="AH106" s="54">
        <f>SUMIF('S1'!$C:$C,'Key inputs_EB'!$E106,'S1'!AE:AE)*SUMIFS(AH$6:AH$90,$C$6:$C$90,$C106,$E$6:$E$90,$E106)</f>
        <v>2.2395000000000005</v>
      </c>
      <c r="AI106" s="54">
        <f>SUMIF('S1'!$C:$C,'Key inputs_EB'!$E106,'S1'!AF:AF)*SUMIFS(AI$6:AI$90,$C$6:$C$90,$C106,$E$6:$E$90,$E106)</f>
        <v>72.344999999999999</v>
      </c>
    </row>
    <row r="107" spans="2:36" s="49" customFormat="1" x14ac:dyDescent="0.3">
      <c r="B107" s="49" t="str">
        <f>Legend!A$45</f>
        <v>Thermal uses</v>
      </c>
      <c r="C107" s="49" t="str">
        <f>LEFT(Legend!$C$4)&amp;"-"&amp;Legend!B$45</f>
        <v>S-TH</v>
      </c>
      <c r="D107" s="49" t="str">
        <f>Legend!A71</f>
        <v>Waste</v>
      </c>
      <c r="E107" s="49" t="str">
        <f>Legend!B71</f>
        <v>SRVWAS</v>
      </c>
      <c r="F107" s="49" t="s">
        <v>15</v>
      </c>
      <c r="G107" s="49" t="s">
        <v>696</v>
      </c>
      <c r="H107" s="596">
        <f>SUMIF('S1'!$C:$C,'Key inputs_EB'!$E107,'S1'!E:E)*SUMIFS(H$6:H$90,$C$6:$C$90,$C107,$E$6:$E$90,$E107)</f>
        <v>0</v>
      </c>
      <c r="I107" s="596">
        <f>SUMIF('S1'!$C:$C,'Key inputs_EB'!$E107,'S1'!F:F)*SUMIFS(I$6:I$90,$C$6:$C$90,$C107,$E$6:$E$90,$E107)</f>
        <v>0</v>
      </c>
      <c r="J107" s="596">
        <f>SUMIF('S1'!$C:$C,'Key inputs_EB'!$E107,'S1'!G:G)*SUMIFS(J$6:J$90,$C$6:$C$90,$C107,$E$6:$E$90,$E107)</f>
        <v>0</v>
      </c>
      <c r="K107" s="54">
        <f>SUMIF('S1'!$C:$C,'Key inputs_EB'!$E107,'S1'!H:H)*SUMIFS(K$6:K$90,$C$6:$C$90,$C107,$E$6:$E$90,$E107)</f>
        <v>0</v>
      </c>
      <c r="L107" s="54">
        <f>SUMIF('S1'!$C:$C,'Key inputs_EB'!$E107,'S1'!I:I)*SUMIFS(L$6:L$90,$C$6:$C$90,$C107,$E$6:$E$90,$E107)</f>
        <v>0</v>
      </c>
      <c r="M107" s="54">
        <f>SUMIF('S1'!$C:$C,'Key inputs_EB'!$E107,'S1'!J:J)*SUMIFS(M$6:M$90,$C$6:$C$90,$C107,$E$6:$E$90,$E107)</f>
        <v>0</v>
      </c>
      <c r="N107" s="54">
        <f>SUMIF('S1'!$C:$C,'Key inputs_EB'!$E107,'S1'!K:K)*SUMIFS(N$6:N$90,$C$6:$C$90,$C107,$E$6:$E$90,$E107)</f>
        <v>0</v>
      </c>
      <c r="O107" s="54">
        <f>SUMIF('S1'!$C:$C,'Key inputs_EB'!$E107,'S1'!L:L)*SUMIFS(O$6:O$90,$C$6:$C$90,$C107,$E$6:$E$90,$E107)</f>
        <v>0</v>
      </c>
      <c r="P107" s="54">
        <f>SUMIF('S1'!$C:$C,'Key inputs_EB'!$E107,'S1'!M:M)*SUMIFS(P$6:P$90,$C$6:$C$90,$C107,$E$6:$E$90,$E107)</f>
        <v>0</v>
      </c>
      <c r="Q107" s="54">
        <f>SUMIF('S1'!$C:$C,'Key inputs_EB'!$E107,'S1'!N:N)*SUMIFS(Q$6:Q$90,$C$6:$C$90,$C107,$E$6:$E$90,$E107)</f>
        <v>0</v>
      </c>
      <c r="R107" s="54">
        <f>SUMIF('S1'!$C:$C,'Key inputs_EB'!$E107,'S1'!O:O)*SUMIFS(R$6:R$90,$C$6:$C$90,$C107,$E$6:$E$90,$E107)</f>
        <v>0</v>
      </c>
      <c r="S107" s="54">
        <f>SUMIF('S1'!$C:$C,'Key inputs_EB'!$E107,'S1'!P:P)*SUMIFS(S$6:S$90,$C$6:$C$90,$C107,$E$6:$E$90,$E107)</f>
        <v>0</v>
      </c>
      <c r="T107" s="54">
        <f>SUMIF('S1'!$C:$C,'Key inputs_EB'!$E107,'S1'!Q:Q)*SUMIFS(T$6:T$90,$C$6:$C$90,$C107,$E$6:$E$90,$E107)</f>
        <v>0</v>
      </c>
      <c r="U107" s="54">
        <f>SUMIF('S1'!$C:$C,'Key inputs_EB'!$E107,'S1'!R:R)*SUMIFS(U$6:U$90,$C$6:$C$90,$C107,$E$6:$E$90,$E107)</f>
        <v>4.8070000000000004</v>
      </c>
      <c r="V107" s="54">
        <f>SUMIF('S1'!$C:$C,'Key inputs_EB'!$E107,'S1'!S:S)*SUMIFS(V$6:V$90,$C$6:$C$90,$C107,$E$6:$E$90,$E107)</f>
        <v>2.6040000000000001</v>
      </c>
      <c r="W107" s="54">
        <f>SUMIF('S1'!$C:$C,'Key inputs_EB'!$E107,'S1'!T:T)*SUMIFS(W$6:W$90,$C$6:$C$90,$C107,$E$6:$E$90,$E107)</f>
        <v>4.0720000000000001</v>
      </c>
      <c r="X107" s="54">
        <f>SUMIF('S1'!$C:$C,'Key inputs_EB'!$E107,'S1'!U:U)*SUMIFS(X$6:X$90,$C$6:$C$90,$C107,$E$6:$E$90,$E107)</f>
        <v>3.5350000000000001</v>
      </c>
      <c r="Y107" s="54">
        <f>SUMIF('S1'!$C:$C,'Key inputs_EB'!$E107,'S1'!V:V)*SUMIFS(Y$6:Y$90,$C$6:$C$90,$C107,$E$6:$E$90,$E107)</f>
        <v>0</v>
      </c>
      <c r="Z107" s="54">
        <f>SUMIF('S1'!$C:$C,'Key inputs_EB'!$E107,'S1'!W:W)*SUMIFS(Z$6:Z$90,$C$6:$C$90,$C107,$E$6:$E$90,$E107)</f>
        <v>0</v>
      </c>
      <c r="AA107" s="54">
        <f>SUMIF('S1'!$C:$C,'Key inputs_EB'!$E107,'S1'!X:X)*SUMIFS(AA$6:AA$90,$C$6:$C$90,$C107,$E$6:$E$90,$E107)</f>
        <v>9.5079999999999991</v>
      </c>
      <c r="AB107" s="54">
        <f>SUMIF('S1'!$C:$C,'Key inputs_EB'!$E107,'S1'!Y:Y)*SUMIFS(AB$6:AB$90,$C$6:$C$90,$C107,$E$6:$E$90,$E107)</f>
        <v>0</v>
      </c>
      <c r="AC107" s="54">
        <f>SUMIF('S1'!$C:$C,'Key inputs_EB'!$E107,'S1'!Z:Z)*SUMIFS(AC$6:AC$90,$C$6:$C$90,$C107,$E$6:$E$90,$E107)</f>
        <v>0</v>
      </c>
      <c r="AD107" s="54">
        <f>SUMIF('S1'!$C:$C,'Key inputs_EB'!$E107,'S1'!AA:AA)*SUMIFS(AD$6:AD$90,$C$6:$C$90,$C107,$E$6:$E$90,$E107)</f>
        <v>0</v>
      </c>
      <c r="AE107" s="54">
        <f>SUMIF('S1'!$C:$C,'Key inputs_EB'!$E107,'S1'!AB:AB)*SUMIFS(AE$6:AE$90,$C$6:$C$90,$C107,$E$6:$E$90,$E107)</f>
        <v>0</v>
      </c>
      <c r="AF107" s="54">
        <f>SUMIF('S1'!$C:$C,'Key inputs_EB'!$E107,'S1'!AC:AC)*SUMIFS(AF$6:AF$90,$C$6:$C$90,$C107,$E$6:$E$90,$E107)</f>
        <v>0</v>
      </c>
      <c r="AG107" s="54">
        <f>SUMIF('S1'!$C:$C,'Key inputs_EB'!$E107,'S1'!AD:AD)*SUMIFS(AG$6:AG$90,$C$6:$C$90,$C107,$E$6:$E$90,$E107)</f>
        <v>2.9569999999999999</v>
      </c>
      <c r="AH107" s="54">
        <f>SUMIF('S1'!$C:$C,'Key inputs_EB'!$E107,'S1'!AE:AE)*SUMIFS(AH$6:AH$90,$C$6:$C$90,$C107,$E$6:$E$90,$E107)</f>
        <v>20.184000000000001</v>
      </c>
      <c r="AI107" s="54">
        <f>SUMIF('S1'!$C:$C,'Key inputs_EB'!$E107,'S1'!AF:AF)*SUMIFS(AI$6:AI$90,$C$6:$C$90,$C107,$E$6:$E$90,$E107)</f>
        <v>8.2319999999999993</v>
      </c>
    </row>
    <row r="108" spans="2:36" s="49" customFormat="1" x14ac:dyDescent="0.3">
      <c r="B108" s="69" t="str">
        <f>Legend!A$45</f>
        <v>Thermal uses</v>
      </c>
      <c r="C108" s="69" t="str">
        <f>LEFT(Legend!$C$4)&amp;"-"&amp;Legend!B$45</f>
        <v>S-TH</v>
      </c>
      <c r="D108" s="69" t="s">
        <v>158</v>
      </c>
      <c r="E108" s="69"/>
      <c r="F108" s="69" t="s">
        <v>15</v>
      </c>
      <c r="G108" s="69"/>
      <c r="H108" s="597">
        <f t="shared" ref="H108:AI108" si="23">IF(H$94="","",SUM(H96:H107))</f>
        <v>72.194500000000005</v>
      </c>
      <c r="I108" s="597">
        <f t="shared" si="23"/>
        <v>31.545700000000004</v>
      </c>
      <c r="J108" s="597">
        <f t="shared" si="23"/>
        <v>39.69080000000001</v>
      </c>
      <c r="K108" s="70">
        <f t="shared" si="23"/>
        <v>102.87506000000002</v>
      </c>
      <c r="L108" s="70">
        <f t="shared" si="23"/>
        <v>134.28564</v>
      </c>
      <c r="M108" s="70">
        <f t="shared" si="23"/>
        <v>523.30680258001303</v>
      </c>
      <c r="N108" s="70">
        <f t="shared" si="23"/>
        <v>89.523989999999998</v>
      </c>
      <c r="O108" s="70">
        <f t="shared" si="23"/>
        <v>29.854599999999998</v>
      </c>
      <c r="P108" s="70">
        <f t="shared" si="23"/>
        <v>24.327340000000003</v>
      </c>
      <c r="Q108" s="70">
        <f t="shared" si="23"/>
        <v>646.31729999999993</v>
      </c>
      <c r="R108" s="70">
        <f t="shared" si="23"/>
        <v>14.04908</v>
      </c>
      <c r="S108" s="70">
        <f t="shared" si="23"/>
        <v>43.437829999999991</v>
      </c>
      <c r="T108" s="70">
        <f t="shared" si="23"/>
        <v>181.49069547006437</v>
      </c>
      <c r="U108" s="70">
        <f t="shared" si="23"/>
        <v>528.23615000000007</v>
      </c>
      <c r="V108" s="70">
        <f t="shared" si="23"/>
        <v>467.01954542701111</v>
      </c>
      <c r="W108" s="70">
        <f t="shared" si="23"/>
        <v>1025.6389099999999</v>
      </c>
      <c r="X108" s="70">
        <f t="shared" si="23"/>
        <v>1262.2535200000002</v>
      </c>
      <c r="Y108" s="70">
        <f t="shared" si="23"/>
        <v>182.75278</v>
      </c>
      <c r="Z108" s="70">
        <f t="shared" si="23"/>
        <v>75.23657</v>
      </c>
      <c r="AA108" s="70">
        <f t="shared" si="23"/>
        <v>796.37381999999991</v>
      </c>
      <c r="AB108" s="70">
        <f t="shared" si="23"/>
        <v>76.844079999999991</v>
      </c>
      <c r="AC108" s="70">
        <f t="shared" si="23"/>
        <v>195.83415000000002</v>
      </c>
      <c r="AD108" s="70">
        <f t="shared" si="23"/>
        <v>202.45</v>
      </c>
      <c r="AE108" s="70">
        <f t="shared" si="23"/>
        <v>25.074200000000001</v>
      </c>
      <c r="AF108" s="70">
        <f t="shared" si="23"/>
        <v>36.29854000000001</v>
      </c>
      <c r="AG108" s="70">
        <f t="shared" si="23"/>
        <v>1233.8134601559159</v>
      </c>
      <c r="AH108" s="70">
        <f t="shared" si="23"/>
        <v>263.07291999999995</v>
      </c>
      <c r="AI108" s="70">
        <f t="shared" si="23"/>
        <v>3993.9508381561172</v>
      </c>
    </row>
    <row r="109" spans="2:36" s="49" customFormat="1" x14ac:dyDescent="0.3">
      <c r="B109" s="49" t="str">
        <f>Legend!A$46</f>
        <v>Air conditioning</v>
      </c>
      <c r="C109" s="49" t="str">
        <f>LEFT(Legend!$C$4)&amp;"-"&amp;Legend!B$46</f>
        <v>S-AC</v>
      </c>
      <c r="D109" s="49" t="str">
        <f>Legend!A68</f>
        <v>Natural gas</v>
      </c>
      <c r="E109" s="49" t="str">
        <f>Legend!B68</f>
        <v>SRVGAS</v>
      </c>
      <c r="F109" s="49" t="s">
        <v>15</v>
      </c>
      <c r="G109" s="49" t="s">
        <v>696</v>
      </c>
      <c r="H109" s="54">
        <f>SUMIF('S1'!$C:$C,'Key inputs_EB'!$E109,'S1'!E:E)*SUMIFS(H$6:H$90,$C$6:$C$90,$C109,$E$6:$E$90,$E109)</f>
        <v>0</v>
      </c>
      <c r="I109" s="54">
        <f>SUMIF('S1'!$C:$C,'Key inputs_EB'!$E109,'S1'!F:F)*SUMIFS(I$6:I$90,$C$6:$C$90,$C109,$E$6:$E$90,$E109)</f>
        <v>0</v>
      </c>
      <c r="J109" s="54">
        <f>SUMIF('S1'!$C:$C,'Key inputs_EB'!$E109,'S1'!G:G)*SUMIFS(J$6:J$90,$C$6:$C$90,$C109,$E$6:$E$90,$E109)</f>
        <v>0</v>
      </c>
      <c r="K109" s="54">
        <f>SUMIF('S1'!$C:$C,'Key inputs_EB'!$E109,'S1'!H:H)*SUMIFS(K$6:K$90,$C$6:$C$90,$C109,$E$6:$E$90,$E109)</f>
        <v>0</v>
      </c>
      <c r="L109" s="54">
        <f>SUMIF('S1'!$C:$C,'Key inputs_EB'!$E109,'S1'!I:I)*SUMIFS(L$6:L$90,$C$6:$C$90,$C109,$E$6:$E$90,$E109)</f>
        <v>0</v>
      </c>
      <c r="M109" s="54">
        <f>SUMIF('S1'!$C:$C,'Key inputs_EB'!$E109,'S1'!J:J)*SUMIFS(M$6:M$90,$C$6:$C$90,$C109,$E$6:$E$90,$E109)</f>
        <v>3.6986200000000005</v>
      </c>
      <c r="N109" s="54">
        <f>SUMIF('S1'!$C:$C,'Key inputs_EB'!$E109,'S1'!K:K)*SUMIFS(N$6:N$90,$C$6:$C$90,$C109,$E$6:$E$90,$E109)</f>
        <v>9.7159999999999996E-2</v>
      </c>
      <c r="O109" s="54">
        <f>SUMIF('S1'!$C:$C,'Key inputs_EB'!$E109,'S1'!L:L)*SUMIFS(O$6:O$90,$C$6:$C$90,$C109,$E$6:$E$90,$E109)</f>
        <v>0.15936</v>
      </c>
      <c r="P109" s="54">
        <f>SUMIF('S1'!$C:$C,'Key inputs_EB'!$E109,'S1'!M:M)*SUMIFS(P$6:P$90,$C$6:$C$90,$C109,$E$6:$E$90,$E109)</f>
        <v>0</v>
      </c>
      <c r="Q109" s="54">
        <f>SUMIF('S1'!$C:$C,'Key inputs_EB'!$E109,'S1'!N:N)*SUMIFS(Q$6:Q$90,$C$6:$C$90,$C109,$E$6:$E$90,$E109)</f>
        <v>0</v>
      </c>
      <c r="R109" s="54">
        <f>SUMIF('S1'!$C:$C,'Key inputs_EB'!$E109,'S1'!O:O)*SUMIFS(R$6:R$90,$C$6:$C$90,$C109,$E$6:$E$90,$E109)</f>
        <v>0</v>
      </c>
      <c r="S109" s="54">
        <f>SUMIF('S1'!$C:$C,'Key inputs_EB'!$E109,'S1'!P:P)*SUMIFS(S$6:S$90,$C$6:$C$90,$C109,$E$6:$E$90,$E109)</f>
        <v>0</v>
      </c>
      <c r="T109" s="54">
        <f>SUMIF('S1'!$C:$C,'Key inputs_EB'!$E109,'S1'!Q:Q)*SUMIFS(T$6:T$90,$C$6:$C$90,$C109,$E$6:$E$90,$E109)</f>
        <v>0.48575000000000002</v>
      </c>
      <c r="U109" s="54">
        <f>SUMIF('S1'!$C:$C,'Key inputs_EB'!$E109,'S1'!R:R)*SUMIFS(U$6:U$90,$C$6:$C$90,$C109,$E$6:$E$90,$E109)</f>
        <v>1.4726400000000002</v>
      </c>
      <c r="V109" s="54">
        <f>SUMIF('S1'!$C:$C,'Key inputs_EB'!$E109,'S1'!S:S)*SUMIFS(V$6:V$90,$C$6:$C$90,$C109,$E$6:$E$90,$E109)</f>
        <v>2.2496900000000002</v>
      </c>
      <c r="W109" s="54">
        <f>SUMIF('S1'!$C:$C,'Key inputs_EB'!$E109,'S1'!T:T)*SUMIFS(W$6:W$90,$C$6:$C$90,$C109,$E$6:$E$90,$E109)</f>
        <v>3.2263549999999999</v>
      </c>
      <c r="X109" s="54">
        <f>SUMIF('S1'!$C:$C,'Key inputs_EB'!$E109,'S1'!U:U)*SUMIFS(X$6:X$90,$C$6:$C$90,$C109,$E$6:$E$90,$E109)</f>
        <v>3.2146850000000002</v>
      </c>
      <c r="Y109" s="54">
        <f>SUMIF('S1'!$C:$C,'Key inputs_EB'!$E109,'S1'!V:V)*SUMIFS(Y$6:Y$90,$C$6:$C$90,$C109,$E$6:$E$90,$E109)</f>
        <v>0.19893999999999998</v>
      </c>
      <c r="Z109" s="54">
        <f>SUMIF('S1'!$C:$C,'Key inputs_EB'!$E109,'S1'!W:W)*SUMIFS(Z$6:Z$90,$C$6:$C$90,$C109,$E$6:$E$90,$E109)</f>
        <v>0</v>
      </c>
      <c r="AA109" s="54">
        <f>SUMIF('S1'!$C:$C,'Key inputs_EB'!$E109,'S1'!X:X)*SUMIFS(AA$6:AA$90,$C$6:$C$90,$C109,$E$6:$E$90,$E109)</f>
        <v>23.043959999999998</v>
      </c>
      <c r="AB109" s="54">
        <f>SUMIF('S1'!$C:$C,'Key inputs_EB'!$E109,'S1'!Y:Y)*SUMIFS(AB$6:AB$90,$C$6:$C$90,$C109,$E$6:$E$90,$E109)</f>
        <v>0</v>
      </c>
      <c r="AC109" s="54">
        <f>SUMIF('S1'!$C:$C,'Key inputs_EB'!$E109,'S1'!Z:Z)*SUMIFS(AC$6:AC$90,$C$6:$C$90,$C109,$E$6:$E$90,$E109)</f>
        <v>1.58769</v>
      </c>
      <c r="AD109" s="54">
        <f>SUMIF('S1'!$C:$C,'Key inputs_EB'!$E109,'S1'!AA:AA)*SUMIFS(AD$6:AD$90,$C$6:$C$90,$C109,$E$6:$E$90,$E109)</f>
        <v>5.4080200000000005</v>
      </c>
      <c r="AE109" s="54">
        <f>SUMIF('S1'!$C:$C,'Key inputs_EB'!$E109,'S1'!AB:AB)*SUMIFS(AE$6:AE$90,$C$6:$C$90,$C109,$E$6:$E$90,$E109)</f>
        <v>0</v>
      </c>
      <c r="AF109" s="54">
        <f>SUMIF('S1'!$C:$C,'Key inputs_EB'!$E109,'S1'!AC:AC)*SUMIFS(AF$6:AF$90,$C$6:$C$90,$C109,$E$6:$E$90,$E109)</f>
        <v>0</v>
      </c>
      <c r="AG109" s="54">
        <f>SUMIF('S1'!$C:$C,'Key inputs_EB'!$E109,'S1'!AD:AD)*SUMIFS(AG$6:AG$90,$C$6:$C$90,$C109,$E$6:$E$90,$E109)</f>
        <v>2.3607499999999999</v>
      </c>
      <c r="AH109" s="54">
        <f>SUMIF('S1'!$C:$C,'Key inputs_EB'!$E109,'S1'!AE:AE)*SUMIFS(AH$6:AH$90,$C$6:$C$90,$C109,$E$6:$E$90,$E109)</f>
        <v>8.3698499999999996</v>
      </c>
      <c r="AI109" s="54">
        <f>SUMIF('S1'!$C:$C,'Key inputs_EB'!$E109,'S1'!AF:AF)*SUMIFS(AI$6:AI$90,$C$6:$C$90,$C109,$E$6:$E$90,$E109)</f>
        <v>21.398304698048463</v>
      </c>
    </row>
    <row r="110" spans="2:36" s="49" customFormat="1" x14ac:dyDescent="0.3">
      <c r="B110" s="49" t="str">
        <f>Legend!A$46</f>
        <v>Air conditioning</v>
      </c>
      <c r="C110" s="49" t="str">
        <f>LEFT(Legend!$C$4)&amp;"-"&amp;Legend!B$46</f>
        <v>S-AC</v>
      </c>
      <c r="D110" s="49" t="str">
        <f>Legend!A$63</f>
        <v>Electricity</v>
      </c>
      <c r="E110" s="49" t="str">
        <f>Legend!B$63</f>
        <v>SRVELC</v>
      </c>
      <c r="F110" s="49" t="s">
        <v>15</v>
      </c>
      <c r="G110" s="49" t="s">
        <v>696</v>
      </c>
      <c r="H110" s="54">
        <f>SUMIF('S1'!$C:$C,'Key inputs_EB'!$E110,'S1'!E:E)*SUMIFS(H$6:H$90,$C$6:$C$90,$C110,$E$6:$E$90,$E110)</f>
        <v>1.02885</v>
      </c>
      <c r="I110" s="54">
        <f>SUMIF('S1'!$C:$C,'Key inputs_EB'!$E110,'S1'!F:F)*SUMIFS(I$6:I$90,$C$6:$C$90,$C110,$E$6:$E$90,$E110)</f>
        <v>5.6857499999999996</v>
      </c>
      <c r="J110" s="54">
        <f>SUMIF('S1'!$C:$C,'Key inputs_EB'!$E110,'S1'!G:G)*SUMIFS(J$6:J$90,$C$6:$C$90,$C110,$E$6:$E$90,$E110)</f>
        <v>1.3214999999999999</v>
      </c>
      <c r="K110" s="54">
        <f>SUMIF('S1'!$C:$C,'Key inputs_EB'!$E110,'S1'!H:H)*SUMIFS(K$6:K$90,$C$6:$C$90,$C110,$E$6:$E$90,$E110)</f>
        <v>3.4638299999999997</v>
      </c>
      <c r="L110" s="54">
        <f>SUMIF('S1'!$C:$C,'Key inputs_EB'!$E110,'S1'!I:I)*SUMIFS(L$6:L$90,$C$6:$C$90,$C110,$E$6:$E$90,$E110)</f>
        <v>17.458259999999999</v>
      </c>
      <c r="M110" s="54">
        <f>SUMIF('S1'!$C:$C,'Key inputs_EB'!$E110,'S1'!J:J)*SUMIFS(M$6:M$90,$C$6:$C$90,$C110,$E$6:$E$90,$E110)</f>
        <v>0.99796000000000007</v>
      </c>
      <c r="N110" s="54">
        <f>SUMIF('S1'!$C:$C,'Key inputs_EB'!$E110,'S1'!K:K)*SUMIFS(N$6:N$90,$C$6:$C$90,$C110,$E$6:$E$90,$E110)</f>
        <v>61.800049999999999</v>
      </c>
      <c r="O110" s="54">
        <f>SUMIF('S1'!$C:$C,'Key inputs_EB'!$E110,'S1'!L:L)*SUMIFS(O$6:O$90,$C$6:$C$90,$C110,$E$6:$E$90,$E110)</f>
        <v>14.277900000000001</v>
      </c>
      <c r="P110" s="54">
        <f>SUMIF('S1'!$C:$C,'Key inputs_EB'!$E110,'S1'!M:M)*SUMIFS(P$6:P$90,$C$6:$C$90,$C110,$E$6:$E$90,$E110)</f>
        <v>40.620080000000002</v>
      </c>
      <c r="Q110" s="54">
        <f>SUMIF('S1'!$C:$C,'Key inputs_EB'!$E110,'S1'!N:N)*SUMIFS(Q$6:Q$90,$C$6:$C$90,$C110,$E$6:$E$90,$E110)</f>
        <v>70.829980000000006</v>
      </c>
      <c r="R110" s="54">
        <f>SUMIF('S1'!$C:$C,'Key inputs_EB'!$E110,'S1'!O:O)*SUMIFS(R$6:R$90,$C$6:$C$90,$C110,$E$6:$E$90,$E110)</f>
        <v>3.53376</v>
      </c>
      <c r="S110" s="54">
        <f>SUMIF('S1'!$C:$C,'Key inputs_EB'!$E110,'S1'!P:P)*SUMIFS(S$6:S$90,$C$6:$C$90,$C110,$E$6:$E$90,$E110)</f>
        <v>3.2387099999999998</v>
      </c>
      <c r="T110" s="54">
        <f>SUMIF('S1'!$C:$C,'Key inputs_EB'!$E110,'S1'!Q:Q)*SUMIFS(T$6:T$90,$C$6:$C$90,$C110,$E$6:$E$90,$E110)</f>
        <v>1.56572</v>
      </c>
      <c r="U110" s="54">
        <f>SUMIF('S1'!$C:$C,'Key inputs_EB'!$E110,'S1'!R:R)*SUMIFS(U$6:U$90,$C$6:$C$90,$C110,$E$6:$E$90,$E110)</f>
        <v>48.431700000000006</v>
      </c>
      <c r="V110" s="54">
        <f>SUMIF('S1'!$C:$C,'Key inputs_EB'!$E110,'S1'!S:S)*SUMIFS(V$6:V$90,$C$6:$C$90,$C110,$E$6:$E$90,$E110)</f>
        <v>4.2035499999999999</v>
      </c>
      <c r="W110" s="54">
        <f>SUMIF('S1'!$C:$C,'Key inputs_EB'!$E110,'S1'!T:T)*SUMIFS(W$6:W$90,$C$6:$C$90,$C110,$E$6:$E$90,$E110)</f>
        <v>121.705</v>
      </c>
      <c r="X110" s="54">
        <f>SUMIF('S1'!$C:$C,'Key inputs_EB'!$E110,'S1'!U:U)*SUMIFS(X$6:X$90,$C$6:$C$90,$C110,$E$6:$E$90,$E110)</f>
        <v>97.809300000000007</v>
      </c>
      <c r="Y110" s="54">
        <f>SUMIF('S1'!$C:$C,'Key inputs_EB'!$E110,'S1'!V:V)*SUMIFS(Y$6:Y$90,$C$6:$C$90,$C110,$E$6:$E$90,$E110)</f>
        <v>51.30294</v>
      </c>
      <c r="Z110" s="54">
        <f>SUMIF('S1'!$C:$C,'Key inputs_EB'!$E110,'S1'!W:W)*SUMIFS(Z$6:Z$90,$C$6:$C$90,$C110,$E$6:$E$90,$E110)</f>
        <v>18.69895</v>
      </c>
      <c r="AA110" s="54">
        <f>SUMIF('S1'!$C:$C,'Key inputs_EB'!$E110,'S1'!X:X)*SUMIFS(AA$6:AA$90,$C$6:$C$90,$C110,$E$6:$E$90,$E110)</f>
        <v>159.55576000000002</v>
      </c>
      <c r="AB110" s="54">
        <f>SUMIF('S1'!$C:$C,'Key inputs_EB'!$E110,'S1'!Y:Y)*SUMIFS(AB$6:AB$90,$C$6:$C$90,$C110,$E$6:$E$90,$E110)</f>
        <v>33.296959999999999</v>
      </c>
      <c r="AC110" s="54">
        <f>SUMIF('S1'!$C:$C,'Key inputs_EB'!$E110,'S1'!Z:Z)*SUMIFS(AC$6:AC$90,$C$6:$C$90,$C110,$E$6:$E$90,$E110)</f>
        <v>36.903300000000002</v>
      </c>
      <c r="AD110" s="54">
        <f>SUMIF('S1'!$C:$C,'Key inputs_EB'!$E110,'S1'!AA:AA)*SUMIFS(AD$6:AD$90,$C$6:$C$90,$C110,$E$6:$E$90,$E110)</f>
        <v>79.873199999999997</v>
      </c>
      <c r="AE110" s="54">
        <f>SUMIF('S1'!$C:$C,'Key inputs_EB'!$E110,'S1'!AB:AB)*SUMIFS(AE$6:AE$90,$C$6:$C$90,$C110,$E$6:$E$90,$E110)</f>
        <v>10.337900000000001</v>
      </c>
      <c r="AF110" s="54">
        <f>SUMIF('S1'!$C:$C,'Key inputs_EB'!$E110,'S1'!AC:AC)*SUMIFS(AF$6:AF$90,$C$6:$C$90,$C110,$E$6:$E$90,$E110)</f>
        <v>0.79857</v>
      </c>
      <c r="AG110" s="54">
        <f>SUMIF('S1'!$C:$C,'Key inputs_EB'!$E110,'S1'!AD:AD)*SUMIFS(AG$6:AG$90,$C$6:$C$90,$C110,$E$6:$E$90,$E110)</f>
        <v>5.5032800000000002</v>
      </c>
      <c r="AH110" s="54">
        <f>SUMIF('S1'!$C:$C,'Key inputs_EB'!$E110,'S1'!AE:AE)*SUMIFS(AH$6:AH$90,$C$6:$C$90,$C110,$E$6:$E$90,$E110)</f>
        <v>88.35029999999999</v>
      </c>
      <c r="AI110" s="54">
        <f>SUMIF('S1'!$C:$C,'Key inputs_EB'!$E110,'S1'!AF:AF)*SUMIFS(AI$6:AI$90,$C$6:$C$90,$C110,$E$6:$E$90,$E110)</f>
        <v>1017.6810854824595</v>
      </c>
    </row>
    <row r="111" spans="2:36" s="49" customFormat="1" x14ac:dyDescent="0.3">
      <c r="B111" s="69" t="str">
        <f>Legend!A$46</f>
        <v>Air conditioning</v>
      </c>
      <c r="C111" s="69" t="str">
        <f>LEFT(Legend!$C$4)&amp;"-"&amp;Legend!B$46</f>
        <v>S-AC</v>
      </c>
      <c r="D111" s="69" t="s">
        <v>158</v>
      </c>
      <c r="E111" s="69"/>
      <c r="F111" s="69" t="s">
        <v>15</v>
      </c>
      <c r="G111" s="69"/>
      <c r="H111" s="70">
        <f t="shared" ref="H111:AI111" si="24">IF(H$94="","",SUM(H109:H110))</f>
        <v>1.02885</v>
      </c>
      <c r="I111" s="70">
        <f t="shared" si="24"/>
        <v>5.6857499999999996</v>
      </c>
      <c r="J111" s="70">
        <f t="shared" si="24"/>
        <v>1.3214999999999999</v>
      </c>
      <c r="K111" s="70">
        <f t="shared" si="24"/>
        <v>3.4638299999999997</v>
      </c>
      <c r="L111" s="70">
        <f t="shared" si="24"/>
        <v>17.458259999999999</v>
      </c>
      <c r="M111" s="70">
        <f t="shared" si="24"/>
        <v>4.6965800000000009</v>
      </c>
      <c r="N111" s="70">
        <f t="shared" si="24"/>
        <v>61.897210000000001</v>
      </c>
      <c r="O111" s="70">
        <f t="shared" si="24"/>
        <v>14.43726</v>
      </c>
      <c r="P111" s="70">
        <f t="shared" si="24"/>
        <v>40.620080000000002</v>
      </c>
      <c r="Q111" s="70">
        <f t="shared" si="24"/>
        <v>70.829980000000006</v>
      </c>
      <c r="R111" s="70">
        <f t="shared" si="24"/>
        <v>3.53376</v>
      </c>
      <c r="S111" s="70">
        <f t="shared" si="24"/>
        <v>3.2387099999999998</v>
      </c>
      <c r="T111" s="70">
        <f t="shared" si="24"/>
        <v>2.0514700000000001</v>
      </c>
      <c r="U111" s="70">
        <f t="shared" si="24"/>
        <v>49.904340000000005</v>
      </c>
      <c r="V111" s="70">
        <f t="shared" si="24"/>
        <v>6.4532400000000001</v>
      </c>
      <c r="W111" s="70">
        <f t="shared" si="24"/>
        <v>124.931355</v>
      </c>
      <c r="X111" s="70">
        <f t="shared" si="24"/>
        <v>101.02398500000001</v>
      </c>
      <c r="Y111" s="70">
        <f t="shared" si="24"/>
        <v>51.50188</v>
      </c>
      <c r="Z111" s="70">
        <f t="shared" si="24"/>
        <v>18.69895</v>
      </c>
      <c r="AA111" s="70">
        <f t="shared" si="24"/>
        <v>182.59972000000002</v>
      </c>
      <c r="AB111" s="70">
        <f t="shared" si="24"/>
        <v>33.296959999999999</v>
      </c>
      <c r="AC111" s="70">
        <f t="shared" si="24"/>
        <v>38.490990000000004</v>
      </c>
      <c r="AD111" s="70">
        <f t="shared" si="24"/>
        <v>85.28121999999999</v>
      </c>
      <c r="AE111" s="70">
        <f t="shared" si="24"/>
        <v>10.337900000000001</v>
      </c>
      <c r="AF111" s="70">
        <f t="shared" si="24"/>
        <v>0.79857</v>
      </c>
      <c r="AG111" s="70">
        <f t="shared" si="24"/>
        <v>7.8640299999999996</v>
      </c>
      <c r="AH111" s="70">
        <f t="shared" si="24"/>
        <v>96.72014999999999</v>
      </c>
      <c r="AI111" s="70">
        <f t="shared" si="24"/>
        <v>1039.079390180508</v>
      </c>
    </row>
    <row r="112" spans="2:36" s="49" customFormat="1" x14ac:dyDescent="0.3">
      <c r="B112" s="49" t="str">
        <f>Legend!A$47</f>
        <v>Cooking</v>
      </c>
      <c r="C112" s="49" t="str">
        <f>LEFT(Legend!$C$4)&amp;"-"&amp;Legend!B$47</f>
        <v>S-CK</v>
      </c>
      <c r="D112" s="49" t="str">
        <f>Legend!A60</f>
        <v>Biogas</v>
      </c>
      <c r="E112" s="49" t="str">
        <f>Legend!B60</f>
        <v>SRVBGS</v>
      </c>
      <c r="F112" s="49" t="s">
        <v>15</v>
      </c>
      <c r="G112" s="49" t="s">
        <v>696</v>
      </c>
      <c r="H112" s="54">
        <f>SUMIF('S1'!$C:$C,'Key inputs_EB'!$E112,'S1'!E:E)*SUMIFS(H$6:H$90,$C$6:$C$90,$C112,$E$6:$E$90,$E112)</f>
        <v>0</v>
      </c>
      <c r="I112" s="54">
        <f>SUMIF('S1'!$C:$C,'Key inputs_EB'!$E112,'S1'!F:F)*SUMIFS(I$6:I$90,$C$6:$C$90,$C112,$E$6:$E$90,$E112)</f>
        <v>0</v>
      </c>
      <c r="J112" s="54">
        <f>SUMIF('S1'!$C:$C,'Key inputs_EB'!$E112,'S1'!G:G)*SUMIFS(J$6:J$90,$C$6:$C$90,$C112,$E$6:$E$90,$E112)</f>
        <v>0</v>
      </c>
      <c r="K112" s="54">
        <f>SUMIF('S1'!$C:$C,'Key inputs_EB'!$E112,'S1'!H:H)*SUMIFS(K$6:K$90,$C$6:$C$90,$C112,$E$6:$E$90,$E112)</f>
        <v>0</v>
      </c>
      <c r="L112" s="54">
        <f>SUMIF('S1'!$C:$C,'Key inputs_EB'!$E112,'S1'!I:I)*SUMIFS(L$6:L$90,$C$6:$C$90,$C112,$E$6:$E$90,$E112)</f>
        <v>5.9499999999999983E-2</v>
      </c>
      <c r="M112" s="54">
        <f>SUMIF('S1'!$C:$C,'Key inputs_EB'!$E112,'S1'!J:J)*SUMIFS(M$6:M$90,$C$6:$C$90,$C112,$E$6:$E$90,$E112)</f>
        <v>0</v>
      </c>
      <c r="N112" s="54">
        <f>SUMIF('S1'!$C:$C,'Key inputs_EB'!$E112,'S1'!K:K)*SUMIFS(N$6:N$90,$C$6:$C$90,$C112,$E$6:$E$90,$E112)</f>
        <v>0</v>
      </c>
      <c r="O112" s="54">
        <f>SUMIF('S1'!$C:$C,'Key inputs_EB'!$E112,'S1'!L:L)*SUMIFS(O$6:O$90,$C$6:$C$90,$C112,$E$6:$E$90,$E112)</f>
        <v>6.2400000000000008E-3</v>
      </c>
      <c r="P112" s="54">
        <f>SUMIF('S1'!$C:$C,'Key inputs_EB'!$E112,'S1'!M:M)*SUMIFS(P$6:P$90,$C$6:$C$90,$C112,$E$6:$E$90,$E112)</f>
        <v>0</v>
      </c>
      <c r="Q112" s="54">
        <f>SUMIF('S1'!$C:$C,'Key inputs_EB'!$E112,'S1'!N:N)*SUMIFS(Q$6:Q$90,$C$6:$C$90,$C112,$E$6:$E$90,$E112)</f>
        <v>6.3800000000000009E-2</v>
      </c>
      <c r="R112" s="54">
        <f>SUMIF('S1'!$C:$C,'Key inputs_EB'!$E112,'S1'!O:O)*SUMIFS(R$6:R$90,$C$6:$C$90,$C112,$E$6:$E$90,$E112)</f>
        <v>0.24569999999999997</v>
      </c>
      <c r="S112" s="54">
        <f>SUMIF('S1'!$C:$C,'Key inputs_EB'!$E112,'S1'!P:P)*SUMIFS(S$6:S$90,$C$6:$C$90,$C112,$E$6:$E$90,$E112)</f>
        <v>0</v>
      </c>
      <c r="T112" s="54">
        <f>SUMIF('S1'!$C:$C,'Key inputs_EB'!$E112,'S1'!Q:Q)*SUMIFS(T$6:T$90,$C$6:$C$90,$C112,$E$6:$E$90,$E112)</f>
        <v>1.0400000000000003E-2</v>
      </c>
      <c r="U112" s="54">
        <f>SUMIF('S1'!$C:$C,'Key inputs_EB'!$E112,'S1'!R:R)*SUMIFS(U$6:U$90,$C$6:$C$90,$C112,$E$6:$E$90,$E112)</f>
        <v>0.42967999999999995</v>
      </c>
      <c r="V112" s="54">
        <f>SUMIF('S1'!$C:$C,'Key inputs_EB'!$E112,'S1'!S:S)*SUMIFS(V$6:V$90,$C$6:$C$90,$C112,$E$6:$E$90,$E112)</f>
        <v>0.64580000000000026</v>
      </c>
      <c r="W112" s="54">
        <f>SUMIF('S1'!$C:$C,'Key inputs_EB'!$E112,'S1'!T:T)*SUMIFS(W$6:W$90,$C$6:$C$90,$C112,$E$6:$E$90,$E112)</f>
        <v>1.3790349999999998</v>
      </c>
      <c r="X112" s="54">
        <f>SUMIF('S1'!$C:$C,'Key inputs_EB'!$E112,'S1'!U:U)*SUMIFS(X$6:X$90,$C$6:$C$90,$C112,$E$6:$E$90,$E112)</f>
        <v>2.8177249999999994</v>
      </c>
      <c r="Y112" s="54">
        <f>SUMIF('S1'!$C:$C,'Key inputs_EB'!$E112,'S1'!V:V)*SUMIFS(Y$6:Y$90,$C$6:$C$90,$C112,$E$6:$E$90,$E112)</f>
        <v>0</v>
      </c>
      <c r="Z112" s="54">
        <f>SUMIF('S1'!$C:$C,'Key inputs_EB'!$E112,'S1'!W:W)*SUMIFS(Z$6:Z$90,$C$6:$C$90,$C112,$E$6:$E$90,$E112)</f>
        <v>0</v>
      </c>
      <c r="AA112" s="54">
        <f>SUMIF('S1'!$C:$C,'Key inputs_EB'!$E112,'S1'!X:X)*SUMIFS(AA$6:AA$90,$C$6:$C$90,$C112,$E$6:$E$90,$E112)</f>
        <v>0</v>
      </c>
      <c r="AB112" s="54">
        <f>SUMIF('S1'!$C:$C,'Key inputs_EB'!$E112,'S1'!Y:Y)*SUMIFS(AB$6:AB$90,$C$6:$C$90,$C112,$E$6:$E$90,$E112)</f>
        <v>0</v>
      </c>
      <c r="AC112" s="54">
        <f>SUMIF('S1'!$C:$C,'Key inputs_EB'!$E112,'S1'!Z:Z)*SUMIFS(AC$6:AC$90,$C$6:$C$90,$C112,$E$6:$E$90,$E112)</f>
        <v>0</v>
      </c>
      <c r="AD112" s="54">
        <f>SUMIF('S1'!$C:$C,'Key inputs_EB'!$E112,'S1'!AA:AA)*SUMIFS(AD$6:AD$90,$C$6:$C$90,$C112,$E$6:$E$90,$E112)</f>
        <v>0</v>
      </c>
      <c r="AE112" s="54">
        <f>SUMIF('S1'!$C:$C,'Key inputs_EB'!$E112,'S1'!AB:AB)*SUMIFS(AE$6:AE$90,$C$6:$C$90,$C112,$E$6:$E$90,$E112)</f>
        <v>0</v>
      </c>
      <c r="AF112" s="54">
        <f>SUMIF('S1'!$C:$C,'Key inputs_EB'!$E112,'S1'!AC:AC)*SUMIFS(AF$6:AF$90,$C$6:$C$90,$C112,$E$6:$E$90,$E112)</f>
        <v>0</v>
      </c>
      <c r="AG112" s="54">
        <f>SUMIF('S1'!$C:$C,'Key inputs_EB'!$E112,'S1'!AD:AD)*SUMIFS(AG$6:AG$90,$C$6:$C$90,$C112,$E$6:$E$90,$E112)</f>
        <v>0</v>
      </c>
      <c r="AH112" s="54">
        <f>SUMIF('S1'!$C:$C,'Key inputs_EB'!$E112,'S1'!AE:AE)*SUMIFS(AH$6:AH$90,$C$6:$C$90,$C112,$E$6:$E$90,$E112)</f>
        <v>0.28710000000000002</v>
      </c>
      <c r="AI112" s="54">
        <f>SUMIF('S1'!$C:$C,'Key inputs_EB'!$E112,'S1'!AF:AF)*SUMIFS(AI$6:AI$90,$C$6:$C$90,$C112,$E$6:$E$90,$E112)</f>
        <v>0.20786813012036792</v>
      </c>
      <c r="AJ112" s="84"/>
    </row>
    <row r="113" spans="1:36" s="49" customFormat="1" x14ac:dyDescent="0.3">
      <c r="B113" s="49" t="str">
        <f>Legend!A$47</f>
        <v>Cooking</v>
      </c>
      <c r="C113" s="49" t="str">
        <f>LEFT(Legend!$C$4)&amp;"-"&amp;Legend!B$47</f>
        <v>S-CK</v>
      </c>
      <c r="D113" s="49" t="str">
        <f>Legend!A61</f>
        <v>Coal</v>
      </c>
      <c r="E113" s="49" t="str">
        <f>Legend!B61</f>
        <v>SRVCOA</v>
      </c>
      <c r="F113" s="49" t="s">
        <v>15</v>
      </c>
      <c r="G113" s="49" t="s">
        <v>696</v>
      </c>
      <c r="H113" s="54">
        <f>SUMIF('S1'!$C:$C,'Key inputs_EB'!$E113,'S1'!E:E)*SUMIFS(H$6:H$90,$C$6:$C$90,$C113,$E$6:$E$90,$E113)</f>
        <v>0</v>
      </c>
      <c r="I113" s="54">
        <f>SUMIF('S1'!$C:$C,'Key inputs_EB'!$E113,'S1'!F:F)*SUMIFS(I$6:I$90,$C$6:$C$90,$C113,$E$6:$E$90,$E113)</f>
        <v>0</v>
      </c>
      <c r="J113" s="54">
        <f>SUMIF('S1'!$C:$C,'Key inputs_EB'!$E113,'S1'!G:G)*SUMIFS(J$6:J$90,$C$6:$C$90,$C113,$E$6:$E$90,$E113)</f>
        <v>0</v>
      </c>
      <c r="K113" s="54">
        <f>SUMIF('S1'!$C:$C,'Key inputs_EB'!$E113,'S1'!H:H)*SUMIFS(K$6:K$90,$C$6:$C$90,$C113,$E$6:$E$90,$E113)</f>
        <v>38.715600000000002</v>
      </c>
      <c r="L113" s="54">
        <f>SUMIF('S1'!$C:$C,'Key inputs_EB'!$E113,'S1'!I:I)*SUMIFS(L$6:L$90,$C$6:$C$90,$C113,$E$6:$E$90,$E113)</f>
        <v>0</v>
      </c>
      <c r="M113" s="54">
        <f>SUMIF('S1'!$C:$C,'Key inputs_EB'!$E113,'S1'!J:J)*SUMIFS(M$6:M$90,$C$6:$C$90,$C113,$E$6:$E$90,$E113)</f>
        <v>0</v>
      </c>
      <c r="N113" s="54">
        <f>SUMIF('S1'!$C:$C,'Key inputs_EB'!$E113,'S1'!K:K)*SUMIFS(N$6:N$90,$C$6:$C$90,$C113,$E$6:$E$90,$E113)</f>
        <v>8.2805</v>
      </c>
      <c r="O113" s="54">
        <f>SUMIF('S1'!$C:$C,'Key inputs_EB'!$E113,'S1'!L:L)*SUMIFS(O$6:O$90,$C$6:$C$90,$C113,$E$6:$E$90,$E113)</f>
        <v>0</v>
      </c>
      <c r="P113" s="54">
        <f>SUMIF('S1'!$C:$C,'Key inputs_EB'!$E113,'S1'!M:M)*SUMIFS(P$6:P$90,$C$6:$C$90,$C113,$E$6:$E$90,$E113)</f>
        <v>0</v>
      </c>
      <c r="Q113" s="54">
        <f>SUMIF('S1'!$C:$C,'Key inputs_EB'!$E113,'S1'!N:N)*SUMIFS(Q$6:Q$90,$C$6:$C$90,$C113,$E$6:$E$90,$E113)</f>
        <v>0</v>
      </c>
      <c r="R113" s="54">
        <f>SUMIF('S1'!$C:$C,'Key inputs_EB'!$E113,'S1'!O:O)*SUMIFS(R$6:R$90,$C$6:$C$90,$C113,$E$6:$E$90,$E113)</f>
        <v>0</v>
      </c>
      <c r="S113" s="54">
        <f>SUMIF('S1'!$C:$C,'Key inputs_EB'!$E113,'S1'!P:P)*SUMIFS(S$6:S$90,$C$6:$C$90,$C113,$E$6:$E$90,$E113)</f>
        <v>8.5367999999999995</v>
      </c>
      <c r="T113" s="54">
        <f>SUMIF('S1'!$C:$C,'Key inputs_EB'!$E113,'S1'!Q:Q)*SUMIFS(T$6:T$90,$C$6:$C$90,$C113,$E$6:$E$90,$E113)</f>
        <v>0</v>
      </c>
      <c r="U113" s="54">
        <f>SUMIF('S1'!$C:$C,'Key inputs_EB'!$E113,'S1'!R:R)*SUMIFS(U$6:U$90,$C$6:$C$90,$C113,$E$6:$E$90,$E113)</f>
        <v>0</v>
      </c>
      <c r="V113" s="54">
        <f>SUMIF('S1'!$C:$C,'Key inputs_EB'!$E113,'S1'!S:S)*SUMIFS(V$6:V$90,$C$6:$C$90,$C113,$E$6:$E$90,$E113)</f>
        <v>0</v>
      </c>
      <c r="W113" s="54">
        <f>SUMIF('S1'!$C:$C,'Key inputs_EB'!$E113,'S1'!T:T)*SUMIFS(W$6:W$90,$C$6:$C$90,$C113,$E$6:$E$90,$E113)</f>
        <v>0</v>
      </c>
      <c r="X113" s="54">
        <f>SUMIF('S1'!$C:$C,'Key inputs_EB'!$E113,'S1'!U:U)*SUMIFS(X$6:X$90,$C$6:$C$90,$C113,$E$6:$E$90,$E113)</f>
        <v>0</v>
      </c>
      <c r="Y113" s="54">
        <f>SUMIF('S1'!$C:$C,'Key inputs_EB'!$E113,'S1'!V:V)*SUMIFS(Y$6:Y$90,$C$6:$C$90,$C113,$E$6:$E$90,$E113)</f>
        <v>16.565999999999999</v>
      </c>
      <c r="Z113" s="54">
        <f>SUMIF('S1'!$C:$C,'Key inputs_EB'!$E113,'S1'!W:W)*SUMIFS(Z$6:Z$90,$C$6:$C$90,$C113,$E$6:$E$90,$E113)</f>
        <v>0</v>
      </c>
      <c r="AA113" s="54">
        <f>SUMIF('S1'!$C:$C,'Key inputs_EB'!$E113,'S1'!X:X)*SUMIFS(AA$6:AA$90,$C$6:$C$90,$C113,$E$6:$E$90,$E113)</f>
        <v>1.18404</v>
      </c>
      <c r="AB113" s="54">
        <f>SUMIF('S1'!$C:$C,'Key inputs_EB'!$E113,'S1'!Y:Y)*SUMIFS(AB$6:AB$90,$C$6:$C$90,$C113,$E$6:$E$90,$E113)</f>
        <v>0</v>
      </c>
      <c r="AC113" s="54">
        <f>SUMIF('S1'!$C:$C,'Key inputs_EB'!$E113,'S1'!Z:Z)*SUMIFS(AC$6:AC$90,$C$6:$C$90,$C113,$E$6:$E$90,$E113)</f>
        <v>0</v>
      </c>
      <c r="AD113" s="54">
        <f>SUMIF('S1'!$C:$C,'Key inputs_EB'!$E113,'S1'!AA:AA)*SUMIFS(AD$6:AD$90,$C$6:$C$90,$C113,$E$6:$E$90,$E113)</f>
        <v>0</v>
      </c>
      <c r="AE113" s="54">
        <f>SUMIF('S1'!$C:$C,'Key inputs_EB'!$E113,'S1'!AB:AB)*SUMIFS(AE$6:AE$90,$C$6:$C$90,$C113,$E$6:$E$90,$E113)</f>
        <v>0</v>
      </c>
      <c r="AF113" s="54">
        <f>SUMIF('S1'!$C:$C,'Key inputs_EB'!$E113,'S1'!AC:AC)*SUMIFS(AF$6:AF$90,$C$6:$C$90,$C113,$E$6:$E$90,$E113)</f>
        <v>0</v>
      </c>
      <c r="AG113" s="54">
        <f>SUMIF('S1'!$C:$C,'Key inputs_EB'!$E113,'S1'!AD:AD)*SUMIFS(AG$6:AG$90,$C$6:$C$90,$C113,$E$6:$E$90,$E113)</f>
        <v>0</v>
      </c>
      <c r="AH113" s="54">
        <f>SUMIF('S1'!$C:$C,'Key inputs_EB'!$E113,'S1'!AE:AE)*SUMIFS(AH$6:AH$90,$C$6:$C$90,$C113,$E$6:$E$90,$E113)</f>
        <v>0</v>
      </c>
      <c r="AI113" s="54">
        <f>SUMIF('S1'!$C:$C,'Key inputs_EB'!$E113,'S1'!AF:AF)*SUMIFS(AI$6:AI$90,$C$6:$C$90,$C113,$E$6:$E$90,$E113)</f>
        <v>0</v>
      </c>
      <c r="AJ113" s="84"/>
    </row>
    <row r="114" spans="1:36" s="49" customFormat="1" x14ac:dyDescent="0.3">
      <c r="B114" s="49" t="str">
        <f>Legend!A$47</f>
        <v>Cooking</v>
      </c>
      <c r="C114" s="49" t="str">
        <f>LEFT(Legend!$C$4)&amp;"-"&amp;Legend!B$47</f>
        <v>S-CK</v>
      </c>
      <c r="D114" s="49" t="str">
        <f>Legend!A62</f>
        <v>Oil</v>
      </c>
      <c r="E114" s="49" t="str">
        <f>Legend!B62</f>
        <v>SRVOIL</v>
      </c>
      <c r="F114" s="49" t="s">
        <v>15</v>
      </c>
      <c r="G114" s="49" t="s">
        <v>696</v>
      </c>
      <c r="H114" s="54">
        <f>SUMIF('S1'!$C:$C,'Key inputs_EB'!$E114,'S1'!E:E)*SUMIFS(H$6:H$90,$C$6:$C$90,$C114,$E$6:$E$90,$E114)</f>
        <v>0</v>
      </c>
      <c r="I114" s="54">
        <f>SUMIF('S1'!$C:$C,'Key inputs_EB'!$E114,'S1'!F:F)*SUMIFS(I$6:I$90,$C$6:$C$90,$C114,$E$6:$E$90,$E114)</f>
        <v>0</v>
      </c>
      <c r="J114" s="54">
        <f>SUMIF('S1'!$C:$C,'Key inputs_EB'!$E114,'S1'!G:G)*SUMIFS(J$6:J$90,$C$6:$C$90,$C114,$E$6:$E$90,$E114)</f>
        <v>0</v>
      </c>
      <c r="K114" s="54">
        <f>SUMIF('S1'!$C:$C,'Key inputs_EB'!$E114,'S1'!H:H)*SUMIFS(K$6:K$90,$C$6:$C$90,$C114,$E$6:$E$90,$E114)</f>
        <v>0</v>
      </c>
      <c r="L114" s="54">
        <f>SUMIF('S1'!$C:$C,'Key inputs_EB'!$E114,'S1'!I:I)*SUMIFS(L$6:L$90,$C$6:$C$90,$C114,$E$6:$E$90,$E114)</f>
        <v>0</v>
      </c>
      <c r="M114" s="54">
        <f>SUMIF('S1'!$C:$C,'Key inputs_EB'!$E114,'S1'!J:J)*SUMIFS(M$6:M$90,$C$6:$C$90,$C114,$E$6:$E$90,$E114)</f>
        <v>0</v>
      </c>
      <c r="N114" s="54">
        <f>SUMIF('S1'!$C:$C,'Key inputs_EB'!$E114,'S1'!K:K)*SUMIFS(N$6:N$90,$C$6:$C$90,$C114,$E$6:$E$90,$E114)</f>
        <v>4.6055999999999999</v>
      </c>
      <c r="O114" s="54">
        <f>SUMIF('S1'!$C:$C,'Key inputs_EB'!$E114,'S1'!L:L)*SUMIFS(O$6:O$90,$C$6:$C$90,$C114,$E$6:$E$90,$E114)</f>
        <v>8.9999999999999993E-3</v>
      </c>
      <c r="P114" s="54">
        <f>SUMIF('S1'!$C:$C,'Key inputs_EB'!$E114,'S1'!M:M)*SUMIFS(P$6:P$90,$C$6:$C$90,$C114,$E$6:$E$90,$E114)</f>
        <v>1.1245000000000001</v>
      </c>
      <c r="Q114" s="54">
        <f>SUMIF('S1'!$C:$C,'Key inputs_EB'!$E114,'S1'!N:N)*SUMIFS(Q$6:Q$90,$C$6:$C$90,$C114,$E$6:$E$90,$E114)</f>
        <v>0</v>
      </c>
      <c r="R114" s="54">
        <f>SUMIF('S1'!$C:$C,'Key inputs_EB'!$E114,'S1'!O:O)*SUMIFS(R$6:R$90,$C$6:$C$90,$C114,$E$6:$E$90,$E114)</f>
        <v>9.2210000000000001</v>
      </c>
      <c r="S114" s="54">
        <f>SUMIF('S1'!$C:$C,'Key inputs_EB'!$E114,'S1'!P:P)*SUMIFS(S$6:S$90,$C$6:$C$90,$C114,$E$6:$E$90,$E114)</f>
        <v>0</v>
      </c>
      <c r="T114" s="54">
        <f>SUMIF('S1'!$C:$C,'Key inputs_EB'!$E114,'S1'!Q:Q)*SUMIFS(T$6:T$90,$C$6:$C$90,$C114,$E$6:$E$90,$E114)</f>
        <v>0</v>
      </c>
      <c r="U114" s="54">
        <f>SUMIF('S1'!$C:$C,'Key inputs_EB'!$E114,'S1'!R:R)*SUMIFS(U$6:U$90,$C$6:$C$90,$C114,$E$6:$E$90,$E114)</f>
        <v>0</v>
      </c>
      <c r="V114" s="54">
        <f>SUMIF('S1'!$C:$C,'Key inputs_EB'!$E114,'S1'!S:S)*SUMIFS(V$6:V$90,$C$6:$C$90,$C114,$E$6:$E$90,$E114)</f>
        <v>0</v>
      </c>
      <c r="W114" s="54">
        <f>SUMIF('S1'!$C:$C,'Key inputs_EB'!$E114,'S1'!T:T)*SUMIFS(W$6:W$90,$C$6:$C$90,$C114,$E$6:$E$90,$E114)</f>
        <v>0</v>
      </c>
      <c r="X114" s="54">
        <f>SUMIF('S1'!$C:$C,'Key inputs_EB'!$E114,'S1'!U:U)*SUMIFS(X$6:X$90,$C$6:$C$90,$C114,$E$6:$E$90,$E114)</f>
        <v>0</v>
      </c>
      <c r="Y114" s="54">
        <f>SUMIF('S1'!$C:$C,'Key inputs_EB'!$E114,'S1'!V:V)*SUMIFS(Y$6:Y$90,$C$6:$C$90,$C114,$E$6:$E$90,$E114)</f>
        <v>33.381299999999996</v>
      </c>
      <c r="Z114" s="54">
        <f>SUMIF('S1'!$C:$C,'Key inputs_EB'!$E114,'S1'!W:W)*SUMIFS(Z$6:Z$90,$C$6:$C$90,$C114,$E$6:$E$90,$E114)</f>
        <v>1.9055</v>
      </c>
      <c r="AA114" s="54">
        <f>SUMIF('S1'!$C:$C,'Key inputs_EB'!$E114,'S1'!X:X)*SUMIFS(AA$6:AA$90,$C$6:$C$90,$C114,$E$6:$E$90,$E114)</f>
        <v>0</v>
      </c>
      <c r="AB114" s="54">
        <f>SUMIF('S1'!$C:$C,'Key inputs_EB'!$E114,'S1'!Y:Y)*SUMIFS(AB$6:AB$90,$C$6:$C$90,$C114,$E$6:$E$90,$E114)</f>
        <v>23.821999999999999</v>
      </c>
      <c r="AC114" s="54">
        <f>SUMIF('S1'!$C:$C,'Key inputs_EB'!$E114,'S1'!Z:Z)*SUMIFS(AC$6:AC$90,$C$6:$C$90,$C114,$E$6:$E$90,$E114)</f>
        <v>11.048999999999999</v>
      </c>
      <c r="AD114" s="54">
        <f>SUMIF('S1'!$C:$C,'Key inputs_EB'!$E114,'S1'!AA:AA)*SUMIFS(AD$6:AD$90,$C$6:$C$90,$C114,$E$6:$E$90,$E114)</f>
        <v>21.113399999999995</v>
      </c>
      <c r="AE114" s="54">
        <f>SUMIF('S1'!$C:$C,'Key inputs_EB'!$E114,'S1'!AB:AB)*SUMIFS(AE$6:AE$90,$C$6:$C$90,$C114,$E$6:$E$90,$E114)</f>
        <v>0.83039999999999992</v>
      </c>
      <c r="AF114" s="54">
        <f>SUMIF('S1'!$C:$C,'Key inputs_EB'!$E114,'S1'!AC:AC)*SUMIFS(AF$6:AF$90,$C$6:$C$90,$C114,$E$6:$E$90,$E114)</f>
        <v>0</v>
      </c>
      <c r="AG114" s="54">
        <f>SUMIF('S1'!$C:$C,'Key inputs_EB'!$E114,'S1'!AD:AD)*SUMIFS(AG$6:AG$90,$C$6:$C$90,$C114,$E$6:$E$90,$E114)</f>
        <v>0</v>
      </c>
      <c r="AH114" s="54">
        <f>SUMIF('S1'!$C:$C,'Key inputs_EB'!$E114,'S1'!AE:AE)*SUMIFS(AH$6:AH$90,$C$6:$C$90,$C114,$E$6:$E$90,$E114)</f>
        <v>0</v>
      </c>
      <c r="AI114" s="54">
        <f>SUMIF('S1'!$C:$C,'Key inputs_EB'!$E114,'S1'!AF:AF)*SUMIFS(AI$6:AI$90,$C$6:$C$90,$C114,$E$6:$E$90,$E114)</f>
        <v>0</v>
      </c>
      <c r="AJ114" s="84"/>
    </row>
    <row r="115" spans="1:36" s="49" customFormat="1" x14ac:dyDescent="0.3">
      <c r="B115" s="49" t="str">
        <f>Legend!A$47</f>
        <v>Cooking</v>
      </c>
      <c r="C115" s="49" t="str">
        <f>LEFT(Legend!$C$4)&amp;"-"&amp;Legend!B$47</f>
        <v>S-CK</v>
      </c>
      <c r="D115" s="49" t="str">
        <f>Legend!A63</f>
        <v>Electricity</v>
      </c>
      <c r="E115" s="49" t="str">
        <f>Legend!B63</f>
        <v>SRVELC</v>
      </c>
      <c r="F115" s="49" t="s">
        <v>15</v>
      </c>
      <c r="G115" s="49" t="s">
        <v>696</v>
      </c>
      <c r="H115" s="54">
        <f>SUMIF('S1'!$C:$C,'Key inputs_EB'!$E115,'S1'!E:E)*SUMIFS(H$6:H$90,$C$6:$C$90,$C115,$E$6:$E$90,$E115)</f>
        <v>1.7147500000000002</v>
      </c>
      <c r="I115" s="54">
        <f>SUMIF('S1'!$C:$C,'Key inputs_EB'!$E115,'S1'!F:F)*SUMIFS(I$6:I$90,$C$6:$C$90,$C115,$E$6:$E$90,$E115)</f>
        <v>9.4762500000000003</v>
      </c>
      <c r="J115" s="54">
        <f>SUMIF('S1'!$C:$C,'Key inputs_EB'!$E115,'S1'!G:G)*SUMIFS(J$6:J$90,$C$6:$C$90,$C115,$E$6:$E$90,$E115)</f>
        <v>2.2025000000000001</v>
      </c>
      <c r="K115" s="54">
        <f>SUMIF('S1'!$C:$C,'Key inputs_EB'!$E115,'S1'!H:H)*SUMIFS(K$6:K$90,$C$6:$C$90,$C115,$E$6:$E$90,$E115)</f>
        <v>5.7730500000000005</v>
      </c>
      <c r="L115" s="54">
        <f>SUMIF('S1'!$C:$C,'Key inputs_EB'!$E115,'S1'!I:I)*SUMIFS(L$6:L$90,$C$6:$C$90,$C115,$E$6:$E$90,$E115)</f>
        <v>14.548550000000001</v>
      </c>
      <c r="M115" s="54">
        <f>SUMIF('S1'!$C:$C,'Key inputs_EB'!$E115,'S1'!J:J)*SUMIFS(M$6:M$90,$C$6:$C$90,$C115,$E$6:$E$90,$E115)</f>
        <v>2.9938799999999999</v>
      </c>
      <c r="N115" s="54">
        <f>SUMIF('S1'!$C:$C,'Key inputs_EB'!$E115,'S1'!K:K)*SUMIFS(N$6:N$90,$C$6:$C$90,$C115,$E$6:$E$90,$E115)</f>
        <v>4.7538499999999999</v>
      </c>
      <c r="O115" s="54">
        <f>SUMIF('S1'!$C:$C,'Key inputs_EB'!$E115,'S1'!L:L)*SUMIFS(O$6:O$90,$C$6:$C$90,$C115,$E$6:$E$90,$E115)</f>
        <v>1.0983000000000001</v>
      </c>
      <c r="P115" s="54">
        <f>SUMIF('S1'!$C:$C,'Key inputs_EB'!$E115,'S1'!M:M)*SUMIFS(P$6:P$90,$C$6:$C$90,$C115,$E$6:$E$90,$E115)</f>
        <v>10.15502</v>
      </c>
      <c r="Q115" s="54">
        <f>SUMIF('S1'!$C:$C,'Key inputs_EB'!$E115,'S1'!N:N)*SUMIFS(Q$6:Q$90,$C$6:$C$90,$C115,$E$6:$E$90,$E115)</f>
        <v>21.793839999999999</v>
      </c>
      <c r="R115" s="54">
        <f>SUMIF('S1'!$C:$C,'Key inputs_EB'!$E115,'S1'!O:O)*SUMIFS(R$6:R$90,$C$6:$C$90,$C115,$E$6:$E$90,$E115)</f>
        <v>0.88344</v>
      </c>
      <c r="S115" s="54">
        <f>SUMIF('S1'!$C:$C,'Key inputs_EB'!$E115,'S1'!P:P)*SUMIFS(S$6:S$90,$C$6:$C$90,$C115,$E$6:$E$90,$E115)</f>
        <v>5.39785</v>
      </c>
      <c r="T115" s="54">
        <f>SUMIF('S1'!$C:$C,'Key inputs_EB'!$E115,'S1'!Q:Q)*SUMIFS(T$6:T$90,$C$6:$C$90,$C115,$E$6:$E$90,$E115)</f>
        <v>4.6971600000000002</v>
      </c>
      <c r="U115" s="54">
        <f>SUMIF('S1'!$C:$C,'Key inputs_EB'!$E115,'S1'!R:R)*SUMIFS(U$6:U$90,$C$6:$C$90,$C115,$E$6:$E$90,$E115)</f>
        <v>19.372679999999999</v>
      </c>
      <c r="V115" s="54">
        <f>SUMIF('S1'!$C:$C,'Key inputs_EB'!$E115,'S1'!S:S)*SUMIFS(V$6:V$90,$C$6:$C$90,$C115,$E$6:$E$90,$E115)</f>
        <v>12.61065</v>
      </c>
      <c r="W115" s="54">
        <f>SUMIF('S1'!$C:$C,'Key inputs_EB'!$E115,'S1'!T:T)*SUMIFS(W$6:W$90,$C$6:$C$90,$C115,$E$6:$E$90,$E115)</f>
        <v>48.682000000000002</v>
      </c>
      <c r="X115" s="54">
        <f>SUMIF('S1'!$C:$C,'Key inputs_EB'!$E115,'S1'!U:U)*SUMIFS(X$6:X$90,$C$6:$C$90,$C115,$E$6:$E$90,$E115)</f>
        <v>39.123719999999999</v>
      </c>
      <c r="Y115" s="54">
        <f>SUMIF('S1'!$C:$C,'Key inputs_EB'!$E115,'S1'!V:V)*SUMIFS(Y$6:Y$90,$C$6:$C$90,$C115,$E$6:$E$90,$E115)</f>
        <v>3.94638</v>
      </c>
      <c r="Z115" s="54">
        <f>SUMIF('S1'!$C:$C,'Key inputs_EB'!$E115,'S1'!W:W)*SUMIFS(Z$6:Z$90,$C$6:$C$90,$C115,$E$6:$E$90,$E115)</f>
        <v>11.21937</v>
      </c>
      <c r="AA115" s="54">
        <f>SUMIF('S1'!$C:$C,'Key inputs_EB'!$E115,'S1'!X:X)*SUMIFS(AA$6:AA$90,$C$6:$C$90,$C115,$E$6:$E$90,$E115)</f>
        <v>0</v>
      </c>
      <c r="AB115" s="54">
        <f>SUMIF('S1'!$C:$C,'Key inputs_EB'!$E115,'S1'!Y:Y)*SUMIFS(AB$6:AB$90,$C$6:$C$90,$C115,$E$6:$E$90,$E115)</f>
        <v>8.3242399999999996</v>
      </c>
      <c r="AC115" s="54">
        <f>SUMIF('S1'!$C:$C,'Key inputs_EB'!$E115,'S1'!Z:Z)*SUMIFS(AC$6:AC$90,$C$6:$C$90,$C115,$E$6:$E$90,$E115)</f>
        <v>11.07099</v>
      </c>
      <c r="AD115" s="54">
        <f>SUMIF('S1'!$C:$C,'Key inputs_EB'!$E115,'S1'!AA:AA)*SUMIFS(AD$6:AD$90,$C$6:$C$90,$C115,$E$6:$E$90,$E115)</f>
        <v>23.961959999999998</v>
      </c>
      <c r="AE115" s="54">
        <f>SUMIF('S1'!$C:$C,'Key inputs_EB'!$E115,'S1'!AB:AB)*SUMIFS(AE$6:AE$90,$C$6:$C$90,$C115,$E$6:$E$90,$E115)</f>
        <v>2.06758</v>
      </c>
      <c r="AF115" s="54">
        <f>SUMIF('S1'!$C:$C,'Key inputs_EB'!$E115,'S1'!AC:AC)*SUMIFS(AF$6:AF$90,$C$6:$C$90,$C115,$E$6:$E$90,$E115)</f>
        <v>1.3309500000000001</v>
      </c>
      <c r="AG115" s="54">
        <f>SUMIF('S1'!$C:$C,'Key inputs_EB'!$E115,'S1'!AD:AD)*SUMIFS(AG$6:AG$90,$C$6:$C$90,$C115,$E$6:$E$90,$E115)</f>
        <v>16.509839999999997</v>
      </c>
      <c r="AH115" s="54">
        <f>SUMIF('S1'!$C:$C,'Key inputs_EB'!$E115,'S1'!AE:AE)*SUMIFS(AH$6:AH$90,$C$6:$C$90,$C115,$E$6:$E$90,$E115)</f>
        <v>5.8900199999999998</v>
      </c>
      <c r="AI115" s="54">
        <f>SUMIF('S1'!$C:$C,'Key inputs_EB'!$E115,'S1'!AF:AF)*SUMIFS(AI$6:AI$90,$C$6:$C$90,$C115,$E$6:$E$90,$E115)</f>
        <v>50.646259347105783</v>
      </c>
      <c r="AJ115" s="84"/>
    </row>
    <row r="116" spans="1:36" s="49" customFormat="1" x14ac:dyDescent="0.3">
      <c r="B116" s="49" t="str">
        <f>Legend!A$47</f>
        <v>Cooking</v>
      </c>
      <c r="C116" s="49" t="str">
        <f>LEFT(Legend!$C$4)&amp;"-"&amp;Legend!B$47</f>
        <v>S-CK</v>
      </c>
      <c r="D116" s="49" t="str">
        <f>Legend!A64</f>
        <v>Geothermal</v>
      </c>
      <c r="E116" s="49" t="str">
        <f>Legend!B64</f>
        <v>SRVGEO</v>
      </c>
      <c r="F116" s="49" t="s">
        <v>15</v>
      </c>
      <c r="G116" s="49" t="s">
        <v>696</v>
      </c>
      <c r="H116" s="54">
        <f>SUMIF('S1'!$C:$C,'Key inputs_EB'!$E116,'S1'!E:E)*SUMIFS(H$6:H$90,$C$6:$C$90,$C116,$E$6:$E$90,$E116)</f>
        <v>0</v>
      </c>
      <c r="I116" s="54">
        <f>SUMIF('S1'!$C:$C,'Key inputs_EB'!$E116,'S1'!F:F)*SUMIFS(I$6:I$90,$C$6:$C$90,$C116,$E$6:$E$90,$E116)</f>
        <v>0</v>
      </c>
      <c r="J116" s="54">
        <f>SUMIF('S1'!$C:$C,'Key inputs_EB'!$E116,'S1'!G:G)*SUMIFS(J$6:J$90,$C$6:$C$90,$C116,$E$6:$E$90,$E116)</f>
        <v>0</v>
      </c>
      <c r="K116" s="54">
        <f>SUMIF('S1'!$C:$C,'Key inputs_EB'!$E116,'S1'!H:H)*SUMIFS(K$6:K$90,$C$6:$C$90,$C116,$E$6:$E$90,$E116)</f>
        <v>0</v>
      </c>
      <c r="L116" s="54">
        <f>SUMIF('S1'!$C:$C,'Key inputs_EB'!$E116,'S1'!I:I)*SUMIFS(L$6:L$90,$C$6:$C$90,$C116,$E$6:$E$90,$E116)</f>
        <v>0</v>
      </c>
      <c r="M116" s="54">
        <f>SUMIF('S1'!$C:$C,'Key inputs_EB'!$E116,'S1'!J:J)*SUMIFS(M$6:M$90,$C$6:$C$90,$C116,$E$6:$E$90,$E116)</f>
        <v>0</v>
      </c>
      <c r="N116" s="54">
        <f>SUMIF('S1'!$C:$C,'Key inputs_EB'!$E116,'S1'!K:K)*SUMIFS(N$6:N$90,$C$6:$C$90,$C116,$E$6:$E$90,$E116)</f>
        <v>0</v>
      </c>
      <c r="O116" s="54">
        <f>SUMIF('S1'!$C:$C,'Key inputs_EB'!$E116,'S1'!L:L)*SUMIFS(O$6:O$90,$C$6:$C$90,$C116,$E$6:$E$90,$E116)</f>
        <v>0</v>
      </c>
      <c r="P116" s="54">
        <f>SUMIF('S1'!$C:$C,'Key inputs_EB'!$E116,'S1'!M:M)*SUMIFS(P$6:P$90,$C$6:$C$90,$C116,$E$6:$E$90,$E116)</f>
        <v>0</v>
      </c>
      <c r="Q116" s="54">
        <f>SUMIF('S1'!$C:$C,'Key inputs_EB'!$E116,'S1'!N:N)*SUMIFS(Q$6:Q$90,$C$6:$C$90,$C116,$E$6:$E$90,$E116)</f>
        <v>0</v>
      </c>
      <c r="R116" s="54">
        <f>SUMIF('S1'!$C:$C,'Key inputs_EB'!$E116,'S1'!O:O)*SUMIFS(R$6:R$90,$C$6:$C$90,$C116,$E$6:$E$90,$E116)</f>
        <v>0</v>
      </c>
      <c r="S116" s="54">
        <f>SUMIF('S1'!$C:$C,'Key inputs_EB'!$E116,'S1'!P:P)*SUMIFS(S$6:S$90,$C$6:$C$90,$C116,$E$6:$E$90,$E116)</f>
        <v>0</v>
      </c>
      <c r="T116" s="54">
        <f>SUMIF('S1'!$C:$C,'Key inputs_EB'!$E116,'S1'!Q:Q)*SUMIFS(T$6:T$90,$C$6:$C$90,$C116,$E$6:$E$90,$E116)</f>
        <v>0</v>
      </c>
      <c r="U116" s="54">
        <f>SUMIF('S1'!$C:$C,'Key inputs_EB'!$E116,'S1'!R:R)*SUMIFS(U$6:U$90,$C$6:$C$90,$C116,$E$6:$E$90,$E116)</f>
        <v>0</v>
      </c>
      <c r="V116" s="54">
        <f>SUMIF('S1'!$C:$C,'Key inputs_EB'!$E116,'S1'!S:S)*SUMIFS(V$6:V$90,$C$6:$C$90,$C116,$E$6:$E$90,$E116)</f>
        <v>0</v>
      </c>
      <c r="W116" s="54">
        <f>SUMIF('S1'!$C:$C,'Key inputs_EB'!$E116,'S1'!T:T)*SUMIFS(W$6:W$90,$C$6:$C$90,$C116,$E$6:$E$90,$E116)</f>
        <v>0</v>
      </c>
      <c r="X116" s="54">
        <f>SUMIF('S1'!$C:$C,'Key inputs_EB'!$E116,'S1'!U:U)*SUMIFS(X$6:X$90,$C$6:$C$90,$C116,$E$6:$E$90,$E116)</f>
        <v>0</v>
      </c>
      <c r="Y116" s="54">
        <f>SUMIF('S1'!$C:$C,'Key inputs_EB'!$E116,'S1'!V:V)*SUMIFS(Y$6:Y$90,$C$6:$C$90,$C116,$E$6:$E$90,$E116)</f>
        <v>0</v>
      </c>
      <c r="Z116" s="54">
        <f>SUMIF('S1'!$C:$C,'Key inputs_EB'!$E116,'S1'!W:W)*SUMIFS(Z$6:Z$90,$C$6:$C$90,$C116,$E$6:$E$90,$E116)</f>
        <v>0</v>
      </c>
      <c r="AA116" s="54">
        <f>SUMIF('S1'!$C:$C,'Key inputs_EB'!$E116,'S1'!X:X)*SUMIFS(AA$6:AA$90,$C$6:$C$90,$C116,$E$6:$E$90,$E116)</f>
        <v>0</v>
      </c>
      <c r="AB116" s="54">
        <f>SUMIF('S1'!$C:$C,'Key inputs_EB'!$E116,'S1'!Y:Y)*SUMIFS(AB$6:AB$90,$C$6:$C$90,$C116,$E$6:$E$90,$E116)</f>
        <v>0</v>
      </c>
      <c r="AC116" s="54">
        <f>SUMIF('S1'!$C:$C,'Key inputs_EB'!$E116,'S1'!Z:Z)*SUMIFS(AC$6:AC$90,$C$6:$C$90,$C116,$E$6:$E$90,$E116)</f>
        <v>0</v>
      </c>
      <c r="AD116" s="54">
        <f>SUMIF('S1'!$C:$C,'Key inputs_EB'!$E116,'S1'!AA:AA)*SUMIFS(AD$6:AD$90,$C$6:$C$90,$C116,$E$6:$E$90,$E116)</f>
        <v>0</v>
      </c>
      <c r="AE116" s="54">
        <f>SUMIF('S1'!$C:$C,'Key inputs_EB'!$E116,'S1'!AB:AB)*SUMIFS(AE$6:AE$90,$C$6:$C$90,$C116,$E$6:$E$90,$E116)</f>
        <v>0</v>
      </c>
      <c r="AF116" s="54">
        <f>SUMIF('S1'!$C:$C,'Key inputs_EB'!$E116,'S1'!AC:AC)*SUMIFS(AF$6:AF$90,$C$6:$C$90,$C116,$E$6:$E$90,$E116)</f>
        <v>0</v>
      </c>
      <c r="AG116" s="54">
        <f>SUMIF('S1'!$C:$C,'Key inputs_EB'!$E116,'S1'!AD:AD)*SUMIFS(AG$6:AG$90,$C$6:$C$90,$C116,$E$6:$E$90,$E116)</f>
        <v>0</v>
      </c>
      <c r="AH116" s="54">
        <f>SUMIF('S1'!$C:$C,'Key inputs_EB'!$E116,'S1'!AE:AE)*SUMIFS(AH$6:AH$90,$C$6:$C$90,$C116,$E$6:$E$90,$E116)</f>
        <v>0</v>
      </c>
      <c r="AI116" s="54">
        <f>SUMIF('S1'!$C:$C,'Key inputs_EB'!$E116,'S1'!AF:AF)*SUMIFS(AI$6:AI$90,$C$6:$C$90,$C116,$E$6:$E$90,$E116)</f>
        <v>0</v>
      </c>
      <c r="AJ116" s="84"/>
    </row>
    <row r="117" spans="1:36" s="49" customFormat="1" x14ac:dyDescent="0.3">
      <c r="B117" s="49" t="str">
        <f>Legend!A$47</f>
        <v>Cooking</v>
      </c>
      <c r="C117" s="49" t="str">
        <f>LEFT(Legend!$C$4)&amp;"-"&amp;Legend!B$47</f>
        <v>S-CK</v>
      </c>
      <c r="D117" s="49" t="str">
        <f>Legend!A65</f>
        <v>Heat</v>
      </c>
      <c r="E117" s="49" t="str">
        <f>Legend!B65</f>
        <v>SRVHET</v>
      </c>
      <c r="F117" s="49" t="s">
        <v>15</v>
      </c>
      <c r="G117" s="49" t="s">
        <v>696</v>
      </c>
      <c r="H117" s="54">
        <f>SUMIF('S1'!$C:$C,'Key inputs_EB'!$E117,'S1'!E:E)*SUMIFS(H$6:H$90,$C$6:$C$90,$C117,$E$6:$E$90,$E117)</f>
        <v>0</v>
      </c>
      <c r="I117" s="54">
        <f>SUMIF('S1'!$C:$C,'Key inputs_EB'!$E117,'S1'!F:F)*SUMIFS(I$6:I$90,$C$6:$C$90,$C117,$E$6:$E$90,$E117)</f>
        <v>0</v>
      </c>
      <c r="J117" s="54">
        <f>SUMIF('S1'!$C:$C,'Key inputs_EB'!$E117,'S1'!G:G)*SUMIFS(J$6:J$90,$C$6:$C$90,$C117,$E$6:$E$90,$E117)</f>
        <v>0</v>
      </c>
      <c r="K117" s="54">
        <f>SUMIF('S1'!$C:$C,'Key inputs_EB'!$E117,'S1'!H:H)*SUMIFS(K$6:K$90,$C$6:$C$90,$C117,$E$6:$E$90,$E117)</f>
        <v>0</v>
      </c>
      <c r="L117" s="54">
        <f>SUMIF('S1'!$C:$C,'Key inputs_EB'!$E117,'S1'!I:I)*SUMIFS(L$6:L$90,$C$6:$C$90,$C117,$E$6:$E$90,$E117)</f>
        <v>0</v>
      </c>
      <c r="M117" s="54">
        <f>SUMIF('S1'!$C:$C,'Key inputs_EB'!$E117,'S1'!J:J)*SUMIFS(M$6:M$90,$C$6:$C$90,$C117,$E$6:$E$90,$E117)</f>
        <v>0</v>
      </c>
      <c r="N117" s="54">
        <f>SUMIF('S1'!$C:$C,'Key inputs_EB'!$E117,'S1'!K:K)*SUMIFS(N$6:N$90,$C$6:$C$90,$C117,$E$6:$E$90,$E117)</f>
        <v>0</v>
      </c>
      <c r="O117" s="54">
        <f>SUMIF('S1'!$C:$C,'Key inputs_EB'!$E117,'S1'!L:L)*SUMIFS(O$6:O$90,$C$6:$C$90,$C117,$E$6:$E$90,$E117)</f>
        <v>0</v>
      </c>
      <c r="P117" s="54">
        <f>SUMIF('S1'!$C:$C,'Key inputs_EB'!$E117,'S1'!M:M)*SUMIFS(P$6:P$90,$C$6:$C$90,$C117,$E$6:$E$90,$E117)</f>
        <v>0</v>
      </c>
      <c r="Q117" s="54">
        <f>SUMIF('S1'!$C:$C,'Key inputs_EB'!$E117,'S1'!N:N)*SUMIFS(Q$6:Q$90,$C$6:$C$90,$C117,$E$6:$E$90,$E117)</f>
        <v>0</v>
      </c>
      <c r="R117" s="54">
        <f>SUMIF('S1'!$C:$C,'Key inputs_EB'!$E117,'S1'!O:O)*SUMIFS(R$6:R$90,$C$6:$C$90,$C117,$E$6:$E$90,$E117)</f>
        <v>0</v>
      </c>
      <c r="S117" s="54">
        <f>SUMIF('S1'!$C:$C,'Key inputs_EB'!$E117,'S1'!P:P)*SUMIFS(S$6:S$90,$C$6:$C$90,$C117,$E$6:$E$90,$E117)</f>
        <v>0</v>
      </c>
      <c r="T117" s="54">
        <f>SUMIF('S1'!$C:$C,'Key inputs_EB'!$E117,'S1'!Q:Q)*SUMIFS(T$6:T$90,$C$6:$C$90,$C117,$E$6:$E$90,$E117)</f>
        <v>0</v>
      </c>
      <c r="U117" s="54">
        <f>SUMIF('S1'!$C:$C,'Key inputs_EB'!$E117,'S1'!R:R)*SUMIFS(U$6:U$90,$C$6:$C$90,$C117,$E$6:$E$90,$E117)</f>
        <v>0</v>
      </c>
      <c r="V117" s="54">
        <f>SUMIF('S1'!$C:$C,'Key inputs_EB'!$E117,'S1'!S:S)*SUMIFS(V$6:V$90,$C$6:$C$90,$C117,$E$6:$E$90,$E117)</f>
        <v>0</v>
      </c>
      <c r="W117" s="54">
        <f>SUMIF('S1'!$C:$C,'Key inputs_EB'!$E117,'S1'!T:T)*SUMIFS(W$6:W$90,$C$6:$C$90,$C117,$E$6:$E$90,$E117)</f>
        <v>0</v>
      </c>
      <c r="X117" s="54">
        <f>SUMIF('S1'!$C:$C,'Key inputs_EB'!$E117,'S1'!U:U)*SUMIFS(X$6:X$90,$C$6:$C$90,$C117,$E$6:$E$90,$E117)</f>
        <v>0</v>
      </c>
      <c r="Y117" s="54">
        <f>SUMIF('S1'!$C:$C,'Key inputs_EB'!$E117,'S1'!V:V)*SUMIFS(Y$6:Y$90,$C$6:$C$90,$C117,$E$6:$E$90,$E117)</f>
        <v>0</v>
      </c>
      <c r="Z117" s="54">
        <f>SUMIF('S1'!$C:$C,'Key inputs_EB'!$E117,'S1'!W:W)*SUMIFS(Z$6:Z$90,$C$6:$C$90,$C117,$E$6:$E$90,$E117)</f>
        <v>0</v>
      </c>
      <c r="AA117" s="54">
        <f>SUMIF('S1'!$C:$C,'Key inputs_EB'!$E117,'S1'!X:X)*SUMIFS(AA$6:AA$90,$C$6:$C$90,$C117,$E$6:$E$90,$E117)</f>
        <v>0</v>
      </c>
      <c r="AB117" s="54">
        <f>SUMIF('S1'!$C:$C,'Key inputs_EB'!$E117,'S1'!Y:Y)*SUMIFS(AB$6:AB$90,$C$6:$C$90,$C117,$E$6:$E$90,$E117)</f>
        <v>0</v>
      </c>
      <c r="AC117" s="54">
        <f>SUMIF('S1'!$C:$C,'Key inputs_EB'!$E117,'S1'!Z:Z)*SUMIFS(AC$6:AC$90,$C$6:$C$90,$C117,$E$6:$E$90,$E117)</f>
        <v>0</v>
      </c>
      <c r="AD117" s="54">
        <f>SUMIF('S1'!$C:$C,'Key inputs_EB'!$E117,'S1'!AA:AA)*SUMIFS(AD$6:AD$90,$C$6:$C$90,$C117,$E$6:$E$90,$E117)</f>
        <v>0</v>
      </c>
      <c r="AE117" s="54">
        <f>SUMIF('S1'!$C:$C,'Key inputs_EB'!$E117,'S1'!AB:AB)*SUMIFS(AE$6:AE$90,$C$6:$C$90,$C117,$E$6:$E$90,$E117)</f>
        <v>0</v>
      </c>
      <c r="AF117" s="54">
        <f>SUMIF('S1'!$C:$C,'Key inputs_EB'!$E117,'S1'!AC:AC)*SUMIFS(AF$6:AF$90,$C$6:$C$90,$C117,$E$6:$E$90,$E117)</f>
        <v>0</v>
      </c>
      <c r="AG117" s="54">
        <f>SUMIF('S1'!$C:$C,'Key inputs_EB'!$E117,'S1'!AD:AD)*SUMIFS(AG$6:AG$90,$C$6:$C$90,$C117,$E$6:$E$90,$E117)</f>
        <v>0</v>
      </c>
      <c r="AH117" s="54">
        <f>SUMIF('S1'!$C:$C,'Key inputs_EB'!$E117,'S1'!AE:AE)*SUMIFS(AH$6:AH$90,$C$6:$C$90,$C117,$E$6:$E$90,$E117)</f>
        <v>0</v>
      </c>
      <c r="AI117" s="54">
        <f>SUMIF('S1'!$C:$C,'Key inputs_EB'!$E117,'S1'!AF:AF)*SUMIFS(AI$6:AI$90,$C$6:$C$90,$C117,$E$6:$E$90,$E117)</f>
        <v>0</v>
      </c>
      <c r="AJ117" s="84"/>
    </row>
    <row r="118" spans="1:36" s="49" customFormat="1" x14ac:dyDescent="0.3">
      <c r="B118" s="49" t="str">
        <f>Legend!A$47</f>
        <v>Cooking</v>
      </c>
      <c r="C118" s="49" t="str">
        <f>LEFT(Legend!$C$4)&amp;"-"&amp;Legend!B$47</f>
        <v>S-CK</v>
      </c>
      <c r="D118" s="49" t="str">
        <f>Legend!A66</f>
        <v>Liquid biofuels</v>
      </c>
      <c r="E118" s="49" t="str">
        <f>Legend!B66</f>
        <v>SRVBLQ</v>
      </c>
      <c r="F118" s="49" t="s">
        <v>15</v>
      </c>
      <c r="G118" s="49" t="s">
        <v>696</v>
      </c>
      <c r="H118" s="54">
        <f>SUMIF('S1'!$C:$C,'Key inputs_EB'!$E118,'S1'!E:E)*SUMIFS(H$6:H$90,$C$6:$C$90,$C118,$E$6:$E$90,$E118)</f>
        <v>0</v>
      </c>
      <c r="I118" s="54">
        <f>SUMIF('S1'!$C:$C,'Key inputs_EB'!$E118,'S1'!F:F)*SUMIFS(I$6:I$90,$C$6:$C$90,$C118,$E$6:$E$90,$E118)</f>
        <v>0</v>
      </c>
      <c r="J118" s="54">
        <f>SUMIF('S1'!$C:$C,'Key inputs_EB'!$E118,'S1'!G:G)*SUMIFS(J$6:J$90,$C$6:$C$90,$C118,$E$6:$E$90,$E118)</f>
        <v>0</v>
      </c>
      <c r="K118" s="54">
        <f>SUMIF('S1'!$C:$C,'Key inputs_EB'!$E118,'S1'!H:H)*SUMIFS(K$6:K$90,$C$6:$C$90,$C118,$E$6:$E$90,$E118)</f>
        <v>0</v>
      </c>
      <c r="L118" s="54">
        <f>SUMIF('S1'!$C:$C,'Key inputs_EB'!$E118,'S1'!I:I)*SUMIFS(L$6:L$90,$C$6:$C$90,$C118,$E$6:$E$90,$E118)</f>
        <v>0</v>
      </c>
      <c r="M118" s="54">
        <f>SUMIF('S1'!$C:$C,'Key inputs_EB'!$E118,'S1'!J:J)*SUMIFS(M$6:M$90,$C$6:$C$90,$C118,$E$6:$E$90,$E118)</f>
        <v>0</v>
      </c>
      <c r="N118" s="54">
        <f>SUMIF('S1'!$C:$C,'Key inputs_EB'!$E118,'S1'!K:K)*SUMIFS(N$6:N$90,$C$6:$C$90,$C118,$E$6:$E$90,$E118)</f>
        <v>0</v>
      </c>
      <c r="O118" s="54">
        <f>SUMIF('S1'!$C:$C,'Key inputs_EB'!$E118,'S1'!L:L)*SUMIFS(O$6:O$90,$C$6:$C$90,$C118,$E$6:$E$90,$E118)</f>
        <v>0</v>
      </c>
      <c r="P118" s="54">
        <f>SUMIF('S1'!$C:$C,'Key inputs_EB'!$E118,'S1'!M:M)*SUMIFS(P$6:P$90,$C$6:$C$90,$C118,$E$6:$E$90,$E118)</f>
        <v>7.6999999999999999E-2</v>
      </c>
      <c r="Q118" s="54">
        <f>SUMIF('S1'!$C:$C,'Key inputs_EB'!$E118,'S1'!N:N)*SUMIFS(Q$6:Q$90,$C$6:$C$90,$C118,$E$6:$E$90,$E118)</f>
        <v>0</v>
      </c>
      <c r="R118" s="54">
        <f>SUMIF('S1'!$C:$C,'Key inputs_EB'!$E118,'S1'!O:O)*SUMIFS(R$6:R$90,$C$6:$C$90,$C118,$E$6:$E$90,$E118)</f>
        <v>0</v>
      </c>
      <c r="S118" s="54">
        <f>SUMIF('S1'!$C:$C,'Key inputs_EB'!$E118,'S1'!P:P)*SUMIFS(S$6:S$90,$C$6:$C$90,$C118,$E$6:$E$90,$E118)</f>
        <v>0</v>
      </c>
      <c r="T118" s="54">
        <f>SUMIF('S1'!$C:$C,'Key inputs_EB'!$E118,'S1'!Q:Q)*SUMIFS(T$6:T$90,$C$6:$C$90,$C118,$E$6:$E$90,$E118)</f>
        <v>0</v>
      </c>
      <c r="U118" s="54">
        <f>SUMIF('S1'!$C:$C,'Key inputs_EB'!$E118,'S1'!R:R)*SUMIFS(U$6:U$90,$C$6:$C$90,$C118,$E$6:$E$90,$E118)</f>
        <v>0</v>
      </c>
      <c r="V118" s="54">
        <f>SUMIF('S1'!$C:$C,'Key inputs_EB'!$E118,'S1'!S:S)*SUMIFS(V$6:V$90,$C$6:$C$90,$C118,$E$6:$E$90,$E118)</f>
        <v>0</v>
      </c>
      <c r="W118" s="54">
        <f>SUMIF('S1'!$C:$C,'Key inputs_EB'!$E118,'S1'!T:T)*SUMIFS(W$6:W$90,$C$6:$C$90,$C118,$E$6:$E$90,$E118)</f>
        <v>0</v>
      </c>
      <c r="X118" s="54">
        <f>SUMIF('S1'!$C:$C,'Key inputs_EB'!$E118,'S1'!U:U)*SUMIFS(X$6:X$90,$C$6:$C$90,$C118,$E$6:$E$90,$E118)</f>
        <v>0</v>
      </c>
      <c r="Y118" s="54">
        <f>SUMIF('S1'!$C:$C,'Key inputs_EB'!$E118,'S1'!V:V)*SUMIFS(Y$6:Y$90,$C$6:$C$90,$C118,$E$6:$E$90,$E118)</f>
        <v>0.93599999999999994</v>
      </c>
      <c r="Z118" s="54">
        <f>SUMIF('S1'!$C:$C,'Key inputs_EB'!$E118,'S1'!W:W)*SUMIFS(Z$6:Z$90,$C$6:$C$90,$C118,$E$6:$E$90,$E118)</f>
        <v>0</v>
      </c>
      <c r="AA118" s="54">
        <f>SUMIF('S1'!$C:$C,'Key inputs_EB'!$E118,'S1'!X:X)*SUMIFS(AA$6:AA$90,$C$6:$C$90,$C118,$E$6:$E$90,$E118)</f>
        <v>0</v>
      </c>
      <c r="AB118" s="54">
        <f>SUMIF('S1'!$C:$C,'Key inputs_EB'!$E118,'S1'!Y:Y)*SUMIFS(AB$6:AB$90,$C$6:$C$90,$C118,$E$6:$E$90,$E118)</f>
        <v>0.14799999999999999</v>
      </c>
      <c r="AC118" s="54">
        <f>SUMIF('S1'!$C:$C,'Key inputs_EB'!$E118,'S1'!Z:Z)*SUMIFS(AC$6:AC$90,$C$6:$C$90,$C118,$E$6:$E$90,$E118)</f>
        <v>0</v>
      </c>
      <c r="AD118" s="54">
        <f>SUMIF('S1'!$C:$C,'Key inputs_EB'!$E118,'S1'!AA:AA)*SUMIFS(AD$6:AD$90,$C$6:$C$90,$C118,$E$6:$E$90,$E118)</f>
        <v>0</v>
      </c>
      <c r="AE118" s="54">
        <f>SUMIF('S1'!$C:$C,'Key inputs_EB'!$E118,'S1'!AB:AB)*SUMIFS(AE$6:AE$90,$C$6:$C$90,$C118,$E$6:$E$90,$E118)</f>
        <v>0</v>
      </c>
      <c r="AF118" s="54">
        <f>SUMIF('S1'!$C:$C,'Key inputs_EB'!$E118,'S1'!AC:AC)*SUMIFS(AF$6:AF$90,$C$6:$C$90,$C118,$E$6:$E$90,$E118)</f>
        <v>0</v>
      </c>
      <c r="AG118" s="54">
        <f>SUMIF('S1'!$C:$C,'Key inputs_EB'!$E118,'S1'!AD:AD)*SUMIFS(AG$6:AG$90,$C$6:$C$90,$C118,$E$6:$E$90,$E118)</f>
        <v>0</v>
      </c>
      <c r="AH118" s="54">
        <f>SUMIF('S1'!$C:$C,'Key inputs_EB'!$E118,'S1'!AE:AE)*SUMIFS(AH$6:AH$90,$C$6:$C$90,$C118,$E$6:$E$90,$E118)</f>
        <v>0</v>
      </c>
      <c r="AI118" s="54">
        <f>SUMIF('S1'!$C:$C,'Key inputs_EB'!$E118,'S1'!AF:AF)*SUMIFS(AI$6:AI$90,$C$6:$C$90,$C118,$E$6:$E$90,$E118)</f>
        <v>0</v>
      </c>
      <c r="AJ118" s="84"/>
    </row>
    <row r="119" spans="1:36" s="49" customFormat="1" x14ac:dyDescent="0.3">
      <c r="B119" s="49" t="str">
        <f>Legend!A$47</f>
        <v>Cooking</v>
      </c>
      <c r="C119" s="49" t="str">
        <f>LEFT(Legend!$C$4)&amp;"-"&amp;Legend!B$47</f>
        <v>S-CK</v>
      </c>
      <c r="D119" s="49" t="str">
        <f>Legend!A67</f>
        <v>LPG</v>
      </c>
      <c r="E119" s="49" t="str">
        <f>Legend!B67</f>
        <v>SRVLPG</v>
      </c>
      <c r="F119" s="49" t="s">
        <v>15</v>
      </c>
      <c r="G119" s="49" t="s">
        <v>696</v>
      </c>
      <c r="H119" s="54">
        <f>SUMIF('S1'!$C:$C,'Key inputs_EB'!$E119,'S1'!E:E)*SUMIFS(H$6:H$90,$C$6:$C$90,$C119,$E$6:$E$90,$E119)</f>
        <v>4.0145</v>
      </c>
      <c r="I119" s="54">
        <f>SUMIF('S1'!$C:$C,'Key inputs_EB'!$E119,'S1'!F:F)*SUMIFS(I$6:I$90,$C$6:$C$90,$C119,$E$6:$E$90,$E119)</f>
        <v>5.0413999999999994</v>
      </c>
      <c r="J119" s="54">
        <f>SUMIF('S1'!$C:$C,'Key inputs_EB'!$E119,'S1'!G:G)*SUMIFS(J$6:J$90,$C$6:$C$90,$C119,$E$6:$E$90,$E119)</f>
        <v>5.2080000000000002</v>
      </c>
      <c r="K119" s="54">
        <f>SUMIF('S1'!$C:$C,'Key inputs_EB'!$E119,'S1'!H:H)*SUMIFS(K$6:K$90,$C$6:$C$90,$C119,$E$6:$E$90,$E119)</f>
        <v>1.6400999999999999</v>
      </c>
      <c r="L119" s="54">
        <f>SUMIF('S1'!$C:$C,'Key inputs_EB'!$E119,'S1'!I:I)*SUMIFS(L$6:L$90,$C$6:$C$90,$C119,$E$6:$E$90,$E119)</f>
        <v>0.88240000000000007</v>
      </c>
      <c r="M119" s="54">
        <f>SUMIF('S1'!$C:$C,'Key inputs_EB'!$E119,'S1'!J:J)*SUMIFS(M$6:M$90,$C$6:$C$90,$C119,$E$6:$E$90,$E119)</f>
        <v>0.15299741998695046</v>
      </c>
      <c r="N119" s="54">
        <f>SUMIF('S1'!$C:$C,'Key inputs_EB'!$E119,'S1'!K:K)*SUMIFS(N$6:N$90,$C$6:$C$90,$C119,$E$6:$E$90,$E119)</f>
        <v>34.434399999999997</v>
      </c>
      <c r="O119" s="54">
        <f>SUMIF('S1'!$C:$C,'Key inputs_EB'!$E119,'S1'!L:L)*SUMIFS(O$6:O$90,$C$6:$C$90,$C119,$E$6:$E$90,$E119)</f>
        <v>23.085999999999995</v>
      </c>
      <c r="P119" s="54">
        <f>SUMIF('S1'!$C:$C,'Key inputs_EB'!$E119,'S1'!M:M)*SUMIFS(P$6:P$90,$C$6:$C$90,$C119,$E$6:$E$90,$E119)</f>
        <v>0</v>
      </c>
      <c r="Q119" s="54">
        <f>SUMIF('S1'!$C:$C,'Key inputs_EB'!$E119,'S1'!N:N)*SUMIFS(Q$6:Q$90,$C$6:$C$90,$C119,$E$6:$E$90,$E119)</f>
        <v>26.373200000000001</v>
      </c>
      <c r="R119" s="54">
        <f>SUMIF('S1'!$C:$C,'Key inputs_EB'!$E119,'S1'!O:O)*SUMIFS(R$6:R$90,$C$6:$C$90,$C119,$E$6:$E$90,$E119)</f>
        <v>8.1296999999999997</v>
      </c>
      <c r="S119" s="54">
        <f>SUMIF('S1'!$C:$C,'Key inputs_EB'!$E119,'S1'!P:P)*SUMIFS(S$6:S$90,$C$6:$C$90,$C119,$E$6:$E$90,$E119)</f>
        <v>0</v>
      </c>
      <c r="T119" s="54">
        <f>SUMIF('S1'!$C:$C,'Key inputs_EB'!$E119,'S1'!Q:Q)*SUMIFS(T$6:T$90,$C$6:$C$90,$C119,$E$6:$E$90,$E119)</f>
        <v>0.25830452993565545</v>
      </c>
      <c r="U119" s="54">
        <f>SUMIF('S1'!$C:$C,'Key inputs_EB'!$E119,'S1'!R:R)*SUMIFS(U$6:U$90,$C$6:$C$90,$C119,$E$6:$E$90,$E119)</f>
        <v>8.8354999999999997</v>
      </c>
      <c r="V119" s="54">
        <f>SUMIF('S1'!$C:$C,'Key inputs_EB'!$E119,'S1'!S:S)*SUMIFS(V$6:V$90,$C$6:$C$90,$C119,$E$6:$E$90,$E119)</f>
        <v>0.51085457298886805</v>
      </c>
      <c r="W119" s="54">
        <f>SUMIF('S1'!$C:$C,'Key inputs_EB'!$E119,'S1'!T:T)*SUMIFS(W$6:W$90,$C$6:$C$90,$C119,$E$6:$E$90,$E119)</f>
        <v>23.742999999999999</v>
      </c>
      <c r="X119" s="54">
        <f>SUMIF('S1'!$C:$C,'Key inputs_EB'!$E119,'S1'!U:U)*SUMIFS(X$6:X$90,$C$6:$C$90,$C119,$E$6:$E$90,$E119)</f>
        <v>9.0169999999999995</v>
      </c>
      <c r="Y119" s="54">
        <f>SUMIF('S1'!$C:$C,'Key inputs_EB'!$E119,'S1'!V:V)*SUMIFS(Y$6:Y$90,$C$6:$C$90,$C119,$E$6:$E$90,$E119)</f>
        <v>40.594399999999993</v>
      </c>
      <c r="Z119" s="54">
        <f>SUMIF('S1'!$C:$C,'Key inputs_EB'!$E119,'S1'!W:W)*SUMIFS(Z$6:Z$90,$C$6:$C$90,$C119,$E$6:$E$90,$E119)</f>
        <v>0</v>
      </c>
      <c r="AA119" s="54">
        <f>SUMIF('S1'!$C:$C,'Key inputs_EB'!$E119,'S1'!X:X)*SUMIFS(AA$6:AA$90,$C$6:$C$90,$C119,$E$6:$E$90,$E119)</f>
        <v>0</v>
      </c>
      <c r="AB119" s="54">
        <f>SUMIF('S1'!$C:$C,'Key inputs_EB'!$E119,'S1'!Y:Y)*SUMIFS(AB$6:AB$90,$C$6:$C$90,$C119,$E$6:$E$90,$E119)</f>
        <v>30.502800000000004</v>
      </c>
      <c r="AC119" s="54">
        <f>SUMIF('S1'!$C:$C,'Key inputs_EB'!$E119,'S1'!Z:Z)*SUMIFS(AC$6:AC$90,$C$6:$C$90,$C119,$E$6:$E$90,$E119)</f>
        <v>28.871949999999998</v>
      </c>
      <c r="AD119" s="54">
        <f>SUMIF('S1'!$C:$C,'Key inputs_EB'!$E119,'S1'!AA:AA)*SUMIFS(AD$6:AD$90,$C$6:$C$90,$C119,$E$6:$E$90,$E119)</f>
        <v>1.9311999999999998</v>
      </c>
      <c r="AE119" s="54">
        <f>SUMIF('S1'!$C:$C,'Key inputs_EB'!$E119,'S1'!AB:AB)*SUMIFS(AE$6:AE$90,$C$6:$C$90,$C119,$E$6:$E$90,$E119)</f>
        <v>54.431100000000001</v>
      </c>
      <c r="AF119" s="54">
        <f>SUMIF('S1'!$C:$C,'Key inputs_EB'!$E119,'S1'!AC:AC)*SUMIFS(AF$6:AF$90,$C$6:$C$90,$C119,$E$6:$E$90,$E119)</f>
        <v>0</v>
      </c>
      <c r="AG119" s="54">
        <f>SUMIF('S1'!$C:$C,'Key inputs_EB'!$E119,'S1'!AD:AD)*SUMIFS(AG$6:AG$90,$C$6:$C$90,$C119,$E$6:$E$90,$E119)</f>
        <v>7.1139844084200293E-2</v>
      </c>
      <c r="AH119" s="54">
        <f>SUMIF('S1'!$C:$C,'Key inputs_EB'!$E119,'S1'!AE:AE)*SUMIFS(AH$6:AH$90,$C$6:$C$90,$C119,$E$6:$E$90,$E119)</f>
        <v>2.1684999999999999</v>
      </c>
      <c r="AI119" s="54">
        <f>SUMIF('S1'!$C:$C,'Key inputs_EB'!$E119,'S1'!AF:AF)*SUMIFS(AI$6:AI$90,$C$6:$C$90,$C119,$E$6:$E$90,$E119)</f>
        <v>4.7899629498594347</v>
      </c>
      <c r="AJ119" s="84"/>
    </row>
    <row r="120" spans="1:36" s="49" customFormat="1" x14ac:dyDescent="0.3">
      <c r="B120" s="49" t="str">
        <f>Legend!A$47</f>
        <v>Cooking</v>
      </c>
      <c r="C120" s="49" t="str">
        <f>LEFT(Legend!$C$4)&amp;"-"&amp;Legend!B$47</f>
        <v>S-CK</v>
      </c>
      <c r="D120" s="49" t="str">
        <f>Legend!A68</f>
        <v>Natural gas</v>
      </c>
      <c r="E120" s="49" t="str">
        <f>Legend!B68</f>
        <v>SRVGAS</v>
      </c>
      <c r="F120" s="49" t="s">
        <v>15</v>
      </c>
      <c r="G120" s="49" t="s">
        <v>696</v>
      </c>
      <c r="H120" s="54">
        <f>SUMIF('S1'!$C:$C,'Key inputs_EB'!$E120,'S1'!E:E)*SUMIFS(H$6:H$90,$C$6:$C$90,$C120,$E$6:$E$90,$E120)</f>
        <v>0</v>
      </c>
      <c r="I120" s="54">
        <f>SUMIF('S1'!$C:$C,'Key inputs_EB'!$E120,'S1'!F:F)*SUMIFS(I$6:I$90,$C$6:$C$90,$C120,$E$6:$E$90,$E120)</f>
        <v>5.7777999999999992</v>
      </c>
      <c r="J120" s="54">
        <f>SUMIF('S1'!$C:$C,'Key inputs_EB'!$E120,'S1'!G:G)*SUMIFS(J$6:J$90,$C$6:$C$90,$C120,$E$6:$E$90,$E120)</f>
        <v>0</v>
      </c>
      <c r="K120" s="54">
        <f>SUMIF('S1'!$C:$C,'Key inputs_EB'!$E120,'S1'!H:H)*SUMIFS(K$6:K$90,$C$6:$C$90,$C120,$E$6:$E$90,$E120)</f>
        <v>0.85050000000000003</v>
      </c>
      <c r="L120" s="54">
        <f>SUMIF('S1'!$C:$C,'Key inputs_EB'!$E120,'S1'!I:I)*SUMIFS(L$6:L$90,$C$6:$C$90,$C120,$E$6:$E$90,$E120)</f>
        <v>6.1084000000000005</v>
      </c>
      <c r="M120" s="54">
        <f>SUMIF('S1'!$C:$C,'Key inputs_EB'!$E120,'S1'!J:J)*SUMIFS(M$6:M$90,$C$6:$C$90,$C120,$E$6:$E$90,$E120)</f>
        <v>70.273780000000002</v>
      </c>
      <c r="N120" s="54">
        <f>SUMIF('S1'!$C:$C,'Key inputs_EB'!$E120,'S1'!K:K)*SUMIFS(N$6:N$90,$C$6:$C$90,$C120,$E$6:$E$90,$E120)</f>
        <v>2.4289999999999998</v>
      </c>
      <c r="O120" s="54">
        <f>SUMIF('S1'!$C:$C,'Key inputs_EB'!$E120,'S1'!L:L)*SUMIFS(O$6:O$90,$C$6:$C$90,$C120,$E$6:$E$90,$E120)</f>
        <v>3.984</v>
      </c>
      <c r="P120" s="54">
        <f>SUMIF('S1'!$C:$C,'Key inputs_EB'!$E120,'S1'!M:M)*SUMIFS(P$6:P$90,$C$6:$C$90,$C120,$E$6:$E$90,$E120)</f>
        <v>4.0767999999999995</v>
      </c>
      <c r="Q120" s="54">
        <f>SUMIF('S1'!$C:$C,'Key inputs_EB'!$E120,'S1'!N:N)*SUMIFS(Q$6:Q$90,$C$6:$C$90,$C120,$E$6:$E$90,$E120)</f>
        <v>59.196000000000005</v>
      </c>
      <c r="R120" s="54">
        <f>SUMIF('S1'!$C:$C,'Key inputs_EB'!$E120,'S1'!O:O)*SUMIFS(R$6:R$90,$C$6:$C$90,$C120,$E$6:$E$90,$E120)</f>
        <v>4.3357999999999999</v>
      </c>
      <c r="S120" s="54">
        <f>SUMIF('S1'!$C:$C,'Key inputs_EB'!$E120,'S1'!P:P)*SUMIFS(S$6:S$90,$C$6:$C$90,$C120,$E$6:$E$90,$E120)</f>
        <v>0</v>
      </c>
      <c r="T120" s="54">
        <f>SUMIF('S1'!$C:$C,'Key inputs_EB'!$E120,'S1'!Q:Q)*SUMIFS(T$6:T$90,$C$6:$C$90,$C120,$E$6:$E$90,$E120)</f>
        <v>9.2292500000000004</v>
      </c>
      <c r="U120" s="54">
        <f>SUMIF('S1'!$C:$C,'Key inputs_EB'!$E120,'S1'!R:R)*SUMIFS(U$6:U$90,$C$6:$C$90,$C120,$E$6:$E$90,$E120)</f>
        <v>58.905600000000007</v>
      </c>
      <c r="V120" s="54">
        <f>SUMIF('S1'!$C:$C,'Key inputs_EB'!$E120,'S1'!S:S)*SUMIFS(V$6:V$90,$C$6:$C$90,$C120,$E$6:$E$90,$E120)</f>
        <v>42.744109999999999</v>
      </c>
      <c r="W120" s="54">
        <f>SUMIF('S1'!$C:$C,'Key inputs_EB'!$E120,'S1'!T:T)*SUMIFS(W$6:W$90,$C$6:$C$90,$C120,$E$6:$E$90,$E120)</f>
        <v>129.05420000000001</v>
      </c>
      <c r="X120" s="54">
        <f>SUMIF('S1'!$C:$C,'Key inputs_EB'!$E120,'S1'!U:U)*SUMIFS(X$6:X$90,$C$6:$C$90,$C120,$E$6:$E$90,$E120)</f>
        <v>128.5874</v>
      </c>
      <c r="Y120" s="54">
        <f>SUMIF('S1'!$C:$C,'Key inputs_EB'!$E120,'S1'!V:V)*SUMIFS(Y$6:Y$90,$C$6:$C$90,$C120,$E$6:$E$90,$E120)</f>
        <v>4.9734999999999996</v>
      </c>
      <c r="Z120" s="54">
        <f>SUMIF('S1'!$C:$C,'Key inputs_EB'!$E120,'S1'!W:W)*SUMIFS(Z$6:Z$90,$C$6:$C$90,$C120,$E$6:$E$90,$E120)</f>
        <v>68.106499999999997</v>
      </c>
      <c r="AA120" s="54">
        <f>SUMIF('S1'!$C:$C,'Key inputs_EB'!$E120,'S1'!X:X)*SUMIFS(AA$6:AA$90,$C$6:$C$90,$C120,$E$6:$E$90,$E120)</f>
        <v>165.14837999999997</v>
      </c>
      <c r="AB120" s="54">
        <f>SUMIF('S1'!$C:$C,'Key inputs_EB'!$E120,'S1'!Y:Y)*SUMIFS(AB$6:AB$90,$C$6:$C$90,$C120,$E$6:$E$90,$E120)</f>
        <v>55.025599999999997</v>
      </c>
      <c r="AC120" s="54">
        <f>SUMIF('S1'!$C:$C,'Key inputs_EB'!$E120,'S1'!Z:Z)*SUMIFS(AC$6:AC$90,$C$6:$C$90,$C120,$E$6:$E$90,$E120)</f>
        <v>125.42751000000001</v>
      </c>
      <c r="AD120" s="54">
        <f>SUMIF('S1'!$C:$C,'Key inputs_EB'!$E120,'S1'!AA:AA)*SUMIFS(AD$6:AD$90,$C$6:$C$90,$C120,$E$6:$E$90,$E120)</f>
        <v>427.23358000000002</v>
      </c>
      <c r="AE120" s="54">
        <f>SUMIF('S1'!$C:$C,'Key inputs_EB'!$E120,'S1'!AB:AB)*SUMIFS(AE$6:AE$90,$C$6:$C$90,$C120,$E$6:$E$90,$E120)</f>
        <v>6.9061999999999992</v>
      </c>
      <c r="AF120" s="54">
        <f>SUMIF('S1'!$C:$C,'Key inputs_EB'!$E120,'S1'!AC:AC)*SUMIFS(AF$6:AF$90,$C$6:$C$90,$C120,$E$6:$E$90,$E120)</f>
        <v>0</v>
      </c>
      <c r="AG120" s="54">
        <f>SUMIF('S1'!$C:$C,'Key inputs_EB'!$E120,'S1'!AD:AD)*SUMIFS(AG$6:AG$90,$C$6:$C$90,$C120,$E$6:$E$90,$E120)</f>
        <v>44.85425</v>
      </c>
      <c r="AH120" s="54">
        <f>SUMIF('S1'!$C:$C,'Key inputs_EB'!$E120,'S1'!AE:AE)*SUMIFS(AH$6:AH$90,$C$6:$C$90,$C120,$E$6:$E$90,$E120)</f>
        <v>41.849249999999998</v>
      </c>
      <c r="AI120" s="54">
        <f>SUMIF('S1'!$C:$C,'Key inputs_EB'!$E120,'S1'!AF:AF)*SUMIFS(AI$6:AI$90,$C$6:$C$90,$C120,$E$6:$E$90,$E120)</f>
        <v>292.60654897998717</v>
      </c>
      <c r="AJ120" s="84"/>
    </row>
    <row r="121" spans="1:36" s="49" customFormat="1" x14ac:dyDescent="0.3">
      <c r="B121" s="49" t="str">
        <f>Legend!A$47</f>
        <v>Cooking</v>
      </c>
      <c r="C121" s="49" t="str">
        <f>LEFT(Legend!$C$4)&amp;"-"&amp;Legend!B$47</f>
        <v>S-CK</v>
      </c>
      <c r="D121" s="49" t="str">
        <f>Legend!A69</f>
        <v>Solar</v>
      </c>
      <c r="E121" s="49" t="str">
        <f>Legend!B69</f>
        <v>SRVSOL</v>
      </c>
      <c r="F121" s="49" t="s">
        <v>15</v>
      </c>
      <c r="G121" s="49" t="s">
        <v>696</v>
      </c>
      <c r="H121" s="54">
        <f>SUMIF('S1'!$C:$C,'Key inputs_EB'!$E121,'S1'!E:E)*SUMIFS(H$6:H$90,$C$6:$C$90,$C121,$E$6:$E$90,$E121)</f>
        <v>0</v>
      </c>
      <c r="I121" s="54">
        <f>SUMIF('S1'!$C:$C,'Key inputs_EB'!$E121,'S1'!F:F)*SUMIFS(I$6:I$90,$C$6:$C$90,$C121,$E$6:$E$90,$E121)</f>
        <v>0</v>
      </c>
      <c r="J121" s="54">
        <f>SUMIF('S1'!$C:$C,'Key inputs_EB'!$E121,'S1'!G:G)*SUMIFS(J$6:J$90,$C$6:$C$90,$C121,$E$6:$E$90,$E121)</f>
        <v>0</v>
      </c>
      <c r="K121" s="54">
        <f>SUMIF('S1'!$C:$C,'Key inputs_EB'!$E121,'S1'!H:H)*SUMIFS(K$6:K$90,$C$6:$C$90,$C121,$E$6:$E$90,$E121)</f>
        <v>0</v>
      </c>
      <c r="L121" s="54">
        <f>SUMIF('S1'!$C:$C,'Key inputs_EB'!$E121,'S1'!I:I)*SUMIFS(L$6:L$90,$C$6:$C$90,$C121,$E$6:$E$90,$E121)</f>
        <v>0</v>
      </c>
      <c r="M121" s="54">
        <f>SUMIF('S1'!$C:$C,'Key inputs_EB'!$E121,'S1'!J:J)*SUMIFS(M$6:M$90,$C$6:$C$90,$C121,$E$6:$E$90,$E121)</f>
        <v>0</v>
      </c>
      <c r="N121" s="54">
        <f>SUMIF('S1'!$C:$C,'Key inputs_EB'!$E121,'S1'!K:K)*SUMIFS(N$6:N$90,$C$6:$C$90,$C121,$E$6:$E$90,$E121)</f>
        <v>0</v>
      </c>
      <c r="O121" s="54">
        <f>SUMIF('S1'!$C:$C,'Key inputs_EB'!$E121,'S1'!L:L)*SUMIFS(O$6:O$90,$C$6:$C$90,$C121,$E$6:$E$90,$E121)</f>
        <v>0</v>
      </c>
      <c r="P121" s="54">
        <f>SUMIF('S1'!$C:$C,'Key inputs_EB'!$E121,'S1'!M:M)*SUMIFS(P$6:P$90,$C$6:$C$90,$C121,$E$6:$E$90,$E121)</f>
        <v>0</v>
      </c>
      <c r="Q121" s="54">
        <f>SUMIF('S1'!$C:$C,'Key inputs_EB'!$E121,'S1'!N:N)*SUMIFS(Q$6:Q$90,$C$6:$C$90,$C121,$E$6:$E$90,$E121)</f>
        <v>0</v>
      </c>
      <c r="R121" s="54">
        <f>SUMIF('S1'!$C:$C,'Key inputs_EB'!$E121,'S1'!O:O)*SUMIFS(R$6:R$90,$C$6:$C$90,$C121,$E$6:$E$90,$E121)</f>
        <v>0</v>
      </c>
      <c r="S121" s="54">
        <f>SUMIF('S1'!$C:$C,'Key inputs_EB'!$E121,'S1'!P:P)*SUMIFS(S$6:S$90,$C$6:$C$90,$C121,$E$6:$E$90,$E121)</f>
        <v>0</v>
      </c>
      <c r="T121" s="54">
        <f>SUMIF('S1'!$C:$C,'Key inputs_EB'!$E121,'S1'!Q:Q)*SUMIFS(T$6:T$90,$C$6:$C$90,$C121,$E$6:$E$90,$E121)</f>
        <v>0</v>
      </c>
      <c r="U121" s="54">
        <f>SUMIF('S1'!$C:$C,'Key inputs_EB'!$E121,'S1'!R:R)*SUMIFS(U$6:U$90,$C$6:$C$90,$C121,$E$6:$E$90,$E121)</f>
        <v>0</v>
      </c>
      <c r="V121" s="54">
        <f>SUMIF('S1'!$C:$C,'Key inputs_EB'!$E121,'S1'!S:S)*SUMIFS(V$6:V$90,$C$6:$C$90,$C121,$E$6:$E$90,$E121)</f>
        <v>0</v>
      </c>
      <c r="W121" s="54">
        <f>SUMIF('S1'!$C:$C,'Key inputs_EB'!$E121,'S1'!T:T)*SUMIFS(W$6:W$90,$C$6:$C$90,$C121,$E$6:$E$90,$E121)</f>
        <v>0</v>
      </c>
      <c r="X121" s="54">
        <f>SUMIF('S1'!$C:$C,'Key inputs_EB'!$E121,'S1'!U:U)*SUMIFS(X$6:X$90,$C$6:$C$90,$C121,$E$6:$E$90,$E121)</f>
        <v>0</v>
      </c>
      <c r="Y121" s="54">
        <f>SUMIF('S1'!$C:$C,'Key inputs_EB'!$E121,'S1'!V:V)*SUMIFS(Y$6:Y$90,$C$6:$C$90,$C121,$E$6:$E$90,$E121)</f>
        <v>0</v>
      </c>
      <c r="Z121" s="54">
        <f>SUMIF('S1'!$C:$C,'Key inputs_EB'!$E121,'S1'!W:W)*SUMIFS(Z$6:Z$90,$C$6:$C$90,$C121,$E$6:$E$90,$E121)</f>
        <v>0</v>
      </c>
      <c r="AA121" s="54">
        <f>SUMIF('S1'!$C:$C,'Key inputs_EB'!$E121,'S1'!X:X)*SUMIFS(AA$6:AA$90,$C$6:$C$90,$C121,$E$6:$E$90,$E121)</f>
        <v>0</v>
      </c>
      <c r="AB121" s="54">
        <f>SUMIF('S1'!$C:$C,'Key inputs_EB'!$E121,'S1'!Y:Y)*SUMIFS(AB$6:AB$90,$C$6:$C$90,$C121,$E$6:$E$90,$E121)</f>
        <v>0</v>
      </c>
      <c r="AC121" s="54">
        <f>SUMIF('S1'!$C:$C,'Key inputs_EB'!$E121,'S1'!Z:Z)*SUMIFS(AC$6:AC$90,$C$6:$C$90,$C121,$E$6:$E$90,$E121)</f>
        <v>0</v>
      </c>
      <c r="AD121" s="54">
        <f>SUMIF('S1'!$C:$C,'Key inputs_EB'!$E121,'S1'!AA:AA)*SUMIFS(AD$6:AD$90,$C$6:$C$90,$C121,$E$6:$E$90,$E121)</f>
        <v>0</v>
      </c>
      <c r="AE121" s="54">
        <f>SUMIF('S1'!$C:$C,'Key inputs_EB'!$E121,'S1'!AB:AB)*SUMIFS(AE$6:AE$90,$C$6:$C$90,$C121,$E$6:$E$90,$E121)</f>
        <v>0</v>
      </c>
      <c r="AF121" s="54">
        <f>SUMIF('S1'!$C:$C,'Key inputs_EB'!$E121,'S1'!AC:AC)*SUMIFS(AF$6:AF$90,$C$6:$C$90,$C121,$E$6:$E$90,$E121)</f>
        <v>0</v>
      </c>
      <c r="AG121" s="54">
        <f>SUMIF('S1'!$C:$C,'Key inputs_EB'!$E121,'S1'!AD:AD)*SUMIFS(AG$6:AG$90,$C$6:$C$90,$C121,$E$6:$E$90,$E121)</f>
        <v>0</v>
      </c>
      <c r="AH121" s="54">
        <f>SUMIF('S1'!$C:$C,'Key inputs_EB'!$E121,'S1'!AE:AE)*SUMIFS(AH$6:AH$90,$C$6:$C$90,$C121,$E$6:$E$90,$E121)</f>
        <v>0</v>
      </c>
      <c r="AI121" s="54">
        <f>SUMIF('S1'!$C:$C,'Key inputs_EB'!$E121,'S1'!AF:AF)*SUMIFS(AI$6:AI$90,$C$6:$C$90,$C121,$E$6:$E$90,$E121)</f>
        <v>0</v>
      </c>
      <c r="AJ121" s="84"/>
    </row>
    <row r="122" spans="1:36" s="49" customFormat="1" x14ac:dyDescent="0.3">
      <c r="B122" s="49" t="str">
        <f>Legend!A$47</f>
        <v>Cooking</v>
      </c>
      <c r="C122" s="49" t="str">
        <f>LEFT(Legend!$C$4)&amp;"-"&amp;Legend!B$47</f>
        <v>S-CK</v>
      </c>
      <c r="D122" s="49" t="str">
        <f>Legend!A70</f>
        <v>Biomass</v>
      </c>
      <c r="E122" s="49" t="str">
        <f>Legend!B70</f>
        <v>SRVBIO</v>
      </c>
      <c r="F122" s="49" t="s">
        <v>15</v>
      </c>
      <c r="G122" s="49" t="s">
        <v>696</v>
      </c>
      <c r="H122" s="54">
        <f>SUMIF('S1'!$C:$C,'Key inputs_EB'!$E122,'S1'!E:E)*SUMIFS(H$6:H$90,$C$6:$C$90,$C122,$E$6:$E$90,$E122)</f>
        <v>122.33969999999998</v>
      </c>
      <c r="I122" s="54">
        <f>SUMIF('S1'!$C:$C,'Key inputs_EB'!$E122,'S1'!F:F)*SUMIFS(I$6:I$90,$C$6:$C$90,$C122,$E$6:$E$90,$E122)</f>
        <v>23.406600000000001</v>
      </c>
      <c r="J122" s="54">
        <f>SUMIF('S1'!$C:$C,'Key inputs_EB'!$E122,'S1'!G:G)*SUMIFS(J$6:J$90,$C$6:$C$90,$C122,$E$6:$E$90,$E122)</f>
        <v>79.06219999999999</v>
      </c>
      <c r="K122" s="54">
        <f>SUMIF('S1'!$C:$C,'Key inputs_EB'!$E122,'S1'!H:H)*SUMIFS(K$6:K$90,$C$6:$C$90,$C122,$E$6:$E$90,$E122)</f>
        <v>3.6903999999999999</v>
      </c>
      <c r="L122" s="54">
        <f>SUMIF('S1'!$C:$C,'Key inputs_EB'!$E122,'S1'!I:I)*SUMIFS(L$6:L$90,$C$6:$C$90,$C122,$E$6:$E$90,$E122)</f>
        <v>0</v>
      </c>
      <c r="M122" s="54">
        <f>SUMIF('S1'!$C:$C,'Key inputs_EB'!$E122,'S1'!J:J)*SUMIFS(M$6:M$90,$C$6:$C$90,$C122,$E$6:$E$90,$E122)</f>
        <v>0</v>
      </c>
      <c r="N122" s="54">
        <f>SUMIF('S1'!$C:$C,'Key inputs_EB'!$E122,'S1'!K:K)*SUMIFS(N$6:N$90,$C$6:$C$90,$C122,$E$6:$E$90,$E122)</f>
        <v>10.055999999999999</v>
      </c>
      <c r="O122" s="54">
        <f>SUMIF('S1'!$C:$C,'Key inputs_EB'!$E122,'S1'!L:L)*SUMIFS(O$6:O$90,$C$6:$C$90,$C122,$E$6:$E$90,$E122)</f>
        <v>6.2245000000000008</v>
      </c>
      <c r="P122" s="54">
        <f>SUMIF('S1'!$C:$C,'Key inputs_EB'!$E122,'S1'!M:M)*SUMIFS(P$6:P$90,$C$6:$C$90,$C122,$E$6:$E$90,$E122)</f>
        <v>2.4933999999999998</v>
      </c>
      <c r="Q122" s="54">
        <f>SUMIF('S1'!$C:$C,'Key inputs_EB'!$E122,'S1'!N:N)*SUMIFS(Q$6:Q$90,$C$6:$C$90,$C122,$E$6:$E$90,$E122)</f>
        <v>0</v>
      </c>
      <c r="R122" s="54">
        <f>SUMIF('S1'!$C:$C,'Key inputs_EB'!$E122,'S1'!O:O)*SUMIFS(R$6:R$90,$C$6:$C$90,$C122,$E$6:$E$90,$E122)</f>
        <v>0.45359999999999989</v>
      </c>
      <c r="S122" s="54">
        <f>SUMIF('S1'!$C:$C,'Key inputs_EB'!$E122,'S1'!P:P)*SUMIFS(S$6:S$90,$C$6:$C$90,$C122,$E$6:$E$90,$E122)</f>
        <v>10.338649999999999</v>
      </c>
      <c r="T122" s="54">
        <f>SUMIF('S1'!$C:$C,'Key inputs_EB'!$E122,'S1'!Q:Q)*SUMIFS(T$6:T$90,$C$6:$C$90,$C122,$E$6:$E$90,$E122)</f>
        <v>0</v>
      </c>
      <c r="U122" s="54">
        <f>SUMIF('S1'!$C:$C,'Key inputs_EB'!$E122,'S1'!R:R)*SUMIFS(U$6:U$90,$C$6:$C$90,$C122,$E$6:$E$90,$E122)</f>
        <v>3.391</v>
      </c>
      <c r="V122" s="54">
        <f>SUMIF('S1'!$C:$C,'Key inputs_EB'!$E122,'S1'!S:S)*SUMIFS(V$6:V$90,$C$6:$C$90,$C122,$E$6:$E$90,$E122)</f>
        <v>0</v>
      </c>
      <c r="W122" s="54">
        <f>SUMIF('S1'!$C:$C,'Key inputs_EB'!$E122,'S1'!T:T)*SUMIFS(W$6:W$90,$C$6:$C$90,$C122,$E$6:$E$90,$E122)</f>
        <v>4.8570000000000002</v>
      </c>
      <c r="X122" s="54">
        <f>SUMIF('S1'!$C:$C,'Key inputs_EB'!$E122,'S1'!U:U)*SUMIFS(X$6:X$90,$C$6:$C$90,$C122,$E$6:$E$90,$E122)</f>
        <v>17.5672</v>
      </c>
      <c r="Y122" s="54">
        <f>SUMIF('S1'!$C:$C,'Key inputs_EB'!$E122,'S1'!V:V)*SUMIFS(Y$6:Y$90,$C$6:$C$90,$C122,$E$6:$E$90,$E122)</f>
        <v>28.423500000000001</v>
      </c>
      <c r="Z122" s="54">
        <f>SUMIF('S1'!$C:$C,'Key inputs_EB'!$E122,'S1'!W:W)*SUMIFS(Z$6:Z$90,$C$6:$C$90,$C122,$E$6:$E$90,$E122)</f>
        <v>76.820799999999991</v>
      </c>
      <c r="AA122" s="54">
        <f>SUMIF('S1'!$C:$C,'Key inputs_EB'!$E122,'S1'!X:X)*SUMIFS(AA$6:AA$90,$C$6:$C$90,$C122,$E$6:$E$90,$E122)</f>
        <v>0</v>
      </c>
      <c r="AB122" s="54">
        <f>SUMIF('S1'!$C:$C,'Key inputs_EB'!$E122,'S1'!Y:Y)*SUMIFS(AB$6:AB$90,$C$6:$C$90,$C122,$E$6:$E$90,$E122)</f>
        <v>19.95</v>
      </c>
      <c r="AC122" s="54">
        <f>SUMIF('S1'!$C:$C,'Key inputs_EB'!$E122,'S1'!Z:Z)*SUMIFS(AC$6:AC$90,$C$6:$C$90,$C122,$E$6:$E$90,$E122)</f>
        <v>0</v>
      </c>
      <c r="AD122" s="54">
        <f>SUMIF('S1'!$C:$C,'Key inputs_EB'!$E122,'S1'!AA:AA)*SUMIFS(AD$6:AD$90,$C$6:$C$90,$C122,$E$6:$E$90,$E122)</f>
        <v>0</v>
      </c>
      <c r="AE122" s="54">
        <f>SUMIF('S1'!$C:$C,'Key inputs_EB'!$E122,'S1'!AB:AB)*SUMIFS(AE$6:AE$90,$C$6:$C$90,$C122,$E$6:$E$90,$E122)</f>
        <v>0</v>
      </c>
      <c r="AF122" s="54">
        <f>SUMIF('S1'!$C:$C,'Key inputs_EB'!$E122,'S1'!AC:AC)*SUMIFS(AF$6:AF$90,$C$6:$C$90,$C122,$E$6:$E$90,$E122)</f>
        <v>80.8626</v>
      </c>
      <c r="AG122" s="54">
        <f>SUMIF('S1'!$C:$C,'Key inputs_EB'!$E122,'S1'!AD:AD)*SUMIFS(AG$6:AG$90,$C$6:$C$90,$C122,$E$6:$E$90,$E122)</f>
        <v>0</v>
      </c>
      <c r="AH122" s="54">
        <f>SUMIF('S1'!$C:$C,'Key inputs_EB'!$E122,'S1'!AE:AE)*SUMIFS(AH$6:AH$90,$C$6:$C$90,$C122,$E$6:$E$90,$E122)</f>
        <v>5.2254999999999994</v>
      </c>
      <c r="AI122" s="54">
        <f>SUMIF('S1'!$C:$C,'Key inputs_EB'!$E122,'S1'!AF:AF)*SUMIFS(AI$6:AI$90,$C$6:$C$90,$C122,$E$6:$E$90,$E122)</f>
        <v>0</v>
      </c>
      <c r="AJ122" s="84"/>
    </row>
    <row r="123" spans="1:36" s="49" customFormat="1" x14ac:dyDescent="0.3">
      <c r="B123" s="49" t="str">
        <f>Legend!A$47</f>
        <v>Cooking</v>
      </c>
      <c r="C123" s="49" t="str">
        <f>LEFT(Legend!$C$4)&amp;"-"&amp;Legend!B$47</f>
        <v>S-CK</v>
      </c>
      <c r="D123" s="49" t="str">
        <f>Legend!A71</f>
        <v>Waste</v>
      </c>
      <c r="E123" s="49" t="str">
        <f>Legend!B71</f>
        <v>SRVWAS</v>
      </c>
      <c r="F123" s="49" t="s">
        <v>15</v>
      </c>
      <c r="G123" s="49" t="s">
        <v>696</v>
      </c>
      <c r="H123" s="54">
        <f>SUMIF('S1'!$C:$C,'Key inputs_EB'!$E123,'S1'!E:E)*SUMIFS(H$6:H$90,$C$6:$C$90,$C123,$E$6:$E$90,$E123)</f>
        <v>0</v>
      </c>
      <c r="I123" s="54">
        <f>SUMIF('S1'!$C:$C,'Key inputs_EB'!$E123,'S1'!F:F)*SUMIFS(I$6:I$90,$C$6:$C$90,$C123,$E$6:$E$90,$E123)</f>
        <v>0</v>
      </c>
      <c r="J123" s="54">
        <f>SUMIF('S1'!$C:$C,'Key inputs_EB'!$E123,'S1'!G:G)*SUMIFS(J$6:J$90,$C$6:$C$90,$C123,$E$6:$E$90,$E123)</f>
        <v>0</v>
      </c>
      <c r="K123" s="54">
        <f>SUMIF('S1'!$C:$C,'Key inputs_EB'!$E123,'S1'!H:H)*SUMIFS(K$6:K$90,$C$6:$C$90,$C123,$E$6:$E$90,$E123)</f>
        <v>0</v>
      </c>
      <c r="L123" s="54">
        <f>SUMIF('S1'!$C:$C,'Key inputs_EB'!$E123,'S1'!I:I)*SUMIFS(L$6:L$90,$C$6:$C$90,$C123,$E$6:$E$90,$E123)</f>
        <v>0</v>
      </c>
      <c r="M123" s="54">
        <f>SUMIF('S1'!$C:$C,'Key inputs_EB'!$E123,'S1'!J:J)*SUMIFS(M$6:M$90,$C$6:$C$90,$C123,$E$6:$E$90,$E123)</f>
        <v>0</v>
      </c>
      <c r="N123" s="54">
        <f>SUMIF('S1'!$C:$C,'Key inputs_EB'!$E123,'S1'!K:K)*SUMIFS(N$6:N$90,$C$6:$C$90,$C123,$E$6:$E$90,$E123)</f>
        <v>0</v>
      </c>
      <c r="O123" s="54">
        <f>SUMIF('S1'!$C:$C,'Key inputs_EB'!$E123,'S1'!L:L)*SUMIFS(O$6:O$90,$C$6:$C$90,$C123,$E$6:$E$90,$E123)</f>
        <v>0</v>
      </c>
      <c r="P123" s="54">
        <f>SUMIF('S1'!$C:$C,'Key inputs_EB'!$E123,'S1'!M:M)*SUMIFS(P$6:P$90,$C$6:$C$90,$C123,$E$6:$E$90,$E123)</f>
        <v>0</v>
      </c>
      <c r="Q123" s="54">
        <f>SUMIF('S1'!$C:$C,'Key inputs_EB'!$E123,'S1'!N:N)*SUMIFS(Q$6:Q$90,$C$6:$C$90,$C123,$E$6:$E$90,$E123)</f>
        <v>0</v>
      </c>
      <c r="R123" s="54">
        <f>SUMIF('S1'!$C:$C,'Key inputs_EB'!$E123,'S1'!O:O)*SUMIFS(R$6:R$90,$C$6:$C$90,$C123,$E$6:$E$90,$E123)</f>
        <v>0</v>
      </c>
      <c r="S123" s="54">
        <f>SUMIF('S1'!$C:$C,'Key inputs_EB'!$E123,'S1'!P:P)*SUMIFS(S$6:S$90,$C$6:$C$90,$C123,$E$6:$E$90,$E123)</f>
        <v>0</v>
      </c>
      <c r="T123" s="54">
        <f>SUMIF('S1'!$C:$C,'Key inputs_EB'!$E123,'S1'!Q:Q)*SUMIFS(T$6:T$90,$C$6:$C$90,$C123,$E$6:$E$90,$E123)</f>
        <v>0</v>
      </c>
      <c r="U123" s="54">
        <f>SUMIF('S1'!$C:$C,'Key inputs_EB'!$E123,'S1'!R:R)*SUMIFS(U$6:U$90,$C$6:$C$90,$C123,$E$6:$E$90,$E123)</f>
        <v>0</v>
      </c>
      <c r="V123" s="54">
        <f>SUMIF('S1'!$C:$C,'Key inputs_EB'!$E123,'S1'!S:S)*SUMIFS(V$6:V$90,$C$6:$C$90,$C123,$E$6:$E$90,$E123)</f>
        <v>0</v>
      </c>
      <c r="W123" s="54">
        <f>SUMIF('S1'!$C:$C,'Key inputs_EB'!$E123,'S1'!T:T)*SUMIFS(W$6:W$90,$C$6:$C$90,$C123,$E$6:$E$90,$E123)</f>
        <v>0</v>
      </c>
      <c r="X123" s="54">
        <f>SUMIF('S1'!$C:$C,'Key inputs_EB'!$E123,'S1'!U:U)*SUMIFS(X$6:X$90,$C$6:$C$90,$C123,$E$6:$E$90,$E123)</f>
        <v>0</v>
      </c>
      <c r="Y123" s="54">
        <f>SUMIF('S1'!$C:$C,'Key inputs_EB'!$E123,'S1'!V:V)*SUMIFS(Y$6:Y$90,$C$6:$C$90,$C123,$E$6:$E$90,$E123)</f>
        <v>0</v>
      </c>
      <c r="Z123" s="54">
        <f>SUMIF('S1'!$C:$C,'Key inputs_EB'!$E123,'S1'!W:W)*SUMIFS(Z$6:Z$90,$C$6:$C$90,$C123,$E$6:$E$90,$E123)</f>
        <v>0</v>
      </c>
      <c r="AA123" s="54">
        <f>SUMIF('S1'!$C:$C,'Key inputs_EB'!$E123,'S1'!X:X)*SUMIFS(AA$6:AA$90,$C$6:$C$90,$C123,$E$6:$E$90,$E123)</f>
        <v>0</v>
      </c>
      <c r="AB123" s="54">
        <f>SUMIF('S1'!$C:$C,'Key inputs_EB'!$E123,'S1'!Y:Y)*SUMIFS(AB$6:AB$90,$C$6:$C$90,$C123,$E$6:$E$90,$E123)</f>
        <v>0</v>
      </c>
      <c r="AC123" s="54">
        <f>SUMIF('S1'!$C:$C,'Key inputs_EB'!$E123,'S1'!Z:Z)*SUMIFS(AC$6:AC$90,$C$6:$C$90,$C123,$E$6:$E$90,$E123)</f>
        <v>0</v>
      </c>
      <c r="AD123" s="54">
        <f>SUMIF('S1'!$C:$C,'Key inputs_EB'!$E123,'S1'!AA:AA)*SUMIFS(AD$6:AD$90,$C$6:$C$90,$C123,$E$6:$E$90,$E123)</f>
        <v>0</v>
      </c>
      <c r="AE123" s="54">
        <f>SUMIF('S1'!$C:$C,'Key inputs_EB'!$E123,'S1'!AB:AB)*SUMIFS(AE$6:AE$90,$C$6:$C$90,$C123,$E$6:$E$90,$E123)</f>
        <v>0</v>
      </c>
      <c r="AF123" s="54">
        <f>SUMIF('S1'!$C:$C,'Key inputs_EB'!$E123,'S1'!AC:AC)*SUMIFS(AF$6:AF$90,$C$6:$C$90,$C123,$E$6:$E$90,$E123)</f>
        <v>0</v>
      </c>
      <c r="AG123" s="54">
        <f>SUMIF('S1'!$C:$C,'Key inputs_EB'!$E123,'S1'!AD:AD)*SUMIFS(AG$6:AG$90,$C$6:$C$90,$C123,$E$6:$E$90,$E123)</f>
        <v>0</v>
      </c>
      <c r="AH123" s="54">
        <f>SUMIF('S1'!$C:$C,'Key inputs_EB'!$E123,'S1'!AE:AE)*SUMIFS(AH$6:AH$90,$C$6:$C$90,$C123,$E$6:$E$90,$E123)</f>
        <v>0</v>
      </c>
      <c r="AI123" s="54">
        <f>SUMIF('S1'!$C:$C,'Key inputs_EB'!$E123,'S1'!AF:AF)*SUMIFS(AI$6:AI$90,$C$6:$C$90,$C123,$E$6:$E$90,$E123)</f>
        <v>0</v>
      </c>
      <c r="AJ123" s="84"/>
    </row>
    <row r="124" spans="1:36" s="49" customFormat="1" x14ac:dyDescent="0.3">
      <c r="B124" s="69" t="str">
        <f>Legend!A$47</f>
        <v>Cooking</v>
      </c>
      <c r="C124" s="69" t="str">
        <f>LEFT(Legend!$C$4)&amp;"-"&amp;Legend!B$47</f>
        <v>S-CK</v>
      </c>
      <c r="D124" s="69" t="s">
        <v>158</v>
      </c>
      <c r="E124" s="69"/>
      <c r="F124" s="69" t="s">
        <v>15</v>
      </c>
      <c r="G124" s="69"/>
      <c r="H124" s="70">
        <f t="shared" ref="H124:AI124" si="25">IF(H$94="","",SUM(H112:H123))</f>
        <v>128.06894999999997</v>
      </c>
      <c r="I124" s="70">
        <f t="shared" si="25"/>
        <v>43.70205</v>
      </c>
      <c r="J124" s="70">
        <f t="shared" si="25"/>
        <v>86.472699999999989</v>
      </c>
      <c r="K124" s="70">
        <f t="shared" si="25"/>
        <v>50.66964999999999</v>
      </c>
      <c r="L124" s="70">
        <f t="shared" si="25"/>
        <v>21.598850000000002</v>
      </c>
      <c r="M124" s="70">
        <f t="shared" si="25"/>
        <v>73.420657419986952</v>
      </c>
      <c r="N124" s="70">
        <f t="shared" si="25"/>
        <v>64.559349999999995</v>
      </c>
      <c r="O124" s="70">
        <f t="shared" si="25"/>
        <v>34.408039999999993</v>
      </c>
      <c r="P124" s="70">
        <f t="shared" si="25"/>
        <v>17.92672</v>
      </c>
      <c r="Q124" s="70">
        <f t="shared" si="25"/>
        <v>107.42684</v>
      </c>
      <c r="R124" s="70">
        <f t="shared" si="25"/>
        <v>23.26924</v>
      </c>
      <c r="S124" s="70">
        <f t="shared" si="25"/>
        <v>24.273299999999999</v>
      </c>
      <c r="T124" s="70">
        <f t="shared" si="25"/>
        <v>14.195114529935655</v>
      </c>
      <c r="U124" s="70">
        <f t="shared" si="25"/>
        <v>90.934460000000016</v>
      </c>
      <c r="V124" s="70">
        <f t="shared" si="25"/>
        <v>56.511414572988869</v>
      </c>
      <c r="W124" s="70">
        <f t="shared" si="25"/>
        <v>207.71523500000001</v>
      </c>
      <c r="X124" s="70">
        <f t="shared" si="25"/>
        <v>197.113045</v>
      </c>
      <c r="Y124" s="70">
        <f t="shared" si="25"/>
        <v>128.82107999999999</v>
      </c>
      <c r="Z124" s="70">
        <f t="shared" si="25"/>
        <v>158.05216999999999</v>
      </c>
      <c r="AA124" s="70">
        <f t="shared" si="25"/>
        <v>166.33241999999998</v>
      </c>
      <c r="AB124" s="70">
        <f t="shared" si="25"/>
        <v>137.77264</v>
      </c>
      <c r="AC124" s="70">
        <f t="shared" si="25"/>
        <v>176.41945000000001</v>
      </c>
      <c r="AD124" s="70">
        <f t="shared" si="25"/>
        <v>474.24014</v>
      </c>
      <c r="AE124" s="70">
        <f t="shared" si="25"/>
        <v>64.235280000000003</v>
      </c>
      <c r="AF124" s="70">
        <f t="shared" si="25"/>
        <v>82.193550000000002</v>
      </c>
      <c r="AG124" s="70">
        <f t="shared" si="25"/>
        <v>61.435229844084198</v>
      </c>
      <c r="AH124" s="70">
        <f t="shared" si="25"/>
        <v>55.420369999999991</v>
      </c>
      <c r="AI124" s="70">
        <f t="shared" si="25"/>
        <v>348.25063940707275</v>
      </c>
    </row>
    <row r="125" spans="1:36" s="49" customFormat="1" x14ac:dyDescent="0.3">
      <c r="B125" s="49" t="str">
        <f>Legend!A$49</f>
        <v>Lighting</v>
      </c>
      <c r="C125" s="49" t="str">
        <f>LEFT(Legend!$C$4)&amp;"-"&amp;Legend!B$49</f>
        <v>S-LIG</v>
      </c>
      <c r="D125" s="49" t="str">
        <f>Legend!A$63</f>
        <v>Electricity</v>
      </c>
      <c r="E125" s="49" t="str">
        <f>Legend!B$63</f>
        <v>SRVELC</v>
      </c>
      <c r="F125" s="49" t="s">
        <v>15</v>
      </c>
      <c r="G125" s="49" t="s">
        <v>696</v>
      </c>
      <c r="H125" s="54">
        <f>SUMIF('S1'!$C:$C,'Key inputs_EB'!$E125,'S1'!E:E)*SUMIFS(H$6:H$90,$C$6:$C$90,$C125,$E$6:$E$90,$E125)</f>
        <v>7.8689342925659487</v>
      </c>
      <c r="I125" s="54">
        <f>SUMIF('S1'!$C:$C,'Key inputs_EB'!$E125,'S1'!F:F)*SUMIFS(I$6:I$90,$C$6:$C$90,$C125,$E$6:$E$90,$E125)</f>
        <v>43.486215827338135</v>
      </c>
      <c r="J125" s="54">
        <f>SUMIF('S1'!$C:$C,'Key inputs_EB'!$E125,'S1'!G:G)*SUMIFS(J$6:J$90,$C$6:$C$90,$C125,$E$6:$E$90,$E125)</f>
        <v>10.107203836930456</v>
      </c>
      <c r="K125" s="54">
        <f>SUMIF('S1'!$C:$C,'Key inputs_EB'!$E125,'S1'!H:H)*SUMIFS(K$6:K$90,$C$6:$C$90,$C125,$E$6:$E$90,$E125)</f>
        <v>26.492346474820145</v>
      </c>
      <c r="L125" s="54">
        <f>SUMIF('S1'!$C:$C,'Key inputs_EB'!$E125,'S1'!I:I)*SUMIFS(L$6:L$90,$C$6:$C$90,$C125,$E$6:$E$90,$E125)</f>
        <v>48.156513268156424</v>
      </c>
      <c r="M125" s="54">
        <f>SUMIF('S1'!$C:$C,'Key inputs_EB'!$E125,'S1'!J:J)*SUMIFS(M$6:M$90,$C$6:$C$90,$C125,$E$6:$E$90,$E125)</f>
        <v>22.433582845434898</v>
      </c>
      <c r="N125" s="54">
        <f>SUMIF('S1'!$C:$C,'Key inputs_EB'!$E125,'S1'!K:K)*SUMIFS(N$6:N$90,$C$6:$C$90,$C125,$E$6:$E$90,$E125)</f>
        <v>93.505903877459346</v>
      </c>
      <c r="O125" s="54">
        <f>SUMIF('S1'!$C:$C,'Key inputs_EB'!$E125,'S1'!L:L)*SUMIFS(O$6:O$90,$C$6:$C$90,$C125,$E$6:$E$90,$E125)</f>
        <v>21.603023702601806</v>
      </c>
      <c r="P125" s="54">
        <f>SUMIF('S1'!$C:$C,'Key inputs_EB'!$E125,'S1'!M:M)*SUMIFS(P$6:P$90,$C$6:$C$90,$C125,$E$6:$E$90,$E125)</f>
        <v>42.65108399999999</v>
      </c>
      <c r="Q125" s="54">
        <f>SUMIF('S1'!$C:$C,'Key inputs_EB'!$E125,'S1'!N:N)*SUMIFS(Q$6:Q$90,$C$6:$C$90,$C125,$E$6:$E$90,$E125)</f>
        <v>116.35441786297679</v>
      </c>
      <c r="R125" s="54">
        <f>SUMIF('S1'!$C:$C,'Key inputs_EB'!$E125,'S1'!O:O)*SUMIFS(R$6:R$90,$C$6:$C$90,$C125,$E$6:$E$90,$E125)</f>
        <v>3.7104479999999995</v>
      </c>
      <c r="S125" s="54">
        <f>SUMIF('S1'!$C:$C,'Key inputs_EB'!$E125,'S1'!P:P)*SUMIFS(S$6:S$90,$C$6:$C$90,$C125,$E$6:$E$90,$E125)</f>
        <v>36.402195026523337</v>
      </c>
      <c r="T125" s="54">
        <f>SUMIF('S1'!$C:$C,'Key inputs_EB'!$E125,'S1'!Q:Q)*SUMIFS(T$6:T$90,$C$6:$C$90,$C125,$E$6:$E$90,$E125)</f>
        <v>35.196510213590052</v>
      </c>
      <c r="U125" s="54">
        <f>SUMIF('S1'!$C:$C,'Key inputs_EB'!$E125,'S1'!R:R)*SUMIFS(U$6:U$90,$C$6:$C$90,$C125,$E$6:$E$90,$E125)</f>
        <v>106.14995996210951</v>
      </c>
      <c r="V125" s="54">
        <f>SUMIF('S1'!$C:$C,'Key inputs_EB'!$E125,'S1'!S:S)*SUMIFS(V$6:V$90,$C$6:$C$90,$C125,$E$6:$E$90,$E125)</f>
        <v>94.493453815711916</v>
      </c>
      <c r="W125" s="54">
        <f>SUMIF('S1'!$C:$C,'Key inputs_EB'!$E125,'S1'!T:T)*SUMIFS(W$6:W$90,$C$6:$C$90,$C125,$E$6:$E$90,$E125)</f>
        <v>266.74638464453113</v>
      </c>
      <c r="X125" s="54">
        <f>SUMIF('S1'!$C:$C,'Key inputs_EB'!$E125,'S1'!U:U)*SUMIFS(X$6:X$90,$C$6:$C$90,$C125,$E$6:$E$90,$E125)</f>
        <v>214.37309198153187</v>
      </c>
      <c r="Y125" s="54">
        <f>SUMIF('S1'!$C:$C,'Key inputs_EB'!$E125,'S1'!V:V)*SUMIFS(Y$6:Y$90,$C$6:$C$90,$C125,$E$6:$E$90,$E125)</f>
        <v>77.623363998428232</v>
      </c>
      <c r="Z125" s="54">
        <f>SUMIF('S1'!$C:$C,'Key inputs_EB'!$E125,'S1'!W:W)*SUMIFS(Z$6:Z$90,$C$6:$C$90,$C125,$E$6:$E$90,$E125)</f>
        <v>84.06838830166437</v>
      </c>
      <c r="AA125" s="54">
        <f>SUMIF('S1'!$C:$C,'Key inputs_EB'!$E125,'S1'!X:X)*SUMIFS(AA$6:AA$90,$C$6:$C$90,$C125,$E$6:$E$90,$E125)</f>
        <v>256.19459128238231</v>
      </c>
      <c r="AB125" s="54">
        <f>SUMIF('S1'!$C:$C,'Key inputs_EB'!$E125,'S1'!Y:Y)*SUMIFS(AB$6:AB$90,$C$6:$C$90,$C125,$E$6:$E$90,$E125)</f>
        <v>34.961807999999998</v>
      </c>
      <c r="AC125" s="54">
        <f>SUMIF('S1'!$C:$C,'Key inputs_EB'!$E125,'S1'!Z:Z)*SUMIFS(AC$6:AC$90,$C$6:$C$90,$C125,$E$6:$E$90,$E125)</f>
        <v>74.660899639058073</v>
      </c>
      <c r="AD125" s="54">
        <f>SUMIF('S1'!$C:$C,'Key inputs_EB'!$E125,'S1'!AA:AA)*SUMIFS(AD$6:AD$90,$C$6:$C$90,$C125,$E$6:$E$90,$E125)</f>
        <v>161.59543913553566</v>
      </c>
      <c r="AE125" s="54">
        <f>SUMIF('S1'!$C:$C,'Key inputs_EB'!$E125,'S1'!AB:AB)*SUMIFS(AE$6:AE$90,$C$6:$C$90,$C125,$E$6:$E$90,$E125)</f>
        <v>7.8568040000000012</v>
      </c>
      <c r="AF125" s="54">
        <f>SUMIF('S1'!$C:$C,'Key inputs_EB'!$E125,'S1'!AC:AC)*SUMIFS(AF$6:AF$90,$C$6:$C$90,$C125,$E$6:$E$90,$E125)</f>
        <v>6.1076880575539576</v>
      </c>
      <c r="AG125" s="54">
        <f>SUMIF('S1'!$C:$C,'Key inputs_EB'!$E125,'S1'!AD:AD)*SUMIFS(AG$6:AG$90,$C$6:$C$90,$C125,$E$6:$E$90,$E125)</f>
        <v>123.71065754301273</v>
      </c>
      <c r="AH125" s="54">
        <f>SUMIF('S1'!$C:$C,'Key inputs_EB'!$E125,'S1'!AE:AE)*SUMIFS(AH$6:AH$90,$C$6:$C$90,$C125,$E$6:$E$90,$E125)</f>
        <v>152.26500999635124</v>
      </c>
      <c r="AI125" s="54">
        <f>SUMIF('S1'!$C:$C,'Key inputs_EB'!$E125,'S1'!AF:AF)*SUMIFS(AI$6:AI$90,$C$6:$C$90,$C125,$E$6:$E$90,$E125)</f>
        <v>1092.6825821838859</v>
      </c>
    </row>
    <row r="126" spans="1:36" s="50" customFormat="1" x14ac:dyDescent="0.3">
      <c r="A126" s="49"/>
      <c r="B126" s="50" t="str">
        <f>Legend!A$49</f>
        <v>Lighting</v>
      </c>
      <c r="C126" s="50" t="str">
        <f>LEFT(Legend!$C$4)&amp;"-"&amp;Legend!B$49</f>
        <v>S-LIG</v>
      </c>
      <c r="D126" s="50" t="s">
        <v>158</v>
      </c>
      <c r="E126" s="69"/>
      <c r="F126" s="50" t="s">
        <v>15</v>
      </c>
      <c r="G126" s="69"/>
      <c r="H126" s="447">
        <f t="shared" ref="H126:AI126" si="26">IF(H$94="","",SUM(H125:H125))</f>
        <v>7.8689342925659487</v>
      </c>
      <c r="I126" s="447">
        <f t="shared" si="26"/>
        <v>43.486215827338135</v>
      </c>
      <c r="J126" s="447">
        <f t="shared" si="26"/>
        <v>10.107203836930456</v>
      </c>
      <c r="K126" s="447">
        <f t="shared" si="26"/>
        <v>26.492346474820145</v>
      </c>
      <c r="L126" s="447">
        <f t="shared" si="26"/>
        <v>48.156513268156424</v>
      </c>
      <c r="M126" s="447">
        <f t="shared" si="26"/>
        <v>22.433582845434898</v>
      </c>
      <c r="N126" s="447">
        <f t="shared" si="26"/>
        <v>93.505903877459346</v>
      </c>
      <c r="O126" s="447">
        <f t="shared" si="26"/>
        <v>21.603023702601806</v>
      </c>
      <c r="P126" s="447">
        <f t="shared" si="26"/>
        <v>42.65108399999999</v>
      </c>
      <c r="Q126" s="447">
        <f t="shared" si="26"/>
        <v>116.35441786297679</v>
      </c>
      <c r="R126" s="447">
        <f t="shared" si="26"/>
        <v>3.7104479999999995</v>
      </c>
      <c r="S126" s="447">
        <f t="shared" si="26"/>
        <v>36.402195026523337</v>
      </c>
      <c r="T126" s="447">
        <f t="shared" si="26"/>
        <v>35.196510213590052</v>
      </c>
      <c r="U126" s="447">
        <f t="shared" si="26"/>
        <v>106.14995996210951</v>
      </c>
      <c r="V126" s="447">
        <f t="shared" si="26"/>
        <v>94.493453815711916</v>
      </c>
      <c r="W126" s="447">
        <f t="shared" si="26"/>
        <v>266.74638464453113</v>
      </c>
      <c r="X126" s="447">
        <f t="shared" si="26"/>
        <v>214.37309198153187</v>
      </c>
      <c r="Y126" s="447">
        <f t="shared" si="26"/>
        <v>77.623363998428232</v>
      </c>
      <c r="Z126" s="447">
        <f t="shared" si="26"/>
        <v>84.06838830166437</v>
      </c>
      <c r="AA126" s="447">
        <f t="shared" si="26"/>
        <v>256.19459128238231</v>
      </c>
      <c r="AB126" s="447">
        <f t="shared" si="26"/>
        <v>34.961807999999998</v>
      </c>
      <c r="AC126" s="447">
        <f t="shared" si="26"/>
        <v>74.660899639058073</v>
      </c>
      <c r="AD126" s="447">
        <f t="shared" si="26"/>
        <v>161.59543913553566</v>
      </c>
      <c r="AE126" s="447">
        <f t="shared" si="26"/>
        <v>7.8568040000000012</v>
      </c>
      <c r="AF126" s="447">
        <f t="shared" si="26"/>
        <v>6.1076880575539576</v>
      </c>
      <c r="AG126" s="447">
        <f t="shared" si="26"/>
        <v>123.71065754301273</v>
      </c>
      <c r="AH126" s="447">
        <f t="shared" si="26"/>
        <v>152.26500999635124</v>
      </c>
      <c r="AI126" s="447">
        <f t="shared" si="26"/>
        <v>1092.6825821838859</v>
      </c>
    </row>
    <row r="127" spans="1:36" s="50" customFormat="1" x14ac:dyDescent="0.3">
      <c r="A127" s="49"/>
      <c r="B127" s="56" t="str">
        <f>Legend!A$48</f>
        <v>Street lighting</v>
      </c>
      <c r="C127" s="56" t="str">
        <f>LEFT(Legend!$C$4)&amp;"-"&amp;Legend!B$48</f>
        <v>S-SLIG</v>
      </c>
      <c r="D127" s="56" t="s">
        <v>22</v>
      </c>
      <c r="E127" s="49" t="str">
        <f>Legend!B$63</f>
        <v>SRVELC</v>
      </c>
      <c r="F127" s="61" t="s">
        <v>15</v>
      </c>
      <c r="G127" s="49" t="s">
        <v>696</v>
      </c>
      <c r="H127" s="448">
        <f>SUMIF('S1'!$C:$C,'Key inputs_EB'!$E127,'S1'!E:E)*SUMIFS(H$6:H$90,$C$6:$C$90,$C127,$E$6:$E$90,$E127)</f>
        <v>7.9067657074340527</v>
      </c>
      <c r="I127" s="448">
        <f>SUMIF('S1'!$C:$C,'Key inputs_EB'!$E127,'S1'!F:F)*SUMIFS(I$6:I$90,$C$6:$C$90,$C127,$E$6:$E$90,$E127)</f>
        <v>43.695284172661871</v>
      </c>
      <c r="J127" s="448">
        <f>SUMIF('S1'!$C:$C,'Key inputs_EB'!$E127,'S1'!G:G)*SUMIFS(J$6:J$90,$C$6:$C$90,$C127,$E$6:$E$90,$E127)</f>
        <v>10.155796163069544</v>
      </c>
      <c r="K127" s="448">
        <f>SUMIF('S1'!$C:$C,'Key inputs_EB'!$E127,'S1'!H:H)*SUMIFS(K$6:K$90,$C$6:$C$90,$C127,$E$6:$E$90,$E127)</f>
        <v>26.619713525179854</v>
      </c>
      <c r="L127" s="448">
        <f>SUMIF('S1'!$C:$C,'Key inputs_EB'!$E127,'S1'!I:I)*SUMIFS(L$6:L$90,$C$6:$C$90,$C127,$E$6:$E$90,$E127)</f>
        <v>39.134786731843576</v>
      </c>
      <c r="M127" s="448">
        <f>SUMIF('S1'!$C:$C,'Key inputs_EB'!$E127,'S1'!J:J)*SUMIFS(M$6:M$90,$C$6:$C$90,$C127,$E$6:$E$90,$E127)</f>
        <v>17.484817154565107</v>
      </c>
      <c r="N127" s="448">
        <f>SUMIF('S1'!$C:$C,'Key inputs_EB'!$E127,'S1'!K:K)*SUMIFS(N$6:N$90,$C$6:$C$90,$C127,$E$6:$E$90,$E127)</f>
        <v>72.878846122540651</v>
      </c>
      <c r="O127" s="448">
        <f>SUMIF('S1'!$C:$C,'Key inputs_EB'!$E127,'S1'!L:L)*SUMIFS(O$6:O$90,$C$6:$C$90,$C127,$E$6:$E$90,$E127)</f>
        <v>16.83747629739819</v>
      </c>
      <c r="P127" s="448">
        <f>SUMIF('S1'!$C:$C,'Key inputs_EB'!$E127,'S1'!M:M)*SUMIFS(P$6:P$90,$C$6:$C$90,$C127,$E$6:$E$90,$E127)</f>
        <v>170.60433599999999</v>
      </c>
      <c r="Q127" s="448">
        <f>SUMIF('S1'!$C:$C,'Key inputs_EB'!$E127,'S1'!N:N)*SUMIFS(Q$6:Q$90,$C$6:$C$90,$C127,$E$6:$E$90,$E127)</f>
        <v>90.687062137023219</v>
      </c>
      <c r="R127" s="448">
        <f>SUMIF('S1'!$C:$C,'Key inputs_EB'!$E127,'S1'!O:O)*SUMIFS(R$6:R$90,$C$6:$C$90,$C127,$E$6:$E$90,$E127)</f>
        <v>14.841792</v>
      </c>
      <c r="S127" s="448">
        <f>SUMIF('S1'!$C:$C,'Key inputs_EB'!$E127,'S1'!P:P)*SUMIFS(S$6:S$90,$C$6:$C$90,$C127,$E$6:$E$90,$E127)</f>
        <v>28.372004973476656</v>
      </c>
      <c r="T127" s="448">
        <f>SUMIF('S1'!$C:$C,'Key inputs_EB'!$E127,'S1'!Q:Q)*SUMIFS(T$6:T$90,$C$6:$C$90,$C127,$E$6:$E$90,$E127)</f>
        <v>27.432289786409953</v>
      </c>
      <c r="U127" s="448">
        <f>SUMIF('S1'!$C:$C,'Key inputs_EB'!$E127,'S1'!R:R)*SUMIFS(U$6:U$90,$C$6:$C$90,$C127,$E$6:$E$90,$E127)</f>
        <v>82.733670037890491</v>
      </c>
      <c r="V127" s="448">
        <f>SUMIF('S1'!$C:$C,'Key inputs_EB'!$E127,'S1'!S:S)*SUMIFS(V$6:V$90,$C$6:$C$90,$C127,$E$6:$E$90,$E127)</f>
        <v>73.648546184288094</v>
      </c>
      <c r="W127" s="448">
        <f>SUMIF('S1'!$C:$C,'Key inputs_EB'!$E127,'S1'!T:T)*SUMIFS(W$6:W$90,$C$6:$C$90,$C127,$E$6:$E$90,$E127)</f>
        <v>207.90311535546888</v>
      </c>
      <c r="X127" s="448">
        <f>SUMIF('S1'!$C:$C,'Key inputs_EB'!$E127,'S1'!U:U)*SUMIFS(X$6:X$90,$C$6:$C$90,$C127,$E$6:$E$90,$E127)</f>
        <v>167.08317801846812</v>
      </c>
      <c r="Y127" s="448">
        <f>SUMIF('S1'!$C:$C,'Key inputs_EB'!$E127,'S1'!V:V)*SUMIFS(Y$6:Y$90,$C$6:$C$90,$C127,$E$6:$E$90,$E127)</f>
        <v>60.499936001571747</v>
      </c>
      <c r="Z127" s="448">
        <f>SUMIF('S1'!$C:$C,'Key inputs_EB'!$E127,'S1'!W:W)*SUMIFS(Z$6:Z$90,$C$6:$C$90,$C127,$E$6:$E$90,$E127)</f>
        <v>65.523211698335629</v>
      </c>
      <c r="AA127" s="448">
        <f>SUMIF('S1'!$C:$C,'Key inputs_EB'!$E127,'S1'!X:X)*SUMIFS(AA$6:AA$90,$C$6:$C$90,$C127,$E$6:$E$90,$E127)</f>
        <v>199.67900871761771</v>
      </c>
      <c r="AB127" s="448">
        <f>SUMIF('S1'!$C:$C,'Key inputs_EB'!$E127,'S1'!Y:Y)*SUMIFS(AB$6:AB$90,$C$6:$C$90,$C127,$E$6:$E$90,$E127)</f>
        <v>139.84723199999999</v>
      </c>
      <c r="AC127" s="448">
        <f>SUMIF('S1'!$C:$C,'Key inputs_EB'!$E127,'S1'!Z:Z)*SUMIFS(AC$6:AC$90,$C$6:$C$90,$C127,$E$6:$E$90,$E127)</f>
        <v>58.190980360941928</v>
      </c>
      <c r="AD127" s="448">
        <f>SUMIF('S1'!$C:$C,'Key inputs_EB'!$E127,'S1'!AA:AA)*SUMIFS(AD$6:AD$90,$C$6:$C$90,$C127,$E$6:$E$90,$E127)</f>
        <v>125.94808086446433</v>
      </c>
      <c r="AE127" s="448">
        <f>SUMIF('S1'!$C:$C,'Key inputs_EB'!$E127,'S1'!AB:AB)*SUMIFS(AE$6:AE$90,$C$6:$C$90,$C127,$E$6:$E$90,$E127)</f>
        <v>31.427216000000005</v>
      </c>
      <c r="AF127" s="448">
        <f>SUMIF('S1'!$C:$C,'Key inputs_EB'!$E127,'S1'!AC:AC)*SUMIFS(AF$6:AF$90,$C$6:$C$90,$C127,$E$6:$E$90,$E127)</f>
        <v>6.1370519424460435</v>
      </c>
      <c r="AG127" s="448">
        <f>SUMIF('S1'!$C:$C,'Key inputs_EB'!$E127,'S1'!AD:AD)*SUMIFS(AG$6:AG$90,$C$6:$C$90,$C127,$E$6:$E$90,$E127)</f>
        <v>96.420542456987263</v>
      </c>
      <c r="AH127" s="448">
        <f>SUMIF('S1'!$C:$C,'Key inputs_EB'!$E127,'S1'!AE:AE)*SUMIFS(AH$6:AH$90,$C$6:$C$90,$C127,$E$6:$E$90,$E127)</f>
        <v>118.67591000364874</v>
      </c>
      <c r="AI127" s="448">
        <f>SUMIF('S1'!$C:$C,'Key inputs_EB'!$E127,'S1'!AF:AF)*SUMIFS(AI$6:AI$90,$C$6:$C$90,$C127,$E$6:$E$90,$E127)</f>
        <v>851.64083192137662</v>
      </c>
    </row>
    <row r="128" spans="1:36" s="50" customFormat="1" x14ac:dyDescent="0.3">
      <c r="A128" s="49"/>
      <c r="B128" s="50" t="str">
        <f>Legend!A$48</f>
        <v>Street lighting</v>
      </c>
      <c r="C128" s="69" t="str">
        <f>LEFT(Legend!$C$4)&amp;"-"&amp;Legend!B$48</f>
        <v>S-SLIG</v>
      </c>
      <c r="D128" s="69" t="s">
        <v>158</v>
      </c>
      <c r="E128" s="69"/>
      <c r="F128" s="69" t="s">
        <v>15</v>
      </c>
      <c r="G128" s="69"/>
      <c r="H128" s="70">
        <f t="shared" ref="H128:AI128" si="27">H127</f>
        <v>7.9067657074340527</v>
      </c>
      <c r="I128" s="70">
        <f t="shared" si="27"/>
        <v>43.695284172661871</v>
      </c>
      <c r="J128" s="70">
        <f t="shared" si="27"/>
        <v>10.155796163069544</v>
      </c>
      <c r="K128" s="70">
        <f t="shared" si="27"/>
        <v>26.619713525179854</v>
      </c>
      <c r="L128" s="70">
        <f t="shared" si="27"/>
        <v>39.134786731843576</v>
      </c>
      <c r="M128" s="70">
        <f t="shared" si="27"/>
        <v>17.484817154565107</v>
      </c>
      <c r="N128" s="70">
        <f t="shared" si="27"/>
        <v>72.878846122540651</v>
      </c>
      <c r="O128" s="70">
        <f t="shared" si="27"/>
        <v>16.83747629739819</v>
      </c>
      <c r="P128" s="70">
        <f t="shared" si="27"/>
        <v>170.60433599999999</v>
      </c>
      <c r="Q128" s="70">
        <f t="shared" si="27"/>
        <v>90.687062137023219</v>
      </c>
      <c r="R128" s="70">
        <f t="shared" si="27"/>
        <v>14.841792</v>
      </c>
      <c r="S128" s="70">
        <f t="shared" si="27"/>
        <v>28.372004973476656</v>
      </c>
      <c r="T128" s="70">
        <f t="shared" si="27"/>
        <v>27.432289786409953</v>
      </c>
      <c r="U128" s="70">
        <f t="shared" si="27"/>
        <v>82.733670037890491</v>
      </c>
      <c r="V128" s="70">
        <f t="shared" si="27"/>
        <v>73.648546184288094</v>
      </c>
      <c r="W128" s="70">
        <f t="shared" si="27"/>
        <v>207.90311535546888</v>
      </c>
      <c r="X128" s="70">
        <f t="shared" si="27"/>
        <v>167.08317801846812</v>
      </c>
      <c r="Y128" s="70">
        <f t="shared" si="27"/>
        <v>60.499936001571747</v>
      </c>
      <c r="Z128" s="70">
        <f t="shared" si="27"/>
        <v>65.523211698335629</v>
      </c>
      <c r="AA128" s="70">
        <f t="shared" si="27"/>
        <v>199.67900871761771</v>
      </c>
      <c r="AB128" s="70">
        <f t="shared" si="27"/>
        <v>139.84723199999999</v>
      </c>
      <c r="AC128" s="70">
        <f t="shared" si="27"/>
        <v>58.190980360941928</v>
      </c>
      <c r="AD128" s="70">
        <f t="shared" si="27"/>
        <v>125.94808086446433</v>
      </c>
      <c r="AE128" s="70">
        <f t="shared" si="27"/>
        <v>31.427216000000005</v>
      </c>
      <c r="AF128" s="70">
        <f t="shared" si="27"/>
        <v>6.1370519424460435</v>
      </c>
      <c r="AG128" s="70">
        <f t="shared" si="27"/>
        <v>96.420542456987263</v>
      </c>
      <c r="AH128" s="70">
        <f t="shared" si="27"/>
        <v>118.67591000364874</v>
      </c>
      <c r="AI128" s="70">
        <f t="shared" si="27"/>
        <v>851.64083192137662</v>
      </c>
    </row>
    <row r="129" spans="1:35" s="82" customFormat="1" x14ac:dyDescent="0.3">
      <c r="A129" s="49"/>
      <c r="B129" s="80" t="str">
        <f>Legend!A$50</f>
        <v>Electric Appliances</v>
      </c>
      <c r="C129" s="81" t="str">
        <f>LEFT(Legend!$C$4)&amp;"-"&amp;Legend!B$50</f>
        <v>S-EAP</v>
      </c>
      <c r="D129" s="49" t="str">
        <f>Legend!A$63</f>
        <v>Electricity</v>
      </c>
      <c r="E129" s="49" t="str">
        <f>Legend!B$63</f>
        <v>SRVELC</v>
      </c>
      <c r="F129" s="81" t="s">
        <v>15</v>
      </c>
      <c r="G129" s="49" t="s">
        <v>696</v>
      </c>
      <c r="H129" s="54">
        <f>SUMIF('S1'!$C:$C,'Key inputs_EB'!$E129,'S1'!E:E)*SUMIFS(H$6:H$90,$C$6:$C$90,$C129,$E$6:$E$90,$E129)</f>
        <v>13.718000000000002</v>
      </c>
      <c r="I129" s="54">
        <f>SUMIF('S1'!$C:$C,'Key inputs_EB'!$E129,'S1'!F:F)*SUMIFS(I$6:I$90,$C$6:$C$90,$C129,$E$6:$E$90,$E129)</f>
        <v>75.81</v>
      </c>
      <c r="J129" s="54">
        <f>SUMIF('S1'!$C:$C,'Key inputs_EB'!$E129,'S1'!G:G)*SUMIFS(J$6:J$90,$C$6:$C$90,$C129,$E$6:$E$90,$E129)</f>
        <v>17.62</v>
      </c>
      <c r="K129" s="54">
        <f>SUMIF('S1'!$C:$C,'Key inputs_EB'!$E129,'S1'!H:H)*SUMIFS(K$6:K$90,$C$6:$C$90,$C129,$E$6:$E$90,$E129)</f>
        <v>46.184400000000004</v>
      </c>
      <c r="L129" s="54">
        <f>SUMIF('S1'!$C:$C,'Key inputs_EB'!$E129,'S1'!I:I)*SUMIFS(L$6:L$90,$C$6:$C$90,$C129,$E$6:$E$90,$E129)</f>
        <v>130.93695</v>
      </c>
      <c r="M129" s="54">
        <f>SUMIF('S1'!$C:$C,'Key inputs_EB'!$E129,'S1'!J:J)*SUMIFS(M$6:M$90,$C$6:$C$90,$C129,$E$6:$E$90,$E129)</f>
        <v>35.926560000000002</v>
      </c>
      <c r="N129" s="54">
        <f>SUMIF('S1'!$C:$C,'Key inputs_EB'!$E129,'S1'!K:K)*SUMIFS(N$6:N$90,$C$6:$C$90,$C129,$E$6:$E$90,$E129)</f>
        <v>199.66170000000002</v>
      </c>
      <c r="O129" s="54">
        <f>SUMIF('S1'!$C:$C,'Key inputs_EB'!$E129,'S1'!L:L)*SUMIFS(O$6:O$90,$C$6:$C$90,$C129,$E$6:$E$90,$E129)</f>
        <v>46.128600000000006</v>
      </c>
      <c r="P129" s="54">
        <f>SUMIF('S1'!$C:$C,'Key inputs_EB'!$E129,'S1'!M:M)*SUMIFS(P$6:P$90,$C$6:$C$90,$C129,$E$6:$E$90,$E129)</f>
        <v>223.41043999999999</v>
      </c>
      <c r="Q129" s="54">
        <f>SUMIF('S1'!$C:$C,'Key inputs_EB'!$E129,'S1'!N:N)*SUMIFS(Q$6:Q$90,$C$6:$C$90,$C129,$E$6:$E$90,$E129)</f>
        <v>108.9692</v>
      </c>
      <c r="R129" s="54">
        <f>SUMIF('S1'!$C:$C,'Key inputs_EB'!$E129,'S1'!O:O)*SUMIFS(R$6:R$90,$C$6:$C$90,$C129,$E$6:$E$90,$E129)</f>
        <v>19.435679999999998</v>
      </c>
      <c r="S129" s="54">
        <f>SUMIF('S1'!$C:$C,'Key inputs_EB'!$E129,'S1'!P:P)*SUMIFS(S$6:S$90,$C$6:$C$90,$C129,$E$6:$E$90,$E129)</f>
        <v>30.227959999999999</v>
      </c>
      <c r="T129" s="54">
        <f>SUMIF('S1'!$C:$C,'Key inputs_EB'!$E129,'S1'!Q:Q)*SUMIFS(T$6:T$90,$C$6:$C$90,$C129,$E$6:$E$90,$E129)</f>
        <v>56.365919999999996</v>
      </c>
      <c r="U129" s="54">
        <f>SUMIF('S1'!$C:$C,'Key inputs_EB'!$E129,'S1'!R:R)*SUMIFS(U$6:U$90,$C$6:$C$90,$C129,$E$6:$E$90,$E129)</f>
        <v>125.92242</v>
      </c>
      <c r="V129" s="54">
        <f>SUMIF('S1'!$C:$C,'Key inputs_EB'!$E129,'S1'!S:S)*SUMIFS(V$6:V$90,$C$6:$C$90,$C129,$E$6:$E$90,$E129)</f>
        <v>151.3278</v>
      </c>
      <c r="W129" s="54">
        <f>SUMIF('S1'!$C:$C,'Key inputs_EB'!$E129,'S1'!T:T)*SUMIFS(W$6:W$90,$C$6:$C$90,$C129,$E$6:$E$90,$E129)</f>
        <v>316.43299999999999</v>
      </c>
      <c r="X129" s="54">
        <f>SUMIF('S1'!$C:$C,'Key inputs_EB'!$E129,'S1'!U:U)*SUMIFS(X$6:X$90,$C$6:$C$90,$C129,$E$6:$E$90,$E129)</f>
        <v>254.30418</v>
      </c>
      <c r="Y129" s="54">
        <f>SUMIF('S1'!$C:$C,'Key inputs_EB'!$E129,'S1'!V:V)*SUMIFS(Y$6:Y$90,$C$6:$C$90,$C129,$E$6:$E$90,$E129)</f>
        <v>165.74796000000001</v>
      </c>
      <c r="Z129" s="54">
        <f>SUMIF('S1'!$C:$C,'Key inputs_EB'!$E129,'S1'!W:W)*SUMIFS(Z$6:Z$90,$C$6:$C$90,$C129,$E$6:$E$90,$E129)</f>
        <v>183.24970999999999</v>
      </c>
      <c r="AA129" s="54">
        <f>SUMIF('S1'!$C:$C,'Key inputs_EB'!$E129,'S1'!X:X)*SUMIFS(AA$6:AA$90,$C$6:$C$90,$C129,$E$6:$E$90,$E129)</f>
        <v>387.49255999999997</v>
      </c>
      <c r="AB129" s="54">
        <f>SUMIF('S1'!$C:$C,'Key inputs_EB'!$E129,'S1'!Y:Y)*SUMIFS(AB$6:AB$90,$C$6:$C$90,$C129,$E$6:$E$90,$E129)</f>
        <v>183.13327999999998</v>
      </c>
      <c r="AC129" s="54">
        <f>SUMIF('S1'!$C:$C,'Key inputs_EB'!$E129,'S1'!Z:Z)*SUMIFS(AC$6:AC$90,$C$6:$C$90,$C129,$E$6:$E$90,$E129)</f>
        <v>151.30353000000002</v>
      </c>
      <c r="AD129" s="54">
        <f>SUMIF('S1'!$C:$C,'Key inputs_EB'!$E129,'S1'!AA:AA)*SUMIFS(AD$6:AD$90,$C$6:$C$90,$C129,$E$6:$E$90,$E129)</f>
        <v>327.48012</v>
      </c>
      <c r="AE129" s="54">
        <f>SUMIF('S1'!$C:$C,'Key inputs_EB'!$E129,'S1'!AB:AB)*SUMIFS(AE$6:AE$90,$C$6:$C$90,$C129,$E$6:$E$90,$E129)</f>
        <v>41.351600000000005</v>
      </c>
      <c r="AF129" s="54">
        <f>SUMIF('S1'!$C:$C,'Key inputs_EB'!$E129,'S1'!AC:AC)*SUMIFS(AF$6:AF$90,$C$6:$C$90,$C129,$E$6:$E$90,$E129)</f>
        <v>10.647600000000001</v>
      </c>
      <c r="AG129" s="54">
        <f>SUMIF('S1'!$C:$C,'Key inputs_EB'!$E129,'S1'!AD:AD)*SUMIFS(AG$6:AG$90,$C$6:$C$90,$C129,$E$6:$E$90,$E129)</f>
        <v>198.11807999999999</v>
      </c>
      <c r="AH129" s="54">
        <f>SUMIF('S1'!$C:$C,'Key inputs_EB'!$E129,'S1'!AE:AE)*SUMIFS(AH$6:AH$90,$C$6:$C$90,$C129,$E$6:$E$90,$E129)</f>
        <v>188.48063999999999</v>
      </c>
      <c r="AI129" s="54">
        <f>SUMIF('S1'!$C:$C,'Key inputs_EB'!$E129,'S1'!AF:AF)*SUMIFS(AI$6:AI$90,$C$6:$C$90,$C129,$E$6:$E$90,$E129)</f>
        <v>983.27207197212283</v>
      </c>
    </row>
    <row r="130" spans="1:35" s="50" customFormat="1" x14ac:dyDescent="0.3">
      <c r="A130" s="49"/>
      <c r="B130" s="69" t="str">
        <f>Legend!A$50</f>
        <v>Electric Appliances</v>
      </c>
      <c r="C130" s="69" t="str">
        <f>LEFT(Legend!$C$4)&amp;"-"&amp;Legend!B$50</f>
        <v>S-EAP</v>
      </c>
      <c r="D130" s="69" t="s">
        <v>158</v>
      </c>
      <c r="E130" s="69"/>
      <c r="F130" s="69" t="s">
        <v>15</v>
      </c>
      <c r="G130" s="69"/>
      <c r="H130" s="70">
        <f t="shared" ref="H130:AI130" si="28">IF(H$94="","",SUM(H129))</f>
        <v>13.718000000000002</v>
      </c>
      <c r="I130" s="70">
        <f t="shared" si="28"/>
        <v>75.81</v>
      </c>
      <c r="J130" s="70">
        <f t="shared" si="28"/>
        <v>17.62</v>
      </c>
      <c r="K130" s="70">
        <f t="shared" si="28"/>
        <v>46.184400000000004</v>
      </c>
      <c r="L130" s="70">
        <f t="shared" si="28"/>
        <v>130.93695</v>
      </c>
      <c r="M130" s="70">
        <f t="shared" si="28"/>
        <v>35.926560000000002</v>
      </c>
      <c r="N130" s="70">
        <f t="shared" si="28"/>
        <v>199.66170000000002</v>
      </c>
      <c r="O130" s="70">
        <f t="shared" si="28"/>
        <v>46.128600000000006</v>
      </c>
      <c r="P130" s="70">
        <f t="shared" si="28"/>
        <v>223.41043999999999</v>
      </c>
      <c r="Q130" s="70">
        <f t="shared" si="28"/>
        <v>108.9692</v>
      </c>
      <c r="R130" s="70">
        <f t="shared" si="28"/>
        <v>19.435679999999998</v>
      </c>
      <c r="S130" s="70">
        <f t="shared" si="28"/>
        <v>30.227959999999999</v>
      </c>
      <c r="T130" s="70">
        <f t="shared" si="28"/>
        <v>56.365919999999996</v>
      </c>
      <c r="U130" s="70">
        <f t="shared" si="28"/>
        <v>125.92242</v>
      </c>
      <c r="V130" s="70">
        <f t="shared" si="28"/>
        <v>151.3278</v>
      </c>
      <c r="W130" s="70">
        <f t="shared" si="28"/>
        <v>316.43299999999999</v>
      </c>
      <c r="X130" s="70">
        <f t="shared" si="28"/>
        <v>254.30418</v>
      </c>
      <c r="Y130" s="70">
        <f t="shared" si="28"/>
        <v>165.74796000000001</v>
      </c>
      <c r="Z130" s="70">
        <f t="shared" si="28"/>
        <v>183.24970999999999</v>
      </c>
      <c r="AA130" s="70">
        <f t="shared" si="28"/>
        <v>387.49255999999997</v>
      </c>
      <c r="AB130" s="70">
        <f t="shared" si="28"/>
        <v>183.13327999999998</v>
      </c>
      <c r="AC130" s="70">
        <f t="shared" si="28"/>
        <v>151.30353000000002</v>
      </c>
      <c r="AD130" s="70">
        <f t="shared" si="28"/>
        <v>327.48012</v>
      </c>
      <c r="AE130" s="70">
        <f t="shared" si="28"/>
        <v>41.351600000000005</v>
      </c>
      <c r="AF130" s="70">
        <f t="shared" si="28"/>
        <v>10.647600000000001</v>
      </c>
      <c r="AG130" s="70">
        <f t="shared" si="28"/>
        <v>198.11807999999999</v>
      </c>
      <c r="AH130" s="70">
        <f t="shared" si="28"/>
        <v>188.48063999999999</v>
      </c>
      <c r="AI130" s="70">
        <f t="shared" si="28"/>
        <v>983.27207197212283</v>
      </c>
    </row>
    <row r="131" spans="1:35" s="49" customFormat="1" x14ac:dyDescent="0.3">
      <c r="B131" s="49" t="str">
        <f>Legend!A$51</f>
        <v>Other uses</v>
      </c>
      <c r="C131" s="49" t="str">
        <f>LEFT(Legend!$C$4)&amp;"-"&amp;Legend!B$51</f>
        <v>S-OTH</v>
      </c>
      <c r="D131" s="49" t="str">
        <f>Legend!A60</f>
        <v>Biogas</v>
      </c>
      <c r="E131" s="49" t="str">
        <f>Legend!B60</f>
        <v>SRVBGS</v>
      </c>
      <c r="F131" s="49" t="s">
        <v>15</v>
      </c>
      <c r="G131" s="49" t="s">
        <v>696</v>
      </c>
      <c r="H131" s="54">
        <f>SUMIF('S1'!$C:$C,'Key inputs_EB'!$E131,'S1'!E:E)*SUMIFS(H$6:H$90,$C$6:$C$90,$C131,$E$6:$E$90,$E131)</f>
        <v>0</v>
      </c>
      <c r="I131" s="54">
        <f>SUMIF('S1'!$C:$C,'Key inputs_EB'!$E131,'S1'!F:F)*SUMIFS(I$6:I$90,$C$6:$C$90,$C131,$E$6:$E$90,$E131)</f>
        <v>0</v>
      </c>
      <c r="J131" s="54">
        <f>SUMIF('S1'!$C:$C,'Key inputs_EB'!$E131,'S1'!G:G)*SUMIFS(J$6:J$90,$C$6:$C$90,$C131,$E$6:$E$90,$E131)</f>
        <v>0</v>
      </c>
      <c r="K131" s="54">
        <f>SUMIF('S1'!$C:$C,'Key inputs_EB'!$E131,'S1'!H:H)*SUMIFS(K$6:K$90,$C$6:$C$90,$C131,$E$6:$E$90,$E131)</f>
        <v>0</v>
      </c>
      <c r="L131" s="54">
        <f>SUMIF('S1'!$C:$C,'Key inputs_EB'!$E131,'S1'!I:I)*SUMIFS(L$6:L$90,$C$6:$C$90,$C131,$E$6:$E$90,$E131)</f>
        <v>0</v>
      </c>
      <c r="M131" s="54">
        <f>SUMIF('S1'!$C:$C,'Key inputs_EB'!$E131,'S1'!J:J)*SUMIFS(M$6:M$90,$C$6:$C$90,$C131,$E$6:$E$90,$E131)</f>
        <v>0</v>
      </c>
      <c r="N131" s="54">
        <f>SUMIF('S1'!$C:$C,'Key inputs_EB'!$E131,'S1'!K:K)*SUMIFS(N$6:N$90,$C$6:$C$90,$C131,$E$6:$E$90,$E131)</f>
        <v>0</v>
      </c>
      <c r="O131" s="54">
        <f>SUMIF('S1'!$C:$C,'Key inputs_EB'!$E131,'S1'!L:L)*SUMIFS(O$6:O$90,$C$6:$C$90,$C131,$E$6:$E$90,$E131)</f>
        <v>0</v>
      </c>
      <c r="P131" s="54">
        <f>SUMIF('S1'!$C:$C,'Key inputs_EB'!$E131,'S1'!M:M)*SUMIFS(P$6:P$90,$C$6:$C$90,$C131,$E$6:$E$90,$E131)</f>
        <v>0</v>
      </c>
      <c r="Q131" s="54">
        <f>SUMIF('S1'!$C:$C,'Key inputs_EB'!$E131,'S1'!N:N)*SUMIFS(Q$6:Q$90,$C$6:$C$90,$C131,$E$6:$E$90,$E131)</f>
        <v>3.1900000000000005E-2</v>
      </c>
      <c r="R131" s="54">
        <f>SUMIF('S1'!$C:$C,'Key inputs_EB'!$E131,'S1'!O:O)*SUMIFS(R$6:R$90,$C$6:$C$90,$C131,$E$6:$E$90,$E131)</f>
        <v>0</v>
      </c>
      <c r="S131" s="54">
        <f>SUMIF('S1'!$C:$C,'Key inputs_EB'!$E131,'S1'!P:P)*SUMIFS(S$6:S$90,$C$6:$C$90,$C131,$E$6:$E$90,$E131)</f>
        <v>0</v>
      </c>
      <c r="T131" s="54">
        <f>SUMIF('S1'!$C:$C,'Key inputs_EB'!$E131,'S1'!Q:Q)*SUMIFS(T$6:T$90,$C$6:$C$90,$C131,$E$6:$E$90,$E131)</f>
        <v>0</v>
      </c>
      <c r="U131" s="54">
        <f>SUMIF('S1'!$C:$C,'Key inputs_EB'!$E131,'S1'!R:R)*SUMIFS(U$6:U$90,$C$6:$C$90,$C131,$E$6:$E$90,$E131)</f>
        <v>0</v>
      </c>
      <c r="V131" s="54">
        <f>SUMIF('S1'!$C:$C,'Key inputs_EB'!$E131,'S1'!S:S)*SUMIFS(V$6:V$90,$C$6:$C$90,$C131,$E$6:$E$90,$E131)</f>
        <v>0</v>
      </c>
      <c r="W131" s="54">
        <f>SUMIF('S1'!$C:$C,'Key inputs_EB'!$E131,'S1'!T:T)*SUMIFS(W$6:W$90,$C$6:$C$90,$C131,$E$6:$E$90,$E131)</f>
        <v>0</v>
      </c>
      <c r="X131" s="54">
        <f>SUMIF('S1'!$C:$C,'Key inputs_EB'!$E131,'S1'!U:U)*SUMIFS(X$6:X$90,$C$6:$C$90,$C131,$E$6:$E$90,$E131)</f>
        <v>0</v>
      </c>
      <c r="Y131" s="54">
        <f>SUMIF('S1'!$C:$C,'Key inputs_EB'!$E131,'S1'!V:V)*SUMIFS(Y$6:Y$90,$C$6:$C$90,$C131,$E$6:$E$90,$E131)</f>
        <v>0</v>
      </c>
      <c r="Z131" s="54">
        <f>SUMIF('S1'!$C:$C,'Key inputs_EB'!$E131,'S1'!W:W)*SUMIFS(Z$6:Z$90,$C$6:$C$90,$C131,$E$6:$E$90,$E131)</f>
        <v>0</v>
      </c>
      <c r="AA131" s="54">
        <f>SUMIF('S1'!$C:$C,'Key inputs_EB'!$E131,'S1'!X:X)*SUMIFS(AA$6:AA$90,$C$6:$C$90,$C131,$E$6:$E$90,$E131)</f>
        <v>0</v>
      </c>
      <c r="AB131" s="54">
        <f>SUMIF('S1'!$C:$C,'Key inputs_EB'!$E131,'S1'!Y:Y)*SUMIFS(AB$6:AB$90,$C$6:$C$90,$C131,$E$6:$E$90,$E131)</f>
        <v>0</v>
      </c>
      <c r="AC131" s="54">
        <f>SUMIF('S1'!$C:$C,'Key inputs_EB'!$E131,'S1'!Z:Z)*SUMIFS(AC$6:AC$90,$C$6:$C$90,$C131,$E$6:$E$90,$E131)</f>
        <v>0</v>
      </c>
      <c r="AD131" s="54">
        <f>SUMIF('S1'!$C:$C,'Key inputs_EB'!$E131,'S1'!AA:AA)*SUMIFS(AD$6:AD$90,$C$6:$C$90,$C131,$E$6:$E$90,$E131)</f>
        <v>0</v>
      </c>
      <c r="AE131" s="54">
        <f>SUMIF('S1'!$C:$C,'Key inputs_EB'!$E131,'S1'!AB:AB)*SUMIFS(AE$6:AE$90,$C$6:$C$90,$C131,$E$6:$E$90,$E131)</f>
        <v>0</v>
      </c>
      <c r="AF131" s="54">
        <f>SUMIF('S1'!$C:$C,'Key inputs_EB'!$E131,'S1'!AC:AC)*SUMIFS(AF$6:AF$90,$C$6:$C$90,$C131,$E$6:$E$90,$E131)</f>
        <v>0</v>
      </c>
      <c r="AG131" s="54">
        <f>SUMIF('S1'!$C:$C,'Key inputs_EB'!$E131,'S1'!AD:AD)*SUMIFS(AG$6:AG$90,$C$6:$C$90,$C131,$E$6:$E$90,$E131)</f>
        <v>0</v>
      </c>
      <c r="AH131" s="54">
        <f>SUMIF('S1'!$C:$C,'Key inputs_EB'!$E131,'S1'!AE:AE)*SUMIFS(AH$6:AH$90,$C$6:$C$90,$C131,$E$6:$E$90,$E131)</f>
        <v>0</v>
      </c>
      <c r="AI131" s="54">
        <f>SUMIF('S1'!$C:$C,'Key inputs_EB'!$E131,'S1'!AF:AF)*SUMIFS(AI$6:AI$90,$C$6:$C$90,$C131,$E$6:$E$90,$E131)</f>
        <v>0.18187661542209935</v>
      </c>
    </row>
    <row r="132" spans="1:35" s="49" customFormat="1" x14ac:dyDescent="0.3">
      <c r="B132" s="49" t="str">
        <f>Legend!A$51</f>
        <v>Other uses</v>
      </c>
      <c r="C132" s="49" t="str">
        <f>LEFT(Legend!$C$4)&amp;"-"&amp;Legend!B$51</f>
        <v>S-OTH</v>
      </c>
      <c r="D132" s="49" t="str">
        <f>Legend!A61</f>
        <v>Coal</v>
      </c>
      <c r="E132" s="49" t="str">
        <f>Legend!B61</f>
        <v>SRVCOA</v>
      </c>
      <c r="F132" s="49" t="s">
        <v>15</v>
      </c>
      <c r="G132" s="49" t="s">
        <v>696</v>
      </c>
      <c r="H132" s="54">
        <f>SUMIF('S1'!$C:$C,'Key inputs_EB'!$E132,'S1'!E:E)*SUMIFS(H$6:H$90,$C$6:$C$90,$C132,$E$6:$E$90,$E132)</f>
        <v>0</v>
      </c>
      <c r="I132" s="54">
        <f>SUMIF('S1'!$C:$C,'Key inputs_EB'!$E132,'S1'!F:F)*SUMIFS(I$6:I$90,$C$6:$C$90,$C132,$E$6:$E$90,$E132)</f>
        <v>0</v>
      </c>
      <c r="J132" s="54">
        <f>SUMIF('S1'!$C:$C,'Key inputs_EB'!$E132,'S1'!G:G)*SUMIFS(J$6:J$90,$C$6:$C$90,$C132,$E$6:$E$90,$E132)</f>
        <v>0</v>
      </c>
      <c r="K132" s="54">
        <f>SUMIF('S1'!$C:$C,'Key inputs_EB'!$E132,'S1'!H:H)*SUMIFS(K$6:K$90,$C$6:$C$90,$C132,$E$6:$E$90,$E132)</f>
        <v>0</v>
      </c>
      <c r="L132" s="54">
        <f>SUMIF('S1'!$C:$C,'Key inputs_EB'!$E132,'S1'!I:I)*SUMIFS(L$6:L$90,$C$6:$C$90,$C132,$E$6:$E$90,$E132)</f>
        <v>0</v>
      </c>
      <c r="M132" s="54">
        <f>SUMIF('S1'!$C:$C,'Key inputs_EB'!$E132,'S1'!J:J)*SUMIFS(M$6:M$90,$C$6:$C$90,$C132,$E$6:$E$90,$E132)</f>
        <v>0</v>
      </c>
      <c r="N132" s="54">
        <f>SUMIF('S1'!$C:$C,'Key inputs_EB'!$E132,'S1'!K:K)*SUMIFS(N$6:N$90,$C$6:$C$90,$C132,$E$6:$E$90,$E132)</f>
        <v>0</v>
      </c>
      <c r="O132" s="54">
        <f>SUMIF('S1'!$C:$C,'Key inputs_EB'!$E132,'S1'!L:L)*SUMIFS(O$6:O$90,$C$6:$C$90,$C132,$E$6:$E$90,$E132)</f>
        <v>0</v>
      </c>
      <c r="P132" s="54">
        <f>SUMIF('S1'!$C:$C,'Key inputs_EB'!$E132,'S1'!M:M)*SUMIFS(P$6:P$90,$C$6:$C$90,$C132,$E$6:$E$90,$E132)</f>
        <v>0</v>
      </c>
      <c r="Q132" s="54">
        <f>SUMIF('S1'!$C:$C,'Key inputs_EB'!$E132,'S1'!N:N)*SUMIFS(Q$6:Q$90,$C$6:$C$90,$C132,$E$6:$E$90,$E132)</f>
        <v>0</v>
      </c>
      <c r="R132" s="54">
        <f>SUMIF('S1'!$C:$C,'Key inputs_EB'!$E132,'S1'!O:O)*SUMIFS(R$6:R$90,$C$6:$C$90,$C132,$E$6:$E$90,$E132)</f>
        <v>0</v>
      </c>
      <c r="S132" s="54">
        <f>SUMIF('S1'!$C:$C,'Key inputs_EB'!$E132,'S1'!P:P)*SUMIFS(S$6:S$90,$C$6:$C$90,$C132,$E$6:$E$90,$E132)</f>
        <v>0</v>
      </c>
      <c r="T132" s="54">
        <f>SUMIF('S1'!$C:$C,'Key inputs_EB'!$E132,'S1'!Q:Q)*SUMIFS(T$6:T$90,$C$6:$C$90,$C132,$E$6:$E$90,$E132)</f>
        <v>0</v>
      </c>
      <c r="U132" s="54">
        <f>SUMIF('S1'!$C:$C,'Key inputs_EB'!$E132,'S1'!R:R)*SUMIFS(U$6:U$90,$C$6:$C$90,$C132,$E$6:$E$90,$E132)</f>
        <v>0</v>
      </c>
      <c r="V132" s="54">
        <f>SUMIF('S1'!$C:$C,'Key inputs_EB'!$E132,'S1'!S:S)*SUMIFS(V$6:V$90,$C$6:$C$90,$C132,$E$6:$E$90,$E132)</f>
        <v>0</v>
      </c>
      <c r="W132" s="54">
        <f>SUMIF('S1'!$C:$C,'Key inputs_EB'!$E132,'S1'!T:T)*SUMIFS(W$6:W$90,$C$6:$C$90,$C132,$E$6:$E$90,$E132)</f>
        <v>0</v>
      </c>
      <c r="X132" s="54">
        <f>SUMIF('S1'!$C:$C,'Key inputs_EB'!$E132,'S1'!U:U)*SUMIFS(X$6:X$90,$C$6:$C$90,$C132,$E$6:$E$90,$E132)</f>
        <v>0</v>
      </c>
      <c r="Y132" s="54">
        <f>SUMIF('S1'!$C:$C,'Key inputs_EB'!$E132,'S1'!V:V)*SUMIFS(Y$6:Y$90,$C$6:$C$90,$C132,$E$6:$E$90,$E132)</f>
        <v>0</v>
      </c>
      <c r="Z132" s="54">
        <f>SUMIF('S1'!$C:$C,'Key inputs_EB'!$E132,'S1'!W:W)*SUMIFS(Z$6:Z$90,$C$6:$C$90,$C132,$E$6:$E$90,$E132)</f>
        <v>0</v>
      </c>
      <c r="AA132" s="54">
        <f>SUMIF('S1'!$C:$C,'Key inputs_EB'!$E132,'S1'!X:X)*SUMIFS(AA$6:AA$90,$C$6:$C$90,$C132,$E$6:$E$90,$E132)</f>
        <v>0</v>
      </c>
      <c r="AB132" s="54">
        <f>SUMIF('S1'!$C:$C,'Key inputs_EB'!$E132,'S1'!Y:Y)*SUMIFS(AB$6:AB$90,$C$6:$C$90,$C132,$E$6:$E$90,$E132)</f>
        <v>0</v>
      </c>
      <c r="AC132" s="54">
        <f>SUMIF('S1'!$C:$C,'Key inputs_EB'!$E132,'S1'!Z:Z)*SUMIFS(AC$6:AC$90,$C$6:$C$90,$C132,$E$6:$E$90,$E132)</f>
        <v>0</v>
      </c>
      <c r="AD132" s="54">
        <f>SUMIF('S1'!$C:$C,'Key inputs_EB'!$E132,'S1'!AA:AA)*SUMIFS(AD$6:AD$90,$C$6:$C$90,$C132,$E$6:$E$90,$E132)</f>
        <v>0</v>
      </c>
      <c r="AE132" s="54">
        <f>SUMIF('S1'!$C:$C,'Key inputs_EB'!$E132,'S1'!AB:AB)*SUMIFS(AE$6:AE$90,$C$6:$C$90,$C132,$E$6:$E$90,$E132)</f>
        <v>0</v>
      </c>
      <c r="AF132" s="54">
        <f>SUMIF('S1'!$C:$C,'Key inputs_EB'!$E132,'S1'!AC:AC)*SUMIFS(AF$6:AF$90,$C$6:$C$90,$C132,$E$6:$E$90,$E132)</f>
        <v>0</v>
      </c>
      <c r="AG132" s="54">
        <f>SUMIF('S1'!$C:$C,'Key inputs_EB'!$E132,'S1'!AD:AD)*SUMIFS(AG$6:AG$90,$C$6:$C$90,$C132,$E$6:$E$90,$E132)</f>
        <v>0</v>
      </c>
      <c r="AH132" s="54">
        <f>SUMIF('S1'!$C:$C,'Key inputs_EB'!$E132,'S1'!AE:AE)*SUMIFS(AH$6:AH$90,$C$6:$C$90,$C132,$E$6:$E$90,$E132)</f>
        <v>0</v>
      </c>
      <c r="AI132" s="54">
        <f>SUMIF('S1'!$C:$C,'Key inputs_EB'!$E132,'S1'!AF:AF)*SUMIFS(AI$6:AI$90,$C$6:$C$90,$C132,$E$6:$E$90,$E132)</f>
        <v>0</v>
      </c>
    </row>
    <row r="133" spans="1:35" s="49" customFormat="1" x14ac:dyDescent="0.3">
      <c r="B133" s="49" t="str">
        <f>Legend!A$51</f>
        <v>Other uses</v>
      </c>
      <c r="C133" s="49" t="str">
        <f>LEFT(Legend!$C$4)&amp;"-"&amp;Legend!B$51</f>
        <v>S-OTH</v>
      </c>
      <c r="D133" s="49" t="str">
        <f>Legend!A62</f>
        <v>Oil</v>
      </c>
      <c r="E133" s="49" t="str">
        <f>Legend!B62</f>
        <v>SRVOIL</v>
      </c>
      <c r="F133" s="49" t="s">
        <v>15</v>
      </c>
      <c r="G133" s="49" t="s">
        <v>696</v>
      </c>
      <c r="H133" s="54">
        <f>SUMIF('S1'!$C:$C,'Key inputs_EB'!$E133,'S1'!E:E)*SUMIFS(H$6:H$90,$C$6:$C$90,$C133,$E$6:$E$90,$E133)</f>
        <v>0</v>
      </c>
      <c r="I133" s="54">
        <f>SUMIF('S1'!$C:$C,'Key inputs_EB'!$E133,'S1'!F:F)*SUMIFS(I$6:I$90,$C$6:$C$90,$C133,$E$6:$E$90,$E133)</f>
        <v>0</v>
      </c>
      <c r="J133" s="54">
        <f>SUMIF('S1'!$C:$C,'Key inputs_EB'!$E133,'S1'!G:G)*SUMIFS(J$6:J$90,$C$6:$C$90,$C133,$E$6:$E$90,$E133)</f>
        <v>0</v>
      </c>
      <c r="K133" s="54">
        <f>SUMIF('S1'!$C:$C,'Key inputs_EB'!$E133,'S1'!H:H)*SUMIFS(K$6:K$90,$C$6:$C$90,$C133,$E$6:$E$90,$E133)</f>
        <v>0</v>
      </c>
      <c r="L133" s="54">
        <f>SUMIF('S1'!$C:$C,'Key inputs_EB'!$E133,'S1'!I:I)*SUMIFS(L$6:L$90,$C$6:$C$90,$C133,$E$6:$E$90,$E133)</f>
        <v>0</v>
      </c>
      <c r="M133" s="54">
        <f>SUMIF('S1'!$C:$C,'Key inputs_EB'!$E133,'S1'!J:J)*SUMIFS(M$6:M$90,$C$6:$C$90,$C133,$E$6:$E$90,$E133)</f>
        <v>0</v>
      </c>
      <c r="N133" s="54">
        <f>SUMIF('S1'!$C:$C,'Key inputs_EB'!$E133,'S1'!K:K)*SUMIFS(N$6:N$90,$C$6:$C$90,$C133,$E$6:$E$90,$E133)</f>
        <v>0</v>
      </c>
      <c r="O133" s="54">
        <f>SUMIF('S1'!$C:$C,'Key inputs_EB'!$E133,'S1'!L:L)*SUMIFS(O$6:O$90,$C$6:$C$90,$C133,$E$6:$E$90,$E133)</f>
        <v>0</v>
      </c>
      <c r="P133" s="54">
        <f>SUMIF('S1'!$C:$C,'Key inputs_EB'!$E133,'S1'!M:M)*SUMIFS(P$6:P$90,$C$6:$C$90,$C133,$E$6:$E$90,$E133)</f>
        <v>0</v>
      </c>
      <c r="Q133" s="54">
        <f>SUMIF('S1'!$C:$C,'Key inputs_EB'!$E133,'S1'!N:N)*SUMIFS(Q$6:Q$90,$C$6:$C$90,$C133,$E$6:$E$90,$E133)</f>
        <v>0</v>
      </c>
      <c r="R133" s="54">
        <f>SUMIF('S1'!$C:$C,'Key inputs_EB'!$E133,'S1'!O:O)*SUMIFS(R$6:R$90,$C$6:$C$90,$C133,$E$6:$E$90,$E133)</f>
        <v>0</v>
      </c>
      <c r="S133" s="54">
        <f>SUMIF('S1'!$C:$C,'Key inputs_EB'!$E133,'S1'!P:P)*SUMIFS(S$6:S$90,$C$6:$C$90,$C133,$E$6:$E$90,$E133)</f>
        <v>0</v>
      </c>
      <c r="T133" s="54">
        <f>SUMIF('S1'!$C:$C,'Key inputs_EB'!$E133,'S1'!Q:Q)*SUMIFS(T$6:T$90,$C$6:$C$90,$C133,$E$6:$E$90,$E133)</f>
        <v>0</v>
      </c>
      <c r="U133" s="54">
        <f>SUMIF('S1'!$C:$C,'Key inputs_EB'!$E133,'S1'!R:R)*SUMIFS(U$6:U$90,$C$6:$C$90,$C133,$E$6:$E$90,$E133)</f>
        <v>0</v>
      </c>
      <c r="V133" s="54">
        <f>SUMIF('S1'!$C:$C,'Key inputs_EB'!$E133,'S1'!S:S)*SUMIFS(V$6:V$90,$C$6:$C$90,$C133,$E$6:$E$90,$E133)</f>
        <v>0</v>
      </c>
      <c r="W133" s="54">
        <f>SUMIF('S1'!$C:$C,'Key inputs_EB'!$E133,'S1'!T:T)*SUMIFS(W$6:W$90,$C$6:$C$90,$C133,$E$6:$E$90,$E133)</f>
        <v>0</v>
      </c>
      <c r="X133" s="54">
        <f>SUMIF('S1'!$C:$C,'Key inputs_EB'!$E133,'S1'!U:U)*SUMIFS(X$6:X$90,$C$6:$C$90,$C133,$E$6:$E$90,$E133)</f>
        <v>0</v>
      </c>
      <c r="Y133" s="54">
        <f>SUMIF('S1'!$C:$C,'Key inputs_EB'!$E133,'S1'!V:V)*SUMIFS(Y$6:Y$90,$C$6:$C$90,$C133,$E$6:$E$90,$E133)</f>
        <v>0</v>
      </c>
      <c r="Z133" s="54">
        <f>SUMIF('S1'!$C:$C,'Key inputs_EB'!$E133,'S1'!W:W)*SUMIFS(Z$6:Z$90,$C$6:$C$90,$C133,$E$6:$E$90,$E133)</f>
        <v>0</v>
      </c>
      <c r="AA133" s="54">
        <f>SUMIF('S1'!$C:$C,'Key inputs_EB'!$E133,'S1'!X:X)*SUMIFS(AA$6:AA$90,$C$6:$C$90,$C133,$E$6:$E$90,$E133)</f>
        <v>0</v>
      </c>
      <c r="AB133" s="54">
        <f>SUMIF('S1'!$C:$C,'Key inputs_EB'!$E133,'S1'!Y:Y)*SUMIFS(AB$6:AB$90,$C$6:$C$90,$C133,$E$6:$E$90,$E133)</f>
        <v>0</v>
      </c>
      <c r="AC133" s="54">
        <f>SUMIF('S1'!$C:$C,'Key inputs_EB'!$E133,'S1'!Z:Z)*SUMIFS(AC$6:AC$90,$C$6:$C$90,$C133,$E$6:$E$90,$E133)</f>
        <v>0</v>
      </c>
      <c r="AD133" s="54">
        <f>SUMIF('S1'!$C:$C,'Key inputs_EB'!$E133,'S1'!AA:AA)*SUMIFS(AD$6:AD$90,$C$6:$C$90,$C133,$E$6:$E$90,$E133)</f>
        <v>0</v>
      </c>
      <c r="AE133" s="54">
        <f>SUMIF('S1'!$C:$C,'Key inputs_EB'!$E133,'S1'!AB:AB)*SUMIFS(AE$6:AE$90,$C$6:$C$90,$C133,$E$6:$E$90,$E133)</f>
        <v>0</v>
      </c>
      <c r="AF133" s="54">
        <f>SUMIF('S1'!$C:$C,'Key inputs_EB'!$E133,'S1'!AC:AC)*SUMIFS(AF$6:AF$90,$C$6:$C$90,$C133,$E$6:$E$90,$E133)</f>
        <v>0</v>
      </c>
      <c r="AG133" s="54">
        <f>SUMIF('S1'!$C:$C,'Key inputs_EB'!$E133,'S1'!AD:AD)*SUMIFS(AG$6:AG$90,$C$6:$C$90,$C133,$E$6:$E$90,$E133)</f>
        <v>0</v>
      </c>
      <c r="AH133" s="54">
        <f>SUMIF('S1'!$C:$C,'Key inputs_EB'!$E133,'S1'!AE:AE)*SUMIFS(AH$6:AH$90,$C$6:$C$90,$C133,$E$6:$E$90,$E133)</f>
        <v>0</v>
      </c>
      <c r="AI133" s="54">
        <f>SUMIF('S1'!$C:$C,'Key inputs_EB'!$E133,'S1'!AF:AF)*SUMIFS(AI$6:AI$90,$C$6:$C$90,$C133,$E$6:$E$90,$E133)</f>
        <v>27.796999999999997</v>
      </c>
    </row>
    <row r="134" spans="1:35" s="49" customFormat="1" x14ac:dyDescent="0.3">
      <c r="B134" s="49" t="str">
        <f>Legend!A$51</f>
        <v>Other uses</v>
      </c>
      <c r="C134" s="49" t="str">
        <f>LEFT(Legend!$C$4)&amp;"-"&amp;Legend!B$51</f>
        <v>S-OTH</v>
      </c>
      <c r="D134" s="49" t="str">
        <f>Legend!A63</f>
        <v>Electricity</v>
      </c>
      <c r="E134" s="49" t="str">
        <f>Legend!B63</f>
        <v>SRVELC</v>
      </c>
      <c r="F134" s="49" t="s">
        <v>15</v>
      </c>
      <c r="G134" s="49" t="s">
        <v>696</v>
      </c>
      <c r="H134" s="54">
        <f>SUMIF('S1'!$C:$C,'Key inputs_EB'!$E134,'S1'!E:E)*SUMIFS(H$6:H$90,$C$6:$C$90,$C134,$E$6:$E$90,$E134)</f>
        <v>0</v>
      </c>
      <c r="I134" s="54">
        <f>SUMIF('S1'!$C:$C,'Key inputs_EB'!$E134,'S1'!F:F)*SUMIFS(I$6:I$90,$C$6:$C$90,$C134,$E$6:$E$90,$E134)</f>
        <v>0</v>
      </c>
      <c r="J134" s="54">
        <f>SUMIF('S1'!$C:$C,'Key inputs_EB'!$E134,'S1'!G:G)*SUMIFS(J$6:J$90,$C$6:$C$90,$C134,$E$6:$E$90,$E134)</f>
        <v>0</v>
      </c>
      <c r="K134" s="54">
        <f>SUMIF('S1'!$C:$C,'Key inputs_EB'!$E134,'S1'!H:H)*SUMIFS(K$6:K$90,$C$6:$C$90,$C134,$E$6:$E$90,$E134)</f>
        <v>0</v>
      </c>
      <c r="L134" s="54">
        <f>SUMIF('S1'!$C:$C,'Key inputs_EB'!$E134,'S1'!I:I)*SUMIFS(L$6:L$90,$C$6:$C$90,$C134,$E$6:$E$90,$E134)</f>
        <v>0</v>
      </c>
      <c r="M134" s="54">
        <f>SUMIF('S1'!$C:$C,'Key inputs_EB'!$E134,'S1'!J:J)*SUMIFS(M$6:M$90,$C$6:$C$90,$C134,$E$6:$E$90,$E134)</f>
        <v>0</v>
      </c>
      <c r="N134" s="54">
        <f>SUMIF('S1'!$C:$C,'Key inputs_EB'!$E134,'S1'!K:K)*SUMIFS(N$6:N$90,$C$6:$C$90,$C134,$E$6:$E$90,$E134)</f>
        <v>0</v>
      </c>
      <c r="O134" s="54">
        <f>SUMIF('S1'!$C:$C,'Key inputs_EB'!$E134,'S1'!L:L)*SUMIFS(O$6:O$90,$C$6:$C$90,$C134,$E$6:$E$90,$E134)</f>
        <v>0</v>
      </c>
      <c r="P134" s="54">
        <f>SUMIF('S1'!$C:$C,'Key inputs_EB'!$E134,'S1'!M:M)*SUMIFS(P$6:P$90,$C$6:$C$90,$C134,$E$6:$E$90,$E134)</f>
        <v>0</v>
      </c>
      <c r="Q134" s="54">
        <f>SUMIF('S1'!$C:$C,'Key inputs_EB'!$E134,'S1'!N:N)*SUMIFS(Q$6:Q$90,$C$6:$C$90,$C134,$E$6:$E$90,$E134)</f>
        <v>27.2423</v>
      </c>
      <c r="R134" s="54">
        <f>SUMIF('S1'!$C:$C,'Key inputs_EB'!$E134,'S1'!O:O)*SUMIFS(R$6:R$90,$C$6:$C$90,$C134,$E$6:$E$90,$E134)</f>
        <v>0</v>
      </c>
      <c r="S134" s="54">
        <f>SUMIF('S1'!$C:$C,'Key inputs_EB'!$E134,'S1'!P:P)*SUMIFS(S$6:S$90,$C$6:$C$90,$C134,$E$6:$E$90,$E134)</f>
        <v>0</v>
      </c>
      <c r="T134" s="54">
        <f>SUMIF('S1'!$C:$C,'Key inputs_EB'!$E134,'S1'!Q:Q)*SUMIFS(T$6:T$90,$C$6:$C$90,$C134,$E$6:$E$90,$E134)</f>
        <v>0</v>
      </c>
      <c r="U134" s="54">
        <f>SUMIF('S1'!$C:$C,'Key inputs_EB'!$E134,'S1'!R:R)*SUMIFS(U$6:U$90,$C$6:$C$90,$C134,$E$6:$E$90,$E134)</f>
        <v>0</v>
      </c>
      <c r="V134" s="54">
        <f>SUMIF('S1'!$C:$C,'Key inputs_EB'!$E134,'S1'!S:S)*SUMIFS(V$6:V$90,$C$6:$C$90,$C134,$E$6:$E$90,$E134)</f>
        <v>0</v>
      </c>
      <c r="W134" s="54">
        <f>SUMIF('S1'!$C:$C,'Key inputs_EB'!$E134,'S1'!T:T)*SUMIFS(W$6:W$90,$C$6:$C$90,$C134,$E$6:$E$90,$E134)</f>
        <v>0</v>
      </c>
      <c r="X134" s="54">
        <f>SUMIF('S1'!$C:$C,'Key inputs_EB'!$E134,'S1'!U:U)*SUMIFS(X$6:X$90,$C$6:$C$90,$C134,$E$6:$E$90,$E134)</f>
        <v>0</v>
      </c>
      <c r="Y134" s="54">
        <f>SUMIF('S1'!$C:$C,'Key inputs_EB'!$E134,'S1'!V:V)*SUMIFS(Y$6:Y$90,$C$6:$C$90,$C134,$E$6:$E$90,$E134)</f>
        <v>0</v>
      </c>
      <c r="Z134" s="54">
        <f>SUMIF('S1'!$C:$C,'Key inputs_EB'!$E134,'S1'!W:W)*SUMIFS(Z$6:Z$90,$C$6:$C$90,$C134,$E$6:$E$90,$E134)</f>
        <v>0</v>
      </c>
      <c r="AA134" s="54">
        <f>SUMIF('S1'!$C:$C,'Key inputs_EB'!$E134,'S1'!X:X)*SUMIFS(AA$6:AA$90,$C$6:$C$90,$C134,$E$6:$E$90,$E134)</f>
        <v>79.77788000000001</v>
      </c>
      <c r="AB134" s="54">
        <f>SUMIF('S1'!$C:$C,'Key inputs_EB'!$E134,'S1'!Y:Y)*SUMIFS(AB$6:AB$90,$C$6:$C$90,$C134,$E$6:$E$90,$E134)</f>
        <v>0</v>
      </c>
      <c r="AC134" s="54">
        <f>SUMIF('S1'!$C:$C,'Key inputs_EB'!$E134,'S1'!Z:Z)*SUMIFS(AC$6:AC$90,$C$6:$C$90,$C134,$E$6:$E$90,$E134)</f>
        <v>0</v>
      </c>
      <c r="AD134" s="54">
        <f>SUMIF('S1'!$C:$C,'Key inputs_EB'!$E134,'S1'!AA:AA)*SUMIFS(AD$6:AD$90,$C$6:$C$90,$C134,$E$6:$E$90,$E134)</f>
        <v>0</v>
      </c>
      <c r="AE134" s="54">
        <f>SUMIF('S1'!$C:$C,'Key inputs_EB'!$E134,'S1'!AB:AB)*SUMIFS(AE$6:AE$90,$C$6:$C$90,$C134,$E$6:$E$90,$E134)</f>
        <v>0</v>
      </c>
      <c r="AF134" s="54">
        <f>SUMIF('S1'!$C:$C,'Key inputs_EB'!$E134,'S1'!AC:AC)*SUMIFS(AF$6:AF$90,$C$6:$C$90,$C134,$E$6:$E$90,$E134)</f>
        <v>0</v>
      </c>
      <c r="AG134" s="54">
        <f>SUMIF('S1'!$C:$C,'Key inputs_EB'!$E134,'S1'!AD:AD)*SUMIFS(AG$6:AG$90,$C$6:$C$90,$C134,$E$6:$E$90,$E134)</f>
        <v>0</v>
      </c>
      <c r="AH134" s="54">
        <f>SUMIF('S1'!$C:$C,'Key inputs_EB'!$E134,'S1'!AE:AE)*SUMIFS(AH$6:AH$90,$C$6:$C$90,$C134,$E$6:$E$90,$E134)</f>
        <v>0</v>
      </c>
      <c r="AI134" s="54">
        <f>SUMIF('S1'!$C:$C,'Key inputs_EB'!$E134,'S1'!AF:AF)*SUMIFS(AI$6:AI$90,$C$6:$C$90,$C134,$E$6:$E$90,$E134)</f>
        <v>458.35111499982332</v>
      </c>
    </row>
    <row r="135" spans="1:35" s="49" customFormat="1" x14ac:dyDescent="0.3">
      <c r="B135" s="49" t="str">
        <f>Legend!A$51</f>
        <v>Other uses</v>
      </c>
      <c r="C135" s="49" t="str">
        <f>LEFT(Legend!$C$4)&amp;"-"&amp;Legend!B$51</f>
        <v>S-OTH</v>
      </c>
      <c r="D135" s="49" t="str">
        <f>Legend!A64</f>
        <v>Geothermal</v>
      </c>
      <c r="E135" s="49" t="str">
        <f>Legend!B64</f>
        <v>SRVGEO</v>
      </c>
      <c r="F135" s="49" t="s">
        <v>15</v>
      </c>
      <c r="G135" s="49" t="s">
        <v>696</v>
      </c>
      <c r="H135" s="54">
        <f>SUMIF('S1'!$C:$C,'Key inputs_EB'!$E135,'S1'!E:E)*SUMIFS(H$6:H$90,$C$6:$C$90,$C135,$E$6:$E$90,$E135)</f>
        <v>0</v>
      </c>
      <c r="I135" s="54">
        <f>SUMIF('S1'!$C:$C,'Key inputs_EB'!$E135,'S1'!F:F)*SUMIFS(I$6:I$90,$C$6:$C$90,$C135,$E$6:$E$90,$E135)</f>
        <v>0</v>
      </c>
      <c r="J135" s="54">
        <f>SUMIF('S1'!$C:$C,'Key inputs_EB'!$E135,'S1'!G:G)*SUMIFS(J$6:J$90,$C$6:$C$90,$C135,$E$6:$E$90,$E135)</f>
        <v>0</v>
      </c>
      <c r="K135" s="54">
        <f>SUMIF('S1'!$C:$C,'Key inputs_EB'!$E135,'S1'!H:H)*SUMIFS(K$6:K$90,$C$6:$C$90,$C135,$E$6:$E$90,$E135)</f>
        <v>0</v>
      </c>
      <c r="L135" s="54">
        <f>SUMIF('S1'!$C:$C,'Key inputs_EB'!$E135,'S1'!I:I)*SUMIFS(L$6:L$90,$C$6:$C$90,$C135,$E$6:$E$90,$E135)</f>
        <v>0</v>
      </c>
      <c r="M135" s="54">
        <f>SUMIF('S1'!$C:$C,'Key inputs_EB'!$E135,'S1'!J:J)*SUMIFS(M$6:M$90,$C$6:$C$90,$C135,$E$6:$E$90,$E135)</f>
        <v>0</v>
      </c>
      <c r="N135" s="54">
        <f>SUMIF('S1'!$C:$C,'Key inputs_EB'!$E135,'S1'!K:K)*SUMIFS(N$6:N$90,$C$6:$C$90,$C135,$E$6:$E$90,$E135)</f>
        <v>0</v>
      </c>
      <c r="O135" s="54">
        <f>SUMIF('S1'!$C:$C,'Key inputs_EB'!$E135,'S1'!L:L)*SUMIFS(O$6:O$90,$C$6:$C$90,$C135,$E$6:$E$90,$E135)</f>
        <v>0</v>
      </c>
      <c r="P135" s="54">
        <f>SUMIF('S1'!$C:$C,'Key inputs_EB'!$E135,'S1'!M:M)*SUMIFS(P$6:P$90,$C$6:$C$90,$C135,$E$6:$E$90,$E135)</f>
        <v>0</v>
      </c>
      <c r="Q135" s="54">
        <f>SUMIF('S1'!$C:$C,'Key inputs_EB'!$E135,'S1'!N:N)*SUMIFS(Q$6:Q$90,$C$6:$C$90,$C135,$E$6:$E$90,$E135)</f>
        <v>0</v>
      </c>
      <c r="R135" s="54">
        <f>SUMIF('S1'!$C:$C,'Key inputs_EB'!$E135,'S1'!O:O)*SUMIFS(R$6:R$90,$C$6:$C$90,$C135,$E$6:$E$90,$E135)</f>
        <v>0</v>
      </c>
      <c r="S135" s="54">
        <f>SUMIF('S1'!$C:$C,'Key inputs_EB'!$E135,'S1'!P:P)*SUMIFS(S$6:S$90,$C$6:$C$90,$C135,$E$6:$E$90,$E135)</f>
        <v>0</v>
      </c>
      <c r="T135" s="54">
        <f>SUMIF('S1'!$C:$C,'Key inputs_EB'!$E135,'S1'!Q:Q)*SUMIFS(T$6:T$90,$C$6:$C$90,$C135,$E$6:$E$90,$E135)</f>
        <v>0</v>
      </c>
      <c r="U135" s="54">
        <f>SUMIF('S1'!$C:$C,'Key inputs_EB'!$E135,'S1'!R:R)*SUMIFS(U$6:U$90,$C$6:$C$90,$C135,$E$6:$E$90,$E135)</f>
        <v>0</v>
      </c>
      <c r="V135" s="54">
        <f>SUMIF('S1'!$C:$C,'Key inputs_EB'!$E135,'S1'!S:S)*SUMIFS(V$6:V$90,$C$6:$C$90,$C135,$E$6:$E$90,$E135)</f>
        <v>0</v>
      </c>
      <c r="W135" s="54">
        <f>SUMIF('S1'!$C:$C,'Key inputs_EB'!$E135,'S1'!T:T)*SUMIFS(W$6:W$90,$C$6:$C$90,$C135,$E$6:$E$90,$E135)</f>
        <v>0</v>
      </c>
      <c r="X135" s="54">
        <f>SUMIF('S1'!$C:$C,'Key inputs_EB'!$E135,'S1'!U:U)*SUMIFS(X$6:X$90,$C$6:$C$90,$C135,$E$6:$E$90,$E135)</f>
        <v>0</v>
      </c>
      <c r="Y135" s="54">
        <f>SUMIF('S1'!$C:$C,'Key inputs_EB'!$E135,'S1'!V:V)*SUMIFS(Y$6:Y$90,$C$6:$C$90,$C135,$E$6:$E$90,$E135)</f>
        <v>0</v>
      </c>
      <c r="Z135" s="54">
        <f>SUMIF('S1'!$C:$C,'Key inputs_EB'!$E135,'S1'!W:W)*SUMIFS(Z$6:Z$90,$C$6:$C$90,$C135,$E$6:$E$90,$E135)</f>
        <v>0</v>
      </c>
      <c r="AA135" s="54">
        <f>SUMIF('S1'!$C:$C,'Key inputs_EB'!$E135,'S1'!X:X)*SUMIFS(AA$6:AA$90,$C$6:$C$90,$C135,$E$6:$E$90,$E135)</f>
        <v>0</v>
      </c>
      <c r="AB135" s="54">
        <f>SUMIF('S1'!$C:$C,'Key inputs_EB'!$E135,'S1'!Y:Y)*SUMIFS(AB$6:AB$90,$C$6:$C$90,$C135,$E$6:$E$90,$E135)</f>
        <v>0</v>
      </c>
      <c r="AC135" s="54">
        <f>SUMIF('S1'!$C:$C,'Key inputs_EB'!$E135,'S1'!Z:Z)*SUMIFS(AC$6:AC$90,$C$6:$C$90,$C135,$E$6:$E$90,$E135)</f>
        <v>0</v>
      </c>
      <c r="AD135" s="54">
        <f>SUMIF('S1'!$C:$C,'Key inputs_EB'!$E135,'S1'!AA:AA)*SUMIFS(AD$6:AD$90,$C$6:$C$90,$C135,$E$6:$E$90,$E135)</f>
        <v>0</v>
      </c>
      <c r="AE135" s="54">
        <f>SUMIF('S1'!$C:$C,'Key inputs_EB'!$E135,'S1'!AB:AB)*SUMIFS(AE$6:AE$90,$C$6:$C$90,$C135,$E$6:$E$90,$E135)</f>
        <v>0</v>
      </c>
      <c r="AF135" s="54">
        <f>SUMIF('S1'!$C:$C,'Key inputs_EB'!$E135,'S1'!AC:AC)*SUMIFS(AF$6:AF$90,$C$6:$C$90,$C135,$E$6:$E$90,$E135)</f>
        <v>0</v>
      </c>
      <c r="AG135" s="54">
        <f>SUMIF('S1'!$C:$C,'Key inputs_EB'!$E135,'S1'!AD:AD)*SUMIFS(AG$6:AG$90,$C$6:$C$90,$C135,$E$6:$E$90,$E135)</f>
        <v>0</v>
      </c>
      <c r="AH135" s="54">
        <f>SUMIF('S1'!$C:$C,'Key inputs_EB'!$E135,'S1'!AE:AE)*SUMIFS(AH$6:AH$90,$C$6:$C$90,$C135,$E$6:$E$90,$E135)</f>
        <v>0</v>
      </c>
      <c r="AI135" s="54">
        <f>SUMIF('S1'!$C:$C,'Key inputs_EB'!$E135,'S1'!AF:AF)*SUMIFS(AI$6:AI$90,$C$6:$C$90,$C135,$E$6:$E$90,$E135)</f>
        <v>0</v>
      </c>
    </row>
    <row r="136" spans="1:35" s="49" customFormat="1" x14ac:dyDescent="0.3">
      <c r="B136" s="49" t="str">
        <f>Legend!A$51</f>
        <v>Other uses</v>
      </c>
      <c r="C136" s="49" t="str">
        <f>LEFT(Legend!$C$4)&amp;"-"&amp;Legend!B$51</f>
        <v>S-OTH</v>
      </c>
      <c r="D136" s="49" t="str">
        <f>Legend!A65</f>
        <v>Heat</v>
      </c>
      <c r="E136" s="49" t="str">
        <f>Legend!B65</f>
        <v>SRVHET</v>
      </c>
      <c r="F136" s="49" t="s">
        <v>15</v>
      </c>
      <c r="G136" s="49" t="s">
        <v>696</v>
      </c>
      <c r="H136" s="54">
        <f>SUMIF('S1'!$C:$C,'Key inputs_EB'!$E136,'S1'!E:E)*SUMIFS(H$6:H$90,$C$6:$C$90,$C136,$E$6:$E$90,$E136)</f>
        <v>0</v>
      </c>
      <c r="I136" s="54">
        <f>SUMIF('S1'!$C:$C,'Key inputs_EB'!$E136,'S1'!F:F)*SUMIFS(I$6:I$90,$C$6:$C$90,$C136,$E$6:$E$90,$E136)</f>
        <v>0</v>
      </c>
      <c r="J136" s="54">
        <f>SUMIF('S1'!$C:$C,'Key inputs_EB'!$E136,'S1'!G:G)*SUMIFS(J$6:J$90,$C$6:$C$90,$C136,$E$6:$E$90,$E136)</f>
        <v>0</v>
      </c>
      <c r="K136" s="54">
        <f>SUMIF('S1'!$C:$C,'Key inputs_EB'!$E136,'S1'!H:H)*SUMIFS(K$6:K$90,$C$6:$C$90,$C136,$E$6:$E$90,$E136)</f>
        <v>0</v>
      </c>
      <c r="L136" s="54">
        <f>SUMIF('S1'!$C:$C,'Key inputs_EB'!$E136,'S1'!I:I)*SUMIFS(L$6:L$90,$C$6:$C$90,$C136,$E$6:$E$90,$E136)</f>
        <v>0</v>
      </c>
      <c r="M136" s="54">
        <f>SUMIF('S1'!$C:$C,'Key inputs_EB'!$E136,'S1'!J:J)*SUMIFS(M$6:M$90,$C$6:$C$90,$C136,$E$6:$E$90,$E136)</f>
        <v>0</v>
      </c>
      <c r="N136" s="54">
        <f>SUMIF('S1'!$C:$C,'Key inputs_EB'!$E136,'S1'!K:K)*SUMIFS(N$6:N$90,$C$6:$C$90,$C136,$E$6:$E$90,$E136)</f>
        <v>0</v>
      </c>
      <c r="O136" s="54">
        <f>SUMIF('S1'!$C:$C,'Key inputs_EB'!$E136,'S1'!L:L)*SUMIFS(O$6:O$90,$C$6:$C$90,$C136,$E$6:$E$90,$E136)</f>
        <v>0</v>
      </c>
      <c r="P136" s="54">
        <f>SUMIF('S1'!$C:$C,'Key inputs_EB'!$E136,'S1'!M:M)*SUMIFS(P$6:P$90,$C$6:$C$90,$C136,$E$6:$E$90,$E136)</f>
        <v>0</v>
      </c>
      <c r="Q136" s="54">
        <f>SUMIF('S1'!$C:$C,'Key inputs_EB'!$E136,'S1'!N:N)*SUMIFS(Q$6:Q$90,$C$6:$C$90,$C136,$E$6:$E$90,$E136)</f>
        <v>0</v>
      </c>
      <c r="R136" s="54">
        <f>SUMIF('S1'!$C:$C,'Key inputs_EB'!$E136,'S1'!O:O)*SUMIFS(R$6:R$90,$C$6:$C$90,$C136,$E$6:$E$90,$E136)</f>
        <v>0</v>
      </c>
      <c r="S136" s="54">
        <f>SUMIF('S1'!$C:$C,'Key inputs_EB'!$E136,'S1'!P:P)*SUMIFS(S$6:S$90,$C$6:$C$90,$C136,$E$6:$E$90,$E136)</f>
        <v>0</v>
      </c>
      <c r="T136" s="54">
        <f>SUMIF('S1'!$C:$C,'Key inputs_EB'!$E136,'S1'!Q:Q)*SUMIFS(T$6:T$90,$C$6:$C$90,$C136,$E$6:$E$90,$E136)</f>
        <v>0</v>
      </c>
      <c r="U136" s="54">
        <f>SUMIF('S1'!$C:$C,'Key inputs_EB'!$E136,'S1'!R:R)*SUMIFS(U$6:U$90,$C$6:$C$90,$C136,$E$6:$E$90,$E136)</f>
        <v>0</v>
      </c>
      <c r="V136" s="54">
        <f>SUMIF('S1'!$C:$C,'Key inputs_EB'!$E136,'S1'!S:S)*SUMIFS(V$6:V$90,$C$6:$C$90,$C136,$E$6:$E$90,$E136)</f>
        <v>0</v>
      </c>
      <c r="W136" s="54">
        <f>SUMIF('S1'!$C:$C,'Key inputs_EB'!$E136,'S1'!T:T)*SUMIFS(W$6:W$90,$C$6:$C$90,$C136,$E$6:$E$90,$E136)</f>
        <v>0</v>
      </c>
      <c r="X136" s="54">
        <f>SUMIF('S1'!$C:$C,'Key inputs_EB'!$E136,'S1'!U:U)*SUMIFS(X$6:X$90,$C$6:$C$90,$C136,$E$6:$E$90,$E136)</f>
        <v>0</v>
      </c>
      <c r="Y136" s="54">
        <f>SUMIF('S1'!$C:$C,'Key inputs_EB'!$E136,'S1'!V:V)*SUMIFS(Y$6:Y$90,$C$6:$C$90,$C136,$E$6:$E$90,$E136)</f>
        <v>0</v>
      </c>
      <c r="Z136" s="54">
        <f>SUMIF('S1'!$C:$C,'Key inputs_EB'!$E136,'S1'!W:W)*SUMIFS(Z$6:Z$90,$C$6:$C$90,$C136,$E$6:$E$90,$E136)</f>
        <v>0</v>
      </c>
      <c r="AA136" s="54">
        <f>SUMIF('S1'!$C:$C,'Key inputs_EB'!$E136,'S1'!X:X)*SUMIFS(AA$6:AA$90,$C$6:$C$90,$C136,$E$6:$E$90,$E136)</f>
        <v>0</v>
      </c>
      <c r="AB136" s="54">
        <f>SUMIF('S1'!$C:$C,'Key inputs_EB'!$E136,'S1'!Y:Y)*SUMIFS(AB$6:AB$90,$C$6:$C$90,$C136,$E$6:$E$90,$E136)</f>
        <v>0</v>
      </c>
      <c r="AC136" s="54">
        <f>SUMIF('S1'!$C:$C,'Key inputs_EB'!$E136,'S1'!Z:Z)*SUMIFS(AC$6:AC$90,$C$6:$C$90,$C136,$E$6:$E$90,$E136)</f>
        <v>0</v>
      </c>
      <c r="AD136" s="54">
        <f>SUMIF('S1'!$C:$C,'Key inputs_EB'!$E136,'S1'!AA:AA)*SUMIFS(AD$6:AD$90,$C$6:$C$90,$C136,$E$6:$E$90,$E136)</f>
        <v>0</v>
      </c>
      <c r="AE136" s="54">
        <f>SUMIF('S1'!$C:$C,'Key inputs_EB'!$E136,'S1'!AB:AB)*SUMIFS(AE$6:AE$90,$C$6:$C$90,$C136,$E$6:$E$90,$E136)</f>
        <v>0</v>
      </c>
      <c r="AF136" s="54">
        <f>SUMIF('S1'!$C:$C,'Key inputs_EB'!$E136,'S1'!AC:AC)*SUMIFS(AF$6:AF$90,$C$6:$C$90,$C136,$E$6:$E$90,$E136)</f>
        <v>0</v>
      </c>
      <c r="AG136" s="54">
        <f>SUMIF('S1'!$C:$C,'Key inputs_EB'!$E136,'S1'!AD:AD)*SUMIFS(AG$6:AG$90,$C$6:$C$90,$C136,$E$6:$E$90,$E136)</f>
        <v>0</v>
      </c>
      <c r="AH136" s="54">
        <f>SUMIF('S1'!$C:$C,'Key inputs_EB'!$E136,'S1'!AE:AE)*SUMIFS(AH$6:AH$90,$C$6:$C$90,$C136,$E$6:$E$90,$E136)</f>
        <v>0</v>
      </c>
      <c r="AI136" s="54">
        <f>SUMIF('S1'!$C:$C,'Key inputs_EB'!$E136,'S1'!AF:AF)*SUMIFS(AI$6:AI$90,$C$6:$C$90,$C136,$E$6:$E$90,$E136)</f>
        <v>0</v>
      </c>
    </row>
    <row r="137" spans="1:35" s="49" customFormat="1" x14ac:dyDescent="0.3">
      <c r="B137" s="49" t="str">
        <f>Legend!A$51</f>
        <v>Other uses</v>
      </c>
      <c r="C137" s="49" t="str">
        <f>LEFT(Legend!$C$4)&amp;"-"&amp;Legend!B$51</f>
        <v>S-OTH</v>
      </c>
      <c r="D137" s="49" t="str">
        <f>Legend!A66</f>
        <v>Liquid biofuels</v>
      </c>
      <c r="E137" s="49" t="str">
        <f>Legend!B66</f>
        <v>SRVBLQ</v>
      </c>
      <c r="F137" s="49" t="s">
        <v>15</v>
      </c>
      <c r="G137" s="49" t="s">
        <v>696</v>
      </c>
      <c r="H137" s="54">
        <f>SUMIF('S1'!$C:$C,'Key inputs_EB'!$E137,'S1'!E:E)*SUMIFS(H$6:H$90,$C$6:$C$90,$C137,$E$6:$E$90,$E137)</f>
        <v>0</v>
      </c>
      <c r="I137" s="54">
        <f>SUMIF('S1'!$C:$C,'Key inputs_EB'!$E137,'S1'!F:F)*SUMIFS(I$6:I$90,$C$6:$C$90,$C137,$E$6:$E$90,$E137)</f>
        <v>0</v>
      </c>
      <c r="J137" s="54">
        <f>SUMIF('S1'!$C:$C,'Key inputs_EB'!$E137,'S1'!G:G)*SUMIFS(J$6:J$90,$C$6:$C$90,$C137,$E$6:$E$90,$E137)</f>
        <v>0</v>
      </c>
      <c r="K137" s="54">
        <f>SUMIF('S1'!$C:$C,'Key inputs_EB'!$E137,'S1'!H:H)*SUMIFS(K$6:K$90,$C$6:$C$90,$C137,$E$6:$E$90,$E137)</f>
        <v>0</v>
      </c>
      <c r="L137" s="54">
        <f>SUMIF('S1'!$C:$C,'Key inputs_EB'!$E137,'S1'!I:I)*SUMIFS(L$6:L$90,$C$6:$C$90,$C137,$E$6:$E$90,$E137)</f>
        <v>0</v>
      </c>
      <c r="M137" s="54">
        <f>SUMIF('S1'!$C:$C,'Key inputs_EB'!$E137,'S1'!J:J)*SUMIFS(M$6:M$90,$C$6:$C$90,$C137,$E$6:$E$90,$E137)</f>
        <v>0</v>
      </c>
      <c r="N137" s="54">
        <f>SUMIF('S1'!$C:$C,'Key inputs_EB'!$E137,'S1'!K:K)*SUMIFS(N$6:N$90,$C$6:$C$90,$C137,$E$6:$E$90,$E137)</f>
        <v>0</v>
      </c>
      <c r="O137" s="54">
        <f>SUMIF('S1'!$C:$C,'Key inputs_EB'!$E137,'S1'!L:L)*SUMIFS(O$6:O$90,$C$6:$C$90,$C137,$E$6:$E$90,$E137)</f>
        <v>0</v>
      </c>
      <c r="P137" s="54">
        <f>SUMIF('S1'!$C:$C,'Key inputs_EB'!$E137,'S1'!M:M)*SUMIFS(P$6:P$90,$C$6:$C$90,$C137,$E$6:$E$90,$E137)</f>
        <v>0</v>
      </c>
      <c r="Q137" s="54">
        <f>SUMIF('S1'!$C:$C,'Key inputs_EB'!$E137,'S1'!N:N)*SUMIFS(Q$6:Q$90,$C$6:$C$90,$C137,$E$6:$E$90,$E137)</f>
        <v>0</v>
      </c>
      <c r="R137" s="54">
        <f>SUMIF('S1'!$C:$C,'Key inputs_EB'!$E137,'S1'!O:O)*SUMIFS(R$6:R$90,$C$6:$C$90,$C137,$E$6:$E$90,$E137)</f>
        <v>0</v>
      </c>
      <c r="S137" s="54">
        <f>SUMIF('S1'!$C:$C,'Key inputs_EB'!$E137,'S1'!P:P)*SUMIFS(S$6:S$90,$C$6:$C$90,$C137,$E$6:$E$90,$E137)</f>
        <v>0</v>
      </c>
      <c r="T137" s="54">
        <f>SUMIF('S1'!$C:$C,'Key inputs_EB'!$E137,'S1'!Q:Q)*SUMIFS(T$6:T$90,$C$6:$C$90,$C137,$E$6:$E$90,$E137)</f>
        <v>0</v>
      </c>
      <c r="U137" s="54">
        <f>SUMIF('S1'!$C:$C,'Key inputs_EB'!$E137,'S1'!R:R)*SUMIFS(U$6:U$90,$C$6:$C$90,$C137,$E$6:$E$90,$E137)</f>
        <v>0</v>
      </c>
      <c r="V137" s="54">
        <f>SUMIF('S1'!$C:$C,'Key inputs_EB'!$E137,'S1'!S:S)*SUMIFS(V$6:V$90,$C$6:$C$90,$C137,$E$6:$E$90,$E137)</f>
        <v>0</v>
      </c>
      <c r="W137" s="54">
        <f>SUMIF('S1'!$C:$C,'Key inputs_EB'!$E137,'S1'!T:T)*SUMIFS(W$6:W$90,$C$6:$C$90,$C137,$E$6:$E$90,$E137)</f>
        <v>0</v>
      </c>
      <c r="X137" s="54">
        <f>SUMIF('S1'!$C:$C,'Key inputs_EB'!$E137,'S1'!U:U)*SUMIFS(X$6:X$90,$C$6:$C$90,$C137,$E$6:$E$90,$E137)</f>
        <v>0</v>
      </c>
      <c r="Y137" s="54">
        <f>SUMIF('S1'!$C:$C,'Key inputs_EB'!$E137,'S1'!V:V)*SUMIFS(Y$6:Y$90,$C$6:$C$90,$C137,$E$6:$E$90,$E137)</f>
        <v>0</v>
      </c>
      <c r="Z137" s="54">
        <f>SUMIF('S1'!$C:$C,'Key inputs_EB'!$E137,'S1'!W:W)*SUMIFS(Z$6:Z$90,$C$6:$C$90,$C137,$E$6:$E$90,$E137)</f>
        <v>0</v>
      </c>
      <c r="AA137" s="54">
        <f>SUMIF('S1'!$C:$C,'Key inputs_EB'!$E137,'S1'!X:X)*SUMIFS(AA$6:AA$90,$C$6:$C$90,$C137,$E$6:$E$90,$E137)</f>
        <v>0</v>
      </c>
      <c r="AB137" s="54">
        <f>SUMIF('S1'!$C:$C,'Key inputs_EB'!$E137,'S1'!Y:Y)*SUMIFS(AB$6:AB$90,$C$6:$C$90,$C137,$E$6:$E$90,$E137)</f>
        <v>0</v>
      </c>
      <c r="AC137" s="54">
        <f>SUMIF('S1'!$C:$C,'Key inputs_EB'!$E137,'S1'!Z:Z)*SUMIFS(AC$6:AC$90,$C$6:$C$90,$C137,$E$6:$E$90,$E137)</f>
        <v>0</v>
      </c>
      <c r="AD137" s="54">
        <f>SUMIF('S1'!$C:$C,'Key inputs_EB'!$E137,'S1'!AA:AA)*SUMIFS(AD$6:AD$90,$C$6:$C$90,$C137,$E$6:$E$90,$E137)</f>
        <v>0</v>
      </c>
      <c r="AE137" s="54">
        <f>SUMIF('S1'!$C:$C,'Key inputs_EB'!$E137,'S1'!AB:AB)*SUMIFS(AE$6:AE$90,$C$6:$C$90,$C137,$E$6:$E$90,$E137)</f>
        <v>0</v>
      </c>
      <c r="AF137" s="54">
        <f>SUMIF('S1'!$C:$C,'Key inputs_EB'!$E137,'S1'!AC:AC)*SUMIFS(AF$6:AF$90,$C$6:$C$90,$C137,$E$6:$E$90,$E137)</f>
        <v>0</v>
      </c>
      <c r="AG137" s="54">
        <f>SUMIF('S1'!$C:$C,'Key inputs_EB'!$E137,'S1'!AD:AD)*SUMIFS(AG$6:AG$90,$C$6:$C$90,$C137,$E$6:$E$90,$E137)</f>
        <v>0</v>
      </c>
      <c r="AH137" s="54">
        <f>SUMIF('S1'!$C:$C,'Key inputs_EB'!$E137,'S1'!AE:AE)*SUMIFS(AH$6:AH$90,$C$6:$C$90,$C137,$E$6:$E$90,$E137)</f>
        <v>0</v>
      </c>
      <c r="AI137" s="54">
        <f>SUMIF('S1'!$C:$C,'Key inputs_EB'!$E137,'S1'!AF:AF)*SUMIFS(AI$6:AI$90,$C$6:$C$90,$C137,$E$6:$E$90,$E137)</f>
        <v>0.46249000000000007</v>
      </c>
    </row>
    <row r="138" spans="1:35" s="49" customFormat="1" x14ac:dyDescent="0.3">
      <c r="B138" s="49" t="str">
        <f>Legend!A$51</f>
        <v>Other uses</v>
      </c>
      <c r="C138" s="49" t="str">
        <f>LEFT(Legend!$C$4)&amp;"-"&amp;Legend!B$51</f>
        <v>S-OTH</v>
      </c>
      <c r="D138" s="49" t="str">
        <f>Legend!A67</f>
        <v>LPG</v>
      </c>
      <c r="E138" s="49" t="str">
        <f>Legend!B67</f>
        <v>SRVLPG</v>
      </c>
      <c r="F138" s="49" t="s">
        <v>15</v>
      </c>
      <c r="G138" s="49" t="s">
        <v>696</v>
      </c>
      <c r="H138" s="54">
        <f>SUMIF('S1'!$C:$C,'Key inputs_EB'!$E138,'S1'!E:E)*SUMIFS(H$6:H$90,$C$6:$C$90,$C138,$E$6:$E$90,$E138)</f>
        <v>0</v>
      </c>
      <c r="I138" s="54">
        <f>SUMIF('S1'!$C:$C,'Key inputs_EB'!$E138,'S1'!F:F)*SUMIFS(I$6:I$90,$C$6:$C$90,$C138,$E$6:$E$90,$E138)</f>
        <v>0</v>
      </c>
      <c r="J138" s="54">
        <f>SUMIF('S1'!$C:$C,'Key inputs_EB'!$E138,'S1'!G:G)*SUMIFS(J$6:J$90,$C$6:$C$90,$C138,$E$6:$E$90,$E138)</f>
        <v>0</v>
      </c>
      <c r="K138" s="54">
        <f>SUMIF('S1'!$C:$C,'Key inputs_EB'!$E138,'S1'!H:H)*SUMIFS(K$6:K$90,$C$6:$C$90,$C138,$E$6:$E$90,$E138)</f>
        <v>0</v>
      </c>
      <c r="L138" s="54">
        <f>SUMIF('S1'!$C:$C,'Key inputs_EB'!$E138,'S1'!I:I)*SUMIFS(L$6:L$90,$C$6:$C$90,$C138,$E$6:$E$90,$E138)</f>
        <v>0</v>
      </c>
      <c r="M138" s="54">
        <f>SUMIF('S1'!$C:$C,'Key inputs_EB'!$E138,'S1'!J:J)*SUMIFS(M$6:M$90,$C$6:$C$90,$C138,$E$6:$E$90,$E138)</f>
        <v>0</v>
      </c>
      <c r="N138" s="54">
        <f>SUMIF('S1'!$C:$C,'Key inputs_EB'!$E138,'S1'!K:K)*SUMIFS(N$6:N$90,$C$6:$C$90,$C138,$E$6:$E$90,$E138)</f>
        <v>0</v>
      </c>
      <c r="O138" s="54">
        <f>SUMIF('S1'!$C:$C,'Key inputs_EB'!$E138,'S1'!L:L)*SUMIFS(O$6:O$90,$C$6:$C$90,$C138,$E$6:$E$90,$E138)</f>
        <v>0</v>
      </c>
      <c r="P138" s="54">
        <f>SUMIF('S1'!$C:$C,'Key inputs_EB'!$E138,'S1'!M:M)*SUMIFS(P$6:P$90,$C$6:$C$90,$C138,$E$6:$E$90,$E138)</f>
        <v>0</v>
      </c>
      <c r="Q138" s="54">
        <f>SUMIF('S1'!$C:$C,'Key inputs_EB'!$E138,'S1'!N:N)*SUMIFS(Q$6:Q$90,$C$6:$C$90,$C138,$E$6:$E$90,$E138)</f>
        <v>0</v>
      </c>
      <c r="R138" s="54">
        <f>SUMIF('S1'!$C:$C,'Key inputs_EB'!$E138,'S1'!O:O)*SUMIFS(R$6:R$90,$C$6:$C$90,$C138,$E$6:$E$90,$E138)</f>
        <v>0</v>
      </c>
      <c r="S138" s="54">
        <f>SUMIF('S1'!$C:$C,'Key inputs_EB'!$E138,'S1'!P:P)*SUMIFS(S$6:S$90,$C$6:$C$90,$C138,$E$6:$E$90,$E138)</f>
        <v>0</v>
      </c>
      <c r="T138" s="54">
        <f>SUMIF('S1'!$C:$C,'Key inputs_EB'!$E138,'S1'!Q:Q)*SUMIFS(T$6:T$90,$C$6:$C$90,$C138,$E$6:$E$90,$E138)</f>
        <v>0</v>
      </c>
      <c r="U138" s="54">
        <f>SUMIF('S1'!$C:$C,'Key inputs_EB'!$E138,'S1'!R:R)*SUMIFS(U$6:U$90,$C$6:$C$90,$C138,$E$6:$E$90,$E138)</f>
        <v>0</v>
      </c>
      <c r="V138" s="54">
        <f>SUMIF('S1'!$C:$C,'Key inputs_EB'!$E138,'S1'!S:S)*SUMIFS(V$6:V$90,$C$6:$C$90,$C138,$E$6:$E$90,$E138)</f>
        <v>0</v>
      </c>
      <c r="W138" s="54">
        <f>SUMIF('S1'!$C:$C,'Key inputs_EB'!$E138,'S1'!T:T)*SUMIFS(W$6:W$90,$C$6:$C$90,$C138,$E$6:$E$90,$E138)</f>
        <v>0</v>
      </c>
      <c r="X138" s="54">
        <f>SUMIF('S1'!$C:$C,'Key inputs_EB'!$E138,'S1'!U:U)*SUMIFS(X$6:X$90,$C$6:$C$90,$C138,$E$6:$E$90,$E138)</f>
        <v>0</v>
      </c>
      <c r="Y138" s="54">
        <f>SUMIF('S1'!$C:$C,'Key inputs_EB'!$E138,'S1'!V:V)*SUMIFS(Y$6:Y$90,$C$6:$C$90,$C138,$E$6:$E$90,$E138)</f>
        <v>0</v>
      </c>
      <c r="Z138" s="54">
        <f>SUMIF('S1'!$C:$C,'Key inputs_EB'!$E138,'S1'!W:W)*SUMIFS(Z$6:Z$90,$C$6:$C$90,$C138,$E$6:$E$90,$E138)</f>
        <v>0</v>
      </c>
      <c r="AA138" s="54">
        <f>SUMIF('S1'!$C:$C,'Key inputs_EB'!$E138,'S1'!X:X)*SUMIFS(AA$6:AA$90,$C$6:$C$90,$C138,$E$6:$E$90,$E138)</f>
        <v>0</v>
      </c>
      <c r="AB138" s="54">
        <f>SUMIF('S1'!$C:$C,'Key inputs_EB'!$E138,'S1'!Y:Y)*SUMIFS(AB$6:AB$90,$C$6:$C$90,$C138,$E$6:$E$90,$E138)</f>
        <v>0</v>
      </c>
      <c r="AC138" s="54">
        <f>SUMIF('S1'!$C:$C,'Key inputs_EB'!$E138,'S1'!Z:Z)*SUMIFS(AC$6:AC$90,$C$6:$C$90,$C138,$E$6:$E$90,$E138)</f>
        <v>0</v>
      </c>
      <c r="AD138" s="54">
        <f>SUMIF('S1'!$C:$C,'Key inputs_EB'!$E138,'S1'!AA:AA)*SUMIFS(AD$6:AD$90,$C$6:$C$90,$C138,$E$6:$E$90,$E138)</f>
        <v>0</v>
      </c>
      <c r="AE138" s="54">
        <f>SUMIF('S1'!$C:$C,'Key inputs_EB'!$E138,'S1'!AB:AB)*SUMIFS(AE$6:AE$90,$C$6:$C$90,$C138,$E$6:$E$90,$E138)</f>
        <v>0</v>
      </c>
      <c r="AF138" s="54">
        <f>SUMIF('S1'!$C:$C,'Key inputs_EB'!$E138,'S1'!AC:AC)*SUMIFS(AF$6:AF$90,$C$6:$C$90,$C138,$E$6:$E$90,$E138)</f>
        <v>0</v>
      </c>
      <c r="AG138" s="54">
        <f>SUMIF('S1'!$C:$C,'Key inputs_EB'!$E138,'S1'!AD:AD)*SUMIFS(AG$6:AG$90,$C$6:$C$90,$C138,$E$6:$E$90,$E138)</f>
        <v>0</v>
      </c>
      <c r="AH138" s="54">
        <f>SUMIF('S1'!$C:$C,'Key inputs_EB'!$E138,'S1'!AE:AE)*SUMIFS(AH$6:AH$90,$C$6:$C$90,$C138,$E$6:$E$90,$E138)</f>
        <v>0</v>
      </c>
      <c r="AI138" s="54">
        <f>SUMIF('S1'!$C:$C,'Key inputs_EB'!$E138,'S1'!AF:AF)*SUMIFS(AI$6:AI$90,$C$6:$C$90,$C138,$E$6:$E$90,$E138)</f>
        <v>0</v>
      </c>
    </row>
    <row r="139" spans="1:35" s="49" customFormat="1" x14ac:dyDescent="0.3">
      <c r="B139" s="49" t="str">
        <f>Legend!A$51</f>
        <v>Other uses</v>
      </c>
      <c r="C139" s="49" t="str">
        <f>LEFT(Legend!$C$4)&amp;"-"&amp;Legend!B$51</f>
        <v>S-OTH</v>
      </c>
      <c r="D139" s="49" t="str">
        <f>Legend!A68</f>
        <v>Natural gas</v>
      </c>
      <c r="E139" s="49" t="str">
        <f>Legend!B68</f>
        <v>SRVGAS</v>
      </c>
      <c r="F139" s="49" t="s">
        <v>15</v>
      </c>
      <c r="G139" s="49" t="s">
        <v>696</v>
      </c>
      <c r="H139" s="54">
        <f>SUMIF('S1'!$C:$C,'Key inputs_EB'!$E139,'S1'!E:E)*SUMIFS(H$6:H$90,$C$6:$C$90,$C139,$E$6:$E$90,$E139)</f>
        <v>0</v>
      </c>
      <c r="I139" s="54">
        <f>SUMIF('S1'!$C:$C,'Key inputs_EB'!$E139,'S1'!F:F)*SUMIFS(I$6:I$90,$C$6:$C$90,$C139,$E$6:$E$90,$E139)</f>
        <v>0</v>
      </c>
      <c r="J139" s="54">
        <f>SUMIF('S1'!$C:$C,'Key inputs_EB'!$E139,'S1'!G:G)*SUMIFS(J$6:J$90,$C$6:$C$90,$C139,$E$6:$E$90,$E139)</f>
        <v>0</v>
      </c>
      <c r="K139" s="54">
        <f>SUMIF('S1'!$C:$C,'Key inputs_EB'!$E139,'S1'!H:H)*SUMIFS(K$6:K$90,$C$6:$C$90,$C139,$E$6:$E$90,$E139)</f>
        <v>0</v>
      </c>
      <c r="L139" s="54">
        <f>SUMIF('S1'!$C:$C,'Key inputs_EB'!$E139,'S1'!I:I)*SUMIFS(L$6:L$90,$C$6:$C$90,$C139,$E$6:$E$90,$E139)</f>
        <v>0</v>
      </c>
      <c r="M139" s="54">
        <f>SUMIF('S1'!$C:$C,'Key inputs_EB'!$E139,'S1'!J:J)*SUMIFS(M$6:M$90,$C$6:$C$90,$C139,$E$6:$E$90,$E139)</f>
        <v>0</v>
      </c>
      <c r="N139" s="54">
        <f>SUMIF('S1'!$C:$C,'Key inputs_EB'!$E139,'S1'!K:K)*SUMIFS(N$6:N$90,$C$6:$C$90,$C139,$E$6:$E$90,$E139)</f>
        <v>0</v>
      </c>
      <c r="O139" s="54">
        <f>SUMIF('S1'!$C:$C,'Key inputs_EB'!$E139,'S1'!L:L)*SUMIFS(O$6:O$90,$C$6:$C$90,$C139,$E$6:$E$90,$E139)</f>
        <v>0</v>
      </c>
      <c r="P139" s="54">
        <f>SUMIF('S1'!$C:$C,'Key inputs_EB'!$E139,'S1'!M:M)*SUMIFS(P$6:P$90,$C$6:$C$90,$C139,$E$6:$E$90,$E139)</f>
        <v>0</v>
      </c>
      <c r="Q139" s="54">
        <f>SUMIF('S1'!$C:$C,'Key inputs_EB'!$E139,'S1'!N:N)*SUMIFS(Q$6:Q$90,$C$6:$C$90,$C139,$E$6:$E$90,$E139)</f>
        <v>29.598000000000003</v>
      </c>
      <c r="R139" s="54">
        <f>SUMIF('S1'!$C:$C,'Key inputs_EB'!$E139,'S1'!O:O)*SUMIFS(R$6:R$90,$C$6:$C$90,$C139,$E$6:$E$90,$E139)</f>
        <v>0</v>
      </c>
      <c r="S139" s="54">
        <f>SUMIF('S1'!$C:$C,'Key inputs_EB'!$E139,'S1'!P:P)*SUMIFS(S$6:S$90,$C$6:$C$90,$C139,$E$6:$E$90,$E139)</f>
        <v>0</v>
      </c>
      <c r="T139" s="54">
        <f>SUMIF('S1'!$C:$C,'Key inputs_EB'!$E139,'S1'!Q:Q)*SUMIFS(T$6:T$90,$C$6:$C$90,$C139,$E$6:$E$90,$E139)</f>
        <v>0</v>
      </c>
      <c r="U139" s="54">
        <f>SUMIF('S1'!$C:$C,'Key inputs_EB'!$E139,'S1'!R:R)*SUMIFS(U$6:U$90,$C$6:$C$90,$C139,$E$6:$E$90,$E139)</f>
        <v>0</v>
      </c>
      <c r="V139" s="54">
        <f>SUMIF('S1'!$C:$C,'Key inputs_EB'!$E139,'S1'!S:S)*SUMIFS(V$6:V$90,$C$6:$C$90,$C139,$E$6:$E$90,$E139)</f>
        <v>0</v>
      </c>
      <c r="W139" s="54">
        <f>SUMIF('S1'!$C:$C,'Key inputs_EB'!$E139,'S1'!T:T)*SUMIFS(W$6:W$90,$C$6:$C$90,$C139,$E$6:$E$90,$E139)</f>
        <v>0</v>
      </c>
      <c r="X139" s="54">
        <f>SUMIF('S1'!$C:$C,'Key inputs_EB'!$E139,'S1'!U:U)*SUMIFS(X$6:X$90,$C$6:$C$90,$C139,$E$6:$E$90,$E139)</f>
        <v>0</v>
      </c>
      <c r="Y139" s="54">
        <f>SUMIF('S1'!$C:$C,'Key inputs_EB'!$E139,'S1'!V:V)*SUMIFS(Y$6:Y$90,$C$6:$C$90,$C139,$E$6:$E$90,$E139)</f>
        <v>0</v>
      </c>
      <c r="Z139" s="54">
        <f>SUMIF('S1'!$C:$C,'Key inputs_EB'!$E139,'S1'!W:W)*SUMIFS(Z$6:Z$90,$C$6:$C$90,$C139,$E$6:$E$90,$E139)</f>
        <v>0</v>
      </c>
      <c r="AA139" s="54">
        <f>SUMIF('S1'!$C:$C,'Key inputs_EB'!$E139,'S1'!X:X)*SUMIFS(AA$6:AA$90,$C$6:$C$90,$C139,$E$6:$E$90,$E139)</f>
        <v>0</v>
      </c>
      <c r="AB139" s="54">
        <f>SUMIF('S1'!$C:$C,'Key inputs_EB'!$E139,'S1'!Y:Y)*SUMIFS(AB$6:AB$90,$C$6:$C$90,$C139,$E$6:$E$90,$E139)</f>
        <v>0</v>
      </c>
      <c r="AC139" s="54">
        <f>SUMIF('S1'!$C:$C,'Key inputs_EB'!$E139,'S1'!Z:Z)*SUMIFS(AC$6:AC$90,$C$6:$C$90,$C139,$E$6:$E$90,$E139)</f>
        <v>0</v>
      </c>
      <c r="AD139" s="54">
        <f>SUMIF('S1'!$C:$C,'Key inputs_EB'!$E139,'S1'!AA:AA)*SUMIFS(AD$6:AD$90,$C$6:$C$90,$C139,$E$6:$E$90,$E139)</f>
        <v>0</v>
      </c>
      <c r="AE139" s="54">
        <f>SUMIF('S1'!$C:$C,'Key inputs_EB'!$E139,'S1'!AB:AB)*SUMIFS(AE$6:AE$90,$C$6:$C$90,$C139,$E$6:$E$90,$E139)</f>
        <v>0</v>
      </c>
      <c r="AF139" s="54">
        <f>SUMIF('S1'!$C:$C,'Key inputs_EB'!$E139,'S1'!AC:AC)*SUMIFS(AF$6:AF$90,$C$6:$C$90,$C139,$E$6:$E$90,$E139)</f>
        <v>0</v>
      </c>
      <c r="AG139" s="54">
        <f>SUMIF('S1'!$C:$C,'Key inputs_EB'!$E139,'S1'!AD:AD)*SUMIFS(AG$6:AG$90,$C$6:$C$90,$C139,$E$6:$E$90,$E139)</f>
        <v>0</v>
      </c>
      <c r="AH139" s="54">
        <f>SUMIF('S1'!$C:$C,'Key inputs_EB'!$E139,'S1'!AE:AE)*SUMIFS(AH$6:AH$90,$C$6:$C$90,$C139,$E$6:$E$90,$E139)</f>
        <v>0</v>
      </c>
      <c r="AI139" s="54">
        <f>SUMIF('S1'!$C:$C,'Key inputs_EB'!$E139,'S1'!AF:AF)*SUMIFS(AI$6:AI$90,$C$6:$C$90,$C139,$E$6:$E$90,$E139)</f>
        <v>274.74216456367105</v>
      </c>
    </row>
    <row r="140" spans="1:35" s="49" customFormat="1" x14ac:dyDescent="0.3">
      <c r="B140" s="49" t="str">
        <f>Legend!A$51</f>
        <v>Other uses</v>
      </c>
      <c r="C140" s="49" t="str">
        <f>LEFT(Legend!$C$4)&amp;"-"&amp;Legend!B$51</f>
        <v>S-OTH</v>
      </c>
      <c r="D140" s="49" t="str">
        <f>Legend!A69</f>
        <v>Solar</v>
      </c>
      <c r="E140" s="49" t="str">
        <f>Legend!B69</f>
        <v>SRVSOL</v>
      </c>
      <c r="F140" s="49" t="s">
        <v>15</v>
      </c>
      <c r="G140" s="49" t="s">
        <v>696</v>
      </c>
      <c r="H140" s="54">
        <f>SUMIF('S1'!$C:$C,'Key inputs_EB'!$E140,'S1'!E:E)*SUMIFS(H$6:H$90,$C$6:$C$90,$C140,$E$6:$E$90,$E140)</f>
        <v>0</v>
      </c>
      <c r="I140" s="54">
        <f>SUMIF('S1'!$C:$C,'Key inputs_EB'!$E140,'S1'!F:F)*SUMIFS(I$6:I$90,$C$6:$C$90,$C140,$E$6:$E$90,$E140)</f>
        <v>0</v>
      </c>
      <c r="J140" s="54">
        <f>SUMIF('S1'!$C:$C,'Key inputs_EB'!$E140,'S1'!G:G)*SUMIFS(J$6:J$90,$C$6:$C$90,$C140,$E$6:$E$90,$E140)</f>
        <v>0</v>
      </c>
      <c r="K140" s="54">
        <f>SUMIF('S1'!$C:$C,'Key inputs_EB'!$E140,'S1'!H:H)*SUMIFS(K$6:K$90,$C$6:$C$90,$C140,$E$6:$E$90,$E140)</f>
        <v>0</v>
      </c>
      <c r="L140" s="54">
        <f>SUMIF('S1'!$C:$C,'Key inputs_EB'!$E140,'S1'!I:I)*SUMIFS(L$6:L$90,$C$6:$C$90,$C140,$E$6:$E$90,$E140)</f>
        <v>0</v>
      </c>
      <c r="M140" s="54">
        <f>SUMIF('S1'!$C:$C,'Key inputs_EB'!$E140,'S1'!J:J)*SUMIFS(M$6:M$90,$C$6:$C$90,$C140,$E$6:$E$90,$E140)</f>
        <v>0</v>
      </c>
      <c r="N140" s="54">
        <f>SUMIF('S1'!$C:$C,'Key inputs_EB'!$E140,'S1'!K:K)*SUMIFS(N$6:N$90,$C$6:$C$90,$C140,$E$6:$E$90,$E140)</f>
        <v>0</v>
      </c>
      <c r="O140" s="54">
        <f>SUMIF('S1'!$C:$C,'Key inputs_EB'!$E140,'S1'!L:L)*SUMIFS(O$6:O$90,$C$6:$C$90,$C140,$E$6:$E$90,$E140)</f>
        <v>0</v>
      </c>
      <c r="P140" s="54">
        <f>SUMIF('S1'!$C:$C,'Key inputs_EB'!$E140,'S1'!M:M)*SUMIFS(P$6:P$90,$C$6:$C$90,$C140,$E$6:$E$90,$E140)</f>
        <v>0</v>
      </c>
      <c r="Q140" s="54">
        <f>SUMIF('S1'!$C:$C,'Key inputs_EB'!$E140,'S1'!N:N)*SUMIFS(Q$6:Q$90,$C$6:$C$90,$C140,$E$6:$E$90,$E140)</f>
        <v>0</v>
      </c>
      <c r="R140" s="54">
        <f>SUMIF('S1'!$C:$C,'Key inputs_EB'!$E140,'S1'!O:O)*SUMIFS(R$6:R$90,$C$6:$C$90,$C140,$E$6:$E$90,$E140)</f>
        <v>0</v>
      </c>
      <c r="S140" s="54">
        <f>SUMIF('S1'!$C:$C,'Key inputs_EB'!$E140,'S1'!P:P)*SUMIFS(S$6:S$90,$C$6:$C$90,$C140,$E$6:$E$90,$E140)</f>
        <v>0</v>
      </c>
      <c r="T140" s="54">
        <f>SUMIF('S1'!$C:$C,'Key inputs_EB'!$E140,'S1'!Q:Q)*SUMIFS(T$6:T$90,$C$6:$C$90,$C140,$E$6:$E$90,$E140)</f>
        <v>0</v>
      </c>
      <c r="U140" s="54">
        <f>SUMIF('S1'!$C:$C,'Key inputs_EB'!$E140,'S1'!R:R)*SUMIFS(U$6:U$90,$C$6:$C$90,$C140,$E$6:$E$90,$E140)</f>
        <v>0</v>
      </c>
      <c r="V140" s="54">
        <f>SUMIF('S1'!$C:$C,'Key inputs_EB'!$E140,'S1'!S:S)*SUMIFS(V$6:V$90,$C$6:$C$90,$C140,$E$6:$E$90,$E140)</f>
        <v>0</v>
      </c>
      <c r="W140" s="54">
        <f>SUMIF('S1'!$C:$C,'Key inputs_EB'!$E140,'S1'!T:T)*SUMIFS(W$6:W$90,$C$6:$C$90,$C140,$E$6:$E$90,$E140)</f>
        <v>0</v>
      </c>
      <c r="X140" s="54">
        <f>SUMIF('S1'!$C:$C,'Key inputs_EB'!$E140,'S1'!U:U)*SUMIFS(X$6:X$90,$C$6:$C$90,$C140,$E$6:$E$90,$E140)</f>
        <v>0</v>
      </c>
      <c r="Y140" s="54">
        <f>SUMIF('S1'!$C:$C,'Key inputs_EB'!$E140,'S1'!V:V)*SUMIFS(Y$6:Y$90,$C$6:$C$90,$C140,$E$6:$E$90,$E140)</f>
        <v>0</v>
      </c>
      <c r="Z140" s="54">
        <f>SUMIF('S1'!$C:$C,'Key inputs_EB'!$E140,'S1'!W:W)*SUMIFS(Z$6:Z$90,$C$6:$C$90,$C140,$E$6:$E$90,$E140)</f>
        <v>0</v>
      </c>
      <c r="AA140" s="54">
        <f>SUMIF('S1'!$C:$C,'Key inputs_EB'!$E140,'S1'!X:X)*SUMIFS(AA$6:AA$90,$C$6:$C$90,$C140,$E$6:$E$90,$E140)</f>
        <v>0</v>
      </c>
      <c r="AB140" s="54">
        <f>SUMIF('S1'!$C:$C,'Key inputs_EB'!$E140,'S1'!Y:Y)*SUMIFS(AB$6:AB$90,$C$6:$C$90,$C140,$E$6:$E$90,$E140)</f>
        <v>0</v>
      </c>
      <c r="AC140" s="54">
        <f>SUMIF('S1'!$C:$C,'Key inputs_EB'!$E140,'S1'!Z:Z)*SUMIFS(AC$6:AC$90,$C$6:$C$90,$C140,$E$6:$E$90,$E140)</f>
        <v>0</v>
      </c>
      <c r="AD140" s="54">
        <f>SUMIF('S1'!$C:$C,'Key inputs_EB'!$E140,'S1'!AA:AA)*SUMIFS(AD$6:AD$90,$C$6:$C$90,$C140,$E$6:$E$90,$E140)</f>
        <v>0</v>
      </c>
      <c r="AE140" s="54">
        <f>SUMIF('S1'!$C:$C,'Key inputs_EB'!$E140,'S1'!AB:AB)*SUMIFS(AE$6:AE$90,$C$6:$C$90,$C140,$E$6:$E$90,$E140)</f>
        <v>0</v>
      </c>
      <c r="AF140" s="54">
        <f>SUMIF('S1'!$C:$C,'Key inputs_EB'!$E140,'S1'!AC:AC)*SUMIFS(AF$6:AF$90,$C$6:$C$90,$C140,$E$6:$E$90,$E140)</f>
        <v>0</v>
      </c>
      <c r="AG140" s="54">
        <f>SUMIF('S1'!$C:$C,'Key inputs_EB'!$E140,'S1'!AD:AD)*SUMIFS(AG$6:AG$90,$C$6:$C$90,$C140,$E$6:$E$90,$E140)</f>
        <v>0</v>
      </c>
      <c r="AH140" s="54">
        <f>SUMIF('S1'!$C:$C,'Key inputs_EB'!$E140,'S1'!AE:AE)*SUMIFS(AH$6:AH$90,$C$6:$C$90,$C140,$E$6:$E$90,$E140)</f>
        <v>0</v>
      </c>
      <c r="AI140" s="54">
        <f>SUMIF('S1'!$C:$C,'Key inputs_EB'!$E140,'S1'!AF:AF)*SUMIFS(AI$6:AI$90,$C$6:$C$90,$C140,$E$6:$E$90,$E140)</f>
        <v>0</v>
      </c>
    </row>
    <row r="141" spans="1:35" s="49" customFormat="1" x14ac:dyDescent="0.3">
      <c r="B141" s="49" t="str">
        <f>Legend!A$51</f>
        <v>Other uses</v>
      </c>
      <c r="C141" s="49" t="str">
        <f>LEFT(Legend!$C$4)&amp;"-"&amp;Legend!B$51</f>
        <v>S-OTH</v>
      </c>
      <c r="D141" s="49" t="str">
        <f>Legend!A70</f>
        <v>Biomass</v>
      </c>
      <c r="E141" s="49" t="str">
        <f>Legend!B70</f>
        <v>SRVBIO</v>
      </c>
      <c r="F141" s="49" t="s">
        <v>15</v>
      </c>
      <c r="G141" s="49" t="s">
        <v>696</v>
      </c>
      <c r="H141" s="54">
        <f>SUMIF('S1'!$C:$C,'Key inputs_EB'!$E141,'S1'!E:E)*SUMIFS(H$6:H$90,$C$6:$C$90,$C141,$E$6:$E$90,$E141)</f>
        <v>0</v>
      </c>
      <c r="I141" s="54">
        <f>SUMIF('S1'!$C:$C,'Key inputs_EB'!$E141,'S1'!F:F)*SUMIFS(I$6:I$90,$C$6:$C$90,$C141,$E$6:$E$90,$E141)</f>
        <v>0</v>
      </c>
      <c r="J141" s="54">
        <f>SUMIF('S1'!$C:$C,'Key inputs_EB'!$E141,'S1'!G:G)*SUMIFS(J$6:J$90,$C$6:$C$90,$C141,$E$6:$E$90,$E141)</f>
        <v>0</v>
      </c>
      <c r="K141" s="54">
        <f>SUMIF('S1'!$C:$C,'Key inputs_EB'!$E141,'S1'!H:H)*SUMIFS(K$6:K$90,$C$6:$C$90,$C141,$E$6:$E$90,$E141)</f>
        <v>0</v>
      </c>
      <c r="L141" s="54">
        <f>SUMIF('S1'!$C:$C,'Key inputs_EB'!$E141,'S1'!I:I)*SUMIFS(L$6:L$90,$C$6:$C$90,$C141,$E$6:$E$90,$E141)</f>
        <v>0</v>
      </c>
      <c r="M141" s="54">
        <f>SUMIF('S1'!$C:$C,'Key inputs_EB'!$E141,'S1'!J:J)*SUMIFS(M$6:M$90,$C$6:$C$90,$C141,$E$6:$E$90,$E141)</f>
        <v>0</v>
      </c>
      <c r="N141" s="54">
        <f>SUMIF('S1'!$C:$C,'Key inputs_EB'!$E141,'S1'!K:K)*SUMIFS(N$6:N$90,$C$6:$C$90,$C141,$E$6:$E$90,$E141)</f>
        <v>0</v>
      </c>
      <c r="O141" s="54">
        <f>SUMIF('S1'!$C:$C,'Key inputs_EB'!$E141,'S1'!L:L)*SUMIFS(O$6:O$90,$C$6:$C$90,$C141,$E$6:$E$90,$E141)</f>
        <v>0</v>
      </c>
      <c r="P141" s="54">
        <f>SUMIF('S1'!$C:$C,'Key inputs_EB'!$E141,'S1'!M:M)*SUMIFS(P$6:P$90,$C$6:$C$90,$C141,$E$6:$E$90,$E141)</f>
        <v>0</v>
      </c>
      <c r="Q141" s="54">
        <f>SUMIF('S1'!$C:$C,'Key inputs_EB'!$E141,'S1'!N:N)*SUMIFS(Q$6:Q$90,$C$6:$C$90,$C141,$E$6:$E$90,$E141)</f>
        <v>0</v>
      </c>
      <c r="R141" s="54">
        <f>SUMIF('S1'!$C:$C,'Key inputs_EB'!$E141,'S1'!O:O)*SUMIFS(R$6:R$90,$C$6:$C$90,$C141,$E$6:$E$90,$E141)</f>
        <v>0</v>
      </c>
      <c r="S141" s="54">
        <f>SUMIF('S1'!$C:$C,'Key inputs_EB'!$E141,'S1'!P:P)*SUMIFS(S$6:S$90,$C$6:$C$90,$C141,$E$6:$E$90,$E141)</f>
        <v>0</v>
      </c>
      <c r="T141" s="54">
        <f>SUMIF('S1'!$C:$C,'Key inputs_EB'!$E141,'S1'!Q:Q)*SUMIFS(T$6:T$90,$C$6:$C$90,$C141,$E$6:$E$90,$E141)</f>
        <v>0</v>
      </c>
      <c r="U141" s="54">
        <f>SUMIF('S1'!$C:$C,'Key inputs_EB'!$E141,'S1'!R:R)*SUMIFS(U$6:U$90,$C$6:$C$90,$C141,$E$6:$E$90,$E141)</f>
        <v>0</v>
      </c>
      <c r="V141" s="54">
        <f>SUMIF('S1'!$C:$C,'Key inputs_EB'!$E141,'S1'!S:S)*SUMIFS(V$6:V$90,$C$6:$C$90,$C141,$E$6:$E$90,$E141)</f>
        <v>0</v>
      </c>
      <c r="W141" s="54">
        <f>SUMIF('S1'!$C:$C,'Key inputs_EB'!$E141,'S1'!T:T)*SUMIFS(W$6:W$90,$C$6:$C$90,$C141,$E$6:$E$90,$E141)</f>
        <v>0</v>
      </c>
      <c r="X141" s="54">
        <f>SUMIF('S1'!$C:$C,'Key inputs_EB'!$E141,'S1'!U:U)*SUMIFS(X$6:X$90,$C$6:$C$90,$C141,$E$6:$E$90,$E141)</f>
        <v>0</v>
      </c>
      <c r="Y141" s="54">
        <f>SUMIF('S1'!$C:$C,'Key inputs_EB'!$E141,'S1'!V:V)*SUMIFS(Y$6:Y$90,$C$6:$C$90,$C141,$E$6:$E$90,$E141)</f>
        <v>0</v>
      </c>
      <c r="Z141" s="54">
        <f>SUMIF('S1'!$C:$C,'Key inputs_EB'!$E141,'S1'!W:W)*SUMIFS(Z$6:Z$90,$C$6:$C$90,$C141,$E$6:$E$90,$E141)</f>
        <v>0</v>
      </c>
      <c r="AA141" s="54">
        <f>SUMIF('S1'!$C:$C,'Key inputs_EB'!$E141,'S1'!X:X)*SUMIFS(AA$6:AA$90,$C$6:$C$90,$C141,$E$6:$E$90,$E141)</f>
        <v>0</v>
      </c>
      <c r="AB141" s="54">
        <f>SUMIF('S1'!$C:$C,'Key inputs_EB'!$E141,'S1'!Y:Y)*SUMIFS(AB$6:AB$90,$C$6:$C$90,$C141,$E$6:$E$90,$E141)</f>
        <v>0</v>
      </c>
      <c r="AC141" s="54">
        <f>SUMIF('S1'!$C:$C,'Key inputs_EB'!$E141,'S1'!Z:Z)*SUMIFS(AC$6:AC$90,$C$6:$C$90,$C141,$E$6:$E$90,$E141)</f>
        <v>0</v>
      </c>
      <c r="AD141" s="54">
        <f>SUMIF('S1'!$C:$C,'Key inputs_EB'!$E141,'S1'!AA:AA)*SUMIFS(AD$6:AD$90,$C$6:$C$90,$C141,$E$6:$E$90,$E141)</f>
        <v>0</v>
      </c>
      <c r="AE141" s="54">
        <f>SUMIF('S1'!$C:$C,'Key inputs_EB'!$E141,'S1'!AB:AB)*SUMIFS(AE$6:AE$90,$C$6:$C$90,$C141,$E$6:$E$90,$E141)</f>
        <v>0</v>
      </c>
      <c r="AF141" s="54">
        <f>SUMIF('S1'!$C:$C,'Key inputs_EB'!$E141,'S1'!AC:AC)*SUMIFS(AF$6:AF$90,$C$6:$C$90,$C141,$E$6:$E$90,$E141)</f>
        <v>0</v>
      </c>
      <c r="AG141" s="54">
        <f>SUMIF('S1'!$C:$C,'Key inputs_EB'!$E141,'S1'!AD:AD)*SUMIFS(AG$6:AG$90,$C$6:$C$90,$C141,$E$6:$E$90,$E141)</f>
        <v>0</v>
      </c>
      <c r="AH141" s="54">
        <f>SUMIF('S1'!$C:$C,'Key inputs_EB'!$E141,'S1'!AE:AE)*SUMIFS(AH$6:AH$90,$C$6:$C$90,$C141,$E$6:$E$90,$E141)</f>
        <v>0</v>
      </c>
      <c r="AI141" s="54">
        <f>SUMIF('S1'!$C:$C,'Key inputs_EB'!$E141,'S1'!AF:AF)*SUMIFS(AI$6:AI$90,$C$6:$C$90,$C141,$E$6:$E$90,$E141)</f>
        <v>0</v>
      </c>
    </row>
    <row r="142" spans="1:35" s="49" customFormat="1" x14ac:dyDescent="0.3">
      <c r="B142" s="49" t="str">
        <f>Legend!A$51</f>
        <v>Other uses</v>
      </c>
      <c r="C142" s="49" t="str">
        <f>LEFT(Legend!$C$4)&amp;"-"&amp;Legend!B$51</f>
        <v>S-OTH</v>
      </c>
      <c r="D142" s="49" t="str">
        <f>Legend!A71</f>
        <v>Waste</v>
      </c>
      <c r="E142" s="49" t="str">
        <f>Legend!B71</f>
        <v>SRVWAS</v>
      </c>
      <c r="F142" s="49" t="s">
        <v>15</v>
      </c>
      <c r="G142" s="49" t="s">
        <v>696</v>
      </c>
      <c r="H142" s="54">
        <f>SUMIF('S1'!$C:$C,'Key inputs_EB'!$E142,'S1'!E:E)*SUMIFS(H$6:H$90,$C$6:$C$90,$C142,$E$6:$E$90,$E142)</f>
        <v>0</v>
      </c>
      <c r="I142" s="54">
        <f>SUMIF('S1'!$C:$C,'Key inputs_EB'!$E142,'S1'!F:F)*SUMIFS(I$6:I$90,$C$6:$C$90,$C142,$E$6:$E$90,$E142)</f>
        <v>0</v>
      </c>
      <c r="J142" s="54">
        <f>SUMIF('S1'!$C:$C,'Key inputs_EB'!$E142,'S1'!G:G)*SUMIFS(J$6:J$90,$C$6:$C$90,$C142,$E$6:$E$90,$E142)</f>
        <v>0</v>
      </c>
      <c r="K142" s="54">
        <f>SUMIF('S1'!$C:$C,'Key inputs_EB'!$E142,'S1'!H:H)*SUMIFS(K$6:K$90,$C$6:$C$90,$C142,$E$6:$E$90,$E142)</f>
        <v>0</v>
      </c>
      <c r="L142" s="54">
        <f>SUMIF('S1'!$C:$C,'Key inputs_EB'!$E142,'S1'!I:I)*SUMIFS(L$6:L$90,$C$6:$C$90,$C142,$E$6:$E$90,$E142)</f>
        <v>0</v>
      </c>
      <c r="M142" s="54">
        <f>SUMIF('S1'!$C:$C,'Key inputs_EB'!$E142,'S1'!J:J)*SUMIFS(M$6:M$90,$C$6:$C$90,$C142,$E$6:$E$90,$E142)</f>
        <v>0</v>
      </c>
      <c r="N142" s="54">
        <f>SUMIF('S1'!$C:$C,'Key inputs_EB'!$E142,'S1'!K:K)*SUMIFS(N$6:N$90,$C$6:$C$90,$C142,$E$6:$E$90,$E142)</f>
        <v>0</v>
      </c>
      <c r="O142" s="54">
        <f>SUMIF('S1'!$C:$C,'Key inputs_EB'!$E142,'S1'!L:L)*SUMIFS(O$6:O$90,$C$6:$C$90,$C142,$E$6:$E$90,$E142)</f>
        <v>0</v>
      </c>
      <c r="P142" s="54">
        <f>SUMIF('S1'!$C:$C,'Key inputs_EB'!$E142,'S1'!M:M)*SUMIFS(P$6:P$90,$C$6:$C$90,$C142,$E$6:$E$90,$E142)</f>
        <v>0</v>
      </c>
      <c r="Q142" s="54">
        <f>SUMIF('S1'!$C:$C,'Key inputs_EB'!$E142,'S1'!N:N)*SUMIFS(Q$6:Q$90,$C$6:$C$90,$C142,$E$6:$E$90,$E142)</f>
        <v>0</v>
      </c>
      <c r="R142" s="54">
        <f>SUMIF('S1'!$C:$C,'Key inputs_EB'!$E142,'S1'!O:O)*SUMIFS(R$6:R$90,$C$6:$C$90,$C142,$E$6:$E$90,$E142)</f>
        <v>0</v>
      </c>
      <c r="S142" s="54">
        <f>SUMIF('S1'!$C:$C,'Key inputs_EB'!$E142,'S1'!P:P)*SUMIFS(S$6:S$90,$C$6:$C$90,$C142,$E$6:$E$90,$E142)</f>
        <v>0</v>
      </c>
      <c r="T142" s="54">
        <f>SUMIF('S1'!$C:$C,'Key inputs_EB'!$E142,'S1'!Q:Q)*SUMIFS(T$6:T$90,$C$6:$C$90,$C142,$E$6:$E$90,$E142)</f>
        <v>0</v>
      </c>
      <c r="U142" s="54">
        <f>SUMIF('S1'!$C:$C,'Key inputs_EB'!$E142,'S1'!R:R)*SUMIFS(U$6:U$90,$C$6:$C$90,$C142,$E$6:$E$90,$E142)</f>
        <v>0</v>
      </c>
      <c r="V142" s="54">
        <f>SUMIF('S1'!$C:$C,'Key inputs_EB'!$E142,'S1'!S:S)*SUMIFS(V$6:V$90,$C$6:$C$90,$C142,$E$6:$E$90,$E142)</f>
        <v>0</v>
      </c>
      <c r="W142" s="54">
        <f>SUMIF('S1'!$C:$C,'Key inputs_EB'!$E142,'S1'!T:T)*SUMIFS(W$6:W$90,$C$6:$C$90,$C142,$E$6:$E$90,$E142)</f>
        <v>0</v>
      </c>
      <c r="X142" s="54">
        <f>SUMIF('S1'!$C:$C,'Key inputs_EB'!$E142,'S1'!U:U)*SUMIFS(X$6:X$90,$C$6:$C$90,$C142,$E$6:$E$90,$E142)</f>
        <v>0</v>
      </c>
      <c r="Y142" s="54">
        <f>SUMIF('S1'!$C:$C,'Key inputs_EB'!$E142,'S1'!V:V)*SUMIFS(Y$6:Y$90,$C$6:$C$90,$C142,$E$6:$E$90,$E142)</f>
        <v>0</v>
      </c>
      <c r="Z142" s="54">
        <f>SUMIF('S1'!$C:$C,'Key inputs_EB'!$E142,'S1'!W:W)*SUMIFS(Z$6:Z$90,$C$6:$C$90,$C142,$E$6:$E$90,$E142)</f>
        <v>0</v>
      </c>
      <c r="AA142" s="54">
        <f>SUMIF('S1'!$C:$C,'Key inputs_EB'!$E142,'S1'!X:X)*SUMIFS(AA$6:AA$90,$C$6:$C$90,$C142,$E$6:$E$90,$E142)</f>
        <v>0</v>
      </c>
      <c r="AB142" s="54">
        <f>SUMIF('S1'!$C:$C,'Key inputs_EB'!$E142,'S1'!Y:Y)*SUMIFS(AB$6:AB$90,$C$6:$C$90,$C142,$E$6:$E$90,$E142)</f>
        <v>0</v>
      </c>
      <c r="AC142" s="54">
        <f>SUMIF('S1'!$C:$C,'Key inputs_EB'!$E142,'S1'!Z:Z)*SUMIFS(AC$6:AC$90,$C$6:$C$90,$C142,$E$6:$E$90,$E142)</f>
        <v>0</v>
      </c>
      <c r="AD142" s="54">
        <f>SUMIF('S1'!$C:$C,'Key inputs_EB'!$E142,'S1'!AA:AA)*SUMIFS(AD$6:AD$90,$C$6:$C$90,$C142,$E$6:$E$90,$E142)</f>
        <v>0</v>
      </c>
      <c r="AE142" s="54">
        <f>SUMIF('S1'!$C:$C,'Key inputs_EB'!$E142,'S1'!AB:AB)*SUMIFS(AE$6:AE$90,$C$6:$C$90,$C142,$E$6:$E$90,$E142)</f>
        <v>0</v>
      </c>
      <c r="AF142" s="54">
        <f>SUMIF('S1'!$C:$C,'Key inputs_EB'!$E142,'S1'!AC:AC)*SUMIFS(AF$6:AF$90,$C$6:$C$90,$C142,$E$6:$E$90,$E142)</f>
        <v>0</v>
      </c>
      <c r="AG142" s="54">
        <f>SUMIF('S1'!$C:$C,'Key inputs_EB'!$E142,'S1'!AD:AD)*SUMIFS(AG$6:AG$90,$C$6:$C$90,$C142,$E$6:$E$90,$E142)</f>
        <v>0</v>
      </c>
      <c r="AH142" s="54">
        <f>SUMIF('S1'!$C:$C,'Key inputs_EB'!$E142,'S1'!AE:AE)*SUMIFS(AH$6:AH$90,$C$6:$C$90,$C142,$E$6:$E$90,$E142)</f>
        <v>0</v>
      </c>
      <c r="AI142" s="54">
        <f>SUMIF('S1'!$C:$C,'Key inputs_EB'!$E142,'S1'!AF:AF)*SUMIFS(AI$6:AI$90,$C$6:$C$90,$C142,$E$6:$E$90,$E142)</f>
        <v>0</v>
      </c>
    </row>
    <row r="143" spans="1:35" s="49" customFormat="1" x14ac:dyDescent="0.3">
      <c r="B143" s="69" t="str">
        <f>Legend!A$51</f>
        <v>Other uses</v>
      </c>
      <c r="C143" s="69" t="str">
        <f>LEFT(Legend!$C$4)&amp;"-"&amp;Legend!B$51</f>
        <v>S-OTH</v>
      </c>
      <c r="D143" s="69" t="s">
        <v>158</v>
      </c>
      <c r="E143" s="69"/>
      <c r="F143" s="69" t="s">
        <v>15</v>
      </c>
      <c r="G143" s="69"/>
      <c r="H143" s="70">
        <f t="shared" ref="H143:AI143" si="29">IF(H$94="","",SUM(H131:H142))</f>
        <v>0</v>
      </c>
      <c r="I143" s="70">
        <f t="shared" si="29"/>
        <v>0</v>
      </c>
      <c r="J143" s="70">
        <f t="shared" si="29"/>
        <v>0</v>
      </c>
      <c r="K143" s="70">
        <f t="shared" si="29"/>
        <v>0</v>
      </c>
      <c r="L143" s="70">
        <f t="shared" si="29"/>
        <v>0</v>
      </c>
      <c r="M143" s="70">
        <f t="shared" si="29"/>
        <v>0</v>
      </c>
      <c r="N143" s="70">
        <f t="shared" si="29"/>
        <v>0</v>
      </c>
      <c r="O143" s="70">
        <f t="shared" si="29"/>
        <v>0</v>
      </c>
      <c r="P143" s="70">
        <f t="shared" si="29"/>
        <v>0</v>
      </c>
      <c r="Q143" s="70">
        <f t="shared" si="29"/>
        <v>56.872200000000007</v>
      </c>
      <c r="R143" s="70">
        <f t="shared" si="29"/>
        <v>0</v>
      </c>
      <c r="S143" s="70">
        <f t="shared" si="29"/>
        <v>0</v>
      </c>
      <c r="T143" s="70">
        <f t="shared" si="29"/>
        <v>0</v>
      </c>
      <c r="U143" s="70">
        <f t="shared" si="29"/>
        <v>0</v>
      </c>
      <c r="V143" s="70">
        <f t="shared" si="29"/>
        <v>0</v>
      </c>
      <c r="W143" s="70">
        <f t="shared" si="29"/>
        <v>0</v>
      </c>
      <c r="X143" s="70">
        <f t="shared" si="29"/>
        <v>0</v>
      </c>
      <c r="Y143" s="70">
        <f t="shared" si="29"/>
        <v>0</v>
      </c>
      <c r="Z143" s="70">
        <f t="shared" si="29"/>
        <v>0</v>
      </c>
      <c r="AA143" s="70">
        <f t="shared" si="29"/>
        <v>79.77788000000001</v>
      </c>
      <c r="AB143" s="70">
        <f t="shared" si="29"/>
        <v>0</v>
      </c>
      <c r="AC143" s="70">
        <f t="shared" si="29"/>
        <v>0</v>
      </c>
      <c r="AD143" s="70">
        <f t="shared" si="29"/>
        <v>0</v>
      </c>
      <c r="AE143" s="70">
        <f t="shared" si="29"/>
        <v>0</v>
      </c>
      <c r="AF143" s="70">
        <f t="shared" si="29"/>
        <v>0</v>
      </c>
      <c r="AG143" s="70">
        <f t="shared" si="29"/>
        <v>0</v>
      </c>
      <c r="AH143" s="70">
        <f t="shared" si="29"/>
        <v>0</v>
      </c>
      <c r="AI143" s="70">
        <f t="shared" si="29"/>
        <v>761.53464617891655</v>
      </c>
    </row>
    <row r="144" spans="1:35" s="49" customFormat="1" x14ac:dyDescent="0.3">
      <c r="B144" s="71" t="s">
        <v>100</v>
      </c>
      <c r="H144" s="72">
        <f>IF(H94="","",(H108+H111+H124+H143+H126+H130+H128-'S1'!E$49))</f>
        <v>-2.8421709430404007E-14</v>
      </c>
      <c r="I144" s="72">
        <f>IF(I94="","",(I108+I111+I124+I143+I126+I130+I128-'S1'!F$49))</f>
        <v>0</v>
      </c>
      <c r="J144" s="72">
        <f>IF(J94="","",(J108+J111+J124+J143+J126+J130+J128-'S1'!G$49))</f>
        <v>0</v>
      </c>
      <c r="K144" s="72">
        <f>IF(K94="","",(K108+K111+K124+K143+K126+K130+K128-'S1'!H$49))</f>
        <v>0</v>
      </c>
      <c r="L144" s="72">
        <f>IF(L94="","",(L108+L111+L124+L143+L126+L130+L128-'S1'!I$49))</f>
        <v>-5.6843418860808015E-14</v>
      </c>
      <c r="M144" s="72">
        <f>IF(M94="","",(M108+M111+M124+M143+M126+M130+M128-'S1'!J$49))</f>
        <v>-1.1368683772161603E-13</v>
      </c>
      <c r="N144" s="72">
        <f>IF(N94="","",(N108+N111+N124+N143+N126+N130+N128-'S1'!K$49))</f>
        <v>0</v>
      </c>
      <c r="O144" s="72">
        <f>IF(O94="","",(O108+O111+O124+O143+O126+O130+O128-'S1'!L$49))</f>
        <v>-2.8421709430404007E-14</v>
      </c>
      <c r="P144" s="72">
        <f>IF(P94="","",(P108+P111+P124+P143+P126+P130+P128-'S1'!M$49))</f>
        <v>0</v>
      </c>
      <c r="Q144" s="72">
        <f>IF(Q94="","",(Q108+Q111+Q124+Q143+Q126+Q130+Q128-'S1'!N$49))</f>
        <v>0</v>
      </c>
      <c r="R144" s="72">
        <f>IF(R94="","",(R108+R111+R124+R143+R126+R130+R128-'S1'!O$49))</f>
        <v>1.4210854715202004E-14</v>
      </c>
      <c r="S144" s="72">
        <f>IF(S94="","",(S108+S111+S124+S143+S126+S130+S128-'S1'!P$49))</f>
        <v>0</v>
      </c>
      <c r="T144" s="72">
        <f>IF(T94="","",(T108+T111+T124+T143+T126+T130+T128-'S1'!Q$49))</f>
        <v>5.6843418860808015E-14</v>
      </c>
      <c r="U144" s="72">
        <f>IF(U94="","",(U108+U111+U124+U143+U126+U130+U128-'S1'!R$49))</f>
        <v>1.1368683772161603E-13</v>
      </c>
      <c r="V144" s="72">
        <f>IF(V94="","",(V108+V111+V124+V143+V126+V130+V128-'S1'!S$49))</f>
        <v>1.1368683772161603E-13</v>
      </c>
      <c r="W144" s="72">
        <f>IF(W94="","",(W108+W111+W124+W143+W126+W130+W128-'S1'!T$49))</f>
        <v>0</v>
      </c>
      <c r="X144" s="72">
        <f>IF(X94="","",(X108+X111+X124+X143+X126+X130+X128-'S1'!U$49))</f>
        <v>4.5474735088646412E-13</v>
      </c>
      <c r="Y144" s="72">
        <f>IF(Y94="","",(Y108+Y111+Y124+Y143+Y126+Y130+Y128-'S1'!V$49))</f>
        <v>1.1368683772161603E-13</v>
      </c>
      <c r="Z144" s="72">
        <f>IF(Z94="","",(Z108+Z111+Z124+Z143+Z126+Z130+Z128-'S1'!W$49))</f>
        <v>0</v>
      </c>
      <c r="AA144" s="72">
        <f>IF(AA94="","",(AA108+AA111+AA124+AA143+AA126+AA130+AA128-'S1'!X$49))</f>
        <v>0</v>
      </c>
      <c r="AB144" s="72">
        <f>IF(AB94="","",(AB108+AB111+AB124+AB143+AB126+AB130+AB128-'S1'!Y$49))</f>
        <v>1.1368683772161603E-13</v>
      </c>
      <c r="AC144" s="72">
        <f>IF(AC94="","",(AC108+AC111+AC124+AC143+AC126+AC130+AC128-'S1'!Z$49))</f>
        <v>1.1368683772161603E-13</v>
      </c>
      <c r="AD144" s="72">
        <f>IF(AD94="","",(AD108+AD111+AD124+AD143+AD126+AD130+AD128-'S1'!AA$49))</f>
        <v>2.2737367544323206E-13</v>
      </c>
      <c r="AE144" s="72">
        <f>IF(AE94="","",(AE108+AE111+AE124+AE143+AE126+AE130+AE128-'S1'!AB$49))</f>
        <v>0</v>
      </c>
      <c r="AF144" s="72">
        <f>IF(AF94="","",(AF108+AF111+AF124+AF143+AF126+AF130+AF128-'S1'!AC$49))</f>
        <v>2.8421709430404007E-14</v>
      </c>
      <c r="AG144" s="72">
        <f>IF(AG94="","",(AG108+AG111+AG124+AG143+AG126+AG130+AG128-'S1'!AD$49))</f>
        <v>0</v>
      </c>
      <c r="AH144" s="72">
        <f>IF(AH94="","",(AH108+AH111+AH124+AH143+AH126+AH130+AH128-'S1'!AE$49))</f>
        <v>-1.1368683772161603E-13</v>
      </c>
      <c r="AI144" s="72">
        <f>IF(AI94="","",(AI108+AI111+AI124+AI143+AI126+AI130+AI128-'S1'!AF$49))</f>
        <v>1.8189894035458565E-12</v>
      </c>
    </row>
    <row r="146" spans="1:35" x14ac:dyDescent="0.3">
      <c r="N146" s="300"/>
    </row>
    <row r="147" spans="1:35" ht="18" x14ac:dyDescent="0.3">
      <c r="B147" s="60" t="s">
        <v>102</v>
      </c>
      <c r="C147" s="60" t="s">
        <v>189</v>
      </c>
    </row>
    <row r="148" spans="1:35" x14ac:dyDescent="0.3">
      <c r="B148" s="61" t="s">
        <v>98</v>
      </c>
      <c r="C148" s="61"/>
      <c r="D148" s="64" t="s">
        <v>99</v>
      </c>
      <c r="E148" s="64"/>
      <c r="F148" s="61" t="s">
        <v>49</v>
      </c>
      <c r="G148" s="61"/>
      <c r="H148" s="62" t="s">
        <v>457</v>
      </c>
      <c r="I148" s="62" t="s">
        <v>458</v>
      </c>
      <c r="J148" s="62" t="s">
        <v>460</v>
      </c>
      <c r="K148" s="62" t="s">
        <v>459</v>
      </c>
      <c r="L148" s="62" t="s">
        <v>461</v>
      </c>
      <c r="M148" s="62" t="s">
        <v>463</v>
      </c>
      <c r="N148" s="62" t="s">
        <v>464</v>
      </c>
      <c r="O148" s="62" t="s">
        <v>465</v>
      </c>
      <c r="P148" s="62" t="s">
        <v>1</v>
      </c>
      <c r="Q148" s="62" t="s">
        <v>2</v>
      </c>
      <c r="R148" s="62" t="s">
        <v>707</v>
      </c>
      <c r="S148" s="62" t="s">
        <v>3</v>
      </c>
      <c r="T148" s="62" t="s">
        <v>467</v>
      </c>
      <c r="U148" s="62" t="s">
        <v>468</v>
      </c>
      <c r="V148" s="62" t="s">
        <v>469</v>
      </c>
      <c r="W148" s="62" t="s">
        <v>708</v>
      </c>
      <c r="X148" s="62" t="s">
        <v>470</v>
      </c>
      <c r="Y148" s="62" t="s">
        <v>5</v>
      </c>
      <c r="Z148" s="62" t="s">
        <v>6</v>
      </c>
      <c r="AA148" s="62" t="s">
        <v>7</v>
      </c>
      <c r="AB148" s="62" t="s">
        <v>8</v>
      </c>
      <c r="AC148" s="62" t="s">
        <v>709</v>
      </c>
      <c r="AD148" s="62" t="s">
        <v>9</v>
      </c>
      <c r="AE148" s="62" t="s">
        <v>10</v>
      </c>
      <c r="AF148" s="62" t="s">
        <v>710</v>
      </c>
      <c r="AG148" s="62" t="s">
        <v>11</v>
      </c>
      <c r="AH148" s="62" t="s">
        <v>711</v>
      </c>
      <c r="AI148" s="62" t="s">
        <v>13</v>
      </c>
    </row>
    <row r="149" spans="1:35" ht="16.2" thickBot="1" x14ac:dyDescent="0.35">
      <c r="B149" s="65" t="s">
        <v>30</v>
      </c>
      <c r="C149" s="65" t="s">
        <v>35</v>
      </c>
      <c r="D149" s="65" t="s">
        <v>30</v>
      </c>
      <c r="E149" s="65" t="s">
        <v>35</v>
      </c>
      <c r="F149" s="65"/>
      <c r="G149" s="65"/>
      <c r="H149" s="65" t="s">
        <v>477</v>
      </c>
      <c r="I149" s="65" t="s">
        <v>478</v>
      </c>
      <c r="J149" s="65" t="s">
        <v>480</v>
      </c>
      <c r="K149" s="65" t="s">
        <v>479</v>
      </c>
      <c r="L149" s="65" t="s">
        <v>481</v>
      </c>
      <c r="M149" s="65" t="s">
        <v>482</v>
      </c>
      <c r="N149" s="65" t="s">
        <v>483</v>
      </c>
      <c r="O149" s="65" t="s">
        <v>484</v>
      </c>
      <c r="P149" s="65" t="s">
        <v>90</v>
      </c>
      <c r="Q149" s="65" t="s">
        <v>91</v>
      </c>
      <c r="R149" s="65" t="s">
        <v>715</v>
      </c>
      <c r="S149" s="65" t="s">
        <v>716</v>
      </c>
      <c r="T149" s="65" t="s">
        <v>485</v>
      </c>
      <c r="U149" s="65" t="s">
        <v>486</v>
      </c>
      <c r="V149" s="65" t="s">
        <v>487</v>
      </c>
      <c r="W149" s="65" t="s">
        <v>717</v>
      </c>
      <c r="X149" s="65" t="s">
        <v>488</v>
      </c>
      <c r="Y149" s="65" t="s">
        <v>718</v>
      </c>
      <c r="Z149" s="65" t="s">
        <v>92</v>
      </c>
      <c r="AA149" s="65" t="s">
        <v>93</v>
      </c>
      <c r="AB149" s="65" t="s">
        <v>94</v>
      </c>
      <c r="AC149" s="65" t="s">
        <v>719</v>
      </c>
      <c r="AD149" s="65" t="s">
        <v>720</v>
      </c>
      <c r="AE149" s="65" t="s">
        <v>95</v>
      </c>
      <c r="AF149" s="65" t="s">
        <v>721</v>
      </c>
      <c r="AG149" s="65" t="s">
        <v>722</v>
      </c>
      <c r="AH149" s="65" t="s">
        <v>769</v>
      </c>
      <c r="AI149" s="65" t="s">
        <v>489</v>
      </c>
    </row>
    <row r="150" spans="1:35" x14ac:dyDescent="0.3">
      <c r="A150" s="49" t="s">
        <v>647</v>
      </c>
      <c r="B150" s="49" t="s">
        <v>110</v>
      </c>
      <c r="C150" s="49" t="str">
        <f>LEFT(Legend!$C$4)&amp;"-"&amp;Legend!B$45</f>
        <v>S-TH</v>
      </c>
      <c r="D150" s="49" t="str">
        <f>Legend!A$70&amp;", "&amp;Legend!A$71</f>
        <v>Biomass, Waste</v>
      </c>
      <c r="E150" s="49" t="str">
        <f>Legend!B$70&amp;", "&amp;Legend!B$71</f>
        <v>SRVBIO, SRVWAS</v>
      </c>
      <c r="F150" s="49" t="s">
        <v>15</v>
      </c>
      <c r="H150" s="84">
        <f t="shared" ref="H150:AI150" si="30">H107+H106</f>
        <v>52.4313</v>
      </c>
      <c r="I150" s="84">
        <f t="shared" si="30"/>
        <v>10.031400000000001</v>
      </c>
      <c r="J150" s="84">
        <f t="shared" si="30"/>
        <v>33.883800000000008</v>
      </c>
      <c r="K150" s="84">
        <f t="shared" si="30"/>
        <v>1.5816000000000003</v>
      </c>
      <c r="L150" s="84">
        <f t="shared" si="30"/>
        <v>0.23200000000000001</v>
      </c>
      <c r="M150" s="84">
        <f t="shared" si="30"/>
        <v>1.113</v>
      </c>
      <c r="N150" s="84">
        <f t="shared" si="30"/>
        <v>10.055999999999999</v>
      </c>
      <c r="O150" s="84">
        <f t="shared" si="30"/>
        <v>6.2245000000000008</v>
      </c>
      <c r="P150" s="84">
        <f t="shared" si="30"/>
        <v>1.0686000000000002</v>
      </c>
      <c r="Q150" s="84">
        <f t="shared" si="30"/>
        <v>0</v>
      </c>
      <c r="R150" s="84">
        <f t="shared" si="30"/>
        <v>0.19439999999999999</v>
      </c>
      <c r="S150" s="84">
        <f t="shared" si="30"/>
        <v>19.200349999999997</v>
      </c>
      <c r="T150" s="84">
        <f t="shared" si="30"/>
        <v>11.417</v>
      </c>
      <c r="U150" s="84">
        <f t="shared" si="30"/>
        <v>18.371000000000002</v>
      </c>
      <c r="V150" s="84">
        <f t="shared" si="30"/>
        <v>28.018999999999998</v>
      </c>
      <c r="W150" s="84">
        <f t="shared" si="30"/>
        <v>23.5</v>
      </c>
      <c r="X150" s="84">
        <f t="shared" si="30"/>
        <v>73.803799999999995</v>
      </c>
      <c r="Y150" s="84">
        <f t="shared" si="30"/>
        <v>28.423500000000001</v>
      </c>
      <c r="Z150" s="84">
        <f t="shared" si="30"/>
        <v>32.923200000000001</v>
      </c>
      <c r="AA150" s="84">
        <f t="shared" si="30"/>
        <v>72.605000000000004</v>
      </c>
      <c r="AB150" s="84">
        <f t="shared" si="30"/>
        <v>8.5500000000000007</v>
      </c>
      <c r="AC150" s="84">
        <f t="shared" si="30"/>
        <v>5.5E-2</v>
      </c>
      <c r="AD150" s="84">
        <f t="shared" si="30"/>
        <v>0</v>
      </c>
      <c r="AE150" s="84">
        <f t="shared" si="30"/>
        <v>0</v>
      </c>
      <c r="AF150" s="84">
        <f t="shared" si="30"/>
        <v>34.655400000000007</v>
      </c>
      <c r="AG150" s="84">
        <f t="shared" si="30"/>
        <v>47.978999999999999</v>
      </c>
      <c r="AH150" s="84">
        <f t="shared" si="30"/>
        <v>22.423500000000001</v>
      </c>
      <c r="AI150" s="84">
        <f t="shared" si="30"/>
        <v>80.576999999999998</v>
      </c>
    </row>
    <row r="151" spans="1:35" x14ac:dyDescent="0.3">
      <c r="A151" s="49" t="s">
        <v>647</v>
      </c>
      <c r="B151" s="49" t="s">
        <v>110</v>
      </c>
      <c r="C151" s="49" t="str">
        <f>LEFT(Legend!$C$4)&amp;"-"&amp;Legend!B$45</f>
        <v>S-TH</v>
      </c>
      <c r="D151" s="49" t="str">
        <f>Legend!A$61</f>
        <v>Coal</v>
      </c>
      <c r="E151" s="49" t="str">
        <f>Legend!B$61</f>
        <v>SRVCOA</v>
      </c>
      <c r="F151" s="49" t="s">
        <v>15</v>
      </c>
      <c r="H151" s="84">
        <f t="shared" ref="H151:Q152" si="31">SUMIFS(H$96:H$143,$C$96:$C$143,$C151,$E$96:$E$143,$E151)</f>
        <v>0</v>
      </c>
      <c r="I151" s="84">
        <f t="shared" si="31"/>
        <v>0</v>
      </c>
      <c r="J151" s="84">
        <f t="shared" si="31"/>
        <v>0</v>
      </c>
      <c r="K151" s="84">
        <f t="shared" si="31"/>
        <v>58.073400000000007</v>
      </c>
      <c r="L151" s="84">
        <f t="shared" si="31"/>
        <v>1.621</v>
      </c>
      <c r="M151" s="84">
        <f t="shared" si="31"/>
        <v>65.34</v>
      </c>
      <c r="N151" s="84">
        <f t="shared" si="31"/>
        <v>8.2805</v>
      </c>
      <c r="O151" s="84">
        <f t="shared" si="31"/>
        <v>0</v>
      </c>
      <c r="P151" s="84">
        <f t="shared" si="31"/>
        <v>0</v>
      </c>
      <c r="Q151" s="84">
        <f t="shared" si="31"/>
        <v>0</v>
      </c>
      <c r="R151" s="84">
        <f t="shared" ref="R151:AA152" si="32">SUMIFS(R$96:R$143,$C$96:$C$143,$C151,$E$96:$E$143,$E151)</f>
        <v>0</v>
      </c>
      <c r="S151" s="84">
        <f t="shared" si="32"/>
        <v>19.9192</v>
      </c>
      <c r="T151" s="84">
        <f t="shared" si="32"/>
        <v>21.295000000000002</v>
      </c>
      <c r="U151" s="84">
        <f t="shared" si="32"/>
        <v>0.65</v>
      </c>
      <c r="V151" s="84">
        <f t="shared" si="32"/>
        <v>28.512</v>
      </c>
      <c r="W151" s="84">
        <f t="shared" si="32"/>
        <v>1.5049999999999999</v>
      </c>
      <c r="X151" s="84">
        <f t="shared" si="32"/>
        <v>0.32400000000000001</v>
      </c>
      <c r="Y151" s="84">
        <f t="shared" si="32"/>
        <v>16.565999999999999</v>
      </c>
      <c r="Z151" s="84">
        <f t="shared" si="32"/>
        <v>0</v>
      </c>
      <c r="AA151" s="84">
        <f t="shared" si="32"/>
        <v>3.9639599999999997</v>
      </c>
      <c r="AB151" s="84">
        <f t="shared" ref="AB151:AI152" si="33">SUMIFS(AB$96:AB$143,$C$96:$C$143,$C151,$E$96:$E$143,$E151)</f>
        <v>0</v>
      </c>
      <c r="AC151" s="84">
        <f t="shared" si="33"/>
        <v>112.07899999999999</v>
      </c>
      <c r="AD151" s="84">
        <f t="shared" si="33"/>
        <v>0</v>
      </c>
      <c r="AE151" s="84">
        <f t="shared" si="33"/>
        <v>0</v>
      </c>
      <c r="AF151" s="84">
        <f t="shared" si="33"/>
        <v>0</v>
      </c>
      <c r="AG151" s="84">
        <f t="shared" si="33"/>
        <v>33.196000000000005</v>
      </c>
      <c r="AH151" s="84">
        <f t="shared" si="33"/>
        <v>0</v>
      </c>
      <c r="AI151" s="84">
        <f t="shared" si="33"/>
        <v>15.938000000000001</v>
      </c>
    </row>
    <row r="152" spans="1:35" x14ac:dyDescent="0.3">
      <c r="A152" s="49" t="s">
        <v>647</v>
      </c>
      <c r="B152" s="49" t="s">
        <v>110</v>
      </c>
      <c r="C152" s="49" t="str">
        <f>LEFT(Legend!$C$4)&amp;"-"&amp;Legend!B$45</f>
        <v>S-TH</v>
      </c>
      <c r="D152" s="49" t="str">
        <f>Legend!A$63</f>
        <v>Electricity</v>
      </c>
      <c r="E152" s="49" t="str">
        <f>Legend!B$63</f>
        <v>SRVELC</v>
      </c>
      <c r="F152" s="49" t="s">
        <v>15</v>
      </c>
      <c r="H152" s="594">
        <f t="shared" si="31"/>
        <v>2.0577000000000001</v>
      </c>
      <c r="I152" s="84">
        <f t="shared" si="31"/>
        <v>11.371500000000001</v>
      </c>
      <c r="J152" s="84">
        <f t="shared" si="31"/>
        <v>2.6430000000000002</v>
      </c>
      <c r="K152" s="84">
        <f t="shared" si="31"/>
        <v>6.9276600000000004</v>
      </c>
      <c r="L152" s="84">
        <f t="shared" si="31"/>
        <v>40.735940000000006</v>
      </c>
      <c r="M152" s="84">
        <f t="shared" si="31"/>
        <v>19.959200000000003</v>
      </c>
      <c r="N152" s="84">
        <f t="shared" si="31"/>
        <v>42.784649999999999</v>
      </c>
      <c r="O152" s="84">
        <f t="shared" si="31"/>
        <v>9.8846999999999987</v>
      </c>
      <c r="P152" s="84">
        <f t="shared" si="31"/>
        <v>20.310040000000001</v>
      </c>
      <c r="Q152" s="84">
        <f t="shared" si="31"/>
        <v>108.9692</v>
      </c>
      <c r="R152" s="84">
        <f t="shared" si="32"/>
        <v>1.76688</v>
      </c>
      <c r="S152" s="84">
        <f t="shared" si="32"/>
        <v>4.3182799999999997</v>
      </c>
      <c r="T152" s="84">
        <f t="shared" si="32"/>
        <v>31.314400000000003</v>
      </c>
      <c r="U152" s="84">
        <f t="shared" si="32"/>
        <v>101.70657</v>
      </c>
      <c r="V152" s="84">
        <f t="shared" si="32"/>
        <v>84.071000000000012</v>
      </c>
      <c r="W152" s="84">
        <f t="shared" si="32"/>
        <v>255.58049999999997</v>
      </c>
      <c r="X152" s="84">
        <f t="shared" si="32"/>
        <v>205.39952999999997</v>
      </c>
      <c r="Y152" s="84">
        <f t="shared" si="32"/>
        <v>35.517419999999994</v>
      </c>
      <c r="Z152" s="84">
        <f t="shared" si="32"/>
        <v>11.21937</v>
      </c>
      <c r="AA152" s="84">
        <f t="shared" si="32"/>
        <v>56.984200000000001</v>
      </c>
      <c r="AB152" s="84">
        <f t="shared" si="33"/>
        <v>16.648479999999999</v>
      </c>
      <c r="AC152" s="84">
        <f t="shared" si="33"/>
        <v>36.903300000000002</v>
      </c>
      <c r="AD152" s="84">
        <f t="shared" si="33"/>
        <v>79.873199999999997</v>
      </c>
      <c r="AE152" s="84">
        <f t="shared" si="33"/>
        <v>10.337900000000001</v>
      </c>
      <c r="AF152" s="84">
        <f t="shared" si="33"/>
        <v>1.59714</v>
      </c>
      <c r="AG152" s="84">
        <f t="shared" si="33"/>
        <v>110.0656</v>
      </c>
      <c r="AH152" s="84">
        <f t="shared" si="33"/>
        <v>35.340119999999999</v>
      </c>
      <c r="AI152" s="84">
        <f t="shared" si="33"/>
        <v>456.20005409322641</v>
      </c>
    </row>
    <row r="153" spans="1:35" x14ac:dyDescent="0.3">
      <c r="A153" s="49" t="s">
        <v>647</v>
      </c>
      <c r="B153" s="49" t="s">
        <v>110</v>
      </c>
      <c r="C153" s="49" t="str">
        <f>LEFT(Legend!$C$4)&amp;"-"&amp;Legend!B$45</f>
        <v>S-TH</v>
      </c>
      <c r="D153" s="49" t="str">
        <f>Legend!A$68&amp;", "&amp;Legend!A$60</f>
        <v>Natural gas, Biogas</v>
      </c>
      <c r="E153" s="49" t="str">
        <f>Legend!B$68&amp;", "&amp;Legend!B$60</f>
        <v>SRVGAS, SRVBGS</v>
      </c>
      <c r="F153" s="49" t="s">
        <v>15</v>
      </c>
      <c r="H153" s="84">
        <f t="shared" ref="H153:AI153" si="34">H96+H104</f>
        <v>0</v>
      </c>
      <c r="I153" s="84">
        <f t="shared" si="34"/>
        <v>2.4762000000000004</v>
      </c>
      <c r="J153" s="84">
        <f t="shared" si="34"/>
        <v>0</v>
      </c>
      <c r="K153" s="84">
        <f t="shared" si="34"/>
        <v>0.3645000000000001</v>
      </c>
      <c r="L153" s="84">
        <f t="shared" si="34"/>
        <v>55.511100000000006</v>
      </c>
      <c r="M153" s="84">
        <f t="shared" si="34"/>
        <v>295.88959999999997</v>
      </c>
      <c r="N153" s="84">
        <f t="shared" si="34"/>
        <v>2.3318400000000001</v>
      </c>
      <c r="O153" s="84">
        <f t="shared" si="34"/>
        <v>3.8304000000000005</v>
      </c>
      <c r="P153" s="84">
        <f t="shared" si="34"/>
        <v>1.7472000000000003</v>
      </c>
      <c r="Q153" s="84">
        <f t="shared" si="34"/>
        <v>503.70830000000001</v>
      </c>
      <c r="R153" s="84">
        <f t="shared" si="34"/>
        <v>1.9635000000000002</v>
      </c>
      <c r="S153" s="84">
        <f t="shared" si="34"/>
        <v>0</v>
      </c>
      <c r="T153" s="84">
        <f t="shared" si="34"/>
        <v>38.901600000000002</v>
      </c>
      <c r="U153" s="84">
        <f t="shared" si="34"/>
        <v>235.81608000000003</v>
      </c>
      <c r="V153" s="84">
        <f t="shared" si="34"/>
        <v>182.55839999999998</v>
      </c>
      <c r="W153" s="84">
        <f t="shared" si="34"/>
        <v>518.33841000000007</v>
      </c>
      <c r="X153" s="84">
        <f t="shared" si="34"/>
        <v>522.06218999999999</v>
      </c>
      <c r="Y153" s="84">
        <f t="shared" si="34"/>
        <v>4.7745600000000001</v>
      </c>
      <c r="Z153" s="84">
        <f t="shared" si="34"/>
        <v>29.188499999999998</v>
      </c>
      <c r="AA153" s="84">
        <f t="shared" si="34"/>
        <v>195.87366</v>
      </c>
      <c r="AB153" s="84">
        <f t="shared" si="34"/>
        <v>23.582400000000003</v>
      </c>
      <c r="AC153" s="84">
        <f t="shared" si="34"/>
        <v>31.753800000000002</v>
      </c>
      <c r="AD153" s="84">
        <f t="shared" si="34"/>
        <v>108.16040000000001</v>
      </c>
      <c r="AE153" s="84">
        <f t="shared" si="34"/>
        <v>2.9598000000000004</v>
      </c>
      <c r="AF153" s="84">
        <f t="shared" si="34"/>
        <v>0</v>
      </c>
      <c r="AG153" s="84">
        <f t="shared" si="34"/>
        <v>188.85999999999999</v>
      </c>
      <c r="AH153" s="84">
        <f t="shared" si="34"/>
        <v>117.84779999999998</v>
      </c>
      <c r="AI153" s="84">
        <f t="shared" si="34"/>
        <v>2875.4422370127504</v>
      </c>
    </row>
    <row r="154" spans="1:35" x14ac:dyDescent="0.3">
      <c r="A154" s="49" t="s">
        <v>647</v>
      </c>
      <c r="B154" s="49" t="s">
        <v>110</v>
      </c>
      <c r="C154" s="49" t="str">
        <f>LEFT(Legend!$C$4)&amp;"-"&amp;Legend!B$45</f>
        <v>S-TH</v>
      </c>
      <c r="D154" s="49" t="str">
        <f>Legend!A$64</f>
        <v>Geothermal</v>
      </c>
      <c r="E154" s="49" t="str">
        <f>Legend!B$64</f>
        <v>SRVGEO</v>
      </c>
      <c r="F154" s="49" t="s">
        <v>15</v>
      </c>
      <c r="H154" s="84">
        <f t="shared" ref="H154:Q156" si="35">SUMIFS(H$96:H$143,$C$96:$C$143,$C154,$E$96:$E$143,$E154)</f>
        <v>0</v>
      </c>
      <c r="I154" s="84">
        <f t="shared" si="35"/>
        <v>0</v>
      </c>
      <c r="J154" s="84">
        <f t="shared" si="35"/>
        <v>0</v>
      </c>
      <c r="K154" s="84">
        <f t="shared" si="35"/>
        <v>0</v>
      </c>
      <c r="L154" s="84">
        <f t="shared" si="35"/>
        <v>2.3780000000000001</v>
      </c>
      <c r="M154" s="84">
        <f t="shared" si="35"/>
        <v>0.372</v>
      </c>
      <c r="N154" s="84">
        <f t="shared" si="35"/>
        <v>0</v>
      </c>
      <c r="O154" s="84">
        <f t="shared" si="35"/>
        <v>0</v>
      </c>
      <c r="P154" s="84">
        <f t="shared" si="35"/>
        <v>0</v>
      </c>
      <c r="Q154" s="84">
        <f t="shared" si="35"/>
        <v>0</v>
      </c>
      <c r="R154" s="84">
        <f t="shared" ref="R154:AA156" si="36">SUMIFS(R$96:R$143,$C$96:$C$143,$C154,$E$96:$E$143,$E154)</f>
        <v>0</v>
      </c>
      <c r="S154" s="84">
        <f t="shared" si="36"/>
        <v>0</v>
      </c>
      <c r="T154" s="84">
        <f t="shared" si="36"/>
        <v>8.7999999999999995E-2</v>
      </c>
      <c r="U154" s="84">
        <f t="shared" si="36"/>
        <v>0.27800000000000002</v>
      </c>
      <c r="V154" s="84">
        <f t="shared" si="36"/>
        <v>4.3099999999999996</v>
      </c>
      <c r="W154" s="84">
        <f t="shared" si="36"/>
        <v>4.3920000000000003</v>
      </c>
      <c r="X154" s="84">
        <f t="shared" si="36"/>
        <v>2.806</v>
      </c>
      <c r="Y154" s="84">
        <f t="shared" si="36"/>
        <v>0</v>
      </c>
      <c r="Z154" s="84">
        <f t="shared" si="36"/>
        <v>0</v>
      </c>
      <c r="AA154" s="84">
        <f t="shared" si="36"/>
        <v>2.101</v>
      </c>
      <c r="AB154" s="84">
        <f t="shared" ref="AB154:AI156" si="37">SUMIFS(AB$96:AB$143,$C$96:$C$143,$C154,$E$96:$E$143,$E154)</f>
        <v>0.10199999999999999</v>
      </c>
      <c r="AC154" s="84">
        <f t="shared" si="37"/>
        <v>0</v>
      </c>
      <c r="AD154" s="84">
        <f t="shared" si="37"/>
        <v>0</v>
      </c>
      <c r="AE154" s="84">
        <f t="shared" si="37"/>
        <v>0</v>
      </c>
      <c r="AF154" s="84">
        <f t="shared" si="37"/>
        <v>0</v>
      </c>
      <c r="AG154" s="84">
        <f t="shared" si="37"/>
        <v>0</v>
      </c>
      <c r="AH154" s="84">
        <f t="shared" si="37"/>
        <v>6.4790000000000001</v>
      </c>
      <c r="AI154" s="84">
        <f t="shared" si="37"/>
        <v>0</v>
      </c>
    </row>
    <row r="155" spans="1:35" x14ac:dyDescent="0.3">
      <c r="A155" s="49" t="s">
        <v>647</v>
      </c>
      <c r="B155" s="49" t="s">
        <v>110</v>
      </c>
      <c r="C155" s="49" t="str">
        <f>LEFT(Legend!$C$4)&amp;"-"&amp;Legend!B$45</f>
        <v>S-TH</v>
      </c>
      <c r="D155" s="49" t="str">
        <f>Legend!A$65</f>
        <v>Heat</v>
      </c>
      <c r="E155" s="49" t="str">
        <f>Legend!B$65</f>
        <v>SRVHET</v>
      </c>
      <c r="F155" s="49" t="s">
        <v>15</v>
      </c>
      <c r="H155" s="84">
        <f t="shared" si="35"/>
        <v>0</v>
      </c>
      <c r="I155" s="84">
        <f t="shared" si="35"/>
        <v>0</v>
      </c>
      <c r="J155" s="84">
        <f t="shared" si="35"/>
        <v>0</v>
      </c>
      <c r="K155" s="84">
        <f t="shared" si="35"/>
        <v>0</v>
      </c>
      <c r="L155" s="84">
        <f t="shared" si="35"/>
        <v>0</v>
      </c>
      <c r="M155" s="84">
        <f t="shared" si="35"/>
        <v>109.797</v>
      </c>
      <c r="N155" s="84">
        <f t="shared" si="35"/>
        <v>0.14099999999999999</v>
      </c>
      <c r="O155" s="84">
        <f t="shared" si="35"/>
        <v>0</v>
      </c>
      <c r="P155" s="84">
        <f t="shared" si="35"/>
        <v>0</v>
      </c>
      <c r="Q155" s="84">
        <f t="shared" si="35"/>
        <v>0.29199999999999998</v>
      </c>
      <c r="R155" s="84">
        <f t="shared" si="36"/>
        <v>0</v>
      </c>
      <c r="S155" s="84">
        <f t="shared" si="36"/>
        <v>0</v>
      </c>
      <c r="T155" s="84">
        <f t="shared" si="36"/>
        <v>61.746000000000002</v>
      </c>
      <c r="U155" s="84">
        <f t="shared" si="36"/>
        <v>46.021000000000001</v>
      </c>
      <c r="V155" s="84">
        <f t="shared" si="36"/>
        <v>106.482</v>
      </c>
      <c r="W155" s="84">
        <f t="shared" si="36"/>
        <v>46.923000000000002</v>
      </c>
      <c r="X155" s="84">
        <f t="shared" si="36"/>
        <v>230.5</v>
      </c>
      <c r="Y155" s="84">
        <f t="shared" si="36"/>
        <v>0</v>
      </c>
      <c r="Z155" s="84">
        <f t="shared" si="36"/>
        <v>0</v>
      </c>
      <c r="AA155" s="84">
        <f t="shared" si="36"/>
        <v>21.561</v>
      </c>
      <c r="AB155" s="84">
        <f t="shared" si="37"/>
        <v>2.8000000000000001E-2</v>
      </c>
      <c r="AC155" s="84">
        <f t="shared" si="37"/>
        <v>0</v>
      </c>
      <c r="AD155" s="84">
        <f t="shared" si="37"/>
        <v>0</v>
      </c>
      <c r="AE155" s="84">
        <f t="shared" si="37"/>
        <v>0</v>
      </c>
      <c r="AF155" s="84">
        <f t="shared" si="37"/>
        <v>0</v>
      </c>
      <c r="AG155" s="84">
        <f t="shared" si="37"/>
        <v>791.35</v>
      </c>
      <c r="AH155" s="84">
        <f t="shared" si="37"/>
        <v>13.342000000000001</v>
      </c>
      <c r="AI155" s="84">
        <f t="shared" si="37"/>
        <v>53.012</v>
      </c>
    </row>
    <row r="156" spans="1:35" x14ac:dyDescent="0.3">
      <c r="A156" s="49" t="s">
        <v>647</v>
      </c>
      <c r="B156" s="49" t="s">
        <v>110</v>
      </c>
      <c r="C156" s="49" t="str">
        <f>LEFT(Legend!$C$4)&amp;"-"&amp;Legend!B$45</f>
        <v>S-TH</v>
      </c>
      <c r="D156" s="49" t="str">
        <f>Legend!A$67</f>
        <v>LPG</v>
      </c>
      <c r="E156" s="49" t="str">
        <f>Legend!B$67</f>
        <v>SRVLPG</v>
      </c>
      <c r="F156" s="49" t="s">
        <v>15</v>
      </c>
      <c r="H156" s="84">
        <f t="shared" si="35"/>
        <v>1.7205000000000004</v>
      </c>
      <c r="I156" s="84">
        <f t="shared" si="35"/>
        <v>2.1606000000000005</v>
      </c>
      <c r="J156" s="84">
        <f t="shared" si="35"/>
        <v>2.2320000000000007</v>
      </c>
      <c r="K156" s="84">
        <f t="shared" si="35"/>
        <v>0.70290000000000008</v>
      </c>
      <c r="L156" s="84">
        <f t="shared" si="35"/>
        <v>1.3235999999999999</v>
      </c>
      <c r="M156" s="84">
        <f t="shared" si="35"/>
        <v>1.9740025800130492</v>
      </c>
      <c r="N156" s="84">
        <f t="shared" si="35"/>
        <v>14.757600000000002</v>
      </c>
      <c r="O156" s="84">
        <f t="shared" si="35"/>
        <v>9.8940000000000001</v>
      </c>
      <c r="P156" s="84">
        <f t="shared" si="35"/>
        <v>0</v>
      </c>
      <c r="Q156" s="84">
        <f t="shared" si="35"/>
        <v>11.302800000000003</v>
      </c>
      <c r="R156" s="84">
        <f t="shared" si="36"/>
        <v>0.90329999999999999</v>
      </c>
      <c r="S156" s="84">
        <f t="shared" si="36"/>
        <v>0</v>
      </c>
      <c r="T156" s="84">
        <f t="shared" si="36"/>
        <v>3.3326954700643445</v>
      </c>
      <c r="U156" s="84">
        <f t="shared" si="36"/>
        <v>8.8354999999999997</v>
      </c>
      <c r="V156" s="84">
        <f t="shared" si="36"/>
        <v>6.5911454270111323</v>
      </c>
      <c r="W156" s="84">
        <f t="shared" si="36"/>
        <v>23.742999999999999</v>
      </c>
      <c r="X156" s="84">
        <f t="shared" si="36"/>
        <v>9.0169999999999995</v>
      </c>
      <c r="Y156" s="84">
        <f t="shared" si="36"/>
        <v>17.397600000000001</v>
      </c>
      <c r="Z156" s="84">
        <f t="shared" si="36"/>
        <v>0</v>
      </c>
      <c r="AA156" s="84">
        <f t="shared" si="36"/>
        <v>36.875999999999998</v>
      </c>
      <c r="AB156" s="84">
        <f t="shared" si="37"/>
        <v>3.3892000000000007</v>
      </c>
      <c r="AC156" s="84">
        <f t="shared" si="37"/>
        <v>5.0950500000000005</v>
      </c>
      <c r="AD156" s="84">
        <f t="shared" si="37"/>
        <v>0.34080000000000005</v>
      </c>
      <c r="AE156" s="84">
        <f t="shared" si="37"/>
        <v>6.0479000000000003</v>
      </c>
      <c r="AF156" s="84">
        <f t="shared" si="37"/>
        <v>0</v>
      </c>
      <c r="AG156" s="84">
        <f t="shared" si="37"/>
        <v>0.91786015591579972</v>
      </c>
      <c r="AH156" s="84">
        <f t="shared" si="37"/>
        <v>41.201499999999996</v>
      </c>
      <c r="AI156" s="84">
        <f t="shared" si="37"/>
        <v>61.801037050140557</v>
      </c>
    </row>
    <row r="157" spans="1:35" x14ac:dyDescent="0.3">
      <c r="A157" s="49" t="s">
        <v>647</v>
      </c>
      <c r="B157" s="49" t="s">
        <v>110</v>
      </c>
      <c r="C157" s="49" t="str">
        <f>LEFT(Legend!$C$4)&amp;"-"&amp;Legend!B$45</f>
        <v>S-TH</v>
      </c>
      <c r="D157" s="49" t="str">
        <f>Legend!A$62&amp;", "&amp;Legend!A$66</f>
        <v>Oil, Liquid biofuels</v>
      </c>
      <c r="E157" s="49" t="str">
        <f>Legend!B$62&amp;", "&amp;Legend!B$66</f>
        <v>SRVOIL, SRVBLQ</v>
      </c>
      <c r="F157" s="49" t="s">
        <v>15</v>
      </c>
      <c r="H157" s="84">
        <f>H98+H102</f>
        <v>15.985000000000001</v>
      </c>
      <c r="I157" s="84">
        <f t="shared" ref="I157:AI157" si="38">I98+I102</f>
        <v>5.3950000000000005</v>
      </c>
      <c r="J157" s="84">
        <f t="shared" si="38"/>
        <v>0.93199999999999994</v>
      </c>
      <c r="K157" s="84">
        <f t="shared" si="38"/>
        <v>35.225000000000001</v>
      </c>
      <c r="L157" s="84">
        <f t="shared" si="38"/>
        <v>32.012999999999998</v>
      </c>
      <c r="M157" s="84">
        <f t="shared" si="38"/>
        <v>28.556999999999999</v>
      </c>
      <c r="N157" s="84">
        <f t="shared" si="38"/>
        <v>10.7464</v>
      </c>
      <c r="O157" s="84">
        <f t="shared" si="38"/>
        <v>2.0999999999999998E-2</v>
      </c>
      <c r="P157" s="84">
        <f t="shared" si="38"/>
        <v>1.2015</v>
      </c>
      <c r="Q157" s="84">
        <f t="shared" si="38"/>
        <v>22.044999999999998</v>
      </c>
      <c r="R157" s="84">
        <f t="shared" si="38"/>
        <v>9.2210000000000001</v>
      </c>
      <c r="S157" s="84">
        <f t="shared" si="38"/>
        <v>0</v>
      </c>
      <c r="T157" s="84">
        <f t="shared" si="38"/>
        <v>13.193999999999999</v>
      </c>
      <c r="U157" s="84">
        <f t="shared" si="38"/>
        <v>115.441</v>
      </c>
      <c r="V157" s="84">
        <f t="shared" si="38"/>
        <v>25.192</v>
      </c>
      <c r="W157" s="84">
        <f t="shared" si="38"/>
        <v>144.595</v>
      </c>
      <c r="X157" s="84">
        <f t="shared" si="38"/>
        <v>214.06399999999999</v>
      </c>
      <c r="Y157" s="84">
        <f t="shared" si="38"/>
        <v>80.073699999999988</v>
      </c>
      <c r="Z157" s="84">
        <f t="shared" si="38"/>
        <v>1.9055</v>
      </c>
      <c r="AA157" s="84">
        <f t="shared" si="38"/>
        <v>405.64299999999997</v>
      </c>
      <c r="AB157" s="84">
        <f t="shared" si="38"/>
        <v>23.97</v>
      </c>
      <c r="AC157" s="84">
        <f t="shared" si="38"/>
        <v>7.3659999999999997</v>
      </c>
      <c r="AD157" s="84">
        <f t="shared" si="38"/>
        <v>14.075599999999998</v>
      </c>
      <c r="AE157" s="84">
        <f t="shared" si="38"/>
        <v>0.55359999999999998</v>
      </c>
      <c r="AF157" s="84">
        <f t="shared" si="38"/>
        <v>4.5999999999999999E-2</v>
      </c>
      <c r="AG157" s="84">
        <f t="shared" si="38"/>
        <v>61.445</v>
      </c>
      <c r="AH157" s="84">
        <f t="shared" si="38"/>
        <v>25.519000000000002</v>
      </c>
      <c r="AI157" s="84">
        <f t="shared" si="38"/>
        <v>375.44750999999997</v>
      </c>
    </row>
    <row r="158" spans="1:35" x14ac:dyDescent="0.3">
      <c r="A158" s="49" t="s">
        <v>647</v>
      </c>
      <c r="B158" s="51" t="s">
        <v>110</v>
      </c>
      <c r="C158" s="51" t="str">
        <f>LEFT(Legend!$C$4)&amp;"-"&amp;Legend!B$45</f>
        <v>S-TH</v>
      </c>
      <c r="D158" s="51" t="str">
        <f>Legend!A$69</f>
        <v>Solar</v>
      </c>
      <c r="E158" s="51" t="str">
        <f>Legend!B$69</f>
        <v>SRVSOL</v>
      </c>
      <c r="F158" s="51" t="s">
        <v>15</v>
      </c>
      <c r="G158" s="51"/>
      <c r="H158" s="115">
        <f t="shared" ref="H158:AI158" si="39">SUMIFS(H$96:H$143,$C$96:$C$143,$C158,$E$96:$E$143,$E158)</f>
        <v>0</v>
      </c>
      <c r="I158" s="115">
        <f t="shared" si="39"/>
        <v>0.111</v>
      </c>
      <c r="J158" s="115">
        <f t="shared" si="39"/>
        <v>0</v>
      </c>
      <c r="K158" s="115">
        <f t="shared" si="39"/>
        <v>0</v>
      </c>
      <c r="L158" s="115">
        <f t="shared" si="39"/>
        <v>0.47099999999999997</v>
      </c>
      <c r="M158" s="115">
        <f t="shared" si="39"/>
        <v>0.30499999999999999</v>
      </c>
      <c r="N158" s="115">
        <f t="shared" si="39"/>
        <v>0.42599999999999999</v>
      </c>
      <c r="O158" s="115">
        <f t="shared" si="39"/>
        <v>0</v>
      </c>
      <c r="P158" s="115">
        <f t="shared" si="39"/>
        <v>0</v>
      </c>
      <c r="Q158" s="115">
        <f t="shared" si="39"/>
        <v>0</v>
      </c>
      <c r="R158" s="115">
        <f t="shared" si="39"/>
        <v>0</v>
      </c>
      <c r="S158" s="115">
        <f t="shared" si="39"/>
        <v>0</v>
      </c>
      <c r="T158" s="115">
        <f t="shared" si="39"/>
        <v>0.20200000000000001</v>
      </c>
      <c r="U158" s="115">
        <f t="shared" si="39"/>
        <v>1.117</v>
      </c>
      <c r="V158" s="115">
        <f t="shared" si="39"/>
        <v>1.284</v>
      </c>
      <c r="W158" s="115">
        <f t="shared" si="39"/>
        <v>7.0620000000000003</v>
      </c>
      <c r="X158" s="115">
        <f t="shared" si="39"/>
        <v>4.2770000000000001</v>
      </c>
      <c r="Y158" s="115">
        <f t="shared" si="39"/>
        <v>0</v>
      </c>
      <c r="Z158" s="115">
        <f t="shared" si="39"/>
        <v>0</v>
      </c>
      <c r="AA158" s="115">
        <f t="shared" si="39"/>
        <v>0.76600000000000001</v>
      </c>
      <c r="AB158" s="115">
        <f t="shared" si="39"/>
        <v>0.57399999999999995</v>
      </c>
      <c r="AC158" s="115">
        <f t="shared" si="39"/>
        <v>2.5819999999999999</v>
      </c>
      <c r="AD158" s="115">
        <f t="shared" si="39"/>
        <v>0</v>
      </c>
      <c r="AE158" s="115">
        <f t="shared" si="39"/>
        <v>5.1749999999999998</v>
      </c>
      <c r="AF158" s="115">
        <f t="shared" si="39"/>
        <v>0</v>
      </c>
      <c r="AG158" s="115">
        <f t="shared" si="39"/>
        <v>0</v>
      </c>
      <c r="AH158" s="115">
        <f t="shared" si="39"/>
        <v>0.92</v>
      </c>
      <c r="AI158" s="115">
        <f t="shared" si="39"/>
        <v>75.533000000000001</v>
      </c>
    </row>
    <row r="159" spans="1:35" x14ac:dyDescent="0.3">
      <c r="A159" s="49" t="s">
        <v>647</v>
      </c>
      <c r="B159" s="49" t="s">
        <v>111</v>
      </c>
      <c r="C159" s="49" t="str">
        <f>LEFT(Legend!$C$4)&amp;"-"&amp;Legend!B$46</f>
        <v>S-AC</v>
      </c>
      <c r="D159" s="49" t="str">
        <f>Legend!A$68&amp;", "&amp;Legend!A$60</f>
        <v>Natural gas, Biogas</v>
      </c>
      <c r="E159" s="49" t="str">
        <f>Legend!B$68&amp;", "&amp;Legend!B$60</f>
        <v>SRVGAS, SRVBGS</v>
      </c>
      <c r="F159" s="49" t="s">
        <v>15</v>
      </c>
      <c r="H159" s="84">
        <f>H109</f>
        <v>0</v>
      </c>
      <c r="I159" s="84">
        <f t="shared" ref="I159:AI159" si="40">I109</f>
        <v>0</v>
      </c>
      <c r="J159" s="84">
        <f t="shared" si="40"/>
        <v>0</v>
      </c>
      <c r="K159" s="84">
        <f t="shared" si="40"/>
        <v>0</v>
      </c>
      <c r="L159" s="84">
        <f t="shared" si="40"/>
        <v>0</v>
      </c>
      <c r="M159" s="84">
        <f t="shared" si="40"/>
        <v>3.6986200000000005</v>
      </c>
      <c r="N159" s="84">
        <f t="shared" si="40"/>
        <v>9.7159999999999996E-2</v>
      </c>
      <c r="O159" s="84">
        <f t="shared" si="40"/>
        <v>0.15936</v>
      </c>
      <c r="P159" s="84">
        <f t="shared" si="40"/>
        <v>0</v>
      </c>
      <c r="Q159" s="84">
        <f t="shared" si="40"/>
        <v>0</v>
      </c>
      <c r="R159" s="84">
        <f t="shared" si="40"/>
        <v>0</v>
      </c>
      <c r="S159" s="84">
        <f t="shared" si="40"/>
        <v>0</v>
      </c>
      <c r="T159" s="84">
        <f t="shared" si="40"/>
        <v>0.48575000000000002</v>
      </c>
      <c r="U159" s="84">
        <f t="shared" si="40"/>
        <v>1.4726400000000002</v>
      </c>
      <c r="V159" s="84">
        <f t="shared" si="40"/>
        <v>2.2496900000000002</v>
      </c>
      <c r="W159" s="84">
        <f t="shared" si="40"/>
        <v>3.2263549999999999</v>
      </c>
      <c r="X159" s="84">
        <f t="shared" si="40"/>
        <v>3.2146850000000002</v>
      </c>
      <c r="Y159" s="84">
        <f t="shared" si="40"/>
        <v>0.19893999999999998</v>
      </c>
      <c r="Z159" s="84">
        <f t="shared" si="40"/>
        <v>0</v>
      </c>
      <c r="AA159" s="84">
        <f t="shared" si="40"/>
        <v>23.043959999999998</v>
      </c>
      <c r="AB159" s="84">
        <f t="shared" si="40"/>
        <v>0</v>
      </c>
      <c r="AC159" s="84">
        <f t="shared" si="40"/>
        <v>1.58769</v>
      </c>
      <c r="AD159" s="84">
        <f t="shared" si="40"/>
        <v>5.4080200000000005</v>
      </c>
      <c r="AE159" s="84">
        <f t="shared" si="40"/>
        <v>0</v>
      </c>
      <c r="AF159" s="84">
        <f t="shared" si="40"/>
        <v>0</v>
      </c>
      <c r="AG159" s="84">
        <f t="shared" si="40"/>
        <v>2.3607499999999999</v>
      </c>
      <c r="AH159" s="84">
        <f t="shared" si="40"/>
        <v>8.3698499999999996</v>
      </c>
      <c r="AI159" s="84">
        <f t="shared" si="40"/>
        <v>21.398304698048463</v>
      </c>
    </row>
    <row r="160" spans="1:35" x14ac:dyDescent="0.3">
      <c r="A160" s="49" t="s">
        <v>647</v>
      </c>
      <c r="B160" s="51" t="s">
        <v>111</v>
      </c>
      <c r="C160" s="51" t="str">
        <f>LEFT(Legend!$C$4)&amp;"-"&amp;Legend!B$46</f>
        <v>S-AC</v>
      </c>
      <c r="D160" s="51" t="s">
        <v>22</v>
      </c>
      <c r="E160" s="51" t="s">
        <v>564</v>
      </c>
      <c r="F160" s="51" t="s">
        <v>15</v>
      </c>
      <c r="G160" s="51"/>
      <c r="H160" s="115">
        <f t="shared" ref="H160:AI161" si="41">SUMIFS(H$96:H$143,$C$96:$C$143,$C160,$E$96:$E$143,$E160)</f>
        <v>1.02885</v>
      </c>
      <c r="I160" s="115">
        <f t="shared" si="41"/>
        <v>5.6857499999999996</v>
      </c>
      <c r="J160" s="115">
        <f t="shared" si="41"/>
        <v>1.3214999999999999</v>
      </c>
      <c r="K160" s="115">
        <f t="shared" si="41"/>
        <v>3.4638299999999997</v>
      </c>
      <c r="L160" s="115">
        <f t="shared" si="41"/>
        <v>17.458259999999999</v>
      </c>
      <c r="M160" s="115">
        <f t="shared" si="41"/>
        <v>0.99796000000000007</v>
      </c>
      <c r="N160" s="115">
        <f t="shared" si="41"/>
        <v>61.800049999999999</v>
      </c>
      <c r="O160" s="115">
        <f t="shared" si="41"/>
        <v>14.277900000000001</v>
      </c>
      <c r="P160" s="115">
        <f t="shared" si="41"/>
        <v>40.620080000000002</v>
      </c>
      <c r="Q160" s="115">
        <f t="shared" si="41"/>
        <v>70.829980000000006</v>
      </c>
      <c r="R160" s="115">
        <f t="shared" si="41"/>
        <v>3.53376</v>
      </c>
      <c r="S160" s="115">
        <f t="shared" si="41"/>
        <v>3.2387099999999998</v>
      </c>
      <c r="T160" s="115">
        <f t="shared" si="41"/>
        <v>1.56572</v>
      </c>
      <c r="U160" s="115">
        <f t="shared" si="41"/>
        <v>48.431700000000006</v>
      </c>
      <c r="V160" s="115">
        <f t="shared" si="41"/>
        <v>4.2035499999999999</v>
      </c>
      <c r="W160" s="115">
        <f t="shared" si="41"/>
        <v>121.705</v>
      </c>
      <c r="X160" s="115">
        <f t="shared" si="41"/>
        <v>97.809300000000007</v>
      </c>
      <c r="Y160" s="115">
        <f t="shared" si="41"/>
        <v>51.30294</v>
      </c>
      <c r="Z160" s="115">
        <f t="shared" si="41"/>
        <v>18.69895</v>
      </c>
      <c r="AA160" s="115">
        <f t="shared" si="41"/>
        <v>159.55576000000002</v>
      </c>
      <c r="AB160" s="115">
        <f t="shared" si="41"/>
        <v>33.296959999999999</v>
      </c>
      <c r="AC160" s="115">
        <f t="shared" si="41"/>
        <v>36.903300000000002</v>
      </c>
      <c r="AD160" s="115">
        <f t="shared" si="41"/>
        <v>79.873199999999997</v>
      </c>
      <c r="AE160" s="115">
        <f t="shared" si="41"/>
        <v>10.337900000000001</v>
      </c>
      <c r="AF160" s="115">
        <f t="shared" si="41"/>
        <v>0.79857</v>
      </c>
      <c r="AG160" s="115">
        <f t="shared" si="41"/>
        <v>5.5032800000000002</v>
      </c>
      <c r="AH160" s="115">
        <f t="shared" si="41"/>
        <v>88.35029999999999</v>
      </c>
      <c r="AI160" s="115">
        <f t="shared" si="41"/>
        <v>1017.6810854824595</v>
      </c>
    </row>
    <row r="161" spans="1:35" x14ac:dyDescent="0.3">
      <c r="A161" s="49" t="s">
        <v>647</v>
      </c>
      <c r="B161" s="49" t="s">
        <v>109</v>
      </c>
      <c r="C161" s="49" t="str">
        <f>LEFT(Legend!$C$4)&amp;"-"&amp;Legend!B$47</f>
        <v>S-CK</v>
      </c>
      <c r="D161" s="49" t="str">
        <f>Legend!A$70</f>
        <v>Biomass</v>
      </c>
      <c r="E161" s="49" t="str">
        <f>Legend!B$70</f>
        <v>SRVBIO</v>
      </c>
      <c r="F161" s="49" t="s">
        <v>15</v>
      </c>
      <c r="H161" s="84">
        <f t="shared" ref="H161:W163" si="42">SUMIFS(H$96:H$143,$C$96:$C$143,$C161,$E$96:$E$143,$E161)</f>
        <v>122.33969999999998</v>
      </c>
      <c r="I161" s="84">
        <f t="shared" si="42"/>
        <v>23.406600000000001</v>
      </c>
      <c r="J161" s="84">
        <f t="shared" si="42"/>
        <v>79.06219999999999</v>
      </c>
      <c r="K161" s="84">
        <f t="shared" si="42"/>
        <v>3.6903999999999999</v>
      </c>
      <c r="L161" s="84">
        <f t="shared" si="42"/>
        <v>0</v>
      </c>
      <c r="M161" s="84">
        <f t="shared" si="42"/>
        <v>0</v>
      </c>
      <c r="N161" s="84">
        <f t="shared" si="42"/>
        <v>10.055999999999999</v>
      </c>
      <c r="O161" s="84">
        <f t="shared" si="42"/>
        <v>6.2245000000000008</v>
      </c>
      <c r="P161" s="84">
        <f t="shared" si="42"/>
        <v>2.4933999999999998</v>
      </c>
      <c r="Q161" s="84">
        <f t="shared" si="42"/>
        <v>0</v>
      </c>
      <c r="R161" s="84">
        <f t="shared" si="42"/>
        <v>0.45359999999999989</v>
      </c>
      <c r="S161" s="84">
        <f t="shared" si="42"/>
        <v>10.338649999999999</v>
      </c>
      <c r="T161" s="84">
        <f t="shared" si="42"/>
        <v>0</v>
      </c>
      <c r="U161" s="84">
        <f t="shared" si="42"/>
        <v>3.391</v>
      </c>
      <c r="V161" s="84">
        <f t="shared" si="42"/>
        <v>0</v>
      </c>
      <c r="W161" s="84">
        <f t="shared" si="42"/>
        <v>4.8570000000000002</v>
      </c>
      <c r="X161" s="84">
        <f t="shared" si="41"/>
        <v>17.5672</v>
      </c>
      <c r="Y161" s="84">
        <f t="shared" si="41"/>
        <v>28.423500000000001</v>
      </c>
      <c r="Z161" s="84">
        <f t="shared" si="41"/>
        <v>76.820799999999991</v>
      </c>
      <c r="AA161" s="84">
        <f t="shared" si="41"/>
        <v>0</v>
      </c>
      <c r="AB161" s="84">
        <f t="shared" si="41"/>
        <v>19.95</v>
      </c>
      <c r="AC161" s="84">
        <f t="shared" si="41"/>
        <v>0</v>
      </c>
      <c r="AD161" s="84">
        <f t="shared" si="41"/>
        <v>0</v>
      </c>
      <c r="AE161" s="84">
        <f t="shared" si="41"/>
        <v>0</v>
      </c>
      <c r="AF161" s="84">
        <f t="shared" si="41"/>
        <v>80.8626</v>
      </c>
      <c r="AG161" s="84">
        <f t="shared" si="41"/>
        <v>0</v>
      </c>
      <c r="AH161" s="84">
        <f t="shared" si="41"/>
        <v>5.2254999999999994</v>
      </c>
      <c r="AI161" s="84">
        <f t="shared" si="41"/>
        <v>0</v>
      </c>
    </row>
    <row r="162" spans="1:35" x14ac:dyDescent="0.3">
      <c r="A162" s="49" t="s">
        <v>647</v>
      </c>
      <c r="B162" s="49" t="s">
        <v>109</v>
      </c>
      <c r="C162" s="49" t="str">
        <f>LEFT(Legend!$C$4)&amp;"-"&amp;Legend!B$47</f>
        <v>S-CK</v>
      </c>
      <c r="D162" s="49" t="str">
        <f>Legend!A$61</f>
        <v>Coal</v>
      </c>
      <c r="E162" s="49" t="str">
        <f>Legend!B$61</f>
        <v>SRVCOA</v>
      </c>
      <c r="F162" s="49" t="s">
        <v>15</v>
      </c>
      <c r="H162" s="84">
        <f t="shared" si="42"/>
        <v>0</v>
      </c>
      <c r="I162" s="84">
        <f t="shared" si="42"/>
        <v>0</v>
      </c>
      <c r="J162" s="84">
        <f t="shared" si="42"/>
        <v>0</v>
      </c>
      <c r="K162" s="84">
        <f t="shared" si="42"/>
        <v>38.715600000000002</v>
      </c>
      <c r="L162" s="84">
        <f t="shared" si="42"/>
        <v>0</v>
      </c>
      <c r="M162" s="84">
        <f t="shared" si="42"/>
        <v>0</v>
      </c>
      <c r="N162" s="84">
        <f t="shared" si="42"/>
        <v>8.2805</v>
      </c>
      <c r="O162" s="84">
        <f t="shared" si="42"/>
        <v>0</v>
      </c>
      <c r="P162" s="84">
        <f t="shared" si="42"/>
        <v>0</v>
      </c>
      <c r="Q162" s="84">
        <f t="shared" si="42"/>
        <v>0</v>
      </c>
      <c r="R162" s="84">
        <f t="shared" ref="R162:AA163" si="43">SUMIFS(R$96:R$143,$C$96:$C$143,$C162,$E$96:$E$143,$E162)</f>
        <v>0</v>
      </c>
      <c r="S162" s="84">
        <f t="shared" si="43"/>
        <v>8.5367999999999995</v>
      </c>
      <c r="T162" s="84">
        <f t="shared" si="43"/>
        <v>0</v>
      </c>
      <c r="U162" s="84">
        <f t="shared" si="43"/>
        <v>0</v>
      </c>
      <c r="V162" s="84">
        <f t="shared" si="43"/>
        <v>0</v>
      </c>
      <c r="W162" s="84">
        <f t="shared" si="43"/>
        <v>0</v>
      </c>
      <c r="X162" s="84">
        <f t="shared" si="43"/>
        <v>0</v>
      </c>
      <c r="Y162" s="84">
        <f t="shared" si="43"/>
        <v>16.565999999999999</v>
      </c>
      <c r="Z162" s="84">
        <f t="shared" si="43"/>
        <v>0</v>
      </c>
      <c r="AA162" s="84">
        <f t="shared" si="43"/>
        <v>1.18404</v>
      </c>
      <c r="AB162" s="84">
        <f t="shared" ref="AB162:AI163" si="44">SUMIFS(AB$96:AB$143,$C$96:$C$143,$C162,$E$96:$E$143,$E162)</f>
        <v>0</v>
      </c>
      <c r="AC162" s="84">
        <f t="shared" si="44"/>
        <v>0</v>
      </c>
      <c r="AD162" s="84">
        <f t="shared" si="44"/>
        <v>0</v>
      </c>
      <c r="AE162" s="84">
        <f t="shared" si="44"/>
        <v>0</v>
      </c>
      <c r="AF162" s="84">
        <f t="shared" si="44"/>
        <v>0</v>
      </c>
      <c r="AG162" s="84">
        <f t="shared" si="44"/>
        <v>0</v>
      </c>
      <c r="AH162" s="84">
        <f t="shared" si="44"/>
        <v>0</v>
      </c>
      <c r="AI162" s="84">
        <f t="shared" si="44"/>
        <v>0</v>
      </c>
    </row>
    <row r="163" spans="1:35" x14ac:dyDescent="0.3">
      <c r="A163" s="49" t="s">
        <v>647</v>
      </c>
      <c r="B163" s="49" t="s">
        <v>109</v>
      </c>
      <c r="C163" s="49" t="str">
        <f>LEFT(Legend!$C$4)&amp;"-"&amp;Legend!B$47</f>
        <v>S-CK</v>
      </c>
      <c r="D163" s="49" t="str">
        <f>Legend!A$63</f>
        <v>Electricity</v>
      </c>
      <c r="E163" s="49" t="str">
        <f>Legend!B$63</f>
        <v>SRVELC</v>
      </c>
      <c r="F163" s="49" t="s">
        <v>15</v>
      </c>
      <c r="H163" s="84">
        <f t="shared" si="42"/>
        <v>1.7147500000000002</v>
      </c>
      <c r="I163" s="84">
        <f t="shared" si="42"/>
        <v>9.4762500000000003</v>
      </c>
      <c r="J163" s="84">
        <f t="shared" si="42"/>
        <v>2.2025000000000001</v>
      </c>
      <c r="K163" s="84">
        <f t="shared" si="42"/>
        <v>5.7730500000000005</v>
      </c>
      <c r="L163" s="84">
        <f t="shared" si="42"/>
        <v>14.548550000000001</v>
      </c>
      <c r="M163" s="84">
        <f t="shared" si="42"/>
        <v>2.9938799999999999</v>
      </c>
      <c r="N163" s="84">
        <f t="shared" si="42"/>
        <v>4.7538499999999999</v>
      </c>
      <c r="O163" s="84">
        <f t="shared" si="42"/>
        <v>1.0983000000000001</v>
      </c>
      <c r="P163" s="84">
        <f t="shared" si="42"/>
        <v>10.15502</v>
      </c>
      <c r="Q163" s="84">
        <f t="shared" si="42"/>
        <v>21.793839999999999</v>
      </c>
      <c r="R163" s="84">
        <f t="shared" si="43"/>
        <v>0.88344</v>
      </c>
      <c r="S163" s="84">
        <f t="shared" si="43"/>
        <v>5.39785</v>
      </c>
      <c r="T163" s="84">
        <f t="shared" si="43"/>
        <v>4.6971600000000002</v>
      </c>
      <c r="U163" s="84">
        <f t="shared" si="43"/>
        <v>19.372679999999999</v>
      </c>
      <c r="V163" s="84">
        <f t="shared" si="43"/>
        <v>12.61065</v>
      </c>
      <c r="W163" s="84">
        <f t="shared" si="43"/>
        <v>48.682000000000002</v>
      </c>
      <c r="X163" s="84">
        <f t="shared" si="43"/>
        <v>39.123719999999999</v>
      </c>
      <c r="Y163" s="84">
        <f t="shared" si="43"/>
        <v>3.94638</v>
      </c>
      <c r="Z163" s="84">
        <f t="shared" si="43"/>
        <v>11.21937</v>
      </c>
      <c r="AA163" s="84">
        <f t="shared" si="43"/>
        <v>0</v>
      </c>
      <c r="AB163" s="84">
        <f t="shared" si="44"/>
        <v>8.3242399999999996</v>
      </c>
      <c r="AC163" s="84">
        <f t="shared" si="44"/>
        <v>11.07099</v>
      </c>
      <c r="AD163" s="84">
        <f t="shared" si="44"/>
        <v>23.961959999999998</v>
      </c>
      <c r="AE163" s="84">
        <f t="shared" si="44"/>
        <v>2.06758</v>
      </c>
      <c r="AF163" s="84">
        <f t="shared" si="44"/>
        <v>1.3309500000000001</v>
      </c>
      <c r="AG163" s="84">
        <f t="shared" si="44"/>
        <v>16.509839999999997</v>
      </c>
      <c r="AH163" s="84">
        <f t="shared" si="44"/>
        <v>5.8900199999999998</v>
      </c>
      <c r="AI163" s="84">
        <f t="shared" si="44"/>
        <v>50.646259347105783</v>
      </c>
    </row>
    <row r="164" spans="1:35" x14ac:dyDescent="0.3">
      <c r="A164" s="49" t="s">
        <v>647</v>
      </c>
      <c r="B164" s="49" t="s">
        <v>109</v>
      </c>
      <c r="C164" s="49" t="str">
        <f>LEFT(Legend!$C$4)&amp;"-"&amp;Legend!B$47</f>
        <v>S-CK</v>
      </c>
      <c r="D164" s="49" t="str">
        <f>Legend!A$68&amp;", "&amp;Legend!A$60</f>
        <v>Natural gas, Biogas</v>
      </c>
      <c r="E164" s="49" t="str">
        <f>Legend!B$68&amp;", "&amp;Legend!B$60</f>
        <v>SRVGAS, SRVBGS</v>
      </c>
      <c r="F164" s="49" t="s">
        <v>15</v>
      </c>
      <c r="H164" s="84">
        <f t="shared" ref="H164:AI164" si="45">H112+H120</f>
        <v>0</v>
      </c>
      <c r="I164" s="84">
        <f t="shared" si="45"/>
        <v>5.7777999999999992</v>
      </c>
      <c r="J164" s="84">
        <f t="shared" si="45"/>
        <v>0</v>
      </c>
      <c r="K164" s="84">
        <f t="shared" si="45"/>
        <v>0.85050000000000003</v>
      </c>
      <c r="L164" s="84">
        <f t="shared" si="45"/>
        <v>6.1679000000000004</v>
      </c>
      <c r="M164" s="84">
        <f>M112+M120</f>
        <v>70.273780000000002</v>
      </c>
      <c r="N164" s="84">
        <f t="shared" si="45"/>
        <v>2.4289999999999998</v>
      </c>
      <c r="O164" s="84">
        <f t="shared" si="45"/>
        <v>3.99024</v>
      </c>
      <c r="P164" s="84">
        <f t="shared" si="45"/>
        <v>4.0767999999999995</v>
      </c>
      <c r="Q164" s="84">
        <f t="shared" si="45"/>
        <v>59.259800000000006</v>
      </c>
      <c r="R164" s="84">
        <f t="shared" si="45"/>
        <v>4.5815000000000001</v>
      </c>
      <c r="S164" s="84">
        <f t="shared" si="45"/>
        <v>0</v>
      </c>
      <c r="T164" s="84">
        <f t="shared" si="45"/>
        <v>9.239650000000001</v>
      </c>
      <c r="U164" s="84">
        <f t="shared" si="45"/>
        <v>59.335280000000004</v>
      </c>
      <c r="V164" s="84">
        <f t="shared" si="45"/>
        <v>43.38991</v>
      </c>
      <c r="W164" s="84">
        <f t="shared" si="45"/>
        <v>130.433235</v>
      </c>
      <c r="X164" s="84">
        <f t="shared" si="45"/>
        <v>131.405125</v>
      </c>
      <c r="Y164" s="84">
        <f t="shared" si="45"/>
        <v>4.9734999999999996</v>
      </c>
      <c r="Z164" s="84">
        <f t="shared" si="45"/>
        <v>68.106499999999997</v>
      </c>
      <c r="AA164" s="84">
        <f t="shared" si="45"/>
        <v>165.14837999999997</v>
      </c>
      <c r="AB164" s="84">
        <f t="shared" si="45"/>
        <v>55.025599999999997</v>
      </c>
      <c r="AC164" s="84">
        <f t="shared" si="45"/>
        <v>125.42751000000001</v>
      </c>
      <c r="AD164" s="84">
        <f t="shared" si="45"/>
        <v>427.23358000000002</v>
      </c>
      <c r="AE164" s="84">
        <f t="shared" si="45"/>
        <v>6.9061999999999992</v>
      </c>
      <c r="AF164" s="84">
        <f t="shared" si="45"/>
        <v>0</v>
      </c>
      <c r="AG164" s="84">
        <f t="shared" si="45"/>
        <v>44.85425</v>
      </c>
      <c r="AH164" s="84">
        <f t="shared" si="45"/>
        <v>42.13635</v>
      </c>
      <c r="AI164" s="84">
        <f t="shared" si="45"/>
        <v>292.81441711010751</v>
      </c>
    </row>
    <row r="165" spans="1:35" x14ac:dyDescent="0.3">
      <c r="A165" s="49" t="s">
        <v>647</v>
      </c>
      <c r="B165" s="49" t="s">
        <v>109</v>
      </c>
      <c r="C165" s="49" t="str">
        <f>LEFT(Legend!$C$4)&amp;"-"&amp;Legend!B$47</f>
        <v>S-CK</v>
      </c>
      <c r="D165" s="49" t="str">
        <f>Legend!A$67</f>
        <v>LPG</v>
      </c>
      <c r="E165" s="49" t="str">
        <f>Legend!B$67</f>
        <v>SRVLPG</v>
      </c>
      <c r="F165" s="49" t="s">
        <v>15</v>
      </c>
      <c r="H165" s="84">
        <f t="shared" ref="H165:AI165" si="46">SUMIFS(H$96:H$143,$C$96:$C$143,$C165,$E$96:$E$143,$E165)</f>
        <v>4.0145</v>
      </c>
      <c r="I165" s="84">
        <f t="shared" si="46"/>
        <v>5.0413999999999994</v>
      </c>
      <c r="J165" s="84">
        <f t="shared" si="46"/>
        <v>5.2080000000000002</v>
      </c>
      <c r="K165" s="84">
        <f t="shared" si="46"/>
        <v>1.6400999999999999</v>
      </c>
      <c r="L165" s="84">
        <f t="shared" si="46"/>
        <v>0.88240000000000007</v>
      </c>
      <c r="M165" s="84">
        <f t="shared" si="46"/>
        <v>0.15299741998695046</v>
      </c>
      <c r="N165" s="84">
        <f t="shared" si="46"/>
        <v>34.434399999999997</v>
      </c>
      <c r="O165" s="84">
        <f t="shared" si="46"/>
        <v>23.085999999999995</v>
      </c>
      <c r="P165" s="84">
        <f t="shared" si="46"/>
        <v>0</v>
      </c>
      <c r="Q165" s="84">
        <f t="shared" si="46"/>
        <v>26.373200000000001</v>
      </c>
      <c r="R165" s="84">
        <f t="shared" si="46"/>
        <v>8.1296999999999997</v>
      </c>
      <c r="S165" s="84">
        <f t="shared" si="46"/>
        <v>0</v>
      </c>
      <c r="T165" s="84">
        <f t="shared" si="46"/>
        <v>0.25830452993565545</v>
      </c>
      <c r="U165" s="84">
        <f t="shared" si="46"/>
        <v>8.8354999999999997</v>
      </c>
      <c r="V165" s="84">
        <f t="shared" si="46"/>
        <v>0.51085457298886805</v>
      </c>
      <c r="W165" s="84">
        <f t="shared" si="46"/>
        <v>23.742999999999999</v>
      </c>
      <c r="X165" s="84">
        <f t="shared" si="46"/>
        <v>9.0169999999999995</v>
      </c>
      <c r="Y165" s="84">
        <f t="shared" si="46"/>
        <v>40.594399999999993</v>
      </c>
      <c r="Z165" s="84">
        <f t="shared" si="46"/>
        <v>0</v>
      </c>
      <c r="AA165" s="84">
        <f t="shared" si="46"/>
        <v>0</v>
      </c>
      <c r="AB165" s="84">
        <f t="shared" si="46"/>
        <v>30.502800000000004</v>
      </c>
      <c r="AC165" s="84">
        <f t="shared" si="46"/>
        <v>28.871949999999998</v>
      </c>
      <c r="AD165" s="84">
        <f t="shared" si="46"/>
        <v>1.9311999999999998</v>
      </c>
      <c r="AE165" s="84">
        <f t="shared" si="46"/>
        <v>54.431100000000001</v>
      </c>
      <c r="AF165" s="84">
        <f t="shared" si="46"/>
        <v>0</v>
      </c>
      <c r="AG165" s="84">
        <f t="shared" si="46"/>
        <v>7.1139844084200293E-2</v>
      </c>
      <c r="AH165" s="84">
        <f t="shared" si="46"/>
        <v>2.1684999999999999</v>
      </c>
      <c r="AI165" s="84">
        <f t="shared" si="46"/>
        <v>4.7899629498594347</v>
      </c>
    </row>
    <row r="166" spans="1:35" x14ac:dyDescent="0.3">
      <c r="A166" s="49" t="s">
        <v>647</v>
      </c>
      <c r="B166" s="49" t="s">
        <v>109</v>
      </c>
      <c r="C166" s="49" t="str">
        <f>LEFT(Legend!$C$4)&amp;"-"&amp;Legend!B$47</f>
        <v>S-CK</v>
      </c>
      <c r="D166" s="49" t="str">
        <f>Legend!A$62&amp;", "&amp;Legend!A$66</f>
        <v>Oil, Liquid biofuels</v>
      </c>
      <c r="E166" s="49" t="str">
        <f>Legend!B$62&amp;", "&amp;Legend!B$66</f>
        <v>SRVOIL, SRVBLQ</v>
      </c>
      <c r="F166" s="49" t="s">
        <v>15</v>
      </c>
      <c r="H166" s="84">
        <f>H118+H114</f>
        <v>0</v>
      </c>
      <c r="I166" s="84">
        <f t="shared" ref="I166:AI166" si="47">I118+I114</f>
        <v>0</v>
      </c>
      <c r="J166" s="84">
        <f t="shared" si="47"/>
        <v>0</v>
      </c>
      <c r="K166" s="84">
        <f t="shared" si="47"/>
        <v>0</v>
      </c>
      <c r="L166" s="84">
        <f t="shared" si="47"/>
        <v>0</v>
      </c>
      <c r="M166" s="84">
        <f t="shared" si="47"/>
        <v>0</v>
      </c>
      <c r="N166" s="84">
        <f t="shared" si="47"/>
        <v>4.6055999999999999</v>
      </c>
      <c r="O166" s="84">
        <f t="shared" si="47"/>
        <v>8.9999999999999993E-3</v>
      </c>
      <c r="P166" s="84">
        <f t="shared" si="47"/>
        <v>1.2015</v>
      </c>
      <c r="Q166" s="84">
        <f t="shared" si="47"/>
        <v>0</v>
      </c>
      <c r="R166" s="84">
        <f t="shared" si="47"/>
        <v>9.2210000000000001</v>
      </c>
      <c r="S166" s="84">
        <f t="shared" si="47"/>
        <v>0</v>
      </c>
      <c r="T166" s="84">
        <f t="shared" si="47"/>
        <v>0</v>
      </c>
      <c r="U166" s="84">
        <f t="shared" si="47"/>
        <v>0</v>
      </c>
      <c r="V166" s="84">
        <f t="shared" si="47"/>
        <v>0</v>
      </c>
      <c r="W166" s="84">
        <f t="shared" si="47"/>
        <v>0</v>
      </c>
      <c r="X166" s="84">
        <f t="shared" si="47"/>
        <v>0</v>
      </c>
      <c r="Y166" s="84">
        <f t="shared" si="47"/>
        <v>34.317299999999996</v>
      </c>
      <c r="Z166" s="84">
        <f t="shared" si="47"/>
        <v>1.9055</v>
      </c>
      <c r="AA166" s="84">
        <f t="shared" si="47"/>
        <v>0</v>
      </c>
      <c r="AB166" s="84">
        <f t="shared" si="47"/>
        <v>23.97</v>
      </c>
      <c r="AC166" s="84">
        <f t="shared" si="47"/>
        <v>11.048999999999999</v>
      </c>
      <c r="AD166" s="84">
        <f t="shared" si="47"/>
        <v>21.113399999999995</v>
      </c>
      <c r="AE166" s="84">
        <f t="shared" si="47"/>
        <v>0.83039999999999992</v>
      </c>
      <c r="AF166" s="84">
        <f t="shared" si="47"/>
        <v>0</v>
      </c>
      <c r="AG166" s="84">
        <f t="shared" si="47"/>
        <v>0</v>
      </c>
      <c r="AH166" s="84">
        <f t="shared" si="47"/>
        <v>0</v>
      </c>
      <c r="AI166" s="84">
        <f t="shared" si="47"/>
        <v>0</v>
      </c>
    </row>
    <row r="167" spans="1:35" x14ac:dyDescent="0.3">
      <c r="A167" s="49" t="s">
        <v>647</v>
      </c>
      <c r="B167" s="51" t="s">
        <v>109</v>
      </c>
      <c r="C167" s="51" t="str">
        <f>LEFT(Legend!$C$4)&amp;"-"&amp;Legend!B$47</f>
        <v>S-CK</v>
      </c>
      <c r="D167" s="51" t="str">
        <f>Legend!A$69</f>
        <v>Solar</v>
      </c>
      <c r="E167" s="51" t="str">
        <f>Legend!B$69</f>
        <v>SRVSOL</v>
      </c>
      <c r="F167" s="51" t="s">
        <v>15</v>
      </c>
      <c r="G167" s="51"/>
      <c r="H167" s="115">
        <f t="shared" ref="H167:Q176" si="48">SUMIFS(H$96:H$143,$C$96:$C$143,$C167,$E$96:$E$143,$E167)</f>
        <v>0</v>
      </c>
      <c r="I167" s="115">
        <f t="shared" si="48"/>
        <v>0</v>
      </c>
      <c r="J167" s="115">
        <f t="shared" si="48"/>
        <v>0</v>
      </c>
      <c r="K167" s="115">
        <f t="shared" si="48"/>
        <v>0</v>
      </c>
      <c r="L167" s="115">
        <f t="shared" si="48"/>
        <v>0</v>
      </c>
      <c r="M167" s="115">
        <f t="shared" si="48"/>
        <v>0</v>
      </c>
      <c r="N167" s="115">
        <f t="shared" si="48"/>
        <v>0</v>
      </c>
      <c r="O167" s="115">
        <f t="shared" si="48"/>
        <v>0</v>
      </c>
      <c r="P167" s="115">
        <f t="shared" si="48"/>
        <v>0</v>
      </c>
      <c r="Q167" s="115">
        <f t="shared" si="48"/>
        <v>0</v>
      </c>
      <c r="R167" s="115">
        <f t="shared" ref="R167:AA176" si="49">SUMIFS(R$96:R$143,$C$96:$C$143,$C167,$E$96:$E$143,$E167)</f>
        <v>0</v>
      </c>
      <c r="S167" s="115">
        <f t="shared" si="49"/>
        <v>0</v>
      </c>
      <c r="T167" s="115">
        <f t="shared" si="49"/>
        <v>0</v>
      </c>
      <c r="U167" s="115">
        <f t="shared" si="49"/>
        <v>0</v>
      </c>
      <c r="V167" s="115">
        <f t="shared" si="49"/>
        <v>0</v>
      </c>
      <c r="W167" s="115">
        <f t="shared" si="49"/>
        <v>0</v>
      </c>
      <c r="X167" s="115">
        <f t="shared" si="49"/>
        <v>0</v>
      </c>
      <c r="Y167" s="115">
        <f t="shared" si="49"/>
        <v>0</v>
      </c>
      <c r="Z167" s="115">
        <f t="shared" si="49"/>
        <v>0</v>
      </c>
      <c r="AA167" s="115">
        <f t="shared" si="49"/>
        <v>0</v>
      </c>
      <c r="AB167" s="115">
        <f t="shared" ref="AB167:AI176" si="50">SUMIFS(AB$96:AB$143,$C$96:$C$143,$C167,$E$96:$E$143,$E167)</f>
        <v>0</v>
      </c>
      <c r="AC167" s="115">
        <f t="shared" si="50"/>
        <v>0</v>
      </c>
      <c r="AD167" s="115">
        <f t="shared" si="50"/>
        <v>0</v>
      </c>
      <c r="AE167" s="115">
        <f t="shared" si="50"/>
        <v>0</v>
      </c>
      <c r="AF167" s="115">
        <f t="shared" si="50"/>
        <v>0</v>
      </c>
      <c r="AG167" s="115">
        <f t="shared" si="50"/>
        <v>0</v>
      </c>
      <c r="AH167" s="115">
        <f t="shared" si="50"/>
        <v>0</v>
      </c>
      <c r="AI167" s="115">
        <f t="shared" si="50"/>
        <v>0</v>
      </c>
    </row>
    <row r="168" spans="1:35" x14ac:dyDescent="0.3">
      <c r="A168" s="49" t="s">
        <v>647</v>
      </c>
      <c r="B168" s="68" t="s">
        <v>97</v>
      </c>
      <c r="C168" s="68" t="str">
        <f>LEFT(Legend!$C$4)&amp;"-"&amp;Legend!B$49</f>
        <v>S-LIG</v>
      </c>
      <c r="D168" s="68" t="s">
        <v>22</v>
      </c>
      <c r="E168" s="68" t="s">
        <v>564</v>
      </c>
      <c r="F168" s="68" t="s">
        <v>15</v>
      </c>
      <c r="G168" s="68"/>
      <c r="H168" s="113">
        <f t="shared" si="48"/>
        <v>7.8689342925659487</v>
      </c>
      <c r="I168" s="113">
        <f t="shared" si="48"/>
        <v>43.486215827338135</v>
      </c>
      <c r="J168" s="113">
        <f t="shared" si="48"/>
        <v>10.107203836930456</v>
      </c>
      <c r="K168" s="113">
        <f t="shared" si="48"/>
        <v>26.492346474820145</v>
      </c>
      <c r="L168" s="113">
        <f t="shared" si="48"/>
        <v>48.156513268156424</v>
      </c>
      <c r="M168" s="113">
        <f t="shared" si="48"/>
        <v>22.433582845434898</v>
      </c>
      <c r="N168" s="113">
        <f t="shared" si="48"/>
        <v>93.505903877459346</v>
      </c>
      <c r="O168" s="113">
        <f t="shared" si="48"/>
        <v>21.603023702601806</v>
      </c>
      <c r="P168" s="113">
        <f t="shared" si="48"/>
        <v>42.65108399999999</v>
      </c>
      <c r="Q168" s="113">
        <f t="shared" si="48"/>
        <v>116.35441786297679</v>
      </c>
      <c r="R168" s="113">
        <f t="shared" si="49"/>
        <v>3.7104479999999995</v>
      </c>
      <c r="S168" s="113">
        <f t="shared" si="49"/>
        <v>36.402195026523337</v>
      </c>
      <c r="T168" s="113">
        <f t="shared" si="49"/>
        <v>35.196510213590052</v>
      </c>
      <c r="U168" s="113">
        <f t="shared" si="49"/>
        <v>106.14995996210951</v>
      </c>
      <c r="V168" s="113">
        <f t="shared" si="49"/>
        <v>94.493453815711916</v>
      </c>
      <c r="W168" s="113">
        <f t="shared" si="49"/>
        <v>266.74638464453113</v>
      </c>
      <c r="X168" s="113">
        <f t="shared" si="49"/>
        <v>214.37309198153187</v>
      </c>
      <c r="Y168" s="113">
        <f t="shared" si="49"/>
        <v>77.623363998428232</v>
      </c>
      <c r="Z168" s="113">
        <f t="shared" si="49"/>
        <v>84.06838830166437</v>
      </c>
      <c r="AA168" s="113">
        <f t="shared" si="49"/>
        <v>256.19459128238231</v>
      </c>
      <c r="AB168" s="113">
        <f t="shared" si="50"/>
        <v>34.961807999999998</v>
      </c>
      <c r="AC168" s="113">
        <f t="shared" si="50"/>
        <v>74.660899639058073</v>
      </c>
      <c r="AD168" s="113">
        <f t="shared" si="50"/>
        <v>161.59543913553566</v>
      </c>
      <c r="AE168" s="113">
        <f t="shared" si="50"/>
        <v>7.8568040000000012</v>
      </c>
      <c r="AF168" s="113">
        <f t="shared" si="50"/>
        <v>6.1076880575539576</v>
      </c>
      <c r="AG168" s="113">
        <f t="shared" si="50"/>
        <v>123.71065754301273</v>
      </c>
      <c r="AH168" s="113">
        <f t="shared" si="50"/>
        <v>152.26500999635124</v>
      </c>
      <c r="AI168" s="113">
        <f t="shared" si="50"/>
        <v>1092.6825821838859</v>
      </c>
    </row>
    <row r="169" spans="1:35" x14ac:dyDescent="0.3">
      <c r="A169" s="49" t="s">
        <v>647</v>
      </c>
      <c r="B169" s="51" t="s">
        <v>576</v>
      </c>
      <c r="C169" s="51" t="str">
        <f>LEFT(Legend!$C$4)&amp;"-"&amp;Legend!B$48</f>
        <v>S-SLIG</v>
      </c>
      <c r="D169" s="51" t="s">
        <v>22</v>
      </c>
      <c r="E169" s="51" t="s">
        <v>564</v>
      </c>
      <c r="F169" s="51" t="s">
        <v>15</v>
      </c>
      <c r="G169" s="51"/>
      <c r="H169" s="115">
        <f t="shared" si="48"/>
        <v>7.9067657074340527</v>
      </c>
      <c r="I169" s="115">
        <f t="shared" si="48"/>
        <v>43.695284172661871</v>
      </c>
      <c r="J169" s="115">
        <f t="shared" si="48"/>
        <v>10.155796163069544</v>
      </c>
      <c r="K169" s="115">
        <f t="shared" si="48"/>
        <v>26.619713525179854</v>
      </c>
      <c r="L169" s="115">
        <f t="shared" si="48"/>
        <v>39.134786731843576</v>
      </c>
      <c r="M169" s="115">
        <f t="shared" si="48"/>
        <v>17.484817154565107</v>
      </c>
      <c r="N169" s="115">
        <f t="shared" si="48"/>
        <v>72.878846122540651</v>
      </c>
      <c r="O169" s="115">
        <f t="shared" si="48"/>
        <v>16.83747629739819</v>
      </c>
      <c r="P169" s="115">
        <f t="shared" si="48"/>
        <v>170.60433599999999</v>
      </c>
      <c r="Q169" s="115">
        <f t="shared" si="48"/>
        <v>90.687062137023219</v>
      </c>
      <c r="R169" s="115">
        <f t="shared" si="49"/>
        <v>14.841792</v>
      </c>
      <c r="S169" s="115">
        <f t="shared" si="49"/>
        <v>28.372004973476656</v>
      </c>
      <c r="T169" s="115">
        <f t="shared" si="49"/>
        <v>27.432289786409953</v>
      </c>
      <c r="U169" s="115">
        <f t="shared" si="49"/>
        <v>82.733670037890491</v>
      </c>
      <c r="V169" s="115">
        <f t="shared" si="49"/>
        <v>73.648546184288094</v>
      </c>
      <c r="W169" s="115">
        <f t="shared" si="49"/>
        <v>207.90311535546888</v>
      </c>
      <c r="X169" s="115">
        <f t="shared" si="49"/>
        <v>167.08317801846812</v>
      </c>
      <c r="Y169" s="115">
        <f t="shared" si="49"/>
        <v>60.499936001571747</v>
      </c>
      <c r="Z169" s="115">
        <f t="shared" si="49"/>
        <v>65.523211698335629</v>
      </c>
      <c r="AA169" s="115">
        <f t="shared" si="49"/>
        <v>199.67900871761771</v>
      </c>
      <c r="AB169" s="115">
        <f t="shared" si="50"/>
        <v>139.84723199999999</v>
      </c>
      <c r="AC169" s="115">
        <f t="shared" si="50"/>
        <v>58.190980360941928</v>
      </c>
      <c r="AD169" s="115">
        <f t="shared" si="50"/>
        <v>125.94808086446433</v>
      </c>
      <c r="AE169" s="115">
        <f t="shared" si="50"/>
        <v>31.427216000000005</v>
      </c>
      <c r="AF169" s="115">
        <f t="shared" si="50"/>
        <v>6.1370519424460435</v>
      </c>
      <c r="AG169" s="115">
        <f t="shared" si="50"/>
        <v>96.420542456987263</v>
      </c>
      <c r="AH169" s="115">
        <f t="shared" si="50"/>
        <v>118.67591000364874</v>
      </c>
      <c r="AI169" s="115">
        <f t="shared" si="50"/>
        <v>851.64083192137662</v>
      </c>
    </row>
    <row r="170" spans="1:35" x14ac:dyDescent="0.3">
      <c r="A170" s="49" t="s">
        <v>647</v>
      </c>
      <c r="B170" s="87" t="s">
        <v>132</v>
      </c>
      <c r="C170" s="87" t="str">
        <f>LEFT(Legend!$C$4)&amp;"-"&amp;Legend!B$50</f>
        <v>S-EAP</v>
      </c>
      <c r="D170" s="87" t="s">
        <v>22</v>
      </c>
      <c r="E170" s="87" t="s">
        <v>564</v>
      </c>
      <c r="F170" s="51" t="s">
        <v>15</v>
      </c>
      <c r="G170" s="51"/>
      <c r="H170" s="114">
        <f t="shared" si="48"/>
        <v>13.718000000000002</v>
      </c>
      <c r="I170" s="114">
        <f t="shared" si="48"/>
        <v>75.81</v>
      </c>
      <c r="J170" s="114">
        <f t="shared" si="48"/>
        <v>17.62</v>
      </c>
      <c r="K170" s="114">
        <f t="shared" si="48"/>
        <v>46.184400000000004</v>
      </c>
      <c r="L170" s="114">
        <f t="shared" si="48"/>
        <v>130.93695</v>
      </c>
      <c r="M170" s="114">
        <f t="shared" si="48"/>
        <v>35.926560000000002</v>
      </c>
      <c r="N170" s="114">
        <f t="shared" si="48"/>
        <v>199.66170000000002</v>
      </c>
      <c r="O170" s="114">
        <f t="shared" si="48"/>
        <v>46.128600000000006</v>
      </c>
      <c r="P170" s="114">
        <f t="shared" si="48"/>
        <v>223.41043999999999</v>
      </c>
      <c r="Q170" s="114">
        <f t="shared" si="48"/>
        <v>108.9692</v>
      </c>
      <c r="R170" s="114">
        <f t="shared" si="49"/>
        <v>19.435679999999998</v>
      </c>
      <c r="S170" s="114">
        <f t="shared" si="49"/>
        <v>30.227959999999999</v>
      </c>
      <c r="T170" s="114">
        <f t="shared" si="49"/>
        <v>56.365919999999996</v>
      </c>
      <c r="U170" s="114">
        <f t="shared" si="49"/>
        <v>125.92242</v>
      </c>
      <c r="V170" s="114">
        <f t="shared" si="49"/>
        <v>151.3278</v>
      </c>
      <c r="W170" s="114">
        <f t="shared" si="49"/>
        <v>316.43299999999999</v>
      </c>
      <c r="X170" s="114">
        <f t="shared" si="49"/>
        <v>254.30418</v>
      </c>
      <c r="Y170" s="114">
        <f t="shared" si="49"/>
        <v>165.74796000000001</v>
      </c>
      <c r="Z170" s="114">
        <f t="shared" si="49"/>
        <v>183.24970999999999</v>
      </c>
      <c r="AA170" s="114">
        <f t="shared" si="49"/>
        <v>387.49255999999997</v>
      </c>
      <c r="AB170" s="114">
        <f t="shared" si="50"/>
        <v>183.13327999999998</v>
      </c>
      <c r="AC170" s="114">
        <f t="shared" si="50"/>
        <v>151.30353000000002</v>
      </c>
      <c r="AD170" s="114">
        <f t="shared" si="50"/>
        <v>327.48012</v>
      </c>
      <c r="AE170" s="114">
        <f t="shared" si="50"/>
        <v>41.351600000000005</v>
      </c>
      <c r="AF170" s="114">
        <f t="shared" si="50"/>
        <v>10.647600000000001</v>
      </c>
      <c r="AG170" s="114">
        <f t="shared" si="50"/>
        <v>198.11807999999999</v>
      </c>
      <c r="AH170" s="114">
        <f t="shared" si="50"/>
        <v>188.48063999999999</v>
      </c>
      <c r="AI170" s="114">
        <f t="shared" si="50"/>
        <v>983.27207197212283</v>
      </c>
    </row>
    <row r="171" spans="1:35" x14ac:dyDescent="0.3">
      <c r="A171" s="49" t="s">
        <v>647</v>
      </c>
      <c r="B171" s="49" t="str">
        <f>Legend!A$51</f>
        <v>Other uses</v>
      </c>
      <c r="C171" s="49" t="str">
        <f>LEFT(Legend!$C$4)&amp;"-"&amp;Legend!B$51</f>
        <v>S-OTH</v>
      </c>
      <c r="D171" s="49" t="str">
        <f>Legend!A60</f>
        <v>Biogas</v>
      </c>
      <c r="E171" s="49" t="str">
        <f>Legend!B60</f>
        <v>SRVBGS</v>
      </c>
      <c r="F171" s="49" t="s">
        <v>15</v>
      </c>
      <c r="H171" s="84">
        <f t="shared" si="48"/>
        <v>0</v>
      </c>
      <c r="I171" s="84">
        <f t="shared" si="48"/>
        <v>0</v>
      </c>
      <c r="J171" s="84">
        <f t="shared" si="48"/>
        <v>0</v>
      </c>
      <c r="K171" s="84">
        <f t="shared" si="48"/>
        <v>0</v>
      </c>
      <c r="L171" s="84">
        <f t="shared" si="48"/>
        <v>0</v>
      </c>
      <c r="M171" s="84">
        <f t="shared" si="48"/>
        <v>0</v>
      </c>
      <c r="N171" s="84">
        <f t="shared" si="48"/>
        <v>0</v>
      </c>
      <c r="O171" s="84">
        <f t="shared" si="48"/>
        <v>0</v>
      </c>
      <c r="P171" s="84">
        <f t="shared" si="48"/>
        <v>0</v>
      </c>
      <c r="Q171" s="84">
        <f t="shared" si="48"/>
        <v>3.1900000000000005E-2</v>
      </c>
      <c r="R171" s="84">
        <f t="shared" si="49"/>
        <v>0</v>
      </c>
      <c r="S171" s="84">
        <f t="shared" si="49"/>
        <v>0</v>
      </c>
      <c r="T171" s="84">
        <f t="shared" si="49"/>
        <v>0</v>
      </c>
      <c r="U171" s="84">
        <f t="shared" si="49"/>
        <v>0</v>
      </c>
      <c r="V171" s="84">
        <f t="shared" si="49"/>
        <v>0</v>
      </c>
      <c r="W171" s="84">
        <f t="shared" si="49"/>
        <v>0</v>
      </c>
      <c r="X171" s="84">
        <f t="shared" si="49"/>
        <v>0</v>
      </c>
      <c r="Y171" s="84">
        <f t="shared" si="49"/>
        <v>0</v>
      </c>
      <c r="Z171" s="84">
        <f t="shared" si="49"/>
        <v>0</v>
      </c>
      <c r="AA171" s="84">
        <f t="shared" si="49"/>
        <v>0</v>
      </c>
      <c r="AB171" s="84">
        <f t="shared" si="50"/>
        <v>0</v>
      </c>
      <c r="AC171" s="84">
        <f t="shared" si="50"/>
        <v>0</v>
      </c>
      <c r="AD171" s="84">
        <f t="shared" si="50"/>
        <v>0</v>
      </c>
      <c r="AE171" s="84">
        <f t="shared" si="50"/>
        <v>0</v>
      </c>
      <c r="AF171" s="84">
        <f t="shared" si="50"/>
        <v>0</v>
      </c>
      <c r="AG171" s="84">
        <f t="shared" si="50"/>
        <v>0</v>
      </c>
      <c r="AH171" s="84">
        <f t="shared" si="50"/>
        <v>0</v>
      </c>
      <c r="AI171" s="84">
        <f t="shared" si="50"/>
        <v>0.18187661542209935</v>
      </c>
    </row>
    <row r="172" spans="1:35" x14ac:dyDescent="0.3">
      <c r="A172" s="49" t="s">
        <v>647</v>
      </c>
      <c r="B172" s="49" t="str">
        <f>Legend!A$51</f>
        <v>Other uses</v>
      </c>
      <c r="C172" s="49" t="str">
        <f>LEFT(Legend!$C$4)&amp;"-"&amp;Legend!B$51</f>
        <v>S-OTH</v>
      </c>
      <c r="D172" s="49" t="str">
        <f>Legend!A61</f>
        <v>Coal</v>
      </c>
      <c r="E172" s="49" t="str">
        <f>Legend!B61</f>
        <v>SRVCOA</v>
      </c>
      <c r="F172" s="49" t="s">
        <v>15</v>
      </c>
      <c r="H172" s="84">
        <f t="shared" si="48"/>
        <v>0</v>
      </c>
      <c r="I172" s="84">
        <f t="shared" si="48"/>
        <v>0</v>
      </c>
      <c r="J172" s="84">
        <f t="shared" si="48"/>
        <v>0</v>
      </c>
      <c r="K172" s="84">
        <f t="shared" si="48"/>
        <v>0</v>
      </c>
      <c r="L172" s="84">
        <f t="shared" si="48"/>
        <v>0</v>
      </c>
      <c r="M172" s="84">
        <f t="shared" si="48"/>
        <v>0</v>
      </c>
      <c r="N172" s="84">
        <f t="shared" si="48"/>
        <v>0</v>
      </c>
      <c r="O172" s="84">
        <f t="shared" si="48"/>
        <v>0</v>
      </c>
      <c r="P172" s="84">
        <f t="shared" si="48"/>
        <v>0</v>
      </c>
      <c r="Q172" s="84">
        <f t="shared" si="48"/>
        <v>0</v>
      </c>
      <c r="R172" s="84">
        <f t="shared" si="49"/>
        <v>0</v>
      </c>
      <c r="S172" s="84">
        <f t="shared" si="49"/>
        <v>0</v>
      </c>
      <c r="T172" s="84">
        <f t="shared" si="49"/>
        <v>0</v>
      </c>
      <c r="U172" s="84">
        <f t="shared" si="49"/>
        <v>0</v>
      </c>
      <c r="V172" s="84">
        <f t="shared" si="49"/>
        <v>0</v>
      </c>
      <c r="W172" s="84">
        <f t="shared" si="49"/>
        <v>0</v>
      </c>
      <c r="X172" s="84">
        <f t="shared" si="49"/>
        <v>0</v>
      </c>
      <c r="Y172" s="84">
        <f t="shared" si="49"/>
        <v>0</v>
      </c>
      <c r="Z172" s="84">
        <f t="shared" si="49"/>
        <v>0</v>
      </c>
      <c r="AA172" s="84">
        <f t="shared" si="49"/>
        <v>0</v>
      </c>
      <c r="AB172" s="84">
        <f t="shared" si="50"/>
        <v>0</v>
      </c>
      <c r="AC172" s="84">
        <f t="shared" si="50"/>
        <v>0</v>
      </c>
      <c r="AD172" s="84">
        <f t="shared" si="50"/>
        <v>0</v>
      </c>
      <c r="AE172" s="84">
        <f t="shared" si="50"/>
        <v>0</v>
      </c>
      <c r="AF172" s="84">
        <f t="shared" si="50"/>
        <v>0</v>
      </c>
      <c r="AG172" s="84">
        <f t="shared" si="50"/>
        <v>0</v>
      </c>
      <c r="AH172" s="84">
        <f t="shared" si="50"/>
        <v>0</v>
      </c>
      <c r="AI172" s="84">
        <f t="shared" si="50"/>
        <v>0</v>
      </c>
    </row>
    <row r="173" spans="1:35" x14ac:dyDescent="0.3">
      <c r="A173" s="49" t="s">
        <v>647</v>
      </c>
      <c r="B173" s="49" t="str">
        <f>Legend!A$51</f>
        <v>Other uses</v>
      </c>
      <c r="C173" s="49" t="str">
        <f>LEFT(Legend!$C$4)&amp;"-"&amp;Legend!B$51</f>
        <v>S-OTH</v>
      </c>
      <c r="D173" s="49" t="str">
        <f>Legend!A62</f>
        <v>Oil</v>
      </c>
      <c r="E173" s="49" t="str">
        <f>Legend!B62</f>
        <v>SRVOIL</v>
      </c>
      <c r="F173" s="49" t="s">
        <v>15</v>
      </c>
      <c r="H173" s="84">
        <f t="shared" si="48"/>
        <v>0</v>
      </c>
      <c r="I173" s="84">
        <f t="shared" si="48"/>
        <v>0</v>
      </c>
      <c r="J173" s="84">
        <f t="shared" si="48"/>
        <v>0</v>
      </c>
      <c r="K173" s="84">
        <f t="shared" si="48"/>
        <v>0</v>
      </c>
      <c r="L173" s="84">
        <f t="shared" si="48"/>
        <v>0</v>
      </c>
      <c r="M173" s="84">
        <f t="shared" si="48"/>
        <v>0</v>
      </c>
      <c r="N173" s="84">
        <f t="shared" si="48"/>
        <v>0</v>
      </c>
      <c r="O173" s="84">
        <f t="shared" si="48"/>
        <v>0</v>
      </c>
      <c r="P173" s="84">
        <f t="shared" si="48"/>
        <v>0</v>
      </c>
      <c r="Q173" s="84">
        <f t="shared" si="48"/>
        <v>0</v>
      </c>
      <c r="R173" s="84">
        <f t="shared" si="49"/>
        <v>0</v>
      </c>
      <c r="S173" s="84">
        <f t="shared" si="49"/>
        <v>0</v>
      </c>
      <c r="T173" s="84">
        <f t="shared" si="49"/>
        <v>0</v>
      </c>
      <c r="U173" s="84">
        <f t="shared" si="49"/>
        <v>0</v>
      </c>
      <c r="V173" s="84">
        <f t="shared" si="49"/>
        <v>0</v>
      </c>
      <c r="W173" s="84">
        <f t="shared" si="49"/>
        <v>0</v>
      </c>
      <c r="X173" s="84">
        <f t="shared" si="49"/>
        <v>0</v>
      </c>
      <c r="Y173" s="84">
        <f t="shared" si="49"/>
        <v>0</v>
      </c>
      <c r="Z173" s="84">
        <f t="shared" si="49"/>
        <v>0</v>
      </c>
      <c r="AA173" s="84">
        <f t="shared" si="49"/>
        <v>0</v>
      </c>
      <c r="AB173" s="84">
        <f t="shared" si="50"/>
        <v>0</v>
      </c>
      <c r="AC173" s="84">
        <f t="shared" si="50"/>
        <v>0</v>
      </c>
      <c r="AD173" s="84">
        <f t="shared" si="50"/>
        <v>0</v>
      </c>
      <c r="AE173" s="84">
        <f t="shared" si="50"/>
        <v>0</v>
      </c>
      <c r="AF173" s="84">
        <f t="shared" si="50"/>
        <v>0</v>
      </c>
      <c r="AG173" s="84">
        <f t="shared" si="50"/>
        <v>0</v>
      </c>
      <c r="AH173" s="84">
        <f t="shared" si="50"/>
        <v>0</v>
      </c>
      <c r="AI173" s="84">
        <f t="shared" si="50"/>
        <v>27.796999999999997</v>
      </c>
    </row>
    <row r="174" spans="1:35" x14ac:dyDescent="0.3">
      <c r="A174" s="49" t="s">
        <v>647</v>
      </c>
      <c r="B174" s="49" t="str">
        <f>Legend!A$51</f>
        <v>Other uses</v>
      </c>
      <c r="C174" s="49" t="str">
        <f>LEFT(Legend!$C$4)&amp;"-"&amp;Legend!B$51</f>
        <v>S-OTH</v>
      </c>
      <c r="D174" s="49" t="str">
        <f>Legend!A63</f>
        <v>Electricity</v>
      </c>
      <c r="E174" s="49" t="str">
        <f>Legend!B63</f>
        <v>SRVELC</v>
      </c>
      <c r="F174" s="49" t="s">
        <v>15</v>
      </c>
      <c r="H174" s="84">
        <f t="shared" si="48"/>
        <v>0</v>
      </c>
      <c r="I174" s="84">
        <f t="shared" si="48"/>
        <v>0</v>
      </c>
      <c r="J174" s="84">
        <f t="shared" si="48"/>
        <v>0</v>
      </c>
      <c r="K174" s="84">
        <f t="shared" si="48"/>
        <v>0</v>
      </c>
      <c r="L174" s="84">
        <f t="shared" si="48"/>
        <v>0</v>
      </c>
      <c r="M174" s="84">
        <f t="shared" si="48"/>
        <v>0</v>
      </c>
      <c r="N174" s="84">
        <f t="shared" si="48"/>
        <v>0</v>
      </c>
      <c r="O174" s="84">
        <f t="shared" si="48"/>
        <v>0</v>
      </c>
      <c r="P174" s="84">
        <f t="shared" si="48"/>
        <v>0</v>
      </c>
      <c r="Q174" s="84">
        <f t="shared" si="48"/>
        <v>27.2423</v>
      </c>
      <c r="R174" s="84">
        <f t="shared" si="49"/>
        <v>0</v>
      </c>
      <c r="S174" s="84">
        <f t="shared" si="49"/>
        <v>0</v>
      </c>
      <c r="T174" s="84">
        <f t="shared" si="49"/>
        <v>0</v>
      </c>
      <c r="U174" s="84">
        <f t="shared" si="49"/>
        <v>0</v>
      </c>
      <c r="V174" s="84">
        <f t="shared" si="49"/>
        <v>0</v>
      </c>
      <c r="W174" s="84">
        <f t="shared" si="49"/>
        <v>0</v>
      </c>
      <c r="X174" s="84">
        <f t="shared" si="49"/>
        <v>0</v>
      </c>
      <c r="Y174" s="84">
        <f t="shared" si="49"/>
        <v>0</v>
      </c>
      <c r="Z174" s="84">
        <f t="shared" si="49"/>
        <v>0</v>
      </c>
      <c r="AA174" s="84">
        <f t="shared" si="49"/>
        <v>79.77788000000001</v>
      </c>
      <c r="AB174" s="84">
        <f t="shared" si="50"/>
        <v>0</v>
      </c>
      <c r="AC174" s="84">
        <f t="shared" si="50"/>
        <v>0</v>
      </c>
      <c r="AD174" s="84">
        <f t="shared" si="50"/>
        <v>0</v>
      </c>
      <c r="AE174" s="84">
        <f t="shared" si="50"/>
        <v>0</v>
      </c>
      <c r="AF174" s="84">
        <f t="shared" si="50"/>
        <v>0</v>
      </c>
      <c r="AG174" s="84">
        <f t="shared" si="50"/>
        <v>0</v>
      </c>
      <c r="AH174" s="84">
        <f t="shared" si="50"/>
        <v>0</v>
      </c>
      <c r="AI174" s="84">
        <f t="shared" si="50"/>
        <v>458.35111499982332</v>
      </c>
    </row>
    <row r="175" spans="1:35" x14ac:dyDescent="0.3">
      <c r="A175" s="49" t="s">
        <v>647</v>
      </c>
      <c r="B175" s="49" t="str">
        <f>Legend!A$51</f>
        <v>Other uses</v>
      </c>
      <c r="C175" s="49" t="str">
        <f>LEFT(Legend!$C$4)&amp;"-"&amp;Legend!B$51</f>
        <v>S-OTH</v>
      </c>
      <c r="D175" s="49" t="str">
        <f>Legend!A64</f>
        <v>Geothermal</v>
      </c>
      <c r="E175" s="49" t="str">
        <f>Legend!B64</f>
        <v>SRVGEO</v>
      </c>
      <c r="F175" s="49" t="s">
        <v>15</v>
      </c>
      <c r="H175" s="84">
        <f t="shared" si="48"/>
        <v>0</v>
      </c>
      <c r="I175" s="84">
        <f t="shared" si="48"/>
        <v>0</v>
      </c>
      <c r="J175" s="84">
        <f t="shared" si="48"/>
        <v>0</v>
      </c>
      <c r="K175" s="84">
        <f t="shared" si="48"/>
        <v>0</v>
      </c>
      <c r="L175" s="84">
        <f t="shared" si="48"/>
        <v>0</v>
      </c>
      <c r="M175" s="84">
        <f t="shared" si="48"/>
        <v>0</v>
      </c>
      <c r="N175" s="84">
        <f t="shared" si="48"/>
        <v>0</v>
      </c>
      <c r="O175" s="84">
        <f t="shared" si="48"/>
        <v>0</v>
      </c>
      <c r="P175" s="84">
        <f t="shared" si="48"/>
        <v>0</v>
      </c>
      <c r="Q175" s="84">
        <f t="shared" si="48"/>
        <v>0</v>
      </c>
      <c r="R175" s="84">
        <f t="shared" si="49"/>
        <v>0</v>
      </c>
      <c r="S175" s="84">
        <f t="shared" si="49"/>
        <v>0</v>
      </c>
      <c r="T175" s="84">
        <f t="shared" si="49"/>
        <v>0</v>
      </c>
      <c r="U175" s="84">
        <f t="shared" si="49"/>
        <v>0</v>
      </c>
      <c r="V175" s="84">
        <f t="shared" si="49"/>
        <v>0</v>
      </c>
      <c r="W175" s="84">
        <f t="shared" si="49"/>
        <v>0</v>
      </c>
      <c r="X175" s="84">
        <f t="shared" si="49"/>
        <v>0</v>
      </c>
      <c r="Y175" s="84">
        <f t="shared" si="49"/>
        <v>0</v>
      </c>
      <c r="Z175" s="84">
        <f t="shared" si="49"/>
        <v>0</v>
      </c>
      <c r="AA175" s="84">
        <f t="shared" si="49"/>
        <v>0</v>
      </c>
      <c r="AB175" s="84">
        <f t="shared" si="50"/>
        <v>0</v>
      </c>
      <c r="AC175" s="84">
        <f t="shared" si="50"/>
        <v>0</v>
      </c>
      <c r="AD175" s="84">
        <f t="shared" si="50"/>
        <v>0</v>
      </c>
      <c r="AE175" s="84">
        <f t="shared" si="50"/>
        <v>0</v>
      </c>
      <c r="AF175" s="84">
        <f t="shared" si="50"/>
        <v>0</v>
      </c>
      <c r="AG175" s="84">
        <f t="shared" si="50"/>
        <v>0</v>
      </c>
      <c r="AH175" s="84">
        <f t="shared" si="50"/>
        <v>0</v>
      </c>
      <c r="AI175" s="84">
        <f t="shared" si="50"/>
        <v>0</v>
      </c>
    </row>
    <row r="176" spans="1:35" x14ac:dyDescent="0.3">
      <c r="A176" s="49" t="s">
        <v>647</v>
      </c>
      <c r="B176" s="49" t="str">
        <f>Legend!A$51</f>
        <v>Other uses</v>
      </c>
      <c r="C176" s="49" t="str">
        <f>LEFT(Legend!$C$4)&amp;"-"&amp;Legend!B$51</f>
        <v>S-OTH</v>
      </c>
      <c r="D176" s="49" t="str">
        <f>Legend!A65</f>
        <v>Heat</v>
      </c>
      <c r="E176" s="49" t="str">
        <f>Legend!B65</f>
        <v>SRVHET</v>
      </c>
      <c r="F176" s="49" t="s">
        <v>15</v>
      </c>
      <c r="H176" s="84">
        <f t="shared" si="48"/>
        <v>0</v>
      </c>
      <c r="I176" s="84">
        <f t="shared" si="48"/>
        <v>0</v>
      </c>
      <c r="J176" s="84">
        <f t="shared" si="48"/>
        <v>0</v>
      </c>
      <c r="K176" s="84">
        <f t="shared" si="48"/>
        <v>0</v>
      </c>
      <c r="L176" s="84">
        <f t="shared" si="48"/>
        <v>0</v>
      </c>
      <c r="M176" s="84">
        <f t="shared" si="48"/>
        <v>0</v>
      </c>
      <c r="N176" s="84">
        <f t="shared" si="48"/>
        <v>0</v>
      </c>
      <c r="O176" s="84">
        <f t="shared" si="48"/>
        <v>0</v>
      </c>
      <c r="P176" s="84">
        <f t="shared" si="48"/>
        <v>0</v>
      </c>
      <c r="Q176" s="84">
        <f t="shared" si="48"/>
        <v>0</v>
      </c>
      <c r="R176" s="84">
        <f t="shared" si="49"/>
        <v>0</v>
      </c>
      <c r="S176" s="84">
        <f t="shared" si="49"/>
        <v>0</v>
      </c>
      <c r="T176" s="84">
        <f t="shared" si="49"/>
        <v>0</v>
      </c>
      <c r="U176" s="84">
        <f t="shared" si="49"/>
        <v>0</v>
      </c>
      <c r="V176" s="84">
        <f t="shared" si="49"/>
        <v>0</v>
      </c>
      <c r="W176" s="84">
        <f t="shared" si="49"/>
        <v>0</v>
      </c>
      <c r="X176" s="84">
        <f t="shared" si="49"/>
        <v>0</v>
      </c>
      <c r="Y176" s="84">
        <f t="shared" si="49"/>
        <v>0</v>
      </c>
      <c r="Z176" s="84">
        <f t="shared" si="49"/>
        <v>0</v>
      </c>
      <c r="AA176" s="84">
        <f t="shared" si="49"/>
        <v>0</v>
      </c>
      <c r="AB176" s="84">
        <f t="shared" si="50"/>
        <v>0</v>
      </c>
      <c r="AC176" s="84">
        <f t="shared" si="50"/>
        <v>0</v>
      </c>
      <c r="AD176" s="84">
        <f t="shared" si="50"/>
        <v>0</v>
      </c>
      <c r="AE176" s="84">
        <f t="shared" si="50"/>
        <v>0</v>
      </c>
      <c r="AF176" s="84">
        <f t="shared" si="50"/>
        <v>0</v>
      </c>
      <c r="AG176" s="84">
        <f t="shared" si="50"/>
        <v>0</v>
      </c>
      <c r="AH176" s="84">
        <f t="shared" si="50"/>
        <v>0</v>
      </c>
      <c r="AI176" s="84">
        <f t="shared" si="50"/>
        <v>0</v>
      </c>
    </row>
    <row r="177" spans="1:35" x14ac:dyDescent="0.3">
      <c r="A177" s="49" t="s">
        <v>647</v>
      </c>
      <c r="B177" s="49" t="str">
        <f>Legend!A$51</f>
        <v>Other uses</v>
      </c>
      <c r="C177" s="49" t="str">
        <f>LEFT(Legend!$C$4)&amp;"-"&amp;Legend!B$51</f>
        <v>S-OTH</v>
      </c>
      <c r="D177" s="49" t="str">
        <f>Legend!A66</f>
        <v>Liquid biofuels</v>
      </c>
      <c r="E177" s="49" t="str">
        <f>Legend!B66</f>
        <v>SRVBLQ</v>
      </c>
      <c r="F177" s="49" t="s">
        <v>15</v>
      </c>
      <c r="H177" s="84">
        <f t="shared" ref="H177:Q182" si="51">SUMIFS(H$96:H$143,$C$96:$C$143,$C177,$E$96:$E$143,$E177)</f>
        <v>0</v>
      </c>
      <c r="I177" s="84">
        <f t="shared" si="51"/>
        <v>0</v>
      </c>
      <c r="J177" s="84">
        <f t="shared" si="51"/>
        <v>0</v>
      </c>
      <c r="K177" s="84">
        <f t="shared" si="51"/>
        <v>0</v>
      </c>
      <c r="L177" s="84">
        <f t="shared" si="51"/>
        <v>0</v>
      </c>
      <c r="M177" s="84">
        <f t="shared" si="51"/>
        <v>0</v>
      </c>
      <c r="N177" s="84">
        <f t="shared" si="51"/>
        <v>0</v>
      </c>
      <c r="O177" s="84">
        <f t="shared" si="51"/>
        <v>0</v>
      </c>
      <c r="P177" s="84">
        <f t="shared" si="51"/>
        <v>0</v>
      </c>
      <c r="Q177" s="84">
        <f t="shared" si="51"/>
        <v>0</v>
      </c>
      <c r="R177" s="84">
        <f t="shared" ref="R177:AA182" si="52">SUMIFS(R$96:R$143,$C$96:$C$143,$C177,$E$96:$E$143,$E177)</f>
        <v>0</v>
      </c>
      <c r="S177" s="84">
        <f t="shared" si="52"/>
        <v>0</v>
      </c>
      <c r="T177" s="84">
        <f t="shared" si="52"/>
        <v>0</v>
      </c>
      <c r="U177" s="84">
        <f t="shared" si="52"/>
        <v>0</v>
      </c>
      <c r="V177" s="84">
        <f t="shared" si="52"/>
        <v>0</v>
      </c>
      <c r="W177" s="84">
        <f t="shared" si="52"/>
        <v>0</v>
      </c>
      <c r="X177" s="84">
        <f t="shared" si="52"/>
        <v>0</v>
      </c>
      <c r="Y177" s="84">
        <f t="shared" si="52"/>
        <v>0</v>
      </c>
      <c r="Z177" s="84">
        <f t="shared" si="52"/>
        <v>0</v>
      </c>
      <c r="AA177" s="84">
        <f t="shared" si="52"/>
        <v>0</v>
      </c>
      <c r="AB177" s="84">
        <f t="shared" ref="AB177:AI182" si="53">SUMIFS(AB$96:AB$143,$C$96:$C$143,$C177,$E$96:$E$143,$E177)</f>
        <v>0</v>
      </c>
      <c r="AC177" s="84">
        <f t="shared" si="53"/>
        <v>0</v>
      </c>
      <c r="AD177" s="84">
        <f t="shared" si="53"/>
        <v>0</v>
      </c>
      <c r="AE177" s="84">
        <f t="shared" si="53"/>
        <v>0</v>
      </c>
      <c r="AF177" s="84">
        <f t="shared" si="53"/>
        <v>0</v>
      </c>
      <c r="AG177" s="84">
        <f t="shared" si="53"/>
        <v>0</v>
      </c>
      <c r="AH177" s="84">
        <f t="shared" si="53"/>
        <v>0</v>
      </c>
      <c r="AI177" s="84">
        <f t="shared" si="53"/>
        <v>0.46249000000000007</v>
      </c>
    </row>
    <row r="178" spans="1:35" x14ac:dyDescent="0.3">
      <c r="A178" s="49" t="s">
        <v>647</v>
      </c>
      <c r="B178" s="49" t="str">
        <f>Legend!A$51</f>
        <v>Other uses</v>
      </c>
      <c r="C178" s="49" t="str">
        <f>LEFT(Legend!$C$4)&amp;"-"&amp;Legend!B$51</f>
        <v>S-OTH</v>
      </c>
      <c r="D178" s="49" t="str">
        <f>Legend!A67</f>
        <v>LPG</v>
      </c>
      <c r="E178" s="49" t="str">
        <f>Legend!B67</f>
        <v>SRVLPG</v>
      </c>
      <c r="F178" s="49" t="s">
        <v>15</v>
      </c>
      <c r="H178" s="84">
        <f t="shared" si="51"/>
        <v>0</v>
      </c>
      <c r="I178" s="84">
        <f t="shared" si="51"/>
        <v>0</v>
      </c>
      <c r="J178" s="84">
        <f t="shared" si="51"/>
        <v>0</v>
      </c>
      <c r="K178" s="84">
        <f t="shared" si="51"/>
        <v>0</v>
      </c>
      <c r="L178" s="84">
        <f t="shared" si="51"/>
        <v>0</v>
      </c>
      <c r="M178" s="84">
        <f t="shared" si="51"/>
        <v>0</v>
      </c>
      <c r="N178" s="84">
        <f t="shared" si="51"/>
        <v>0</v>
      </c>
      <c r="O178" s="84">
        <f t="shared" si="51"/>
        <v>0</v>
      </c>
      <c r="P178" s="84">
        <f t="shared" si="51"/>
        <v>0</v>
      </c>
      <c r="Q178" s="84">
        <f t="shared" si="51"/>
        <v>0</v>
      </c>
      <c r="R178" s="84">
        <f t="shared" si="52"/>
        <v>0</v>
      </c>
      <c r="S178" s="84">
        <f t="shared" si="52"/>
        <v>0</v>
      </c>
      <c r="T178" s="84">
        <f t="shared" si="52"/>
        <v>0</v>
      </c>
      <c r="U178" s="84">
        <f t="shared" si="52"/>
        <v>0</v>
      </c>
      <c r="V178" s="84">
        <f t="shared" si="52"/>
        <v>0</v>
      </c>
      <c r="W178" s="84">
        <f t="shared" si="52"/>
        <v>0</v>
      </c>
      <c r="X178" s="84">
        <f t="shared" si="52"/>
        <v>0</v>
      </c>
      <c r="Y178" s="84">
        <f t="shared" si="52"/>
        <v>0</v>
      </c>
      <c r="Z178" s="84">
        <f t="shared" si="52"/>
        <v>0</v>
      </c>
      <c r="AA178" s="84">
        <f t="shared" si="52"/>
        <v>0</v>
      </c>
      <c r="AB178" s="84">
        <f t="shared" si="53"/>
        <v>0</v>
      </c>
      <c r="AC178" s="84">
        <f t="shared" si="53"/>
        <v>0</v>
      </c>
      <c r="AD178" s="84">
        <f t="shared" si="53"/>
        <v>0</v>
      </c>
      <c r="AE178" s="84">
        <f t="shared" si="53"/>
        <v>0</v>
      </c>
      <c r="AF178" s="84">
        <f t="shared" si="53"/>
        <v>0</v>
      </c>
      <c r="AG178" s="84">
        <f t="shared" si="53"/>
        <v>0</v>
      </c>
      <c r="AH178" s="84">
        <f t="shared" si="53"/>
        <v>0</v>
      </c>
      <c r="AI178" s="84">
        <f t="shared" si="53"/>
        <v>0</v>
      </c>
    </row>
    <row r="179" spans="1:35" x14ac:dyDescent="0.3">
      <c r="A179" s="49" t="s">
        <v>647</v>
      </c>
      <c r="B179" s="49" t="str">
        <f>Legend!A$51</f>
        <v>Other uses</v>
      </c>
      <c r="C179" s="49" t="str">
        <f>LEFT(Legend!$C$4)&amp;"-"&amp;Legend!B$51</f>
        <v>S-OTH</v>
      </c>
      <c r="D179" s="49" t="str">
        <f>Legend!A68</f>
        <v>Natural gas</v>
      </c>
      <c r="E179" s="49" t="str">
        <f>Legend!B68</f>
        <v>SRVGAS</v>
      </c>
      <c r="F179" s="49" t="s">
        <v>15</v>
      </c>
      <c r="H179" s="84">
        <f t="shared" si="51"/>
        <v>0</v>
      </c>
      <c r="I179" s="84">
        <f t="shared" si="51"/>
        <v>0</v>
      </c>
      <c r="J179" s="84">
        <f t="shared" si="51"/>
        <v>0</v>
      </c>
      <c r="K179" s="84">
        <f t="shared" si="51"/>
        <v>0</v>
      </c>
      <c r="L179" s="84">
        <f t="shared" si="51"/>
        <v>0</v>
      </c>
      <c r="M179" s="84">
        <f t="shared" si="51"/>
        <v>0</v>
      </c>
      <c r="N179" s="84">
        <f t="shared" si="51"/>
        <v>0</v>
      </c>
      <c r="O179" s="84">
        <f t="shared" si="51"/>
        <v>0</v>
      </c>
      <c r="P179" s="84">
        <f t="shared" si="51"/>
        <v>0</v>
      </c>
      <c r="Q179" s="84">
        <f t="shared" si="51"/>
        <v>29.598000000000003</v>
      </c>
      <c r="R179" s="84">
        <f t="shared" si="52"/>
        <v>0</v>
      </c>
      <c r="S179" s="84">
        <f t="shared" si="52"/>
        <v>0</v>
      </c>
      <c r="T179" s="84">
        <f t="shared" si="52"/>
        <v>0</v>
      </c>
      <c r="U179" s="84">
        <f t="shared" si="52"/>
        <v>0</v>
      </c>
      <c r="V179" s="84">
        <f t="shared" si="52"/>
        <v>0</v>
      </c>
      <c r="W179" s="84">
        <f t="shared" si="52"/>
        <v>0</v>
      </c>
      <c r="X179" s="84">
        <f t="shared" si="52"/>
        <v>0</v>
      </c>
      <c r="Y179" s="84">
        <f t="shared" si="52"/>
        <v>0</v>
      </c>
      <c r="Z179" s="84">
        <f t="shared" si="52"/>
        <v>0</v>
      </c>
      <c r="AA179" s="84">
        <f t="shared" si="52"/>
        <v>0</v>
      </c>
      <c r="AB179" s="84">
        <f t="shared" si="53"/>
        <v>0</v>
      </c>
      <c r="AC179" s="84">
        <f t="shared" si="53"/>
        <v>0</v>
      </c>
      <c r="AD179" s="84">
        <f t="shared" si="53"/>
        <v>0</v>
      </c>
      <c r="AE179" s="84">
        <f t="shared" si="53"/>
        <v>0</v>
      </c>
      <c r="AF179" s="84">
        <f t="shared" si="53"/>
        <v>0</v>
      </c>
      <c r="AG179" s="84">
        <f t="shared" si="53"/>
        <v>0</v>
      </c>
      <c r="AH179" s="84">
        <f t="shared" si="53"/>
        <v>0</v>
      </c>
      <c r="AI179" s="84">
        <f t="shared" si="53"/>
        <v>274.74216456367105</v>
      </c>
    </row>
    <row r="180" spans="1:35" x14ac:dyDescent="0.3">
      <c r="A180" s="49" t="s">
        <v>647</v>
      </c>
      <c r="B180" s="49" t="str">
        <f>Legend!A$51</f>
        <v>Other uses</v>
      </c>
      <c r="C180" s="49" t="str">
        <f>LEFT(Legend!$C$4)&amp;"-"&amp;Legend!B$51</f>
        <v>S-OTH</v>
      </c>
      <c r="D180" s="49" t="str">
        <f>Legend!A69</f>
        <v>Solar</v>
      </c>
      <c r="E180" s="49" t="str">
        <f>Legend!B69</f>
        <v>SRVSOL</v>
      </c>
      <c r="F180" s="49" t="s">
        <v>15</v>
      </c>
      <c r="H180" s="84">
        <f t="shared" si="51"/>
        <v>0</v>
      </c>
      <c r="I180" s="84">
        <f t="shared" si="51"/>
        <v>0</v>
      </c>
      <c r="J180" s="84">
        <f t="shared" si="51"/>
        <v>0</v>
      </c>
      <c r="K180" s="84">
        <f t="shared" si="51"/>
        <v>0</v>
      </c>
      <c r="L180" s="84">
        <f t="shared" si="51"/>
        <v>0</v>
      </c>
      <c r="M180" s="84">
        <f t="shared" si="51"/>
        <v>0</v>
      </c>
      <c r="N180" s="84">
        <f t="shared" si="51"/>
        <v>0</v>
      </c>
      <c r="O180" s="84">
        <f t="shared" si="51"/>
        <v>0</v>
      </c>
      <c r="P180" s="84">
        <f t="shared" si="51"/>
        <v>0</v>
      </c>
      <c r="Q180" s="84">
        <f t="shared" si="51"/>
        <v>0</v>
      </c>
      <c r="R180" s="84">
        <f t="shared" si="52"/>
        <v>0</v>
      </c>
      <c r="S180" s="84">
        <f t="shared" si="52"/>
        <v>0</v>
      </c>
      <c r="T180" s="84">
        <f t="shared" si="52"/>
        <v>0</v>
      </c>
      <c r="U180" s="84">
        <f t="shared" si="52"/>
        <v>0</v>
      </c>
      <c r="V180" s="84">
        <f t="shared" si="52"/>
        <v>0</v>
      </c>
      <c r="W180" s="84">
        <f t="shared" si="52"/>
        <v>0</v>
      </c>
      <c r="X180" s="84">
        <f t="shared" si="52"/>
        <v>0</v>
      </c>
      <c r="Y180" s="84">
        <f t="shared" si="52"/>
        <v>0</v>
      </c>
      <c r="Z180" s="84">
        <f t="shared" si="52"/>
        <v>0</v>
      </c>
      <c r="AA180" s="84">
        <f t="shared" si="52"/>
        <v>0</v>
      </c>
      <c r="AB180" s="84">
        <f t="shared" si="53"/>
        <v>0</v>
      </c>
      <c r="AC180" s="84">
        <f t="shared" si="53"/>
        <v>0</v>
      </c>
      <c r="AD180" s="84">
        <f t="shared" si="53"/>
        <v>0</v>
      </c>
      <c r="AE180" s="84">
        <f t="shared" si="53"/>
        <v>0</v>
      </c>
      <c r="AF180" s="84">
        <f t="shared" si="53"/>
        <v>0</v>
      </c>
      <c r="AG180" s="84">
        <f t="shared" si="53"/>
        <v>0</v>
      </c>
      <c r="AH180" s="84">
        <f t="shared" si="53"/>
        <v>0</v>
      </c>
      <c r="AI180" s="84">
        <f t="shared" si="53"/>
        <v>0</v>
      </c>
    </row>
    <row r="181" spans="1:35" x14ac:dyDescent="0.3">
      <c r="A181" s="49" t="s">
        <v>647</v>
      </c>
      <c r="B181" s="49" t="str">
        <f>Legend!A$51</f>
        <v>Other uses</v>
      </c>
      <c r="C181" s="49" t="str">
        <f>LEFT(Legend!$C$4)&amp;"-"&amp;Legend!B$51</f>
        <v>S-OTH</v>
      </c>
      <c r="D181" s="49" t="str">
        <f>Legend!A70</f>
        <v>Biomass</v>
      </c>
      <c r="E181" s="49" t="str">
        <f>Legend!B70</f>
        <v>SRVBIO</v>
      </c>
      <c r="F181" s="49" t="s">
        <v>15</v>
      </c>
      <c r="H181" s="84">
        <f t="shared" si="51"/>
        <v>0</v>
      </c>
      <c r="I181" s="84">
        <f t="shared" si="51"/>
        <v>0</v>
      </c>
      <c r="J181" s="84">
        <f t="shared" si="51"/>
        <v>0</v>
      </c>
      <c r="K181" s="84">
        <f t="shared" si="51"/>
        <v>0</v>
      </c>
      <c r="L181" s="84">
        <f t="shared" si="51"/>
        <v>0</v>
      </c>
      <c r="M181" s="84">
        <f t="shared" si="51"/>
        <v>0</v>
      </c>
      <c r="N181" s="84">
        <f t="shared" si="51"/>
        <v>0</v>
      </c>
      <c r="O181" s="84">
        <f t="shared" si="51"/>
        <v>0</v>
      </c>
      <c r="P181" s="84">
        <f t="shared" si="51"/>
        <v>0</v>
      </c>
      <c r="Q181" s="84">
        <f t="shared" si="51"/>
        <v>0</v>
      </c>
      <c r="R181" s="84">
        <f t="shared" si="52"/>
        <v>0</v>
      </c>
      <c r="S181" s="84">
        <f t="shared" si="52"/>
        <v>0</v>
      </c>
      <c r="T181" s="84">
        <f t="shared" si="52"/>
        <v>0</v>
      </c>
      <c r="U181" s="84">
        <f t="shared" si="52"/>
        <v>0</v>
      </c>
      <c r="V181" s="84">
        <f t="shared" si="52"/>
        <v>0</v>
      </c>
      <c r="W181" s="84">
        <f t="shared" si="52"/>
        <v>0</v>
      </c>
      <c r="X181" s="84">
        <f t="shared" si="52"/>
        <v>0</v>
      </c>
      <c r="Y181" s="84">
        <f t="shared" si="52"/>
        <v>0</v>
      </c>
      <c r="Z181" s="84">
        <f t="shared" si="52"/>
        <v>0</v>
      </c>
      <c r="AA181" s="84">
        <f t="shared" si="52"/>
        <v>0</v>
      </c>
      <c r="AB181" s="84">
        <f t="shared" si="53"/>
        <v>0</v>
      </c>
      <c r="AC181" s="84">
        <f t="shared" si="53"/>
        <v>0</v>
      </c>
      <c r="AD181" s="84">
        <f t="shared" si="53"/>
        <v>0</v>
      </c>
      <c r="AE181" s="84">
        <f t="shared" si="53"/>
        <v>0</v>
      </c>
      <c r="AF181" s="84">
        <f t="shared" si="53"/>
        <v>0</v>
      </c>
      <c r="AG181" s="84">
        <f t="shared" si="53"/>
        <v>0</v>
      </c>
      <c r="AH181" s="84">
        <f t="shared" si="53"/>
        <v>0</v>
      </c>
      <c r="AI181" s="84">
        <f t="shared" si="53"/>
        <v>0</v>
      </c>
    </row>
    <row r="182" spans="1:35" x14ac:dyDescent="0.3">
      <c r="A182" s="49" t="s">
        <v>647</v>
      </c>
      <c r="B182" s="51" t="str">
        <f>Legend!A$51</f>
        <v>Other uses</v>
      </c>
      <c r="C182" s="51" t="str">
        <f>LEFT(Legend!$C$4)&amp;"-"&amp;Legend!B$51</f>
        <v>S-OTH</v>
      </c>
      <c r="D182" s="51" t="str">
        <f>Legend!A71</f>
        <v>Waste</v>
      </c>
      <c r="E182" s="51" t="str">
        <f>Legend!B71</f>
        <v>SRVWAS</v>
      </c>
      <c r="F182" s="51" t="s">
        <v>15</v>
      </c>
      <c r="G182" s="51"/>
      <c r="H182" s="115">
        <f t="shared" si="51"/>
        <v>0</v>
      </c>
      <c r="I182" s="115">
        <f t="shared" si="51"/>
        <v>0</v>
      </c>
      <c r="J182" s="115">
        <f t="shared" si="51"/>
        <v>0</v>
      </c>
      <c r="K182" s="115">
        <f t="shared" si="51"/>
        <v>0</v>
      </c>
      <c r="L182" s="115">
        <f t="shared" si="51"/>
        <v>0</v>
      </c>
      <c r="M182" s="115">
        <f t="shared" si="51"/>
        <v>0</v>
      </c>
      <c r="N182" s="115">
        <f t="shared" si="51"/>
        <v>0</v>
      </c>
      <c r="O182" s="115">
        <f t="shared" si="51"/>
        <v>0</v>
      </c>
      <c r="P182" s="115">
        <f t="shared" si="51"/>
        <v>0</v>
      </c>
      <c r="Q182" s="115">
        <f t="shared" si="51"/>
        <v>0</v>
      </c>
      <c r="R182" s="115">
        <f t="shared" si="52"/>
        <v>0</v>
      </c>
      <c r="S182" s="115">
        <f t="shared" si="52"/>
        <v>0</v>
      </c>
      <c r="T182" s="115">
        <f t="shared" si="52"/>
        <v>0</v>
      </c>
      <c r="U182" s="115">
        <f t="shared" si="52"/>
        <v>0</v>
      </c>
      <c r="V182" s="115">
        <f t="shared" si="52"/>
        <v>0</v>
      </c>
      <c r="W182" s="115">
        <f t="shared" si="52"/>
        <v>0</v>
      </c>
      <c r="X182" s="115">
        <f t="shared" si="52"/>
        <v>0</v>
      </c>
      <c r="Y182" s="115">
        <f t="shared" si="52"/>
        <v>0</v>
      </c>
      <c r="Z182" s="115">
        <f t="shared" si="52"/>
        <v>0</v>
      </c>
      <c r="AA182" s="115">
        <f t="shared" si="52"/>
        <v>0</v>
      </c>
      <c r="AB182" s="115">
        <f t="shared" si="53"/>
        <v>0</v>
      </c>
      <c r="AC182" s="115">
        <f t="shared" si="53"/>
        <v>0</v>
      </c>
      <c r="AD182" s="115">
        <f t="shared" si="53"/>
        <v>0</v>
      </c>
      <c r="AE182" s="115">
        <f t="shared" si="53"/>
        <v>0</v>
      </c>
      <c r="AF182" s="115">
        <f t="shared" si="53"/>
        <v>0</v>
      </c>
      <c r="AG182" s="115">
        <f t="shared" si="53"/>
        <v>0</v>
      </c>
      <c r="AH182" s="115">
        <f t="shared" si="53"/>
        <v>0</v>
      </c>
      <c r="AI182" s="115">
        <f t="shared" si="53"/>
        <v>0</v>
      </c>
    </row>
    <row r="183" spans="1:35" x14ac:dyDescent="0.3">
      <c r="B183" s="71" t="s">
        <v>492</v>
      </c>
      <c r="H183" s="72">
        <f t="shared" ref="H183:AI183" si="54">SUM(H150:H182)-SUM(H108,H111,H124,H126,H130,H143,H128)</f>
        <v>0</v>
      </c>
      <c r="I183" s="72">
        <f t="shared" si="54"/>
        <v>0</v>
      </c>
      <c r="J183" s="72">
        <f t="shared" si="54"/>
        <v>0</v>
      </c>
      <c r="K183" s="72">
        <f t="shared" si="54"/>
        <v>0</v>
      </c>
      <c r="L183" s="72">
        <f t="shared" si="54"/>
        <v>0</v>
      </c>
      <c r="M183" s="72">
        <f t="shared" si="54"/>
        <v>0</v>
      </c>
      <c r="N183" s="72">
        <f t="shared" si="54"/>
        <v>0</v>
      </c>
      <c r="O183" s="72">
        <f t="shared" si="54"/>
        <v>0</v>
      </c>
      <c r="P183" s="72">
        <f t="shared" si="54"/>
        <v>0</v>
      </c>
      <c r="Q183" s="72">
        <f t="shared" si="54"/>
        <v>0</v>
      </c>
      <c r="R183" s="72">
        <f t="shared" si="54"/>
        <v>0</v>
      </c>
      <c r="S183" s="72">
        <f t="shared" si="54"/>
        <v>0</v>
      </c>
      <c r="T183" s="72">
        <f t="shared" si="54"/>
        <v>0</v>
      </c>
      <c r="U183" s="72">
        <f t="shared" si="54"/>
        <v>0</v>
      </c>
      <c r="V183" s="72">
        <f t="shared" si="54"/>
        <v>0</v>
      </c>
      <c r="W183" s="72">
        <f t="shared" si="54"/>
        <v>0</v>
      </c>
      <c r="X183" s="72">
        <f t="shared" si="54"/>
        <v>0</v>
      </c>
      <c r="Y183" s="72">
        <f t="shared" si="54"/>
        <v>0</v>
      </c>
      <c r="Z183" s="72">
        <f t="shared" si="54"/>
        <v>0</v>
      </c>
      <c r="AA183" s="72">
        <f t="shared" si="54"/>
        <v>0</v>
      </c>
      <c r="AB183" s="72">
        <f t="shared" si="54"/>
        <v>0</v>
      </c>
      <c r="AC183" s="72">
        <f t="shared" si="54"/>
        <v>0</v>
      </c>
      <c r="AD183" s="72">
        <f t="shared" si="54"/>
        <v>0</v>
      </c>
      <c r="AE183" s="72">
        <f t="shared" si="54"/>
        <v>0</v>
      </c>
      <c r="AF183" s="72">
        <f t="shared" si="54"/>
        <v>0</v>
      </c>
      <c r="AG183" s="72">
        <f t="shared" si="54"/>
        <v>0</v>
      </c>
      <c r="AH183" s="72">
        <f t="shared" si="54"/>
        <v>0</v>
      </c>
      <c r="AI183" s="72">
        <f t="shared" si="54"/>
        <v>0</v>
      </c>
    </row>
    <row r="186" spans="1:35" s="49" customFormat="1" x14ac:dyDescent="0.3"/>
    <row r="187" spans="1:35" s="49" customFormat="1" x14ac:dyDescent="0.3"/>
    <row r="188" spans="1:35" s="50" customFormat="1" x14ac:dyDescent="0.3">
      <c r="A188" s="49"/>
    </row>
    <row r="189" spans="1:35" s="50" customFormat="1" x14ac:dyDescent="0.3">
      <c r="A189" s="49"/>
    </row>
  </sheetData>
  <phoneticPr fontId="93" type="noConversion"/>
  <pageMargins left="0.7" right="0.7" top="0.75" bottom="0.75" header="0.3" footer="0.3"/>
  <pageSetup paperSize="9" orientation="portrait" horizontalDpi="4294967292"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A8CA7-900E-4CBD-85E4-525685D3F172}">
  <sheetPr>
    <tabColor theme="4" tint="0.39997558519241921"/>
  </sheetPr>
  <dimension ref="A1:AJ147"/>
  <sheetViews>
    <sheetView showGridLines="0" topLeftCell="Q1" zoomScale="85" zoomScaleNormal="85" workbookViewId="0">
      <pane ySplit="1" topLeftCell="A69" activePane="bottomLeft" state="frozen"/>
      <selection activeCell="B1" sqref="B1"/>
      <selection pane="bottomLeft" activeCell="AI76" sqref="AI76"/>
    </sheetView>
  </sheetViews>
  <sheetFormatPr defaultColWidth="8" defaultRowHeight="14.4" x14ac:dyDescent="0.3"/>
  <cols>
    <col min="1" max="1" width="10.5" style="510" bestFit="1" customWidth="1"/>
    <col min="2" max="3" width="15.5" style="77" customWidth="1"/>
    <col min="4" max="4" width="19" style="77" bestFit="1" customWidth="1"/>
    <col min="5" max="7" width="15.5" style="77" customWidth="1"/>
    <col min="8" max="8" width="13.09765625" style="77" bestFit="1" customWidth="1"/>
    <col min="9" max="23" width="8.69921875" style="77" customWidth="1"/>
    <col min="24" max="24" width="8.8984375" style="77" customWidth="1"/>
    <col min="25" max="36" width="8.69921875" style="77" customWidth="1"/>
    <col min="37" max="16384" width="8" style="77"/>
  </cols>
  <sheetData>
    <row r="1" spans="1:36" s="52" customFormat="1" ht="25.8" x14ac:dyDescent="0.3">
      <c r="A1" s="505"/>
      <c r="B1" s="59" t="s">
        <v>416</v>
      </c>
      <c r="C1" s="48"/>
      <c r="D1" s="48"/>
    </row>
    <row r="2" spans="1:36" s="52" customFormat="1" x14ac:dyDescent="0.3">
      <c r="A2" s="505"/>
      <c r="C2" s="49"/>
      <c r="D2" s="49"/>
      <c r="E2" s="49"/>
      <c r="F2" s="49"/>
      <c r="G2" s="49"/>
      <c r="H2" s="49"/>
    </row>
    <row r="3" spans="1:36" s="52" customFormat="1" ht="18" x14ac:dyDescent="0.3">
      <c r="A3" s="505"/>
      <c r="B3" s="40" t="s">
        <v>163</v>
      </c>
      <c r="C3" s="40" t="s">
        <v>164</v>
      </c>
      <c r="D3" s="49"/>
      <c r="E3" s="49"/>
      <c r="F3" s="49"/>
      <c r="G3" s="49"/>
      <c r="H3" s="49"/>
    </row>
    <row r="4" spans="1:36" s="49" customFormat="1" x14ac:dyDescent="0.3">
      <c r="A4" s="499"/>
      <c r="B4" s="64" t="s">
        <v>160</v>
      </c>
      <c r="C4" s="64"/>
      <c r="D4" s="61" t="s">
        <v>88</v>
      </c>
      <c r="E4" s="61"/>
      <c r="F4" s="61" t="s">
        <v>49</v>
      </c>
      <c r="G4" s="61"/>
      <c r="H4" s="61"/>
      <c r="I4" s="62" t="s">
        <v>457</v>
      </c>
      <c r="J4" s="62" t="s">
        <v>458</v>
      </c>
      <c r="K4" s="62" t="s">
        <v>460</v>
      </c>
      <c r="L4" s="62" t="s">
        <v>459</v>
      </c>
      <c r="M4" s="62" t="s">
        <v>461</v>
      </c>
      <c r="N4" s="62" t="s">
        <v>463</v>
      </c>
      <c r="O4" s="62" t="s">
        <v>464</v>
      </c>
      <c r="P4" s="62" t="s">
        <v>465</v>
      </c>
      <c r="Q4" s="62" t="s">
        <v>1</v>
      </c>
      <c r="R4" s="62" t="s">
        <v>2</v>
      </c>
      <c r="S4" s="62" t="s">
        <v>707</v>
      </c>
      <c r="T4" s="62" t="s">
        <v>3</v>
      </c>
      <c r="U4" s="62" t="s">
        <v>467</v>
      </c>
      <c r="V4" s="62" t="s">
        <v>468</v>
      </c>
      <c r="W4" s="62" t="s">
        <v>469</v>
      </c>
      <c r="X4" s="62" t="s">
        <v>708</v>
      </c>
      <c r="Y4" s="62" t="s">
        <v>470</v>
      </c>
      <c r="Z4" s="62" t="s">
        <v>5</v>
      </c>
      <c r="AA4" s="62" t="s">
        <v>6</v>
      </c>
      <c r="AB4" s="62" t="s">
        <v>7</v>
      </c>
      <c r="AC4" s="62" t="s">
        <v>8</v>
      </c>
      <c r="AD4" s="62" t="s">
        <v>709</v>
      </c>
      <c r="AE4" s="62" t="s">
        <v>9</v>
      </c>
      <c r="AF4" s="62" t="s">
        <v>10</v>
      </c>
      <c r="AG4" s="62" t="s">
        <v>710</v>
      </c>
      <c r="AH4" s="62" t="s">
        <v>11</v>
      </c>
      <c r="AI4" s="62" t="s">
        <v>711</v>
      </c>
      <c r="AJ4" s="62" t="s">
        <v>13</v>
      </c>
    </row>
    <row r="5" spans="1:36" s="49" customFormat="1" ht="15" thickBot="1" x14ac:dyDescent="0.35">
      <c r="A5" s="499"/>
      <c r="B5" s="571"/>
      <c r="C5" s="571"/>
      <c r="D5" s="571"/>
      <c r="E5" s="571"/>
      <c r="F5" s="571"/>
      <c r="G5" s="571"/>
      <c r="H5" s="571"/>
      <c r="I5" s="571" t="s">
        <v>477</v>
      </c>
      <c r="J5" s="571" t="s">
        <v>478</v>
      </c>
      <c r="K5" s="571" t="s">
        <v>480</v>
      </c>
      <c r="L5" s="571" t="s">
        <v>479</v>
      </c>
      <c r="M5" s="571" t="s">
        <v>481</v>
      </c>
      <c r="N5" s="571" t="s">
        <v>482</v>
      </c>
      <c r="O5" s="571" t="s">
        <v>483</v>
      </c>
      <c r="P5" s="571" t="s">
        <v>484</v>
      </c>
      <c r="Q5" s="571" t="s">
        <v>90</v>
      </c>
      <c r="R5" s="571" t="s">
        <v>91</v>
      </c>
      <c r="S5" s="571" t="s">
        <v>715</v>
      </c>
      <c r="T5" s="571" t="s">
        <v>716</v>
      </c>
      <c r="U5" s="571" t="s">
        <v>485</v>
      </c>
      <c r="V5" s="571" t="s">
        <v>486</v>
      </c>
      <c r="W5" s="571" t="s">
        <v>487</v>
      </c>
      <c r="X5" s="571" t="s">
        <v>717</v>
      </c>
      <c r="Y5" s="571" t="s">
        <v>488</v>
      </c>
      <c r="Z5" s="571" t="s">
        <v>718</v>
      </c>
      <c r="AA5" s="571" t="s">
        <v>92</v>
      </c>
      <c r="AB5" s="571" t="s">
        <v>93</v>
      </c>
      <c r="AC5" s="571" t="s">
        <v>94</v>
      </c>
      <c r="AD5" s="571" t="s">
        <v>719</v>
      </c>
      <c r="AE5" s="571" t="s">
        <v>720</v>
      </c>
      <c r="AF5" s="571" t="s">
        <v>95</v>
      </c>
      <c r="AG5" s="571" t="s">
        <v>721</v>
      </c>
      <c r="AH5" s="571" t="s">
        <v>722</v>
      </c>
      <c r="AI5" s="571" t="s">
        <v>769</v>
      </c>
      <c r="AJ5" s="571" t="s">
        <v>489</v>
      </c>
    </row>
    <row r="6" spans="1:36" s="88" customFormat="1" x14ac:dyDescent="0.3">
      <c r="A6" s="506"/>
      <c r="B6" s="197" t="s">
        <v>153</v>
      </c>
      <c r="C6" s="91"/>
      <c r="D6" s="635" t="s">
        <v>726</v>
      </c>
      <c r="E6" s="91"/>
      <c r="F6" s="460" t="s">
        <v>593</v>
      </c>
      <c r="G6" s="460"/>
      <c r="H6" s="189"/>
      <c r="I6" s="327">
        <f>SUMIFS('S4'!$B$9:$AC$9,'S4'!$B$8:$AC$8,'Key Inputs_BY Techs'!I4)*10^3</f>
        <v>1667</v>
      </c>
      <c r="J6" s="327">
        <f>SUMIFS('S4'!$B$9:$AC$9,'S4'!$B$8:$AC$8,'Key Inputs_BY Techs'!J4)*10^3</f>
        <v>1322</v>
      </c>
      <c r="K6" s="327">
        <f>SUMIFS('S4'!$B$9:$AC$9,'S4'!$B$8:$AC$8,'Key Inputs_BY Techs'!K4)*10^3</f>
        <v>2040</v>
      </c>
      <c r="L6" s="327">
        <f>SUMIFS('S4'!$B$9:$AC$9,'S4'!$B$8:$AC$8,'Key Inputs_BY Techs'!L4)*10^3</f>
        <v>1180</v>
      </c>
      <c r="M6" s="327">
        <f>SUMIFS('S4'!$B$9:$AC$9,'S4'!$B$8:$AC$8,'Key Inputs_BY Techs'!M4)*10^3</f>
        <v>612</v>
      </c>
      <c r="N6" s="327">
        <f>SUMIFS('S4'!$B$9:$AC$9,'S4'!$B$8:$AC$8,'Key Inputs_BY Techs'!N4)*10^3</f>
        <v>504</v>
      </c>
      <c r="O6" s="327">
        <f>SUMIFS('S4'!$B$9:$AC$9,'S4'!$B$8:$AC$8,'Key Inputs_BY Techs'!O4)*10^3</f>
        <v>1824</v>
      </c>
      <c r="P6" s="327">
        <f>SUMIFS('S4'!$B$9:$AC$9,'S4'!$B$8:$AC$8,'Key Inputs_BY Techs'!P4)*10^3</f>
        <v>2399</v>
      </c>
      <c r="Q6" s="327">
        <f>SUMIFS('S4'!$B$9:$AC$9,'S4'!$B$8:$AC$8,'Key Inputs_BY Techs'!Q4)*10^3</f>
        <v>1579</v>
      </c>
      <c r="R6" s="327">
        <f>SUMIFS('S4'!$B$9:$AC$9,'S4'!$B$8:$AC$8,'Key Inputs_BY Techs'!R4)*10^3</f>
        <v>196</v>
      </c>
      <c r="S6" s="327">
        <f>SUMIFS('S4'!$B$9:$AC$9,'S4'!$B$8:$AC$8,'Key Inputs_BY Techs'!S4)*10^3</f>
        <v>233</v>
      </c>
      <c r="T6" s="327">
        <f>SUMIFS('S4'!$B$9:$AC$9,'S4'!$B$8:$AC$8,'Key Inputs_BY Techs'!T4)*10^3</f>
        <v>781</v>
      </c>
      <c r="U6" s="327">
        <f>SUMIFS('S4'!$B$9:$AC$9,'S4'!$B$8:$AC$8,'Key Inputs_BY Techs'!U4)*10^3</f>
        <v>310</v>
      </c>
      <c r="V6" s="327">
        <f>SUMIFS('S4'!$B$9:$AC$9,'S4'!$B$8:$AC$8,'Key Inputs_BY Techs'!V4)*10^3</f>
        <v>64</v>
      </c>
      <c r="W6" s="327">
        <f>SUMIFS('S4'!$B$9:$AC$9,'S4'!$B$8:$AC$8,'Key Inputs_BY Techs'!W4)*10^3</f>
        <v>323</v>
      </c>
      <c r="X6" s="327">
        <f>SUMIFS('S4'!$B$9:$AC$9,'S4'!$B$8:$AC$8,'Key Inputs_BY Techs'!X4)*10^3</f>
        <v>384</v>
      </c>
      <c r="Y6" s="327">
        <f>SUMIFS('S4'!$B$9:$AC$9,'S4'!$B$8:$AC$8,'Key Inputs_BY Techs'!Y4)*10^3</f>
        <v>132</v>
      </c>
      <c r="Z6" s="327">
        <f>SUMIFS('S4'!$B$9:$AC$9,'S4'!$B$8:$AC$8,'Key Inputs_BY Techs'!Z4)*10^3</f>
        <v>2507</v>
      </c>
      <c r="AA6" s="327">
        <f>SUMIFS('S4'!$B$9:$AC$9,'S4'!$B$8:$AC$8,'Key Inputs_BY Techs'!AA4)*10^3</f>
        <v>2700</v>
      </c>
      <c r="AB6" s="327">
        <f>SUMIFS('S4'!$B$9:$AC$9,'S4'!$B$8:$AC$8,'Key Inputs_BY Techs'!AB4)*10^3</f>
        <v>588</v>
      </c>
      <c r="AC6" s="327">
        <f>SUMIFS('S4'!$B$9:$AC$9,'S4'!$B$8:$AC$8,'Key Inputs_BY Techs'!AC4)*10^3</f>
        <v>1302</v>
      </c>
      <c r="AD6" s="327">
        <f>SUMIFS('S4'!$B$9:$AC$9,'S4'!$B$8:$AC$8,'Key Inputs_BY Techs'!AD4)*10^3</f>
        <v>782</v>
      </c>
      <c r="AE6" s="327">
        <f>SUMIFS('S4'!$B$9:$AC$9,'S4'!$B$8:$AC$8,'Key Inputs_BY Techs'!AE4)*10^3</f>
        <v>2088</v>
      </c>
      <c r="AF6" s="327">
        <f>SUMIFS('S4'!$B$9:$AC$9,'S4'!$B$8:$AC$8,'Key Inputs_BY Techs'!AF4)*10^3</f>
        <v>986</v>
      </c>
      <c r="AG6" s="327">
        <f>SUMIFS('S4'!$B$9:$AC$9,'S4'!$B$8:$AC$8,'Key Inputs_BY Techs'!AG4)*10^3</f>
        <v>2577</v>
      </c>
      <c r="AH6" s="327">
        <f>SUMIFS('S4'!$B$9:$AC$9,'S4'!$B$8:$AC$8,'Key Inputs_BY Techs'!AH4)*10^3</f>
        <v>233</v>
      </c>
      <c r="AI6" s="327">
        <f>SUMIFS('S4'!$B$9:$AC$9,'S4'!$B$8:$AC$8,'Key Inputs_BY Techs'!AI4)*10^3</f>
        <v>475</v>
      </c>
      <c r="AJ6" s="327">
        <f>SUMIFS('S4'!$B$9:$AC$9,'S4'!$B$8:$AC$8,'Key Inputs_BY Techs'!AJ4)*10^3</f>
        <v>729</v>
      </c>
    </row>
    <row r="7" spans="1:36" s="88" customFormat="1" x14ac:dyDescent="0.3">
      <c r="A7" s="506"/>
      <c r="B7" s="196" t="s">
        <v>152</v>
      </c>
      <c r="C7" s="90"/>
      <c r="D7" s="636" t="s">
        <v>726</v>
      </c>
      <c r="E7" s="90"/>
      <c r="F7" s="461" t="s">
        <v>593</v>
      </c>
      <c r="G7" s="461"/>
      <c r="H7" s="90"/>
      <c r="I7" s="326">
        <f>SUMIFS('S4'!$B$10:$AC$10,'S4'!$B$8:$AC$8,'Key Inputs_BY Techs'!I4)*10^3</f>
        <v>105</v>
      </c>
      <c r="J7" s="326">
        <f>SUMIFS('S4'!$B$10:$AC$10,'S4'!$B$8:$AC$8,'Key Inputs_BY Techs'!J4)*10^3</f>
        <v>1035</v>
      </c>
      <c r="K7" s="326">
        <f>SUMIFS('S4'!$B$10:$AC$10,'S4'!$B$8:$AC$8,'Key Inputs_BY Techs'!K4)*10^3</f>
        <v>43</v>
      </c>
      <c r="L7" s="326">
        <f>SUMIFS('S4'!$B$10:$AC$10,'S4'!$B$8:$AC$8,'Key Inputs_BY Techs'!L4)*10^3</f>
        <v>388</v>
      </c>
      <c r="M7" s="326">
        <f>SUMIFS('S4'!$B$10:$AC$10,'S4'!$B$8:$AC$8,'Key Inputs_BY Techs'!M4)*10^3</f>
        <v>727</v>
      </c>
      <c r="N7" s="326">
        <f>SUMIFS('S4'!$B$10:$AC$10,'S4'!$B$8:$AC$8,'Key Inputs_BY Techs'!N4)*10^3</f>
        <v>2776</v>
      </c>
      <c r="O7" s="326">
        <f>SUMIFS('S4'!$B$10:$AC$10,'S4'!$B$8:$AC$8,'Key Inputs_BY Techs'!O4)*10^3</f>
        <v>64</v>
      </c>
      <c r="P7" s="326">
        <f>SUMIFS('S4'!$B$10:$AC$10,'S4'!$B$8:$AC$8,'Key Inputs_BY Techs'!P4)*10^3</f>
        <v>587</v>
      </c>
      <c r="Q7" s="326">
        <f>SUMIFS('S4'!$B$10:$AC$10,'S4'!$B$8:$AC$8,'Key Inputs_BY Techs'!Q4)*10^3</f>
        <v>88</v>
      </c>
      <c r="R7" s="326">
        <f>SUMIFS('S4'!$B$10:$AC$10,'S4'!$B$8:$AC$8,'Key Inputs_BY Techs'!R4)*10^3</f>
        <v>4524</v>
      </c>
      <c r="S7" s="326">
        <f>SUMIFS('S4'!$B$10:$AC$10,'S4'!$B$8:$AC$8,'Key Inputs_BY Techs'!S4)*10^3</f>
        <v>2588</v>
      </c>
      <c r="T7" s="326">
        <f>SUMIFS('S4'!$B$10:$AC$10,'S4'!$B$8:$AC$8,'Key Inputs_BY Techs'!T4)*10^3</f>
        <v>2171</v>
      </c>
      <c r="U7" s="326">
        <f>SUMIFS('S4'!$B$10:$AC$10,'S4'!$B$8:$AC$8,'Key Inputs_BY Techs'!U4)*10^3</f>
        <v>3124</v>
      </c>
      <c r="V7" s="326">
        <f>SUMIFS('S4'!$B$10:$AC$10,'S4'!$B$8:$AC$8,'Key Inputs_BY Techs'!V4)*10^3</f>
        <v>2624</v>
      </c>
      <c r="W7" s="326">
        <f>SUMIFS('S4'!$B$10:$AC$10,'S4'!$B$8:$AC$8,'Key Inputs_BY Techs'!W4)*10^3</f>
        <v>5465</v>
      </c>
      <c r="X7" s="326">
        <f>SUMIFS('S4'!$B$10:$AC$10,'S4'!$B$8:$AC$8,'Key Inputs_BY Techs'!X4)*10^3</f>
        <v>2053</v>
      </c>
      <c r="Y7" s="326">
        <f>SUMIFS('S4'!$B$10:$AC$10,'S4'!$B$8:$AC$8,'Key Inputs_BY Techs'!Y4)*10^3</f>
        <v>3047</v>
      </c>
      <c r="Z7" s="326">
        <f>SUMIFS('S4'!$B$10:$AC$10,'S4'!$B$8:$AC$8,'Key Inputs_BY Techs'!Z4)*10^3</f>
        <v>23</v>
      </c>
      <c r="AA7" s="326">
        <f>SUMIFS('S4'!$B$10:$AC$10,'S4'!$B$8:$AC$8,'Key Inputs_BY Techs'!AA4)*10^3</f>
        <v>304</v>
      </c>
      <c r="AB7" s="326">
        <f>SUMIFS('S4'!$B$10:$AC$10,'S4'!$B$8:$AC$8,'Key Inputs_BY Techs'!AB4)*10^3</f>
        <v>1653</v>
      </c>
      <c r="AC7" s="326">
        <f>SUMIFS('S4'!$B$10:$AC$10,'S4'!$B$8:$AC$8,'Key Inputs_BY Techs'!AC4)*10^3</f>
        <v>411</v>
      </c>
      <c r="AD7" s="326">
        <f>SUMIFS('S4'!$B$10:$AC$10,'S4'!$B$8:$AC$8,'Key Inputs_BY Techs'!AD4)*10^3</f>
        <v>1967</v>
      </c>
      <c r="AE7" s="326">
        <f>SUMIFS('S4'!$B$10:$AC$10,'S4'!$B$8:$AC$8,'Key Inputs_BY Techs'!AE4)*10^3</f>
        <v>1249</v>
      </c>
      <c r="AF7" s="326">
        <f>SUMIFS('S4'!$B$10:$AC$10,'S4'!$B$8:$AC$8,'Key Inputs_BY Techs'!AF4)*10^3</f>
        <v>405</v>
      </c>
      <c r="AG7" s="326">
        <f>SUMIFS('S4'!$B$10:$AC$10,'S4'!$B$8:$AC$8,'Key Inputs_BY Techs'!AG4)*10^3</f>
        <v>52</v>
      </c>
      <c r="AH7" s="326">
        <f>SUMIFS('S4'!$B$10:$AC$10,'S4'!$B$8:$AC$8,'Key Inputs_BY Techs'!AH4)*10^3</f>
        <v>4797</v>
      </c>
      <c r="AI7" s="326">
        <f>SUMIFS('S4'!$B$10:$AC$10,'S4'!$B$8:$AC$8,'Key Inputs_BY Techs'!AI4)*10^3</f>
        <v>2094</v>
      </c>
      <c r="AJ7" s="326">
        <f>SUMIFS('S4'!$B$10:$AC$10,'S4'!$B$8:$AC$8,'Key Inputs_BY Techs'!AJ4)*10^3</f>
        <v>2347</v>
      </c>
    </row>
    <row r="8" spans="1:36" s="88" customFormat="1" hidden="1" x14ac:dyDescent="0.3">
      <c r="A8" s="506"/>
      <c r="B8" s="78" t="s">
        <v>161</v>
      </c>
      <c r="C8" s="89"/>
      <c r="D8" s="89"/>
      <c r="E8" s="89"/>
      <c r="F8" s="89" t="s">
        <v>162</v>
      </c>
      <c r="G8" s="89"/>
      <c r="H8" s="272"/>
      <c r="I8" s="272"/>
      <c r="J8" s="272"/>
      <c r="K8" s="272"/>
      <c r="L8" s="272"/>
      <c r="M8" s="272"/>
      <c r="N8" s="272"/>
      <c r="O8" s="272"/>
      <c r="P8" s="272"/>
      <c r="Q8" s="272"/>
      <c r="R8" s="272"/>
      <c r="S8" s="272"/>
      <c r="T8" s="272"/>
      <c r="U8" s="272"/>
      <c r="V8" s="272"/>
      <c r="W8" s="272"/>
      <c r="X8" s="272"/>
      <c r="Y8" s="272"/>
      <c r="Z8" s="272"/>
      <c r="AA8" s="272"/>
      <c r="AB8" s="272"/>
      <c r="AC8" s="272"/>
      <c r="AD8" s="272"/>
      <c r="AE8" s="272"/>
    </row>
    <row r="9" spans="1:36" s="88" customFormat="1" x14ac:dyDescent="0.3">
      <c r="A9" s="506"/>
    </row>
    <row r="10" spans="1:36" s="88" customFormat="1" x14ac:dyDescent="0.3">
      <c r="A10" s="506"/>
      <c r="B10" s="77"/>
    </row>
    <row r="11" spans="1:36" s="52" customFormat="1" ht="18" x14ac:dyDescent="0.3">
      <c r="A11" s="505"/>
      <c r="B11" s="40" t="s">
        <v>166</v>
      </c>
      <c r="C11" s="40" t="s">
        <v>171</v>
      </c>
      <c r="D11" s="49"/>
      <c r="E11" s="49"/>
      <c r="F11" s="49"/>
      <c r="G11" s="49"/>
      <c r="H11" s="49"/>
    </row>
    <row r="12" spans="1:36" s="49" customFormat="1" x14ac:dyDescent="0.3">
      <c r="A12" s="499"/>
      <c r="B12" s="61" t="s">
        <v>98</v>
      </c>
      <c r="C12" s="61"/>
      <c r="D12" s="64" t="s">
        <v>99</v>
      </c>
      <c r="E12" s="64"/>
      <c r="F12" s="61" t="s">
        <v>49</v>
      </c>
      <c r="G12" s="61" t="s">
        <v>88</v>
      </c>
      <c r="H12" s="61" t="s">
        <v>325</v>
      </c>
      <c r="I12" s="62" t="s">
        <v>457</v>
      </c>
      <c r="J12" s="62" t="s">
        <v>458</v>
      </c>
      <c r="K12" s="62" t="s">
        <v>460</v>
      </c>
      <c r="L12" s="62" t="s">
        <v>459</v>
      </c>
      <c r="M12" s="62" t="s">
        <v>461</v>
      </c>
      <c r="N12" s="62" t="s">
        <v>463</v>
      </c>
      <c r="O12" s="62" t="s">
        <v>464</v>
      </c>
      <c r="P12" s="62" t="s">
        <v>465</v>
      </c>
      <c r="Q12" s="62" t="s">
        <v>1</v>
      </c>
      <c r="R12" s="62" t="s">
        <v>2</v>
      </c>
      <c r="S12" s="62" t="s">
        <v>707</v>
      </c>
      <c r="T12" s="62" t="s">
        <v>3</v>
      </c>
      <c r="U12" s="62" t="s">
        <v>467</v>
      </c>
      <c r="V12" s="62" t="s">
        <v>468</v>
      </c>
      <c r="W12" s="62" t="s">
        <v>469</v>
      </c>
      <c r="X12" s="62" t="s">
        <v>708</v>
      </c>
      <c r="Y12" s="62" t="s">
        <v>470</v>
      </c>
      <c r="Z12" s="62" t="s">
        <v>5</v>
      </c>
      <c r="AA12" s="62" t="s">
        <v>6</v>
      </c>
      <c r="AB12" s="62" t="s">
        <v>7</v>
      </c>
      <c r="AC12" s="62" t="s">
        <v>8</v>
      </c>
      <c r="AD12" s="62" t="s">
        <v>709</v>
      </c>
      <c r="AE12" s="62" t="s">
        <v>9</v>
      </c>
      <c r="AF12" s="62" t="s">
        <v>10</v>
      </c>
      <c r="AG12" s="62" t="s">
        <v>710</v>
      </c>
      <c r="AH12" s="62" t="s">
        <v>11</v>
      </c>
      <c r="AI12" s="62" t="s">
        <v>711</v>
      </c>
      <c r="AJ12" s="62" t="s">
        <v>13</v>
      </c>
    </row>
    <row r="13" spans="1:36" s="49" customFormat="1" ht="15" thickBot="1" x14ac:dyDescent="0.35">
      <c r="A13" s="499"/>
      <c r="B13" s="571" t="s">
        <v>30</v>
      </c>
      <c r="C13" s="571" t="s">
        <v>35</v>
      </c>
      <c r="D13" s="571" t="s">
        <v>30</v>
      </c>
      <c r="E13" s="571" t="s">
        <v>35</v>
      </c>
      <c r="F13" s="571"/>
      <c r="G13" s="571"/>
      <c r="H13" s="571"/>
      <c r="I13" s="571" t="s">
        <v>477</v>
      </c>
      <c r="J13" s="571" t="s">
        <v>478</v>
      </c>
      <c r="K13" s="571" t="s">
        <v>480</v>
      </c>
      <c r="L13" s="571" t="s">
        <v>479</v>
      </c>
      <c r="M13" s="571" t="s">
        <v>481</v>
      </c>
      <c r="N13" s="571" t="s">
        <v>482</v>
      </c>
      <c r="O13" s="571" t="s">
        <v>483</v>
      </c>
      <c r="P13" s="571" t="s">
        <v>484</v>
      </c>
      <c r="Q13" s="571" t="s">
        <v>90</v>
      </c>
      <c r="R13" s="571" t="s">
        <v>91</v>
      </c>
      <c r="S13" s="571" t="s">
        <v>715</v>
      </c>
      <c r="T13" s="571" t="s">
        <v>716</v>
      </c>
      <c r="U13" s="571" t="s">
        <v>485</v>
      </c>
      <c r="V13" s="571" t="s">
        <v>486</v>
      </c>
      <c r="W13" s="571" t="s">
        <v>487</v>
      </c>
      <c r="X13" s="571" t="s">
        <v>717</v>
      </c>
      <c r="Y13" s="571" t="s">
        <v>488</v>
      </c>
      <c r="Z13" s="571" t="s">
        <v>718</v>
      </c>
      <c r="AA13" s="571" t="s">
        <v>92</v>
      </c>
      <c r="AB13" s="571" t="s">
        <v>93</v>
      </c>
      <c r="AC13" s="571" t="s">
        <v>94</v>
      </c>
      <c r="AD13" s="571" t="s">
        <v>719</v>
      </c>
      <c r="AE13" s="571" t="s">
        <v>720</v>
      </c>
      <c r="AF13" s="571" t="s">
        <v>95</v>
      </c>
      <c r="AG13" s="571" t="s">
        <v>721</v>
      </c>
      <c r="AH13" s="571" t="s">
        <v>722</v>
      </c>
      <c r="AI13" s="571" t="s">
        <v>769</v>
      </c>
      <c r="AJ13" s="571" t="s">
        <v>489</v>
      </c>
    </row>
    <row r="14" spans="1:36" s="88" customFormat="1" ht="15.6" x14ac:dyDescent="0.3">
      <c r="A14" s="496" t="s">
        <v>40</v>
      </c>
      <c r="B14" s="49" t="str">
        <f>'Key inputs_EB'!B150</f>
        <v>Thermal uses</v>
      </c>
      <c r="C14" s="49" t="str">
        <f>'Key inputs_EB'!C150</f>
        <v>S-TH</v>
      </c>
      <c r="D14" s="49" t="str">
        <f>'Key inputs_EB'!D150</f>
        <v>Biomass, Waste</v>
      </c>
      <c r="E14" s="49" t="str">
        <f>'Key inputs_EB'!E150</f>
        <v>SRVBIO, SRVWAS</v>
      </c>
      <c r="F14" s="241" t="s">
        <v>165</v>
      </c>
      <c r="G14" s="621" t="s">
        <v>704</v>
      </c>
      <c r="H14" s="260">
        <f>'S2'!I48</f>
        <v>0.72</v>
      </c>
      <c r="I14" s="199">
        <f t="shared" ref="I14:R15" si="0">IF(I$12="","",$H14*I$37)</f>
        <v>0.64800000000000002</v>
      </c>
      <c r="J14" s="199">
        <f t="shared" si="0"/>
        <v>0.64800000000000002</v>
      </c>
      <c r="K14" s="199">
        <f t="shared" si="0"/>
        <v>0.64800000000000002</v>
      </c>
      <c r="L14" s="199">
        <f t="shared" si="0"/>
        <v>0.64800000000000002</v>
      </c>
      <c r="M14" s="199">
        <f t="shared" si="0"/>
        <v>0.64800000000000002</v>
      </c>
      <c r="N14" s="199">
        <f t="shared" si="0"/>
        <v>0.64800000000000002</v>
      </c>
      <c r="O14" s="199">
        <f t="shared" si="0"/>
        <v>0.64800000000000002</v>
      </c>
      <c r="P14" s="199">
        <f t="shared" si="0"/>
        <v>0.64800000000000002</v>
      </c>
      <c r="Q14" s="199">
        <f t="shared" si="0"/>
        <v>0.64800000000000002</v>
      </c>
      <c r="R14" s="199">
        <f t="shared" si="0"/>
        <v>0.64800000000000002</v>
      </c>
      <c r="S14" s="199">
        <f t="shared" ref="S14:AB15" si="1">IF(S$12="","",$H14*S$37)</f>
        <v>0.64800000000000002</v>
      </c>
      <c r="T14" s="199">
        <f t="shared" si="1"/>
        <v>0.64800000000000002</v>
      </c>
      <c r="U14" s="199">
        <f t="shared" si="1"/>
        <v>0.64800000000000002</v>
      </c>
      <c r="V14" s="199">
        <f t="shared" si="1"/>
        <v>0.64800000000000002</v>
      </c>
      <c r="W14" s="199">
        <f t="shared" si="1"/>
        <v>0.64800000000000002</v>
      </c>
      <c r="X14" s="199">
        <f t="shared" si="1"/>
        <v>0.64800000000000002</v>
      </c>
      <c r="Y14" s="199">
        <f t="shared" si="1"/>
        <v>0.64800000000000002</v>
      </c>
      <c r="Z14" s="199">
        <f t="shared" si="1"/>
        <v>0.64800000000000002</v>
      </c>
      <c r="AA14" s="199">
        <f t="shared" si="1"/>
        <v>0.64800000000000002</v>
      </c>
      <c r="AB14" s="199">
        <f t="shared" si="1"/>
        <v>0.64800000000000002</v>
      </c>
      <c r="AC14" s="199">
        <f t="shared" ref="AC14:AJ15" si="2">IF(AC$12="","",$H14*AC$37)</f>
        <v>0.64800000000000002</v>
      </c>
      <c r="AD14" s="199">
        <f t="shared" si="2"/>
        <v>0.64800000000000002</v>
      </c>
      <c r="AE14" s="199">
        <f t="shared" si="2"/>
        <v>0.64800000000000002</v>
      </c>
      <c r="AF14" s="199">
        <f t="shared" si="2"/>
        <v>0.64800000000000002</v>
      </c>
      <c r="AG14" s="199">
        <f t="shared" si="2"/>
        <v>0.64800000000000002</v>
      </c>
      <c r="AH14" s="199">
        <f t="shared" si="2"/>
        <v>0.64800000000000002</v>
      </c>
      <c r="AI14" s="199">
        <f t="shared" si="2"/>
        <v>0.64800000000000002</v>
      </c>
      <c r="AJ14" s="199">
        <f t="shared" si="2"/>
        <v>0.64800000000000002</v>
      </c>
    </row>
    <row r="15" spans="1:36" s="88" customFormat="1" ht="15.6" x14ac:dyDescent="0.3">
      <c r="A15" s="496" t="s">
        <v>40</v>
      </c>
      <c r="B15" s="49" t="str">
        <f>'Key inputs_EB'!B151</f>
        <v>Thermal uses</v>
      </c>
      <c r="C15" s="49" t="str">
        <f>'Key inputs_EB'!C151</f>
        <v>S-TH</v>
      </c>
      <c r="D15" s="49" t="str">
        <f>'Key inputs_EB'!D151</f>
        <v>Coal</v>
      </c>
      <c r="E15" s="49" t="str">
        <f>'Key inputs_EB'!E151</f>
        <v>SRVCOA</v>
      </c>
      <c r="F15" s="88" t="s">
        <v>165</v>
      </c>
      <c r="G15" s="621" t="s">
        <v>306</v>
      </c>
      <c r="H15" s="256">
        <f>'S3'!G25</f>
        <v>0.75</v>
      </c>
      <c r="I15" s="199">
        <f t="shared" si="0"/>
        <v>0.67500000000000004</v>
      </c>
      <c r="J15" s="199">
        <f t="shared" si="0"/>
        <v>0.67500000000000004</v>
      </c>
      <c r="K15" s="199">
        <f t="shared" si="0"/>
        <v>0.67500000000000004</v>
      </c>
      <c r="L15" s="199">
        <f t="shared" si="0"/>
        <v>0.67500000000000004</v>
      </c>
      <c r="M15" s="199">
        <f t="shared" si="0"/>
        <v>0.67500000000000004</v>
      </c>
      <c r="N15" s="199">
        <f t="shared" si="0"/>
        <v>0.67500000000000004</v>
      </c>
      <c r="O15" s="199">
        <f t="shared" si="0"/>
        <v>0.67500000000000004</v>
      </c>
      <c r="P15" s="199">
        <f t="shared" si="0"/>
        <v>0.67500000000000004</v>
      </c>
      <c r="Q15" s="199">
        <f t="shared" si="0"/>
        <v>0.67500000000000004</v>
      </c>
      <c r="R15" s="199">
        <f t="shared" si="0"/>
        <v>0.67500000000000004</v>
      </c>
      <c r="S15" s="199">
        <f t="shared" si="1"/>
        <v>0.67500000000000004</v>
      </c>
      <c r="T15" s="199">
        <f t="shared" si="1"/>
        <v>0.67500000000000004</v>
      </c>
      <c r="U15" s="199">
        <f t="shared" si="1"/>
        <v>0.67500000000000004</v>
      </c>
      <c r="V15" s="199">
        <f t="shared" si="1"/>
        <v>0.67500000000000004</v>
      </c>
      <c r="W15" s="199">
        <f t="shared" si="1"/>
        <v>0.67500000000000004</v>
      </c>
      <c r="X15" s="199">
        <f t="shared" si="1"/>
        <v>0.67500000000000004</v>
      </c>
      <c r="Y15" s="199">
        <f t="shared" si="1"/>
        <v>0.67500000000000004</v>
      </c>
      <c r="Z15" s="199">
        <f t="shared" si="1"/>
        <v>0.67500000000000004</v>
      </c>
      <c r="AA15" s="199">
        <f t="shared" si="1"/>
        <v>0.67500000000000004</v>
      </c>
      <c r="AB15" s="199">
        <f t="shared" si="1"/>
        <v>0.67500000000000004</v>
      </c>
      <c r="AC15" s="199">
        <f t="shared" si="2"/>
        <v>0.67500000000000004</v>
      </c>
      <c r="AD15" s="199">
        <f t="shared" si="2"/>
        <v>0.67500000000000004</v>
      </c>
      <c r="AE15" s="199">
        <f t="shared" si="2"/>
        <v>0.67500000000000004</v>
      </c>
      <c r="AF15" s="199">
        <f t="shared" si="2"/>
        <v>0.67500000000000004</v>
      </c>
      <c r="AG15" s="199">
        <f t="shared" si="2"/>
        <v>0.67500000000000004</v>
      </c>
      <c r="AH15" s="199">
        <f t="shared" si="2"/>
        <v>0.67500000000000004</v>
      </c>
      <c r="AI15" s="199">
        <f t="shared" si="2"/>
        <v>0.67500000000000004</v>
      </c>
      <c r="AJ15" s="199">
        <f t="shared" si="2"/>
        <v>0.67500000000000004</v>
      </c>
    </row>
    <row r="16" spans="1:36" s="88" customFormat="1" ht="15.6" x14ac:dyDescent="0.3">
      <c r="A16" s="496" t="s">
        <v>40</v>
      </c>
      <c r="B16" s="49" t="str">
        <f>'Key inputs_EB'!B152</f>
        <v>Thermal uses</v>
      </c>
      <c r="C16" s="49" t="str">
        <f>'Key inputs_EB'!C152</f>
        <v>S-TH</v>
      </c>
      <c r="D16" s="49" t="str">
        <f>'Key inputs_EB'!D152</f>
        <v>Electricity</v>
      </c>
      <c r="E16" s="49" t="str">
        <f>'Key inputs_EB'!E152</f>
        <v>SRVELC</v>
      </c>
      <c r="F16" s="88" t="s">
        <v>165</v>
      </c>
      <c r="G16" s="621" t="s">
        <v>704</v>
      </c>
      <c r="H16" s="402">
        <f>'S2'!$I$57</f>
        <v>0.99</v>
      </c>
      <c r="I16" s="199">
        <f>IF(I$12="","",'S2'!$I$57)</f>
        <v>0.99</v>
      </c>
      <c r="J16" s="199">
        <f>IF(J$12="","",'S2'!$I$57)</f>
        <v>0.99</v>
      </c>
      <c r="K16" s="199">
        <f>IF(K$12="","",'S2'!$I$57)</f>
        <v>0.99</v>
      </c>
      <c r="L16" s="199">
        <f>IF(L$12="","",'S2'!$I$57)</f>
        <v>0.99</v>
      </c>
      <c r="M16" s="199">
        <f>IF(M$12="","",'S2'!$I$57)</f>
        <v>0.99</v>
      </c>
      <c r="N16" s="199">
        <f>IF(N$12="","",'S2'!$I$57)</f>
        <v>0.99</v>
      </c>
      <c r="O16" s="199">
        <f>IF(O$12="","",'S2'!$I$57)</f>
        <v>0.99</v>
      </c>
      <c r="P16" s="199">
        <f>IF(P$12="","",'S2'!$I$57)</f>
        <v>0.99</v>
      </c>
      <c r="Q16" s="199">
        <f>IF(Q$12="","",'S2'!$I$57)</f>
        <v>0.99</v>
      </c>
      <c r="R16" s="199">
        <f>IF(R$12="","",'S2'!$I$57)</f>
        <v>0.99</v>
      </c>
      <c r="S16" s="199">
        <f>IF(S$12="","",'S2'!$I$57)</f>
        <v>0.99</v>
      </c>
      <c r="T16" s="199">
        <f>IF(T$12="","",'S2'!$I$57)</f>
        <v>0.99</v>
      </c>
      <c r="U16" s="199">
        <f>IF(U$12="","",'S2'!$I$57)</f>
        <v>0.99</v>
      </c>
      <c r="V16" s="199">
        <f>IF(V$12="","",'S2'!$I$57)</f>
        <v>0.99</v>
      </c>
      <c r="W16" s="199">
        <f>IF(W$12="","",'S2'!$I$57)</f>
        <v>0.99</v>
      </c>
      <c r="X16" s="199">
        <f>IF(X$12="","",'S2'!$I$57)</f>
        <v>0.99</v>
      </c>
      <c r="Y16" s="199">
        <f>IF(Y$12="","",'S2'!$I$57)</f>
        <v>0.99</v>
      </c>
      <c r="Z16" s="199">
        <f>IF(Z$12="","",'S2'!$I$57)</f>
        <v>0.99</v>
      </c>
      <c r="AA16" s="199">
        <f>IF(AA$12="","",'S2'!$I$57)</f>
        <v>0.99</v>
      </c>
      <c r="AB16" s="199">
        <f>IF(AB$12="","",'S2'!$I$57)</f>
        <v>0.99</v>
      </c>
      <c r="AC16" s="199">
        <f>IF(AC$12="","",'S2'!$I$57)</f>
        <v>0.99</v>
      </c>
      <c r="AD16" s="199">
        <f>IF(AD$12="","",'S2'!$I$57)</f>
        <v>0.99</v>
      </c>
      <c r="AE16" s="199">
        <f>IF(AE$12="","",'S2'!$I$57)</f>
        <v>0.99</v>
      </c>
      <c r="AF16" s="199">
        <f>IF(AF$12="","",'S2'!$I$57)</f>
        <v>0.99</v>
      </c>
      <c r="AG16" s="199">
        <f>IF(AG$12="","",'S2'!$I$57)</f>
        <v>0.99</v>
      </c>
      <c r="AH16" s="199">
        <f>IF(AH$12="","",'S2'!$I$57)</f>
        <v>0.99</v>
      </c>
      <c r="AI16" s="199">
        <f>IF(AI$12="","",'S2'!$I$57)</f>
        <v>0.99</v>
      </c>
      <c r="AJ16" s="199">
        <f>IF(AJ$12="","",'S2'!$I$57)</f>
        <v>0.99</v>
      </c>
    </row>
    <row r="17" spans="1:36" s="88" customFormat="1" ht="15.6" x14ac:dyDescent="0.3">
      <c r="A17" s="496" t="s">
        <v>40</v>
      </c>
      <c r="B17" s="49" t="s">
        <v>110</v>
      </c>
      <c r="C17" s="49" t="str">
        <f>'Key inputs_EB'!C153</f>
        <v>S-TH</v>
      </c>
      <c r="D17" s="49" t="s">
        <v>491</v>
      </c>
      <c r="E17" s="49" t="str">
        <f>'Key inputs_EB'!E152</f>
        <v>SRVELC</v>
      </c>
      <c r="F17" s="88" t="s">
        <v>165</v>
      </c>
      <c r="G17" s="621" t="s">
        <v>704</v>
      </c>
      <c r="H17" s="402">
        <v>2.38</v>
      </c>
      <c r="I17" s="199">
        <f t="shared" ref="I17:AJ17" si="3">IF(I$12="","",$H$17*I$38)</f>
        <v>2.6656</v>
      </c>
      <c r="J17" s="199">
        <f t="shared" si="3"/>
        <v>2.6656</v>
      </c>
      <c r="K17" s="199">
        <f t="shared" si="3"/>
        <v>2.6656</v>
      </c>
      <c r="L17" s="199">
        <f t="shared" si="3"/>
        <v>2.6656</v>
      </c>
      <c r="M17" s="199">
        <f t="shared" si="3"/>
        <v>2.38</v>
      </c>
      <c r="N17" s="199">
        <f t="shared" si="3"/>
        <v>1.9753999999999998</v>
      </c>
      <c r="O17" s="199">
        <f t="shared" si="3"/>
        <v>1.9753999999999998</v>
      </c>
      <c r="P17" s="199">
        <f t="shared" si="3"/>
        <v>2.38</v>
      </c>
      <c r="Q17" s="199">
        <f t="shared" si="3"/>
        <v>2.6656</v>
      </c>
      <c r="R17" s="199">
        <f t="shared" si="3"/>
        <v>2.38</v>
      </c>
      <c r="S17" s="199">
        <f t="shared" si="3"/>
        <v>2.6656</v>
      </c>
      <c r="T17" s="199">
        <f t="shared" si="3"/>
        <v>1.9753999999999998</v>
      </c>
      <c r="U17" s="199">
        <f t="shared" si="3"/>
        <v>2.6656</v>
      </c>
      <c r="V17" s="199">
        <f t="shared" si="3"/>
        <v>2.6656</v>
      </c>
      <c r="W17" s="199">
        <f t="shared" si="3"/>
        <v>2.6656</v>
      </c>
      <c r="X17" s="199">
        <f t="shared" si="3"/>
        <v>1.9753999999999998</v>
      </c>
      <c r="Y17" s="199">
        <f t="shared" si="3"/>
        <v>1.9753999999999998</v>
      </c>
      <c r="Z17" s="199">
        <f t="shared" si="3"/>
        <v>1.9753999999999998</v>
      </c>
      <c r="AA17" s="199">
        <f t="shared" si="3"/>
        <v>2.38</v>
      </c>
      <c r="AB17" s="199">
        <f t="shared" si="3"/>
        <v>2.38</v>
      </c>
      <c r="AC17" s="199">
        <f t="shared" si="3"/>
        <v>2.6656</v>
      </c>
      <c r="AD17" s="199">
        <f t="shared" si="3"/>
        <v>2.6656</v>
      </c>
      <c r="AE17" s="199">
        <f t="shared" si="3"/>
        <v>2.6656</v>
      </c>
      <c r="AF17" s="199">
        <f t="shared" si="3"/>
        <v>2.6656</v>
      </c>
      <c r="AG17" s="199">
        <f t="shared" si="3"/>
        <v>2.6656</v>
      </c>
      <c r="AH17" s="199">
        <f t="shared" si="3"/>
        <v>2.6656</v>
      </c>
      <c r="AI17" s="199">
        <f t="shared" si="3"/>
        <v>1.9753999999999998</v>
      </c>
      <c r="AJ17" s="199">
        <f t="shared" si="3"/>
        <v>1.9753999999999998</v>
      </c>
    </row>
    <row r="18" spans="1:36" s="88" customFormat="1" ht="15.6" x14ac:dyDescent="0.3">
      <c r="A18" s="496" t="s">
        <v>40</v>
      </c>
      <c r="B18" s="49" t="str">
        <f>'Key inputs_EB'!B153</f>
        <v>Thermal uses</v>
      </c>
      <c r="C18" s="49" t="str">
        <f>'Key inputs_EB'!C153</f>
        <v>S-TH</v>
      </c>
      <c r="D18" s="49" t="str">
        <f>'Key inputs_EB'!D153</f>
        <v>Natural gas, Biogas</v>
      </c>
      <c r="E18" s="49" t="str">
        <f>'Key inputs_EB'!E153</f>
        <v>SRVGAS, SRVBGS</v>
      </c>
      <c r="F18" s="88" t="s">
        <v>165</v>
      </c>
      <c r="G18" s="621" t="s">
        <v>704</v>
      </c>
      <c r="H18" s="402">
        <v>1.0300800000000001</v>
      </c>
      <c r="I18" s="199">
        <f t="shared" ref="I18:R23" si="4">IF(I$12="","",$H18*I$37)</f>
        <v>0.92707200000000012</v>
      </c>
      <c r="J18" s="199">
        <f t="shared" si="4"/>
        <v>0.92707200000000012</v>
      </c>
      <c r="K18" s="199">
        <f t="shared" si="4"/>
        <v>0.92707200000000012</v>
      </c>
      <c r="L18" s="199">
        <f t="shared" si="4"/>
        <v>0.92707200000000012</v>
      </c>
      <c r="M18" s="199">
        <f t="shared" si="4"/>
        <v>0.92707200000000012</v>
      </c>
      <c r="N18" s="199">
        <f t="shared" si="4"/>
        <v>0.92707200000000012</v>
      </c>
      <c r="O18" s="199">
        <f t="shared" si="4"/>
        <v>0.92707200000000012</v>
      </c>
      <c r="P18" s="199">
        <f t="shared" si="4"/>
        <v>0.92707200000000012</v>
      </c>
      <c r="Q18" s="199">
        <f t="shared" si="4"/>
        <v>0.92707200000000012</v>
      </c>
      <c r="R18" s="199">
        <f t="shared" si="4"/>
        <v>0.92707200000000012</v>
      </c>
      <c r="S18" s="199">
        <f t="shared" ref="S18:AB23" si="5">IF(S$12="","",$H18*S$37)</f>
        <v>0.92707200000000012</v>
      </c>
      <c r="T18" s="199">
        <f t="shared" si="5"/>
        <v>0.92707200000000012</v>
      </c>
      <c r="U18" s="199">
        <f t="shared" si="5"/>
        <v>0.92707200000000012</v>
      </c>
      <c r="V18" s="199">
        <f t="shared" si="5"/>
        <v>0.92707200000000012</v>
      </c>
      <c r="W18" s="199">
        <f t="shared" si="5"/>
        <v>0.92707200000000012</v>
      </c>
      <c r="X18" s="199">
        <f t="shared" si="5"/>
        <v>0.92707200000000012</v>
      </c>
      <c r="Y18" s="199">
        <f t="shared" si="5"/>
        <v>0.92707200000000012</v>
      </c>
      <c r="Z18" s="199">
        <f t="shared" si="5"/>
        <v>0.92707200000000012</v>
      </c>
      <c r="AA18" s="199">
        <f t="shared" si="5"/>
        <v>0.92707200000000012</v>
      </c>
      <c r="AB18" s="199">
        <f t="shared" si="5"/>
        <v>0.92707200000000012</v>
      </c>
      <c r="AC18" s="199">
        <f t="shared" ref="AC18:AJ23" si="6">IF(AC$12="","",$H18*AC$37)</f>
        <v>0.92707200000000012</v>
      </c>
      <c r="AD18" s="199">
        <f t="shared" si="6"/>
        <v>0.92707200000000012</v>
      </c>
      <c r="AE18" s="199">
        <f t="shared" si="6"/>
        <v>0.92707200000000012</v>
      </c>
      <c r="AF18" s="199">
        <f t="shared" si="6"/>
        <v>0.92707200000000012</v>
      </c>
      <c r="AG18" s="199">
        <f t="shared" si="6"/>
        <v>0.92707200000000012</v>
      </c>
      <c r="AH18" s="199">
        <f t="shared" si="6"/>
        <v>0.92707200000000012</v>
      </c>
      <c r="AI18" s="199">
        <f t="shared" si="6"/>
        <v>0.92707200000000012</v>
      </c>
      <c r="AJ18" s="199">
        <f t="shared" si="6"/>
        <v>0.92707200000000012</v>
      </c>
    </row>
    <row r="19" spans="1:36" s="88" customFormat="1" ht="15.6" x14ac:dyDescent="0.3">
      <c r="A19" s="496" t="s">
        <v>40</v>
      </c>
      <c r="B19" s="49" t="str">
        <f>'Key inputs_EB'!B154</f>
        <v>Thermal uses</v>
      </c>
      <c r="C19" s="49" t="str">
        <f>'Key inputs_EB'!C154</f>
        <v>S-TH</v>
      </c>
      <c r="D19" s="49" t="str">
        <f>'Key inputs_EB'!D154</f>
        <v>Geothermal</v>
      </c>
      <c r="E19" s="49" t="str">
        <f>'Key inputs_EB'!E154</f>
        <v>SRVGEO</v>
      </c>
      <c r="F19" s="88" t="s">
        <v>165</v>
      </c>
      <c r="G19" s="621" t="s">
        <v>704</v>
      </c>
      <c r="H19" s="402">
        <v>3.6</v>
      </c>
      <c r="I19" s="199">
        <f t="shared" si="4"/>
        <v>3.24</v>
      </c>
      <c r="J19" s="199">
        <f>IF(J$12="","",$H19*J$37)</f>
        <v>3.24</v>
      </c>
      <c r="K19" s="199">
        <f t="shared" si="4"/>
        <v>3.24</v>
      </c>
      <c r="L19" s="199">
        <f t="shared" si="4"/>
        <v>3.24</v>
      </c>
      <c r="M19" s="199">
        <f t="shared" si="4"/>
        <v>3.24</v>
      </c>
      <c r="N19" s="199">
        <f t="shared" si="4"/>
        <v>3.24</v>
      </c>
      <c r="O19" s="199">
        <f t="shared" si="4"/>
        <v>3.24</v>
      </c>
      <c r="P19" s="199">
        <f t="shared" si="4"/>
        <v>3.24</v>
      </c>
      <c r="Q19" s="199">
        <f t="shared" si="4"/>
        <v>3.24</v>
      </c>
      <c r="R19" s="199">
        <f t="shared" si="4"/>
        <v>3.24</v>
      </c>
      <c r="S19" s="199">
        <f t="shared" si="5"/>
        <v>3.24</v>
      </c>
      <c r="T19" s="199">
        <f t="shared" si="5"/>
        <v>3.24</v>
      </c>
      <c r="U19" s="199">
        <f t="shared" si="5"/>
        <v>3.24</v>
      </c>
      <c r="V19" s="199">
        <f t="shared" si="5"/>
        <v>3.24</v>
      </c>
      <c r="W19" s="199">
        <f t="shared" si="5"/>
        <v>3.24</v>
      </c>
      <c r="X19" s="199">
        <f t="shared" si="5"/>
        <v>3.24</v>
      </c>
      <c r="Y19" s="199">
        <f t="shared" si="5"/>
        <v>3.24</v>
      </c>
      <c r="Z19" s="199">
        <f t="shared" si="5"/>
        <v>3.24</v>
      </c>
      <c r="AA19" s="199">
        <f t="shared" si="5"/>
        <v>3.24</v>
      </c>
      <c r="AB19" s="199">
        <f t="shared" si="5"/>
        <v>3.24</v>
      </c>
      <c r="AC19" s="199">
        <f t="shared" si="6"/>
        <v>3.24</v>
      </c>
      <c r="AD19" s="199">
        <f t="shared" si="6"/>
        <v>3.24</v>
      </c>
      <c r="AE19" s="199">
        <f t="shared" si="6"/>
        <v>3.24</v>
      </c>
      <c r="AF19" s="199">
        <f t="shared" si="6"/>
        <v>3.24</v>
      </c>
      <c r="AG19" s="199">
        <f t="shared" si="6"/>
        <v>3.24</v>
      </c>
      <c r="AH19" s="199">
        <f t="shared" si="6"/>
        <v>3.24</v>
      </c>
      <c r="AI19" s="199">
        <f t="shared" si="6"/>
        <v>3.24</v>
      </c>
      <c r="AJ19" s="199">
        <f t="shared" si="6"/>
        <v>3.24</v>
      </c>
    </row>
    <row r="20" spans="1:36" s="88" customFormat="1" ht="15.6" x14ac:dyDescent="0.3">
      <c r="A20" s="496" t="s">
        <v>40</v>
      </c>
      <c r="B20" s="49" t="str">
        <f>'Key inputs_EB'!B155</f>
        <v>Thermal uses</v>
      </c>
      <c r="C20" s="49" t="str">
        <f>'Key inputs_EB'!C155</f>
        <v>S-TH</v>
      </c>
      <c r="D20" s="49" t="str">
        <f>'Key inputs_EB'!D155</f>
        <v>Heat</v>
      </c>
      <c r="E20" s="49" t="str">
        <f>'Key inputs_EB'!E155</f>
        <v>SRVHET</v>
      </c>
      <c r="F20" s="88" t="s">
        <v>165</v>
      </c>
      <c r="G20" s="621" t="s">
        <v>704</v>
      </c>
      <c r="H20" s="402">
        <v>0.72320888520081605</v>
      </c>
      <c r="I20" s="199">
        <f t="shared" si="4"/>
        <v>0.65088799668073449</v>
      </c>
      <c r="J20" s="199">
        <f t="shared" si="4"/>
        <v>0.65088799668073449</v>
      </c>
      <c r="K20" s="199">
        <f t="shared" si="4"/>
        <v>0.65088799668073449</v>
      </c>
      <c r="L20" s="199">
        <f t="shared" si="4"/>
        <v>0.65088799668073449</v>
      </c>
      <c r="M20" s="199">
        <f t="shared" si="4"/>
        <v>0.65088799668073449</v>
      </c>
      <c r="N20" s="199">
        <f t="shared" si="4"/>
        <v>0.65088799668073449</v>
      </c>
      <c r="O20" s="199">
        <f t="shared" si="4"/>
        <v>0.65088799668073449</v>
      </c>
      <c r="P20" s="199">
        <f t="shared" si="4"/>
        <v>0.65088799668073449</v>
      </c>
      <c r="Q20" s="199">
        <f t="shared" si="4"/>
        <v>0.65088799668073449</v>
      </c>
      <c r="R20" s="199">
        <f t="shared" si="4"/>
        <v>0.65088799668073449</v>
      </c>
      <c r="S20" s="199">
        <f t="shared" si="5"/>
        <v>0.65088799668073449</v>
      </c>
      <c r="T20" s="199">
        <f t="shared" si="5"/>
        <v>0.65088799668073449</v>
      </c>
      <c r="U20" s="199">
        <f t="shared" si="5"/>
        <v>0.65088799668073449</v>
      </c>
      <c r="V20" s="199">
        <f t="shared" si="5"/>
        <v>0.65088799668073449</v>
      </c>
      <c r="W20" s="199">
        <f t="shared" si="5"/>
        <v>0.65088799668073449</v>
      </c>
      <c r="X20" s="199">
        <f t="shared" si="5"/>
        <v>0.65088799668073449</v>
      </c>
      <c r="Y20" s="199">
        <f t="shared" si="5"/>
        <v>0.65088799668073449</v>
      </c>
      <c r="Z20" s="199">
        <f t="shared" si="5"/>
        <v>0.65088799668073449</v>
      </c>
      <c r="AA20" s="199">
        <f t="shared" si="5"/>
        <v>0.65088799668073449</v>
      </c>
      <c r="AB20" s="199">
        <f t="shared" si="5"/>
        <v>0.65088799668073449</v>
      </c>
      <c r="AC20" s="199">
        <f t="shared" si="6"/>
        <v>0.65088799668073449</v>
      </c>
      <c r="AD20" s="199">
        <f t="shared" si="6"/>
        <v>0.65088799668073449</v>
      </c>
      <c r="AE20" s="199">
        <f t="shared" si="6"/>
        <v>0.65088799668073449</v>
      </c>
      <c r="AF20" s="199">
        <f t="shared" si="6"/>
        <v>0.65088799668073449</v>
      </c>
      <c r="AG20" s="199">
        <f t="shared" si="6"/>
        <v>0.65088799668073449</v>
      </c>
      <c r="AH20" s="199">
        <f t="shared" si="6"/>
        <v>0.65088799668073449</v>
      </c>
      <c r="AI20" s="199">
        <f t="shared" si="6"/>
        <v>0.65088799668073449</v>
      </c>
      <c r="AJ20" s="199">
        <f t="shared" si="6"/>
        <v>0.65088799668073449</v>
      </c>
    </row>
    <row r="21" spans="1:36" s="88" customFormat="1" ht="15.6" x14ac:dyDescent="0.3">
      <c r="A21" s="496" t="s">
        <v>40</v>
      </c>
      <c r="B21" s="49" t="str">
        <f>'Key inputs_EB'!B156</f>
        <v>Thermal uses</v>
      </c>
      <c r="C21" s="49" t="str">
        <f>'Key inputs_EB'!C156</f>
        <v>S-TH</v>
      </c>
      <c r="D21" s="49" t="str">
        <f>'Key inputs_EB'!D156</f>
        <v>LPG</v>
      </c>
      <c r="E21" s="49" t="str">
        <f>'Key inputs_EB'!E156</f>
        <v>SRVLPG</v>
      </c>
      <c r="F21" s="88" t="s">
        <v>165</v>
      </c>
      <c r="G21" s="621" t="s">
        <v>704</v>
      </c>
      <c r="H21" s="402">
        <v>0.78</v>
      </c>
      <c r="I21" s="199">
        <f t="shared" si="4"/>
        <v>0.70200000000000007</v>
      </c>
      <c r="J21" s="199">
        <f t="shared" si="4"/>
        <v>0.70200000000000007</v>
      </c>
      <c r="K21" s="199">
        <f t="shared" si="4"/>
        <v>0.70200000000000007</v>
      </c>
      <c r="L21" s="199">
        <f t="shared" si="4"/>
        <v>0.70200000000000007</v>
      </c>
      <c r="M21" s="199">
        <f t="shared" si="4"/>
        <v>0.70200000000000007</v>
      </c>
      <c r="N21" s="199">
        <f t="shared" si="4"/>
        <v>0.70200000000000007</v>
      </c>
      <c r="O21" s="199">
        <f t="shared" si="4"/>
        <v>0.70200000000000007</v>
      </c>
      <c r="P21" s="199">
        <f t="shared" si="4"/>
        <v>0.70200000000000007</v>
      </c>
      <c r="Q21" s="199">
        <f t="shared" si="4"/>
        <v>0.70200000000000007</v>
      </c>
      <c r="R21" s="199">
        <f t="shared" si="4"/>
        <v>0.70200000000000007</v>
      </c>
      <c r="S21" s="199">
        <f t="shared" si="5"/>
        <v>0.70200000000000007</v>
      </c>
      <c r="T21" s="199">
        <f t="shared" si="5"/>
        <v>0.70200000000000007</v>
      </c>
      <c r="U21" s="199">
        <f t="shared" si="5"/>
        <v>0.70200000000000007</v>
      </c>
      <c r="V21" s="199">
        <f t="shared" si="5"/>
        <v>0.70200000000000007</v>
      </c>
      <c r="W21" s="199">
        <f t="shared" si="5"/>
        <v>0.70200000000000007</v>
      </c>
      <c r="X21" s="199">
        <f t="shared" si="5"/>
        <v>0.70200000000000007</v>
      </c>
      <c r="Y21" s="199">
        <f t="shared" si="5"/>
        <v>0.70200000000000007</v>
      </c>
      <c r="Z21" s="199">
        <f t="shared" si="5"/>
        <v>0.70200000000000007</v>
      </c>
      <c r="AA21" s="199">
        <f t="shared" si="5"/>
        <v>0.70200000000000007</v>
      </c>
      <c r="AB21" s="199">
        <f t="shared" si="5"/>
        <v>0.70200000000000007</v>
      </c>
      <c r="AC21" s="199">
        <f t="shared" si="6"/>
        <v>0.70200000000000007</v>
      </c>
      <c r="AD21" s="199">
        <f t="shared" si="6"/>
        <v>0.70200000000000007</v>
      </c>
      <c r="AE21" s="199">
        <f t="shared" si="6"/>
        <v>0.70200000000000007</v>
      </c>
      <c r="AF21" s="199">
        <f t="shared" si="6"/>
        <v>0.70200000000000007</v>
      </c>
      <c r="AG21" s="199">
        <f t="shared" si="6"/>
        <v>0.70200000000000007</v>
      </c>
      <c r="AH21" s="199">
        <f t="shared" si="6"/>
        <v>0.70200000000000007</v>
      </c>
      <c r="AI21" s="199">
        <f t="shared" si="6"/>
        <v>0.70200000000000007</v>
      </c>
      <c r="AJ21" s="199">
        <f t="shared" si="6"/>
        <v>0.70200000000000007</v>
      </c>
    </row>
    <row r="22" spans="1:36" s="88" customFormat="1" ht="15.6" x14ac:dyDescent="0.3">
      <c r="A22" s="496" t="s">
        <v>40</v>
      </c>
      <c r="B22" s="49" t="str">
        <f>'Key inputs_EB'!B157</f>
        <v>Thermal uses</v>
      </c>
      <c r="C22" s="49" t="str">
        <f>'Key inputs_EB'!C157</f>
        <v>S-TH</v>
      </c>
      <c r="D22" s="49" t="str">
        <f>'Key inputs_EB'!D157</f>
        <v>Oil, Liquid biofuels</v>
      </c>
      <c r="E22" s="49" t="str">
        <f>'Key inputs_EB'!E157</f>
        <v>SRVOIL, SRVBLQ</v>
      </c>
      <c r="F22" s="88" t="s">
        <v>165</v>
      </c>
      <c r="G22" s="621" t="s">
        <v>704</v>
      </c>
      <c r="H22" s="402">
        <v>0.78</v>
      </c>
      <c r="I22" s="199">
        <f t="shared" si="4"/>
        <v>0.70200000000000007</v>
      </c>
      <c r="J22" s="199">
        <f t="shared" si="4"/>
        <v>0.70200000000000007</v>
      </c>
      <c r="K22" s="199">
        <f t="shared" si="4"/>
        <v>0.70200000000000007</v>
      </c>
      <c r="L22" s="199">
        <f t="shared" si="4"/>
        <v>0.70200000000000007</v>
      </c>
      <c r="M22" s="199">
        <f t="shared" si="4"/>
        <v>0.70200000000000007</v>
      </c>
      <c r="N22" s="199">
        <f t="shared" si="4"/>
        <v>0.70200000000000007</v>
      </c>
      <c r="O22" s="199">
        <f t="shared" si="4"/>
        <v>0.70200000000000007</v>
      </c>
      <c r="P22" s="199">
        <f t="shared" si="4"/>
        <v>0.70200000000000007</v>
      </c>
      <c r="Q22" s="199">
        <f t="shared" si="4"/>
        <v>0.70200000000000007</v>
      </c>
      <c r="R22" s="199">
        <f t="shared" si="4"/>
        <v>0.70200000000000007</v>
      </c>
      <c r="S22" s="199">
        <f t="shared" si="5"/>
        <v>0.70200000000000007</v>
      </c>
      <c r="T22" s="199">
        <f t="shared" si="5"/>
        <v>0.70200000000000007</v>
      </c>
      <c r="U22" s="199">
        <f t="shared" si="5"/>
        <v>0.70200000000000007</v>
      </c>
      <c r="V22" s="199">
        <f t="shared" si="5"/>
        <v>0.70200000000000007</v>
      </c>
      <c r="W22" s="199">
        <f t="shared" si="5"/>
        <v>0.70200000000000007</v>
      </c>
      <c r="X22" s="199">
        <f t="shared" si="5"/>
        <v>0.70200000000000007</v>
      </c>
      <c r="Y22" s="199">
        <f t="shared" si="5"/>
        <v>0.70200000000000007</v>
      </c>
      <c r="Z22" s="199">
        <f t="shared" si="5"/>
        <v>0.70200000000000007</v>
      </c>
      <c r="AA22" s="199">
        <f t="shared" si="5"/>
        <v>0.70200000000000007</v>
      </c>
      <c r="AB22" s="199">
        <f t="shared" si="5"/>
        <v>0.70200000000000007</v>
      </c>
      <c r="AC22" s="199">
        <f t="shared" si="6"/>
        <v>0.70200000000000007</v>
      </c>
      <c r="AD22" s="199">
        <f t="shared" si="6"/>
        <v>0.70200000000000007</v>
      </c>
      <c r="AE22" s="199">
        <f t="shared" si="6"/>
        <v>0.70200000000000007</v>
      </c>
      <c r="AF22" s="199">
        <f t="shared" si="6"/>
        <v>0.70200000000000007</v>
      </c>
      <c r="AG22" s="199">
        <f t="shared" si="6"/>
        <v>0.70200000000000007</v>
      </c>
      <c r="AH22" s="199">
        <f t="shared" si="6"/>
        <v>0.70200000000000007</v>
      </c>
      <c r="AI22" s="199">
        <f t="shared" si="6"/>
        <v>0.70200000000000007</v>
      </c>
      <c r="AJ22" s="199">
        <f t="shared" si="6"/>
        <v>0.70200000000000007</v>
      </c>
    </row>
    <row r="23" spans="1:36" s="88" customFormat="1" ht="15.6" x14ac:dyDescent="0.3">
      <c r="A23" s="496" t="s">
        <v>40</v>
      </c>
      <c r="B23" s="51" t="str">
        <f>'Key inputs_EB'!B158</f>
        <v>Thermal uses</v>
      </c>
      <c r="C23" s="51" t="str">
        <f>'Key inputs_EB'!C158</f>
        <v>S-TH</v>
      </c>
      <c r="D23" s="51" t="str">
        <f>'Key inputs_EB'!D158</f>
        <v>Solar</v>
      </c>
      <c r="E23" s="51" t="str">
        <f>'Key inputs_EB'!E158</f>
        <v>SRVSOL</v>
      </c>
      <c r="F23" s="90" t="s">
        <v>165</v>
      </c>
      <c r="G23" s="622" t="s">
        <v>306</v>
      </c>
      <c r="H23" s="403">
        <v>1</v>
      </c>
      <c r="I23" s="259">
        <f t="shared" si="4"/>
        <v>0.9</v>
      </c>
      <c r="J23" s="259">
        <f t="shared" si="4"/>
        <v>0.9</v>
      </c>
      <c r="K23" s="259">
        <f t="shared" si="4"/>
        <v>0.9</v>
      </c>
      <c r="L23" s="259">
        <f t="shared" si="4"/>
        <v>0.9</v>
      </c>
      <c r="M23" s="259">
        <f t="shared" si="4"/>
        <v>0.9</v>
      </c>
      <c r="N23" s="259">
        <f t="shared" si="4"/>
        <v>0.9</v>
      </c>
      <c r="O23" s="259">
        <f t="shared" si="4"/>
        <v>0.9</v>
      </c>
      <c r="P23" s="259">
        <f t="shared" si="4"/>
        <v>0.9</v>
      </c>
      <c r="Q23" s="259">
        <f t="shared" si="4"/>
        <v>0.9</v>
      </c>
      <c r="R23" s="259">
        <f t="shared" si="4"/>
        <v>0.9</v>
      </c>
      <c r="S23" s="259">
        <f t="shared" si="5"/>
        <v>0.9</v>
      </c>
      <c r="T23" s="259">
        <f t="shared" si="5"/>
        <v>0.9</v>
      </c>
      <c r="U23" s="259">
        <f t="shared" si="5"/>
        <v>0.9</v>
      </c>
      <c r="V23" s="259">
        <f t="shared" si="5"/>
        <v>0.9</v>
      </c>
      <c r="W23" s="259">
        <f t="shared" si="5"/>
        <v>0.9</v>
      </c>
      <c r="X23" s="259">
        <f t="shared" si="5"/>
        <v>0.9</v>
      </c>
      <c r="Y23" s="259">
        <f t="shared" si="5"/>
        <v>0.9</v>
      </c>
      <c r="Z23" s="259">
        <f t="shared" si="5"/>
        <v>0.9</v>
      </c>
      <c r="AA23" s="259">
        <f t="shared" si="5"/>
        <v>0.9</v>
      </c>
      <c r="AB23" s="259">
        <f t="shared" si="5"/>
        <v>0.9</v>
      </c>
      <c r="AC23" s="259">
        <f t="shared" si="6"/>
        <v>0.9</v>
      </c>
      <c r="AD23" s="259">
        <f t="shared" si="6"/>
        <v>0.9</v>
      </c>
      <c r="AE23" s="259">
        <f t="shared" si="6"/>
        <v>0.9</v>
      </c>
      <c r="AF23" s="259">
        <f t="shared" si="6"/>
        <v>0.9</v>
      </c>
      <c r="AG23" s="259">
        <f t="shared" si="6"/>
        <v>0.9</v>
      </c>
      <c r="AH23" s="259">
        <f t="shared" si="6"/>
        <v>0.9</v>
      </c>
      <c r="AI23" s="259">
        <f t="shared" si="6"/>
        <v>0.9</v>
      </c>
      <c r="AJ23" s="259">
        <f t="shared" si="6"/>
        <v>0.9</v>
      </c>
    </row>
    <row r="24" spans="1:36" s="88" customFormat="1" ht="15.6" x14ac:dyDescent="0.3">
      <c r="A24" s="496" t="s">
        <v>40</v>
      </c>
      <c r="B24" s="49" t="str">
        <f>'Key inputs_EB'!B159</f>
        <v>Air conditioning</v>
      </c>
      <c r="C24" s="49" t="str">
        <f>'Key inputs_EB'!C159</f>
        <v>S-AC</v>
      </c>
      <c r="D24" s="49" t="str">
        <f>'Key inputs_EB'!D159</f>
        <v>Natural gas, Biogas</v>
      </c>
      <c r="E24" s="49" t="str">
        <f>'Key inputs_EB'!E159</f>
        <v>SRVGAS, SRVBGS</v>
      </c>
      <c r="F24" s="88" t="s">
        <v>165</v>
      </c>
      <c r="G24" s="621" t="s">
        <v>704</v>
      </c>
      <c r="H24" s="256">
        <f>'S2'!I25</f>
        <v>1.3</v>
      </c>
      <c r="I24" s="199">
        <f t="shared" ref="I24:R25" si="7">IF(I$12="","",$H24*I$40)</f>
        <v>1.3</v>
      </c>
      <c r="J24" s="199">
        <f t="shared" si="7"/>
        <v>1.3</v>
      </c>
      <c r="K24" s="199">
        <f t="shared" si="7"/>
        <v>1.3</v>
      </c>
      <c r="L24" s="199">
        <f t="shared" si="7"/>
        <v>1.3</v>
      </c>
      <c r="M24" s="199">
        <f t="shared" si="7"/>
        <v>1.3</v>
      </c>
      <c r="N24" s="199">
        <f t="shared" si="7"/>
        <v>1.3</v>
      </c>
      <c r="O24" s="199">
        <f t="shared" si="7"/>
        <v>1.3</v>
      </c>
      <c r="P24" s="199">
        <f t="shared" si="7"/>
        <v>1.3</v>
      </c>
      <c r="Q24" s="199">
        <f t="shared" si="7"/>
        <v>1.3</v>
      </c>
      <c r="R24" s="199">
        <f t="shared" si="7"/>
        <v>1.3</v>
      </c>
      <c r="S24" s="199">
        <f t="shared" ref="S24:AB25" si="8">IF(S$12="","",$H24*S$40)</f>
        <v>1.3</v>
      </c>
      <c r="T24" s="199">
        <f t="shared" si="8"/>
        <v>1.3</v>
      </c>
      <c r="U24" s="199">
        <f t="shared" si="8"/>
        <v>1.3</v>
      </c>
      <c r="V24" s="199">
        <f t="shared" si="8"/>
        <v>1.3</v>
      </c>
      <c r="W24" s="199">
        <f t="shared" si="8"/>
        <v>1.3</v>
      </c>
      <c r="X24" s="199">
        <f t="shared" si="8"/>
        <v>1.3</v>
      </c>
      <c r="Y24" s="199">
        <f t="shared" si="8"/>
        <v>1.3</v>
      </c>
      <c r="Z24" s="199">
        <f t="shared" si="8"/>
        <v>1.3</v>
      </c>
      <c r="AA24" s="199">
        <f t="shared" si="8"/>
        <v>1.3</v>
      </c>
      <c r="AB24" s="199">
        <f t="shared" si="8"/>
        <v>1.3</v>
      </c>
      <c r="AC24" s="199">
        <f t="shared" ref="AC24:AJ25" si="9">IF(AC$12="","",$H24*AC$40)</f>
        <v>1.3</v>
      </c>
      <c r="AD24" s="199">
        <f t="shared" si="9"/>
        <v>1.3</v>
      </c>
      <c r="AE24" s="199">
        <f t="shared" si="9"/>
        <v>1.3</v>
      </c>
      <c r="AF24" s="199">
        <f t="shared" si="9"/>
        <v>1.3</v>
      </c>
      <c r="AG24" s="199">
        <f t="shared" si="9"/>
        <v>1.3</v>
      </c>
      <c r="AH24" s="199">
        <f t="shared" si="9"/>
        <v>1.3</v>
      </c>
      <c r="AI24" s="199">
        <f t="shared" si="9"/>
        <v>1.3</v>
      </c>
      <c r="AJ24" s="199">
        <f t="shared" si="9"/>
        <v>1.3</v>
      </c>
    </row>
    <row r="25" spans="1:36" s="88" customFormat="1" ht="15.6" x14ac:dyDescent="0.3">
      <c r="A25" s="496" t="s">
        <v>40</v>
      </c>
      <c r="B25" s="51" t="str">
        <f>'Key inputs_EB'!B160</f>
        <v>Air conditioning</v>
      </c>
      <c r="C25" s="51" t="str">
        <f>'Key inputs_EB'!C160</f>
        <v>S-AC</v>
      </c>
      <c r="D25" s="51" t="str">
        <f>'Key inputs_EB'!D160</f>
        <v>Electricity</v>
      </c>
      <c r="E25" s="51" t="str">
        <f>'Key inputs_EB'!E160</f>
        <v>SRVELC</v>
      </c>
      <c r="F25" s="90" t="s">
        <v>165</v>
      </c>
      <c r="G25" s="622" t="s">
        <v>704</v>
      </c>
      <c r="H25" s="403">
        <f>'S2'!I24</f>
        <v>2.7453024909845536</v>
      </c>
      <c r="I25" s="259">
        <f t="shared" si="7"/>
        <v>2.7453024909845536</v>
      </c>
      <c r="J25" s="259">
        <f t="shared" si="7"/>
        <v>2.7453024909845536</v>
      </c>
      <c r="K25" s="259">
        <f t="shared" si="7"/>
        <v>2.7453024909845536</v>
      </c>
      <c r="L25" s="259">
        <f t="shared" si="7"/>
        <v>2.7453024909845536</v>
      </c>
      <c r="M25" s="259">
        <f t="shared" si="7"/>
        <v>2.7453024909845536</v>
      </c>
      <c r="N25" s="259">
        <f t="shared" si="7"/>
        <v>2.7453024909845536</v>
      </c>
      <c r="O25" s="259">
        <f t="shared" si="7"/>
        <v>2.7453024909845536</v>
      </c>
      <c r="P25" s="259">
        <f t="shared" si="7"/>
        <v>2.7453024909845536</v>
      </c>
      <c r="Q25" s="259">
        <f t="shared" si="7"/>
        <v>2.7453024909845536</v>
      </c>
      <c r="R25" s="259">
        <f t="shared" si="7"/>
        <v>2.7453024909845536</v>
      </c>
      <c r="S25" s="259">
        <f t="shared" si="8"/>
        <v>2.7453024909845536</v>
      </c>
      <c r="T25" s="259">
        <f t="shared" si="8"/>
        <v>2.7453024909845536</v>
      </c>
      <c r="U25" s="259">
        <f t="shared" si="8"/>
        <v>2.7453024909845536</v>
      </c>
      <c r="V25" s="259">
        <f t="shared" si="8"/>
        <v>2.7453024909845536</v>
      </c>
      <c r="W25" s="259">
        <f t="shared" si="8"/>
        <v>2.7453024909845536</v>
      </c>
      <c r="X25" s="259">
        <f t="shared" si="8"/>
        <v>2.7453024909845536</v>
      </c>
      <c r="Y25" s="259">
        <f t="shared" si="8"/>
        <v>2.7453024909845536</v>
      </c>
      <c r="Z25" s="259">
        <f t="shared" si="8"/>
        <v>2.7453024909845536</v>
      </c>
      <c r="AA25" s="259">
        <f t="shared" si="8"/>
        <v>2.7453024909845536</v>
      </c>
      <c r="AB25" s="259">
        <f t="shared" si="8"/>
        <v>2.7453024909845536</v>
      </c>
      <c r="AC25" s="259">
        <f t="shared" si="9"/>
        <v>2.7453024909845536</v>
      </c>
      <c r="AD25" s="259">
        <f t="shared" si="9"/>
        <v>2.7453024909845536</v>
      </c>
      <c r="AE25" s="259">
        <f t="shared" si="9"/>
        <v>2.7453024909845536</v>
      </c>
      <c r="AF25" s="259">
        <f t="shared" si="9"/>
        <v>2.7453024909845536</v>
      </c>
      <c r="AG25" s="259">
        <f t="shared" si="9"/>
        <v>2.7453024909845536</v>
      </c>
      <c r="AH25" s="259">
        <f t="shared" si="9"/>
        <v>2.7453024909845536</v>
      </c>
      <c r="AI25" s="259">
        <f t="shared" si="9"/>
        <v>2.7453024909845536</v>
      </c>
      <c r="AJ25" s="259">
        <f t="shared" si="9"/>
        <v>2.7453024909845536</v>
      </c>
    </row>
    <row r="26" spans="1:36" s="88" customFormat="1" ht="15.6" x14ac:dyDescent="0.3">
      <c r="A26" s="496" t="s">
        <v>40</v>
      </c>
      <c r="B26" s="49" t="str">
        <f>'Key inputs_EB'!B161</f>
        <v>Cooking</v>
      </c>
      <c r="C26" s="49" t="str">
        <f>'Key inputs_EB'!C161</f>
        <v>S-CK</v>
      </c>
      <c r="D26" s="49" t="str">
        <f>'Key inputs_EB'!D161</f>
        <v>Biomass</v>
      </c>
      <c r="E26" s="49" t="str">
        <f>'Key inputs_EB'!E161</f>
        <v>SRVBIO</v>
      </c>
      <c r="F26" s="88" t="s">
        <v>165</v>
      </c>
      <c r="G26" s="621" t="s">
        <v>306</v>
      </c>
      <c r="H26" s="260">
        <f>'S3'!C64/100</f>
        <v>0.45100000000000001</v>
      </c>
      <c r="I26" s="199">
        <f t="shared" ref="I26:R31" si="10">IF(I$12="","",$H26*I$41)</f>
        <v>0.45100000000000001</v>
      </c>
      <c r="J26" s="199">
        <f t="shared" si="10"/>
        <v>0.45100000000000001</v>
      </c>
      <c r="K26" s="199">
        <f t="shared" si="10"/>
        <v>0.45100000000000001</v>
      </c>
      <c r="L26" s="199">
        <f t="shared" si="10"/>
        <v>0.45100000000000001</v>
      </c>
      <c r="M26" s="199">
        <f t="shared" si="10"/>
        <v>0.45100000000000001</v>
      </c>
      <c r="N26" s="199">
        <f t="shared" si="10"/>
        <v>0.45100000000000001</v>
      </c>
      <c r="O26" s="199">
        <f t="shared" si="10"/>
        <v>0.45100000000000001</v>
      </c>
      <c r="P26" s="199">
        <f t="shared" si="10"/>
        <v>0.45100000000000001</v>
      </c>
      <c r="Q26" s="199">
        <f t="shared" si="10"/>
        <v>0.45100000000000001</v>
      </c>
      <c r="R26" s="199">
        <f t="shared" si="10"/>
        <v>0.45100000000000001</v>
      </c>
      <c r="S26" s="199">
        <f t="shared" ref="S26:AB31" si="11">IF(S$12="","",$H26*S$41)</f>
        <v>0.45100000000000001</v>
      </c>
      <c r="T26" s="199">
        <f t="shared" si="11"/>
        <v>0.45100000000000001</v>
      </c>
      <c r="U26" s="199">
        <f t="shared" si="11"/>
        <v>0.45100000000000001</v>
      </c>
      <c r="V26" s="199">
        <f t="shared" si="11"/>
        <v>0.45100000000000001</v>
      </c>
      <c r="W26" s="199">
        <f t="shared" si="11"/>
        <v>0.45100000000000001</v>
      </c>
      <c r="X26" s="199">
        <f t="shared" si="11"/>
        <v>0.45100000000000001</v>
      </c>
      <c r="Y26" s="199">
        <f t="shared" si="11"/>
        <v>0.45100000000000001</v>
      </c>
      <c r="Z26" s="199">
        <f t="shared" si="11"/>
        <v>0.45100000000000001</v>
      </c>
      <c r="AA26" s="199">
        <f t="shared" si="11"/>
        <v>0.45100000000000001</v>
      </c>
      <c r="AB26" s="199">
        <f t="shared" si="11"/>
        <v>0.45100000000000001</v>
      </c>
      <c r="AC26" s="199">
        <f t="shared" ref="AC26:AJ31" si="12">IF(AC$12="","",$H26*AC$41)</f>
        <v>0.45100000000000001</v>
      </c>
      <c r="AD26" s="199">
        <f t="shared" si="12"/>
        <v>0.45100000000000001</v>
      </c>
      <c r="AE26" s="199">
        <f t="shared" si="12"/>
        <v>0.45100000000000001</v>
      </c>
      <c r="AF26" s="199">
        <f t="shared" si="12"/>
        <v>0.45100000000000001</v>
      </c>
      <c r="AG26" s="199">
        <f t="shared" si="12"/>
        <v>0.45100000000000001</v>
      </c>
      <c r="AH26" s="199">
        <f t="shared" si="12"/>
        <v>0.45100000000000001</v>
      </c>
      <c r="AI26" s="199">
        <f t="shared" si="12"/>
        <v>0.45100000000000001</v>
      </c>
      <c r="AJ26" s="199">
        <f t="shared" si="12"/>
        <v>0.45100000000000001</v>
      </c>
    </row>
    <row r="27" spans="1:36" s="88" customFormat="1" ht="15.6" x14ac:dyDescent="0.3">
      <c r="A27" s="496" t="s">
        <v>40</v>
      </c>
      <c r="B27" s="49" t="str">
        <f>'Key inputs_EB'!B162</f>
        <v>Cooking</v>
      </c>
      <c r="C27" s="49" t="str">
        <f>'Key inputs_EB'!C162</f>
        <v>S-CK</v>
      </c>
      <c r="D27" s="49" t="str">
        <f>'Key inputs_EB'!D162</f>
        <v>Coal</v>
      </c>
      <c r="E27" s="49" t="str">
        <f>'Key inputs_EB'!E162</f>
        <v>SRVCOA</v>
      </c>
      <c r="F27" s="88" t="s">
        <v>165</v>
      </c>
      <c r="G27" s="621" t="s">
        <v>704</v>
      </c>
      <c r="H27" s="260">
        <f>H26</f>
        <v>0.45100000000000001</v>
      </c>
      <c r="I27" s="199">
        <f t="shared" si="10"/>
        <v>0.45100000000000001</v>
      </c>
      <c r="J27" s="199">
        <f t="shared" si="10"/>
        <v>0.45100000000000001</v>
      </c>
      <c r="K27" s="199">
        <f t="shared" si="10"/>
        <v>0.45100000000000001</v>
      </c>
      <c r="L27" s="199">
        <f t="shared" si="10"/>
        <v>0.45100000000000001</v>
      </c>
      <c r="M27" s="199">
        <f t="shared" si="10"/>
        <v>0.45100000000000001</v>
      </c>
      <c r="N27" s="199">
        <f t="shared" si="10"/>
        <v>0.45100000000000001</v>
      </c>
      <c r="O27" s="199">
        <f t="shared" si="10"/>
        <v>0.45100000000000001</v>
      </c>
      <c r="P27" s="199">
        <f t="shared" si="10"/>
        <v>0.45100000000000001</v>
      </c>
      <c r="Q27" s="199">
        <f t="shared" si="10"/>
        <v>0.45100000000000001</v>
      </c>
      <c r="R27" s="199">
        <f t="shared" si="10"/>
        <v>0.45100000000000001</v>
      </c>
      <c r="S27" s="199">
        <f t="shared" si="11"/>
        <v>0.45100000000000001</v>
      </c>
      <c r="T27" s="199">
        <f t="shared" si="11"/>
        <v>0.45100000000000001</v>
      </c>
      <c r="U27" s="199">
        <f t="shared" si="11"/>
        <v>0.45100000000000001</v>
      </c>
      <c r="V27" s="199">
        <f t="shared" si="11"/>
        <v>0.45100000000000001</v>
      </c>
      <c r="W27" s="199">
        <f t="shared" si="11"/>
        <v>0.45100000000000001</v>
      </c>
      <c r="X27" s="199">
        <f t="shared" si="11"/>
        <v>0.45100000000000001</v>
      </c>
      <c r="Y27" s="199">
        <f t="shared" si="11"/>
        <v>0.45100000000000001</v>
      </c>
      <c r="Z27" s="199">
        <f t="shared" si="11"/>
        <v>0.45100000000000001</v>
      </c>
      <c r="AA27" s="199">
        <f t="shared" si="11"/>
        <v>0.45100000000000001</v>
      </c>
      <c r="AB27" s="199">
        <f t="shared" si="11"/>
        <v>0.45100000000000001</v>
      </c>
      <c r="AC27" s="199">
        <f t="shared" si="12"/>
        <v>0.45100000000000001</v>
      </c>
      <c r="AD27" s="199">
        <f t="shared" si="12"/>
        <v>0.45100000000000001</v>
      </c>
      <c r="AE27" s="199">
        <f t="shared" si="12"/>
        <v>0.45100000000000001</v>
      </c>
      <c r="AF27" s="199">
        <f t="shared" si="12"/>
        <v>0.45100000000000001</v>
      </c>
      <c r="AG27" s="199">
        <f t="shared" si="12"/>
        <v>0.45100000000000001</v>
      </c>
      <c r="AH27" s="199">
        <f t="shared" si="12"/>
        <v>0.45100000000000001</v>
      </c>
      <c r="AI27" s="199">
        <f t="shared" si="12"/>
        <v>0.45100000000000001</v>
      </c>
      <c r="AJ27" s="199">
        <f t="shared" si="12"/>
        <v>0.45100000000000001</v>
      </c>
    </row>
    <row r="28" spans="1:36" s="88" customFormat="1" ht="15.6" x14ac:dyDescent="0.3">
      <c r="A28" s="496" t="s">
        <v>40</v>
      </c>
      <c r="B28" s="49" t="str">
        <f>'Key inputs_EB'!B163</f>
        <v>Cooking</v>
      </c>
      <c r="C28" s="49" t="str">
        <f>'Key inputs_EB'!C163</f>
        <v>S-CK</v>
      </c>
      <c r="D28" s="49" t="str">
        <f>'Key inputs_EB'!D163</f>
        <v>Electricity</v>
      </c>
      <c r="E28" s="49" t="str">
        <f>'Key inputs_EB'!E163</f>
        <v>SRVELC</v>
      </c>
      <c r="F28" s="88" t="s">
        <v>165</v>
      </c>
      <c r="G28" s="621" t="s">
        <v>704</v>
      </c>
      <c r="H28" s="260">
        <f>'S2'!I41</f>
        <v>0.79</v>
      </c>
      <c r="I28" s="199">
        <f t="shared" si="10"/>
        <v>0.79</v>
      </c>
      <c r="J28" s="199">
        <f t="shared" si="10"/>
        <v>0.79</v>
      </c>
      <c r="K28" s="199">
        <f t="shared" si="10"/>
        <v>0.79</v>
      </c>
      <c r="L28" s="199">
        <f t="shared" si="10"/>
        <v>0.79</v>
      </c>
      <c r="M28" s="199">
        <f t="shared" si="10"/>
        <v>0.79</v>
      </c>
      <c r="N28" s="199">
        <f t="shared" si="10"/>
        <v>0.79</v>
      </c>
      <c r="O28" s="199">
        <f t="shared" si="10"/>
        <v>0.79</v>
      </c>
      <c r="P28" s="199">
        <f t="shared" si="10"/>
        <v>0.79</v>
      </c>
      <c r="Q28" s="199">
        <f t="shared" si="10"/>
        <v>0.79</v>
      </c>
      <c r="R28" s="199">
        <f t="shared" si="10"/>
        <v>0.79</v>
      </c>
      <c r="S28" s="199">
        <f t="shared" si="11"/>
        <v>0.79</v>
      </c>
      <c r="T28" s="199">
        <f t="shared" si="11"/>
        <v>0.79</v>
      </c>
      <c r="U28" s="199">
        <f t="shared" si="11"/>
        <v>0.79</v>
      </c>
      <c r="V28" s="199">
        <f t="shared" si="11"/>
        <v>0.79</v>
      </c>
      <c r="W28" s="199">
        <f t="shared" si="11"/>
        <v>0.79</v>
      </c>
      <c r="X28" s="199">
        <f t="shared" si="11"/>
        <v>0.79</v>
      </c>
      <c r="Y28" s="199">
        <f t="shared" si="11"/>
        <v>0.79</v>
      </c>
      <c r="Z28" s="199">
        <f t="shared" si="11"/>
        <v>0.79</v>
      </c>
      <c r="AA28" s="199">
        <f t="shared" si="11"/>
        <v>0.79</v>
      </c>
      <c r="AB28" s="199">
        <f t="shared" si="11"/>
        <v>0.79</v>
      </c>
      <c r="AC28" s="199">
        <f t="shared" si="12"/>
        <v>0.79</v>
      </c>
      <c r="AD28" s="199">
        <f t="shared" si="12"/>
        <v>0.79</v>
      </c>
      <c r="AE28" s="199">
        <f t="shared" si="12"/>
        <v>0.79</v>
      </c>
      <c r="AF28" s="199">
        <f t="shared" si="12"/>
        <v>0.79</v>
      </c>
      <c r="AG28" s="199">
        <f t="shared" si="12"/>
        <v>0.79</v>
      </c>
      <c r="AH28" s="199">
        <f t="shared" si="12"/>
        <v>0.79</v>
      </c>
      <c r="AI28" s="199">
        <f t="shared" si="12"/>
        <v>0.79</v>
      </c>
      <c r="AJ28" s="199">
        <f t="shared" si="12"/>
        <v>0.79</v>
      </c>
    </row>
    <row r="29" spans="1:36" s="88" customFormat="1" ht="15.6" x14ac:dyDescent="0.3">
      <c r="A29" s="496" t="s">
        <v>40</v>
      </c>
      <c r="B29" s="49" t="str">
        <f>'Key inputs_EB'!B164</f>
        <v>Cooking</v>
      </c>
      <c r="C29" s="49" t="str">
        <f>'Key inputs_EB'!C164</f>
        <v>S-CK</v>
      </c>
      <c r="D29" s="49" t="str">
        <f>'Key inputs_EB'!D164</f>
        <v>Natural gas, Biogas</v>
      </c>
      <c r="E29" s="49" t="str">
        <f>'Key inputs_EB'!E164</f>
        <v>SRVGAS, SRVBGS</v>
      </c>
      <c r="F29" s="88" t="s">
        <v>165</v>
      </c>
      <c r="G29" s="621" t="s">
        <v>704</v>
      </c>
      <c r="H29" s="260">
        <f>'S2'!I42</f>
        <v>0.42</v>
      </c>
      <c r="I29" s="199">
        <f t="shared" si="10"/>
        <v>0.42</v>
      </c>
      <c r="J29" s="199">
        <f t="shared" si="10"/>
        <v>0.42</v>
      </c>
      <c r="K29" s="199">
        <f t="shared" si="10"/>
        <v>0.42</v>
      </c>
      <c r="L29" s="199">
        <f t="shared" si="10"/>
        <v>0.42</v>
      </c>
      <c r="M29" s="199">
        <f t="shared" si="10"/>
        <v>0.42</v>
      </c>
      <c r="N29" s="199">
        <f t="shared" si="10"/>
        <v>0.42</v>
      </c>
      <c r="O29" s="199">
        <f t="shared" si="10"/>
        <v>0.42</v>
      </c>
      <c r="P29" s="199">
        <f t="shared" si="10"/>
        <v>0.42</v>
      </c>
      <c r="Q29" s="199">
        <f t="shared" si="10"/>
        <v>0.42</v>
      </c>
      <c r="R29" s="199">
        <f t="shared" si="10"/>
        <v>0.42</v>
      </c>
      <c r="S29" s="199">
        <f t="shared" si="11"/>
        <v>0.42</v>
      </c>
      <c r="T29" s="199">
        <f t="shared" si="11"/>
        <v>0.42</v>
      </c>
      <c r="U29" s="199">
        <f t="shared" si="11"/>
        <v>0.42</v>
      </c>
      <c r="V29" s="199">
        <f t="shared" si="11"/>
        <v>0.42</v>
      </c>
      <c r="W29" s="199">
        <f t="shared" si="11"/>
        <v>0.42</v>
      </c>
      <c r="X29" s="199">
        <f t="shared" si="11"/>
        <v>0.42</v>
      </c>
      <c r="Y29" s="199">
        <f t="shared" si="11"/>
        <v>0.42</v>
      </c>
      <c r="Z29" s="199">
        <f t="shared" si="11"/>
        <v>0.42</v>
      </c>
      <c r="AA29" s="199">
        <f t="shared" si="11"/>
        <v>0.42</v>
      </c>
      <c r="AB29" s="199">
        <f t="shared" si="11"/>
        <v>0.42</v>
      </c>
      <c r="AC29" s="199">
        <f t="shared" si="12"/>
        <v>0.42</v>
      </c>
      <c r="AD29" s="199">
        <f t="shared" si="12"/>
        <v>0.42</v>
      </c>
      <c r="AE29" s="199">
        <f t="shared" si="12"/>
        <v>0.42</v>
      </c>
      <c r="AF29" s="199">
        <f t="shared" si="12"/>
        <v>0.42</v>
      </c>
      <c r="AG29" s="199">
        <f t="shared" si="12"/>
        <v>0.42</v>
      </c>
      <c r="AH29" s="199">
        <f t="shared" si="12"/>
        <v>0.42</v>
      </c>
      <c r="AI29" s="199">
        <f t="shared" si="12"/>
        <v>0.42</v>
      </c>
      <c r="AJ29" s="199">
        <f t="shared" si="12"/>
        <v>0.42</v>
      </c>
    </row>
    <row r="30" spans="1:36" s="88" customFormat="1" ht="15.6" x14ac:dyDescent="0.3">
      <c r="A30" s="496" t="s">
        <v>40</v>
      </c>
      <c r="B30" s="49" t="str">
        <f>'Key inputs_EB'!B165</f>
        <v>Cooking</v>
      </c>
      <c r="C30" s="49" t="str">
        <f>'Key inputs_EB'!C165</f>
        <v>S-CK</v>
      </c>
      <c r="D30" s="49" t="str">
        <f>'Key inputs_EB'!D165</f>
        <v>LPG</v>
      </c>
      <c r="E30" s="49" t="str">
        <f>'Key inputs_EB'!E165</f>
        <v>SRVLPG</v>
      </c>
      <c r="F30" s="88" t="s">
        <v>165</v>
      </c>
      <c r="G30" s="621" t="s">
        <v>306</v>
      </c>
      <c r="H30" s="260">
        <f>'S3'!C67/100</f>
        <v>0.60399999999999998</v>
      </c>
      <c r="I30" s="199">
        <f t="shared" si="10"/>
        <v>0.60399999999999998</v>
      </c>
      <c r="J30" s="199">
        <f t="shared" si="10"/>
        <v>0.60399999999999998</v>
      </c>
      <c r="K30" s="199">
        <f t="shared" si="10"/>
        <v>0.60399999999999998</v>
      </c>
      <c r="L30" s="199">
        <f t="shared" si="10"/>
        <v>0.60399999999999998</v>
      </c>
      <c r="M30" s="199">
        <f t="shared" si="10"/>
        <v>0.60399999999999998</v>
      </c>
      <c r="N30" s="199">
        <f t="shared" si="10"/>
        <v>0.60399999999999998</v>
      </c>
      <c r="O30" s="199">
        <f t="shared" si="10"/>
        <v>0.60399999999999998</v>
      </c>
      <c r="P30" s="199">
        <f t="shared" si="10"/>
        <v>0.60399999999999998</v>
      </c>
      <c r="Q30" s="199">
        <f t="shared" si="10"/>
        <v>0.60399999999999998</v>
      </c>
      <c r="R30" s="199">
        <f t="shared" si="10"/>
        <v>0.60399999999999998</v>
      </c>
      <c r="S30" s="199">
        <f t="shared" si="11"/>
        <v>0.60399999999999998</v>
      </c>
      <c r="T30" s="199">
        <f t="shared" si="11"/>
        <v>0.60399999999999998</v>
      </c>
      <c r="U30" s="199">
        <f t="shared" si="11"/>
        <v>0.60399999999999998</v>
      </c>
      <c r="V30" s="199">
        <f t="shared" si="11"/>
        <v>0.60399999999999998</v>
      </c>
      <c r="W30" s="199">
        <f t="shared" si="11"/>
        <v>0.60399999999999998</v>
      </c>
      <c r="X30" s="199">
        <f t="shared" si="11"/>
        <v>0.60399999999999998</v>
      </c>
      <c r="Y30" s="199">
        <f t="shared" si="11"/>
        <v>0.60399999999999998</v>
      </c>
      <c r="Z30" s="199">
        <f t="shared" si="11"/>
        <v>0.60399999999999998</v>
      </c>
      <c r="AA30" s="199">
        <f t="shared" si="11"/>
        <v>0.60399999999999998</v>
      </c>
      <c r="AB30" s="199">
        <f t="shared" si="11"/>
        <v>0.60399999999999998</v>
      </c>
      <c r="AC30" s="199">
        <f t="shared" si="12"/>
        <v>0.60399999999999998</v>
      </c>
      <c r="AD30" s="199">
        <f t="shared" si="12"/>
        <v>0.60399999999999998</v>
      </c>
      <c r="AE30" s="199">
        <f t="shared" si="12"/>
        <v>0.60399999999999998</v>
      </c>
      <c r="AF30" s="199">
        <f t="shared" si="12"/>
        <v>0.60399999999999998</v>
      </c>
      <c r="AG30" s="199">
        <f t="shared" si="12"/>
        <v>0.60399999999999998</v>
      </c>
      <c r="AH30" s="199">
        <f t="shared" si="12"/>
        <v>0.60399999999999998</v>
      </c>
      <c r="AI30" s="199">
        <f t="shared" si="12"/>
        <v>0.60399999999999998</v>
      </c>
      <c r="AJ30" s="199">
        <f t="shared" si="12"/>
        <v>0.60399999999999998</v>
      </c>
    </row>
    <row r="31" spans="1:36" s="88" customFormat="1" ht="15.6" x14ac:dyDescent="0.3">
      <c r="A31" s="496" t="s">
        <v>40</v>
      </c>
      <c r="B31" s="49" t="str">
        <f>'Key inputs_EB'!B166</f>
        <v>Cooking</v>
      </c>
      <c r="C31" s="49" t="str">
        <f>'Key inputs_EB'!C166</f>
        <v>S-CK</v>
      </c>
      <c r="D31" s="49" t="str">
        <f>'Key inputs_EB'!D166</f>
        <v>Oil, Liquid biofuels</v>
      </c>
      <c r="E31" s="49" t="str">
        <f>'Key inputs_EB'!E166</f>
        <v>SRVOIL, SRVBLQ</v>
      </c>
      <c r="F31" s="88" t="s">
        <v>165</v>
      </c>
      <c r="G31" s="621" t="s">
        <v>306</v>
      </c>
      <c r="H31" s="260">
        <f>'S3'!C67/100</f>
        <v>0.60399999999999998</v>
      </c>
      <c r="I31" s="199">
        <f t="shared" si="10"/>
        <v>0.60399999999999998</v>
      </c>
      <c r="J31" s="199">
        <f t="shared" si="10"/>
        <v>0.60399999999999998</v>
      </c>
      <c r="K31" s="199">
        <f t="shared" si="10"/>
        <v>0.60399999999999998</v>
      </c>
      <c r="L31" s="199">
        <f t="shared" si="10"/>
        <v>0.60399999999999998</v>
      </c>
      <c r="M31" s="199">
        <f t="shared" si="10"/>
        <v>0.60399999999999998</v>
      </c>
      <c r="N31" s="199">
        <f t="shared" si="10"/>
        <v>0.60399999999999998</v>
      </c>
      <c r="O31" s="199">
        <f t="shared" si="10"/>
        <v>0.60399999999999998</v>
      </c>
      <c r="P31" s="199">
        <f t="shared" si="10"/>
        <v>0.60399999999999998</v>
      </c>
      <c r="Q31" s="199">
        <f t="shared" si="10"/>
        <v>0.60399999999999998</v>
      </c>
      <c r="R31" s="199">
        <f t="shared" si="10"/>
        <v>0.60399999999999998</v>
      </c>
      <c r="S31" s="199">
        <f t="shared" si="11"/>
        <v>0.60399999999999998</v>
      </c>
      <c r="T31" s="199">
        <f t="shared" si="11"/>
        <v>0.60399999999999998</v>
      </c>
      <c r="U31" s="199">
        <f t="shared" si="11"/>
        <v>0.60399999999999998</v>
      </c>
      <c r="V31" s="199">
        <f t="shared" si="11"/>
        <v>0.60399999999999998</v>
      </c>
      <c r="W31" s="199">
        <f t="shared" si="11"/>
        <v>0.60399999999999998</v>
      </c>
      <c r="X31" s="199">
        <f t="shared" si="11"/>
        <v>0.60399999999999998</v>
      </c>
      <c r="Y31" s="199">
        <f t="shared" si="11"/>
        <v>0.60399999999999998</v>
      </c>
      <c r="Z31" s="199">
        <f t="shared" si="11"/>
        <v>0.60399999999999998</v>
      </c>
      <c r="AA31" s="199">
        <f t="shared" si="11"/>
        <v>0.60399999999999998</v>
      </c>
      <c r="AB31" s="199">
        <f t="shared" si="11"/>
        <v>0.60399999999999998</v>
      </c>
      <c r="AC31" s="199">
        <f t="shared" si="12"/>
        <v>0.60399999999999998</v>
      </c>
      <c r="AD31" s="199">
        <f t="shared" si="12"/>
        <v>0.60399999999999998</v>
      </c>
      <c r="AE31" s="199">
        <f t="shared" si="12"/>
        <v>0.60399999999999998</v>
      </c>
      <c r="AF31" s="199">
        <f t="shared" si="12"/>
        <v>0.60399999999999998</v>
      </c>
      <c r="AG31" s="199">
        <f t="shared" si="12"/>
        <v>0.60399999999999998</v>
      </c>
      <c r="AH31" s="199">
        <f t="shared" si="12"/>
        <v>0.60399999999999998</v>
      </c>
      <c r="AI31" s="199">
        <f t="shared" si="12"/>
        <v>0.60399999999999998</v>
      </c>
      <c r="AJ31" s="199">
        <f t="shared" si="12"/>
        <v>0.60399999999999998</v>
      </c>
    </row>
    <row r="32" spans="1:36" s="88" customFormat="1" ht="15.6" x14ac:dyDescent="0.3">
      <c r="A32" s="496" t="s">
        <v>40</v>
      </c>
      <c r="B32" s="49" t="str">
        <f>'Key inputs_EB'!B167</f>
        <v>Cooking</v>
      </c>
      <c r="C32" s="49" t="str">
        <f>'Key inputs_EB'!C167</f>
        <v>S-CK</v>
      </c>
      <c r="D32" s="49" t="str">
        <f>'Key inputs_EB'!D167</f>
        <v>Solar</v>
      </c>
      <c r="E32" s="49" t="str">
        <f>'Key inputs_EB'!E167</f>
        <v>SRVSOL</v>
      </c>
      <c r="F32" s="88" t="s">
        <v>165</v>
      </c>
      <c r="G32" s="609"/>
      <c r="H32" s="348">
        <f>1</f>
        <v>1</v>
      </c>
      <c r="I32" s="199">
        <f>IF(I$12="","",$H32)</f>
        <v>1</v>
      </c>
      <c r="J32" s="199">
        <f t="shared" ref="J32:AJ36" si="13">IF(J$12="","",$H32)</f>
        <v>1</v>
      </c>
      <c r="K32" s="199">
        <f t="shared" si="13"/>
        <v>1</v>
      </c>
      <c r="L32" s="199">
        <f t="shared" si="13"/>
        <v>1</v>
      </c>
      <c r="M32" s="199">
        <f t="shared" si="13"/>
        <v>1</v>
      </c>
      <c r="N32" s="199">
        <f t="shared" si="13"/>
        <v>1</v>
      </c>
      <c r="O32" s="199">
        <f t="shared" si="13"/>
        <v>1</v>
      </c>
      <c r="P32" s="199">
        <f t="shared" si="13"/>
        <v>1</v>
      </c>
      <c r="Q32" s="199">
        <f t="shared" si="13"/>
        <v>1</v>
      </c>
      <c r="R32" s="199">
        <f t="shared" si="13"/>
        <v>1</v>
      </c>
      <c r="S32" s="199">
        <f t="shared" si="13"/>
        <v>1</v>
      </c>
      <c r="T32" s="199">
        <f t="shared" si="13"/>
        <v>1</v>
      </c>
      <c r="U32" s="199">
        <f t="shared" si="13"/>
        <v>1</v>
      </c>
      <c r="V32" s="199">
        <f t="shared" si="13"/>
        <v>1</v>
      </c>
      <c r="W32" s="199">
        <f t="shared" si="13"/>
        <v>1</v>
      </c>
      <c r="X32" s="199">
        <f t="shared" si="13"/>
        <v>1</v>
      </c>
      <c r="Y32" s="199">
        <f t="shared" si="13"/>
        <v>1</v>
      </c>
      <c r="Z32" s="199">
        <f t="shared" si="13"/>
        <v>1</v>
      </c>
      <c r="AA32" s="199">
        <f t="shared" si="13"/>
        <v>1</v>
      </c>
      <c r="AB32" s="199">
        <f t="shared" si="13"/>
        <v>1</v>
      </c>
      <c r="AC32" s="199">
        <f t="shared" si="13"/>
        <v>1</v>
      </c>
      <c r="AD32" s="199">
        <f t="shared" si="13"/>
        <v>1</v>
      </c>
      <c r="AE32" s="199">
        <f t="shared" si="13"/>
        <v>1</v>
      </c>
      <c r="AF32" s="199">
        <f t="shared" si="13"/>
        <v>1</v>
      </c>
      <c r="AG32" s="199">
        <f t="shared" si="13"/>
        <v>1</v>
      </c>
      <c r="AH32" s="199">
        <f t="shared" si="13"/>
        <v>1</v>
      </c>
      <c r="AI32" s="199">
        <f t="shared" si="13"/>
        <v>1</v>
      </c>
      <c r="AJ32" s="199">
        <f t="shared" si="13"/>
        <v>1</v>
      </c>
    </row>
    <row r="33" spans="1:36" s="88" customFormat="1" ht="15.6" x14ac:dyDescent="0.3">
      <c r="A33" s="496" t="s">
        <v>40</v>
      </c>
      <c r="B33" s="68" t="str">
        <f>'Key inputs_EB'!B168</f>
        <v>Lighting</v>
      </c>
      <c r="C33" s="68" t="str">
        <f>'Key inputs_EB'!C168</f>
        <v>S-LIG</v>
      </c>
      <c r="D33" s="68" t="str">
        <f>'Key inputs_EB'!D168</f>
        <v>Electricity</v>
      </c>
      <c r="E33" s="68" t="str">
        <f>'Key inputs_EB'!E168</f>
        <v>SRVELC</v>
      </c>
      <c r="F33" s="548" t="s">
        <v>663</v>
      </c>
      <c r="G33" s="610" t="s">
        <v>704</v>
      </c>
      <c r="H33" s="557">
        <f>1/('S2'!I11*Legend!$B$40)</f>
        <v>16.367059103624555</v>
      </c>
      <c r="I33" s="558">
        <f>IF(I$12="","",$H33*I$42)</f>
        <v>16.367059103624555</v>
      </c>
      <c r="J33" s="558">
        <f t="shared" ref="J33:AJ33" si="14">IF(J$12="","",$H33*J$42)</f>
        <v>16.367059103624555</v>
      </c>
      <c r="K33" s="558">
        <f t="shared" si="14"/>
        <v>16.367059103624555</v>
      </c>
      <c r="L33" s="558">
        <f t="shared" si="14"/>
        <v>16.367059103624555</v>
      </c>
      <c r="M33" s="558">
        <f t="shared" si="14"/>
        <v>16.367059103624555</v>
      </c>
      <c r="N33" s="558">
        <f t="shared" si="14"/>
        <v>16.367059103624555</v>
      </c>
      <c r="O33" s="558">
        <f t="shared" si="14"/>
        <v>16.367059103624555</v>
      </c>
      <c r="P33" s="558">
        <f t="shared" si="14"/>
        <v>16.367059103624555</v>
      </c>
      <c r="Q33" s="558">
        <f t="shared" si="14"/>
        <v>16.367059103624555</v>
      </c>
      <c r="R33" s="558">
        <f t="shared" si="14"/>
        <v>16.367059103624555</v>
      </c>
      <c r="S33" s="558">
        <f t="shared" si="14"/>
        <v>16.367059103624555</v>
      </c>
      <c r="T33" s="558">
        <f t="shared" si="14"/>
        <v>16.367059103624555</v>
      </c>
      <c r="U33" s="558">
        <f t="shared" si="14"/>
        <v>16.367059103624555</v>
      </c>
      <c r="V33" s="558">
        <f t="shared" si="14"/>
        <v>16.367059103624555</v>
      </c>
      <c r="W33" s="558">
        <f t="shared" si="14"/>
        <v>16.367059103624555</v>
      </c>
      <c r="X33" s="558">
        <f t="shared" si="14"/>
        <v>16.367059103624555</v>
      </c>
      <c r="Y33" s="558">
        <f t="shared" si="14"/>
        <v>16.367059103624555</v>
      </c>
      <c r="Z33" s="558">
        <f t="shared" si="14"/>
        <v>16.367059103624555</v>
      </c>
      <c r="AA33" s="558">
        <f t="shared" si="14"/>
        <v>16.367059103624555</v>
      </c>
      <c r="AB33" s="558">
        <f t="shared" si="14"/>
        <v>16.367059103624555</v>
      </c>
      <c r="AC33" s="558">
        <f t="shared" si="14"/>
        <v>16.367059103624555</v>
      </c>
      <c r="AD33" s="558">
        <f t="shared" si="14"/>
        <v>16.367059103624555</v>
      </c>
      <c r="AE33" s="558">
        <f t="shared" si="14"/>
        <v>16.367059103624555</v>
      </c>
      <c r="AF33" s="558">
        <f t="shared" si="14"/>
        <v>16.367059103624555</v>
      </c>
      <c r="AG33" s="558">
        <f t="shared" si="14"/>
        <v>16.367059103624555</v>
      </c>
      <c r="AH33" s="558">
        <f t="shared" si="14"/>
        <v>16.367059103624555</v>
      </c>
      <c r="AI33" s="558">
        <f t="shared" si="14"/>
        <v>16.367059103624555</v>
      </c>
      <c r="AJ33" s="558">
        <f t="shared" si="14"/>
        <v>16.367059103624555</v>
      </c>
    </row>
    <row r="34" spans="1:36" ht="15.6" x14ac:dyDescent="0.3">
      <c r="A34" s="496" t="s">
        <v>40</v>
      </c>
      <c r="B34" s="51" t="str">
        <f>'Key inputs_EB'!B169</f>
        <v>Street lighting</v>
      </c>
      <c r="C34" s="51" t="str">
        <f>'Key inputs_EB'!C169</f>
        <v>S-SLIG</v>
      </c>
      <c r="D34" s="51" t="str">
        <f>'Key inputs_EB'!D169</f>
        <v>Electricity</v>
      </c>
      <c r="E34" s="51" t="str">
        <f>'Key inputs_EB'!E169</f>
        <v>SRVELC</v>
      </c>
      <c r="F34" s="548" t="s">
        <v>663</v>
      </c>
      <c r="G34" s="607"/>
      <c r="H34" s="559">
        <f>H33</f>
        <v>16.367059103624555</v>
      </c>
      <c r="I34" s="560">
        <f>IF(I$12="","",$H34*I$43)</f>
        <v>16.367059103624555</v>
      </c>
      <c r="J34" s="560">
        <f t="shared" ref="J34:AJ34" si="15">IF(J$12="","",$H34*J$43)</f>
        <v>16.367059103624555</v>
      </c>
      <c r="K34" s="560">
        <f t="shared" si="15"/>
        <v>16.367059103624555</v>
      </c>
      <c r="L34" s="560">
        <f t="shared" si="15"/>
        <v>16.367059103624555</v>
      </c>
      <c r="M34" s="560">
        <f t="shared" si="15"/>
        <v>16.367059103624555</v>
      </c>
      <c r="N34" s="560">
        <f t="shared" si="15"/>
        <v>16.367059103624555</v>
      </c>
      <c r="O34" s="560">
        <f t="shared" si="15"/>
        <v>16.367059103624555</v>
      </c>
      <c r="P34" s="560">
        <f t="shared" si="15"/>
        <v>16.367059103624555</v>
      </c>
      <c r="Q34" s="560">
        <f t="shared" si="15"/>
        <v>16.367059103624555</v>
      </c>
      <c r="R34" s="560">
        <f t="shared" si="15"/>
        <v>16.367059103624555</v>
      </c>
      <c r="S34" s="560">
        <f t="shared" si="15"/>
        <v>16.367059103624555</v>
      </c>
      <c r="T34" s="560">
        <f t="shared" si="15"/>
        <v>16.367059103624555</v>
      </c>
      <c r="U34" s="560">
        <f t="shared" si="15"/>
        <v>16.367059103624555</v>
      </c>
      <c r="V34" s="560">
        <f t="shared" si="15"/>
        <v>16.367059103624555</v>
      </c>
      <c r="W34" s="560">
        <f t="shared" si="15"/>
        <v>16.367059103624555</v>
      </c>
      <c r="X34" s="560">
        <f t="shared" si="15"/>
        <v>16.367059103624555</v>
      </c>
      <c r="Y34" s="560">
        <f t="shared" si="15"/>
        <v>16.367059103624555</v>
      </c>
      <c r="Z34" s="560">
        <f t="shared" si="15"/>
        <v>16.367059103624555</v>
      </c>
      <c r="AA34" s="560">
        <f t="shared" si="15"/>
        <v>16.367059103624555</v>
      </c>
      <c r="AB34" s="560">
        <f t="shared" si="15"/>
        <v>16.367059103624555</v>
      </c>
      <c r="AC34" s="560">
        <f t="shared" si="15"/>
        <v>16.367059103624555</v>
      </c>
      <c r="AD34" s="560">
        <f t="shared" si="15"/>
        <v>16.367059103624555</v>
      </c>
      <c r="AE34" s="560">
        <f t="shared" si="15"/>
        <v>16.367059103624555</v>
      </c>
      <c r="AF34" s="560">
        <f t="shared" si="15"/>
        <v>16.367059103624555</v>
      </c>
      <c r="AG34" s="560">
        <f t="shared" si="15"/>
        <v>16.367059103624555</v>
      </c>
      <c r="AH34" s="560">
        <f t="shared" si="15"/>
        <v>16.367059103624555</v>
      </c>
      <c r="AI34" s="560">
        <f t="shared" si="15"/>
        <v>16.367059103624555</v>
      </c>
      <c r="AJ34" s="560">
        <f t="shared" si="15"/>
        <v>16.367059103624555</v>
      </c>
    </row>
    <row r="35" spans="1:36" ht="15.6" x14ac:dyDescent="0.3">
      <c r="A35" s="496" t="s">
        <v>40</v>
      </c>
      <c r="B35" s="114" t="str">
        <f>'Key inputs_EB'!B170</f>
        <v>Electric Appliances</v>
      </c>
      <c r="C35" s="114" t="str">
        <f>'Key inputs_EB'!C170</f>
        <v>S-EAP</v>
      </c>
      <c r="D35" s="114" t="str">
        <f>'Key inputs_EB'!D170</f>
        <v>Electricity</v>
      </c>
      <c r="E35" s="114" t="str">
        <f>'Key inputs_EB'!E170</f>
        <v>SRVELC</v>
      </c>
      <c r="F35" s="90" t="s">
        <v>165</v>
      </c>
      <c r="G35" s="90"/>
      <c r="H35" s="404">
        <v>1</v>
      </c>
      <c r="I35" s="561">
        <f t="shared" ref="I35:I36" si="16">IF(I$12="","",$H35)</f>
        <v>1</v>
      </c>
      <c r="J35" s="561">
        <f t="shared" si="13"/>
        <v>1</v>
      </c>
      <c r="K35" s="561">
        <f t="shared" si="13"/>
        <v>1</v>
      </c>
      <c r="L35" s="561">
        <f t="shared" si="13"/>
        <v>1</v>
      </c>
      <c r="M35" s="561">
        <f t="shared" si="13"/>
        <v>1</v>
      </c>
      <c r="N35" s="561">
        <f t="shared" si="13"/>
        <v>1</v>
      </c>
      <c r="O35" s="561">
        <f t="shared" si="13"/>
        <v>1</v>
      </c>
      <c r="P35" s="561">
        <f t="shared" si="13"/>
        <v>1</v>
      </c>
      <c r="Q35" s="561">
        <f t="shared" si="13"/>
        <v>1</v>
      </c>
      <c r="R35" s="561">
        <f t="shared" si="13"/>
        <v>1</v>
      </c>
      <c r="S35" s="561">
        <f t="shared" si="13"/>
        <v>1</v>
      </c>
      <c r="T35" s="561">
        <f t="shared" si="13"/>
        <v>1</v>
      </c>
      <c r="U35" s="561">
        <f t="shared" si="13"/>
        <v>1</v>
      </c>
      <c r="V35" s="561">
        <f t="shared" si="13"/>
        <v>1</v>
      </c>
      <c r="W35" s="561">
        <f t="shared" si="13"/>
        <v>1</v>
      </c>
      <c r="X35" s="561">
        <f t="shared" si="13"/>
        <v>1</v>
      </c>
      <c r="Y35" s="561">
        <f t="shared" si="13"/>
        <v>1</v>
      </c>
      <c r="Z35" s="561">
        <f t="shared" si="13"/>
        <v>1</v>
      </c>
      <c r="AA35" s="561">
        <f t="shared" si="13"/>
        <v>1</v>
      </c>
      <c r="AB35" s="561">
        <f t="shared" si="13"/>
        <v>1</v>
      </c>
      <c r="AC35" s="561">
        <f t="shared" si="13"/>
        <v>1</v>
      </c>
      <c r="AD35" s="561">
        <f t="shared" si="13"/>
        <v>1</v>
      </c>
      <c r="AE35" s="561">
        <f t="shared" si="13"/>
        <v>1</v>
      </c>
      <c r="AF35" s="561">
        <f t="shared" si="13"/>
        <v>1</v>
      </c>
      <c r="AG35" s="561">
        <f t="shared" si="13"/>
        <v>1</v>
      </c>
      <c r="AH35" s="561">
        <f t="shared" si="13"/>
        <v>1</v>
      </c>
      <c r="AI35" s="561">
        <f t="shared" si="13"/>
        <v>1</v>
      </c>
      <c r="AJ35" s="561">
        <f t="shared" si="13"/>
        <v>1</v>
      </c>
    </row>
    <row r="36" spans="1:36" s="88" customFormat="1" ht="15.6" x14ac:dyDescent="0.3">
      <c r="A36" s="496" t="s">
        <v>40</v>
      </c>
      <c r="B36" s="68" t="str">
        <f>Legend!A$51</f>
        <v>Other uses</v>
      </c>
      <c r="C36" s="68" t="str">
        <f>LEFT(Legend!$C$4)&amp;"-"&amp;Legend!B$51</f>
        <v>S-OTH</v>
      </c>
      <c r="D36" s="68"/>
      <c r="E36" s="68"/>
      <c r="F36" s="89" t="s">
        <v>165</v>
      </c>
      <c r="G36" s="90"/>
      <c r="H36" s="404">
        <v>1</v>
      </c>
      <c r="I36" s="562">
        <f t="shared" si="16"/>
        <v>1</v>
      </c>
      <c r="J36" s="562">
        <f t="shared" si="13"/>
        <v>1</v>
      </c>
      <c r="K36" s="562">
        <f t="shared" si="13"/>
        <v>1</v>
      </c>
      <c r="L36" s="562">
        <f t="shared" si="13"/>
        <v>1</v>
      </c>
      <c r="M36" s="562">
        <f t="shared" si="13"/>
        <v>1</v>
      </c>
      <c r="N36" s="562">
        <f t="shared" si="13"/>
        <v>1</v>
      </c>
      <c r="O36" s="562">
        <f t="shared" si="13"/>
        <v>1</v>
      </c>
      <c r="P36" s="562">
        <f t="shared" si="13"/>
        <v>1</v>
      </c>
      <c r="Q36" s="562">
        <f t="shared" si="13"/>
        <v>1</v>
      </c>
      <c r="R36" s="562">
        <f t="shared" si="13"/>
        <v>1</v>
      </c>
      <c r="S36" s="562">
        <f t="shared" si="13"/>
        <v>1</v>
      </c>
      <c r="T36" s="562">
        <f t="shared" si="13"/>
        <v>1</v>
      </c>
      <c r="U36" s="562">
        <f t="shared" si="13"/>
        <v>1</v>
      </c>
      <c r="V36" s="562">
        <f t="shared" si="13"/>
        <v>1</v>
      </c>
      <c r="W36" s="562">
        <f t="shared" si="13"/>
        <v>1</v>
      </c>
      <c r="X36" s="562">
        <f t="shared" si="13"/>
        <v>1</v>
      </c>
      <c r="Y36" s="562">
        <f t="shared" si="13"/>
        <v>1</v>
      </c>
      <c r="Z36" s="562">
        <f t="shared" si="13"/>
        <v>1</v>
      </c>
      <c r="AA36" s="562">
        <f t="shared" si="13"/>
        <v>1</v>
      </c>
      <c r="AB36" s="562">
        <f t="shared" si="13"/>
        <v>1</v>
      </c>
      <c r="AC36" s="562">
        <f t="shared" si="13"/>
        <v>1</v>
      </c>
      <c r="AD36" s="562">
        <f t="shared" si="13"/>
        <v>1</v>
      </c>
      <c r="AE36" s="562">
        <f t="shared" si="13"/>
        <v>1</v>
      </c>
      <c r="AF36" s="562">
        <f t="shared" si="13"/>
        <v>1</v>
      </c>
      <c r="AG36" s="562">
        <f t="shared" si="13"/>
        <v>1</v>
      </c>
      <c r="AH36" s="562">
        <f t="shared" si="13"/>
        <v>1</v>
      </c>
      <c r="AI36" s="562">
        <f t="shared" si="13"/>
        <v>1</v>
      </c>
      <c r="AJ36" s="562">
        <f t="shared" si="13"/>
        <v>1</v>
      </c>
    </row>
    <row r="37" spans="1:36" s="267" customFormat="1" x14ac:dyDescent="0.3">
      <c r="A37" s="507"/>
      <c r="D37" s="267" t="s">
        <v>438</v>
      </c>
      <c r="E37" s="267" t="str">
        <f>Legend!$A$45</f>
        <v>Thermal uses</v>
      </c>
      <c r="I37" s="274">
        <v>0.9</v>
      </c>
      <c r="J37" s="274">
        <v>0.9</v>
      </c>
      <c r="K37" s="274">
        <v>0.9</v>
      </c>
      <c r="L37" s="274">
        <v>0.9</v>
      </c>
      <c r="M37" s="274">
        <v>0.9</v>
      </c>
      <c r="N37" s="274">
        <v>0.9</v>
      </c>
      <c r="O37" s="274">
        <v>0.9</v>
      </c>
      <c r="P37" s="274">
        <v>0.9</v>
      </c>
      <c r="Q37" s="274">
        <v>0.9</v>
      </c>
      <c r="R37" s="274">
        <v>0.9</v>
      </c>
      <c r="S37" s="274">
        <v>0.9</v>
      </c>
      <c r="T37" s="274">
        <v>0.9</v>
      </c>
      <c r="U37" s="274">
        <v>0.9</v>
      </c>
      <c r="V37" s="274">
        <v>0.9</v>
      </c>
      <c r="W37" s="274">
        <v>0.9</v>
      </c>
      <c r="X37" s="274">
        <v>0.9</v>
      </c>
      <c r="Y37" s="274">
        <v>0.9</v>
      </c>
      <c r="Z37" s="274">
        <v>0.9</v>
      </c>
      <c r="AA37" s="274">
        <v>0.9</v>
      </c>
      <c r="AB37" s="274">
        <v>0.9</v>
      </c>
      <c r="AC37" s="274">
        <v>0.9</v>
      </c>
      <c r="AD37" s="274">
        <v>0.9</v>
      </c>
      <c r="AE37" s="274">
        <v>0.9</v>
      </c>
      <c r="AF37" s="274">
        <v>0.9</v>
      </c>
      <c r="AG37" s="274">
        <v>0.9</v>
      </c>
      <c r="AH37" s="274">
        <v>0.9</v>
      </c>
      <c r="AI37" s="274">
        <v>0.9</v>
      </c>
      <c r="AJ37" s="274">
        <v>0.9</v>
      </c>
    </row>
    <row r="38" spans="1:36" s="267" customFormat="1" x14ac:dyDescent="0.3">
      <c r="A38" s="507"/>
      <c r="D38" s="267" t="s">
        <v>438</v>
      </c>
      <c r="E38" s="267" t="s">
        <v>422</v>
      </c>
      <c r="I38" s="274">
        <v>1.1200000000000001</v>
      </c>
      <c r="J38" s="274">
        <v>1.1200000000000001</v>
      </c>
      <c r="K38" s="274">
        <v>1.1200000000000001</v>
      </c>
      <c r="L38" s="274">
        <v>1.1200000000000001</v>
      </c>
      <c r="M38" s="274">
        <v>1</v>
      </c>
      <c r="N38" s="274">
        <v>0.83</v>
      </c>
      <c r="O38" s="274">
        <v>0.83</v>
      </c>
      <c r="P38" s="274">
        <v>1</v>
      </c>
      <c r="Q38" s="274">
        <v>1.1200000000000001</v>
      </c>
      <c r="R38" s="274">
        <v>1</v>
      </c>
      <c r="S38" s="274">
        <v>1.1200000000000001</v>
      </c>
      <c r="T38" s="274">
        <v>0.83</v>
      </c>
      <c r="U38" s="274">
        <v>1.1200000000000001</v>
      </c>
      <c r="V38" s="274">
        <v>1.1200000000000001</v>
      </c>
      <c r="W38" s="274">
        <v>1.1200000000000001</v>
      </c>
      <c r="X38" s="274">
        <v>0.83</v>
      </c>
      <c r="Y38" s="274">
        <v>0.83</v>
      </c>
      <c r="Z38" s="274">
        <v>0.83</v>
      </c>
      <c r="AA38" s="274">
        <v>1</v>
      </c>
      <c r="AB38" s="274">
        <v>1</v>
      </c>
      <c r="AC38" s="274">
        <v>1.1200000000000001</v>
      </c>
      <c r="AD38" s="274">
        <v>1.1200000000000001</v>
      </c>
      <c r="AE38" s="274">
        <v>1.1200000000000001</v>
      </c>
      <c r="AF38" s="274">
        <v>1.1200000000000001</v>
      </c>
      <c r="AG38" s="274">
        <v>1.1200000000000001</v>
      </c>
      <c r="AH38" s="274">
        <v>1.1200000000000001</v>
      </c>
      <c r="AI38" s="274">
        <v>0.83</v>
      </c>
      <c r="AJ38" s="274">
        <v>0.83</v>
      </c>
    </row>
    <row r="39" spans="1:36" s="267" customFormat="1" x14ac:dyDescent="0.3">
      <c r="A39" s="507"/>
      <c r="D39" s="267" t="s">
        <v>438</v>
      </c>
      <c r="E39" s="271" t="s">
        <v>420</v>
      </c>
      <c r="H39" s="253" t="s">
        <v>418</v>
      </c>
      <c r="I39" s="325">
        <f>'S5'!$B$6</f>
        <v>0.1</v>
      </c>
      <c r="J39" s="325">
        <f>'S5'!$B$6</f>
        <v>0.1</v>
      </c>
      <c r="K39" s="325">
        <f>'S5'!$B$6</f>
        <v>0.1</v>
      </c>
      <c r="L39" s="325">
        <f>'S5'!$B$6</f>
        <v>0.1</v>
      </c>
      <c r="M39" s="325">
        <v>0.1</v>
      </c>
      <c r="N39" s="325">
        <v>0.1</v>
      </c>
      <c r="O39" s="325">
        <v>0.1</v>
      </c>
      <c r="P39" s="325">
        <v>0.1</v>
      </c>
      <c r="Q39" s="325">
        <v>0.1</v>
      </c>
      <c r="R39" s="325">
        <v>0.1</v>
      </c>
      <c r="S39" s="325">
        <v>0.1</v>
      </c>
      <c r="T39" s="325">
        <v>0.1</v>
      </c>
      <c r="U39" s="325">
        <v>0.1</v>
      </c>
      <c r="V39" s="325">
        <v>0.1</v>
      </c>
      <c r="W39" s="325">
        <v>0.1</v>
      </c>
      <c r="X39" s="325">
        <v>0.1</v>
      </c>
      <c r="Y39" s="325">
        <v>0.1</v>
      </c>
      <c r="Z39" s="325">
        <v>0.1</v>
      </c>
      <c r="AA39" s="325">
        <v>0.1</v>
      </c>
      <c r="AB39" s="325">
        <v>0.1</v>
      </c>
      <c r="AC39" s="325">
        <v>0.1</v>
      </c>
      <c r="AD39" s="325">
        <f>'S5'!$B$6</f>
        <v>0.1</v>
      </c>
      <c r="AE39" s="325">
        <f>'S5'!$B$6</f>
        <v>0.1</v>
      </c>
      <c r="AF39" s="325">
        <v>0.1</v>
      </c>
      <c r="AG39" s="325">
        <v>0.1</v>
      </c>
      <c r="AH39" s="325">
        <v>0.1</v>
      </c>
      <c r="AI39" s="325">
        <v>0.1</v>
      </c>
      <c r="AJ39" s="325">
        <v>0.1</v>
      </c>
    </row>
    <row r="40" spans="1:36" s="267" customFormat="1" x14ac:dyDescent="0.3">
      <c r="A40" s="507"/>
      <c r="D40" s="267" t="s">
        <v>438</v>
      </c>
      <c r="E40" s="267" t="str">
        <f>Legend!$A$46</f>
        <v>Air conditioning</v>
      </c>
      <c r="I40" s="274">
        <v>1</v>
      </c>
      <c r="J40" s="274">
        <v>1</v>
      </c>
      <c r="K40" s="274">
        <v>1</v>
      </c>
      <c r="L40" s="274">
        <v>1</v>
      </c>
      <c r="M40" s="346">
        <v>1</v>
      </c>
      <c r="N40" s="346">
        <v>1</v>
      </c>
      <c r="O40" s="346">
        <v>1</v>
      </c>
      <c r="P40" s="346">
        <v>1</v>
      </c>
      <c r="Q40" s="346">
        <v>1</v>
      </c>
      <c r="R40" s="346">
        <v>1</v>
      </c>
      <c r="S40" s="346">
        <v>1</v>
      </c>
      <c r="T40" s="346">
        <v>1</v>
      </c>
      <c r="U40" s="346">
        <v>1</v>
      </c>
      <c r="V40" s="346">
        <v>1</v>
      </c>
      <c r="W40" s="346">
        <v>1</v>
      </c>
      <c r="X40" s="346">
        <v>1</v>
      </c>
      <c r="Y40" s="346">
        <v>1</v>
      </c>
      <c r="Z40" s="346">
        <v>1</v>
      </c>
      <c r="AA40" s="346">
        <v>1</v>
      </c>
      <c r="AB40" s="346">
        <v>1</v>
      </c>
      <c r="AC40" s="346">
        <v>1</v>
      </c>
      <c r="AD40" s="274">
        <v>1</v>
      </c>
      <c r="AE40" s="274">
        <v>1</v>
      </c>
      <c r="AF40" s="346">
        <v>1</v>
      </c>
      <c r="AG40" s="346">
        <v>1</v>
      </c>
      <c r="AH40" s="346">
        <v>1</v>
      </c>
      <c r="AI40" s="346">
        <v>1</v>
      </c>
      <c r="AJ40" s="346">
        <v>1</v>
      </c>
    </row>
    <row r="41" spans="1:36" s="267" customFormat="1" x14ac:dyDescent="0.3">
      <c r="A41" s="507"/>
      <c r="D41" s="267" t="s">
        <v>438</v>
      </c>
      <c r="E41" s="66" t="str">
        <f>Legend!$A$47</f>
        <v>Cooking</v>
      </c>
      <c r="I41" s="274">
        <v>1</v>
      </c>
      <c r="J41" s="274">
        <v>1</v>
      </c>
      <c r="K41" s="274">
        <v>1</v>
      </c>
      <c r="L41" s="274">
        <v>1</v>
      </c>
      <c r="M41" s="274">
        <v>1</v>
      </c>
      <c r="N41" s="274">
        <v>1</v>
      </c>
      <c r="O41" s="274">
        <v>1</v>
      </c>
      <c r="P41" s="274">
        <v>1</v>
      </c>
      <c r="Q41" s="274">
        <v>1</v>
      </c>
      <c r="R41" s="274">
        <v>1</v>
      </c>
      <c r="S41" s="274">
        <v>1</v>
      </c>
      <c r="T41" s="274">
        <v>1</v>
      </c>
      <c r="U41" s="274">
        <v>1</v>
      </c>
      <c r="V41" s="274">
        <v>1</v>
      </c>
      <c r="W41" s="274">
        <v>1</v>
      </c>
      <c r="X41" s="274">
        <v>1</v>
      </c>
      <c r="Y41" s="274">
        <v>1</v>
      </c>
      <c r="Z41" s="274">
        <v>1</v>
      </c>
      <c r="AA41" s="274">
        <v>1</v>
      </c>
      <c r="AB41" s="274">
        <v>1</v>
      </c>
      <c r="AC41" s="274">
        <v>1</v>
      </c>
      <c r="AD41" s="274">
        <v>1</v>
      </c>
      <c r="AE41" s="274">
        <v>1</v>
      </c>
      <c r="AF41" s="274">
        <v>1</v>
      </c>
      <c r="AG41" s="274">
        <v>1</v>
      </c>
      <c r="AH41" s="274">
        <v>1</v>
      </c>
      <c r="AI41" s="274">
        <v>1</v>
      </c>
      <c r="AJ41" s="274">
        <v>1</v>
      </c>
    </row>
    <row r="42" spans="1:36" s="267" customFormat="1" x14ac:dyDescent="0.3">
      <c r="A42" s="507"/>
      <c r="D42" s="267" t="s">
        <v>438</v>
      </c>
      <c r="E42" s="267" t="s">
        <v>97</v>
      </c>
      <c r="I42" s="274">
        <v>1</v>
      </c>
      <c r="J42" s="274">
        <v>1</v>
      </c>
      <c r="K42" s="274">
        <v>1</v>
      </c>
      <c r="L42" s="274">
        <v>1</v>
      </c>
      <c r="M42" s="274">
        <v>1</v>
      </c>
      <c r="N42" s="274">
        <v>1</v>
      </c>
      <c r="O42" s="274">
        <v>1</v>
      </c>
      <c r="P42" s="274">
        <v>1</v>
      </c>
      <c r="Q42" s="274">
        <v>1</v>
      </c>
      <c r="R42" s="274">
        <v>1</v>
      </c>
      <c r="S42" s="274">
        <v>1</v>
      </c>
      <c r="T42" s="274">
        <v>1</v>
      </c>
      <c r="U42" s="274">
        <v>1</v>
      </c>
      <c r="V42" s="274">
        <v>1</v>
      </c>
      <c r="W42" s="274">
        <v>1</v>
      </c>
      <c r="X42" s="274">
        <v>1</v>
      </c>
      <c r="Y42" s="274">
        <v>1</v>
      </c>
      <c r="Z42" s="274">
        <v>1</v>
      </c>
      <c r="AA42" s="274">
        <v>1</v>
      </c>
      <c r="AB42" s="274">
        <v>1</v>
      </c>
      <c r="AC42" s="274">
        <v>1</v>
      </c>
      <c r="AD42" s="274">
        <v>1</v>
      </c>
      <c r="AE42" s="274">
        <v>1</v>
      </c>
      <c r="AF42" s="274">
        <v>1</v>
      </c>
      <c r="AG42" s="274">
        <v>1</v>
      </c>
      <c r="AH42" s="274">
        <v>1</v>
      </c>
      <c r="AI42" s="274">
        <v>1</v>
      </c>
      <c r="AJ42" s="274">
        <v>1</v>
      </c>
    </row>
    <row r="43" spans="1:36" s="267" customFormat="1" x14ac:dyDescent="0.3">
      <c r="A43" s="507"/>
      <c r="B43" s="268"/>
      <c r="C43" s="268"/>
      <c r="D43" s="270" t="s">
        <v>438</v>
      </c>
      <c r="E43" s="268" t="s">
        <v>576</v>
      </c>
      <c r="F43" s="268"/>
      <c r="G43" s="268"/>
      <c r="H43" s="268"/>
      <c r="I43" s="275">
        <v>1</v>
      </c>
      <c r="J43" s="275">
        <v>1</v>
      </c>
      <c r="K43" s="275">
        <v>1</v>
      </c>
      <c r="L43" s="275">
        <v>1</v>
      </c>
      <c r="M43" s="275">
        <v>1</v>
      </c>
      <c r="N43" s="275">
        <v>1</v>
      </c>
      <c r="O43" s="275">
        <v>1</v>
      </c>
      <c r="P43" s="275">
        <v>1</v>
      </c>
      <c r="Q43" s="275">
        <v>1</v>
      </c>
      <c r="R43" s="275">
        <v>1</v>
      </c>
      <c r="S43" s="275">
        <v>1</v>
      </c>
      <c r="T43" s="275">
        <v>1</v>
      </c>
      <c r="U43" s="275">
        <v>1</v>
      </c>
      <c r="V43" s="275">
        <v>1</v>
      </c>
      <c r="W43" s="275">
        <v>1</v>
      </c>
      <c r="X43" s="275">
        <v>1</v>
      </c>
      <c r="Y43" s="275">
        <v>1</v>
      </c>
      <c r="Z43" s="275">
        <v>1</v>
      </c>
      <c r="AA43" s="275">
        <v>1</v>
      </c>
      <c r="AB43" s="275">
        <v>1</v>
      </c>
      <c r="AC43" s="275">
        <v>1</v>
      </c>
      <c r="AD43" s="275">
        <v>1</v>
      </c>
      <c r="AE43" s="275">
        <v>1</v>
      </c>
      <c r="AF43" s="275">
        <v>1</v>
      </c>
      <c r="AG43" s="275">
        <v>1</v>
      </c>
      <c r="AH43" s="275">
        <v>1</v>
      </c>
      <c r="AI43" s="275">
        <v>1</v>
      </c>
      <c r="AJ43" s="275">
        <v>1</v>
      </c>
    </row>
    <row r="45" spans="1:36" x14ac:dyDescent="0.3">
      <c r="I45" s="77">
        <v>1.8156348720000002</v>
      </c>
      <c r="J45" s="77">
        <f>I45*0.9*I16</f>
        <v>1.6177306709520001</v>
      </c>
    </row>
    <row r="46" spans="1:36" ht="18" x14ac:dyDescent="0.3">
      <c r="A46" s="505"/>
      <c r="B46" s="40" t="s">
        <v>168</v>
      </c>
      <c r="C46" s="40" t="s">
        <v>195</v>
      </c>
      <c r="D46" s="49"/>
      <c r="E46" s="49"/>
      <c r="F46" s="49"/>
      <c r="G46" s="49"/>
      <c r="H46" s="49"/>
      <c r="I46" s="77">
        <f>I45*I39</f>
        <v>0.18156348720000004</v>
      </c>
      <c r="J46" s="77">
        <f>I45*0.1*I17</f>
        <v>0.48397563148032008</v>
      </c>
    </row>
    <row r="47" spans="1:36" x14ac:dyDescent="0.3">
      <c r="A47" s="499"/>
      <c r="B47" s="61" t="s">
        <v>98</v>
      </c>
      <c r="C47" s="61"/>
      <c r="D47" s="64" t="s">
        <v>99</v>
      </c>
      <c r="E47" s="64"/>
      <c r="F47" s="61" t="s">
        <v>49</v>
      </c>
      <c r="G47" s="61"/>
      <c r="H47" s="61"/>
      <c r="I47" s="62" t="s">
        <v>457</v>
      </c>
      <c r="J47" s="62" t="s">
        <v>458</v>
      </c>
      <c r="K47" s="62" t="s">
        <v>460</v>
      </c>
      <c r="L47" s="62" t="s">
        <v>459</v>
      </c>
      <c r="M47" s="62" t="s">
        <v>461</v>
      </c>
      <c r="N47" s="62" t="s">
        <v>463</v>
      </c>
      <c r="O47" s="62" t="s">
        <v>464</v>
      </c>
      <c r="P47" s="62" t="s">
        <v>465</v>
      </c>
      <c r="Q47" s="62" t="s">
        <v>1</v>
      </c>
      <c r="R47" s="62" t="s">
        <v>2</v>
      </c>
      <c r="S47" s="62" t="s">
        <v>707</v>
      </c>
      <c r="T47" s="62" t="s">
        <v>3</v>
      </c>
      <c r="U47" s="62" t="s">
        <v>467</v>
      </c>
      <c r="V47" s="62" t="s">
        <v>468</v>
      </c>
      <c r="W47" s="62" t="s">
        <v>469</v>
      </c>
      <c r="X47" s="62" t="s">
        <v>708</v>
      </c>
      <c r="Y47" s="62" t="s">
        <v>470</v>
      </c>
      <c r="Z47" s="62" t="s">
        <v>5</v>
      </c>
      <c r="AA47" s="62" t="s">
        <v>6</v>
      </c>
      <c r="AB47" s="62" t="s">
        <v>7</v>
      </c>
      <c r="AC47" s="62" t="s">
        <v>8</v>
      </c>
      <c r="AD47" s="62" t="s">
        <v>709</v>
      </c>
      <c r="AE47" s="62" t="s">
        <v>9</v>
      </c>
      <c r="AF47" s="62" t="s">
        <v>10</v>
      </c>
      <c r="AG47" s="62" t="s">
        <v>710</v>
      </c>
      <c r="AH47" s="62" t="s">
        <v>11</v>
      </c>
      <c r="AI47" s="62" t="s">
        <v>711</v>
      </c>
      <c r="AJ47" s="62" t="s">
        <v>13</v>
      </c>
    </row>
    <row r="48" spans="1:36" s="563" customFormat="1" ht="15" thickBot="1" x14ac:dyDescent="0.35">
      <c r="A48" s="499"/>
      <c r="B48" s="571" t="s">
        <v>30</v>
      </c>
      <c r="C48" s="571" t="s">
        <v>35</v>
      </c>
      <c r="D48" s="571" t="s">
        <v>30</v>
      </c>
      <c r="E48" s="571" t="s">
        <v>35</v>
      </c>
      <c r="F48" s="571"/>
      <c r="G48" s="571"/>
      <c r="H48" s="571"/>
      <c r="I48" s="571" t="s">
        <v>477</v>
      </c>
      <c r="J48" s="571" t="s">
        <v>478</v>
      </c>
      <c r="K48" s="571" t="s">
        <v>480</v>
      </c>
      <c r="L48" s="571" t="s">
        <v>479</v>
      </c>
      <c r="M48" s="571" t="s">
        <v>481</v>
      </c>
      <c r="N48" s="571" t="s">
        <v>482</v>
      </c>
      <c r="O48" s="571" t="s">
        <v>483</v>
      </c>
      <c r="P48" s="571" t="s">
        <v>484</v>
      </c>
      <c r="Q48" s="571" t="s">
        <v>90</v>
      </c>
      <c r="R48" s="571" t="s">
        <v>91</v>
      </c>
      <c r="S48" s="571" t="s">
        <v>715</v>
      </c>
      <c r="T48" s="571" t="s">
        <v>716</v>
      </c>
      <c r="U48" s="571" t="s">
        <v>485</v>
      </c>
      <c r="V48" s="571" t="s">
        <v>486</v>
      </c>
      <c r="W48" s="571" t="s">
        <v>487</v>
      </c>
      <c r="X48" s="571" t="s">
        <v>717</v>
      </c>
      <c r="Y48" s="571" t="s">
        <v>488</v>
      </c>
      <c r="Z48" s="571" t="s">
        <v>718</v>
      </c>
      <c r="AA48" s="571" t="s">
        <v>92</v>
      </c>
      <c r="AB48" s="571" t="s">
        <v>93</v>
      </c>
      <c r="AC48" s="571" t="s">
        <v>94</v>
      </c>
      <c r="AD48" s="571" t="s">
        <v>719</v>
      </c>
      <c r="AE48" s="571" t="s">
        <v>720</v>
      </c>
      <c r="AF48" s="571" t="s">
        <v>95</v>
      </c>
      <c r="AG48" s="571" t="s">
        <v>721</v>
      </c>
      <c r="AH48" s="571" t="s">
        <v>722</v>
      </c>
      <c r="AI48" s="571" t="s">
        <v>769</v>
      </c>
      <c r="AJ48" s="571" t="s">
        <v>489</v>
      </c>
    </row>
    <row r="49" spans="1:36" x14ac:dyDescent="0.3">
      <c r="A49" s="508" t="s">
        <v>75</v>
      </c>
      <c r="B49" s="49" t="str">
        <f>Legend!A$45</f>
        <v>Thermal uses</v>
      </c>
      <c r="C49" s="49" t="str">
        <f>C14</f>
        <v>S-TH</v>
      </c>
      <c r="D49" s="49" t="str">
        <f>D14</f>
        <v>Biomass, Waste</v>
      </c>
      <c r="E49" s="49" t="str">
        <f>E14</f>
        <v>SRVBIO, SRVWAS</v>
      </c>
      <c r="F49" s="495" t="s">
        <v>15</v>
      </c>
      <c r="G49" s="495"/>
      <c r="H49" s="109"/>
      <c r="I49" s="117">
        <f>SUMIFS(I$14:I$36,$C$14:$C$36,$C49,$E$14:$E$36,$E49)*SUMIFS('Key inputs_EB'!H$150:H$182,'Key inputs_EB'!$C$150:$C$182,'Key Inputs_BY Techs'!$C49,'Key inputs_EB'!$E$150:$E$182,'Key Inputs_BY Techs'!$E49)</f>
        <v>33.975482400000004</v>
      </c>
      <c r="J49" s="117">
        <f>SUMIFS(J$14:J$36,$C$14:$C$36,$C49,$E$14:$E$36,$E49)*SUMIFS('Key inputs_EB'!I$150:I$182,'Key inputs_EB'!$C$150:$C$182,'Key Inputs_BY Techs'!$C49,'Key inputs_EB'!$E$150:$E$182,'Key Inputs_BY Techs'!$E49)</f>
        <v>6.5003472000000011</v>
      </c>
      <c r="K49" s="117">
        <f>SUMIFS(K$14:K$36,$C$14:$C$36,$C49,$E$14:$E$36,$E49)*SUMIFS('Key inputs_EB'!J$150:J$182,'Key inputs_EB'!$C$150:$C$182,'Key Inputs_BY Techs'!$C49,'Key inputs_EB'!$E$150:$E$182,'Key Inputs_BY Techs'!$E49)</f>
        <v>21.956702400000005</v>
      </c>
      <c r="L49" s="117">
        <f>SUMIFS(L$14:L$36,$C$14:$C$36,$C49,$E$14:$E$36,$E49)*SUMIFS('Key inputs_EB'!K$150:K$182,'Key inputs_EB'!$C$150:$C$182,'Key Inputs_BY Techs'!$C49,'Key inputs_EB'!$E$150:$E$182,'Key Inputs_BY Techs'!$E49)</f>
        <v>1.0248768000000001</v>
      </c>
      <c r="M49" s="117">
        <f>SUMIFS(M$14:M$36,$C$14:$C$36,$C49,$E$14:$E$36,$E49)*SUMIFS('Key inputs_EB'!L$150:L$182,'Key inputs_EB'!$C$150:$C$182,'Key Inputs_BY Techs'!$C49,'Key inputs_EB'!$E$150:$E$182,'Key Inputs_BY Techs'!$E49)</f>
        <v>0.15033600000000003</v>
      </c>
      <c r="N49" s="117">
        <f>SUMIFS(N$14:N$36,$C$14:$C$36,$C49,$E$14:$E$36,$E49)*SUMIFS('Key inputs_EB'!M$150:M$182,'Key inputs_EB'!$C$150:$C$182,'Key Inputs_BY Techs'!$C49,'Key inputs_EB'!$E$150:$E$182,'Key Inputs_BY Techs'!$E49)</f>
        <v>0.72122399999999998</v>
      </c>
      <c r="O49" s="117">
        <f>SUMIFS(O$14:O$36,$C$14:$C$36,$C49,$E$14:$E$36,$E49)*SUMIFS('Key inputs_EB'!N$150:N$182,'Key inputs_EB'!$C$150:$C$182,'Key Inputs_BY Techs'!$C49,'Key inputs_EB'!$E$150:$E$182,'Key Inputs_BY Techs'!$E49)</f>
        <v>6.5162879999999994</v>
      </c>
      <c r="P49" s="117">
        <f>SUMIFS(P$14:P$36,$C$14:$C$36,$C49,$E$14:$E$36,$E49)*SUMIFS('Key inputs_EB'!O$150:O$182,'Key inputs_EB'!$C$150:$C$182,'Key Inputs_BY Techs'!$C49,'Key inputs_EB'!$E$150:$E$182,'Key Inputs_BY Techs'!$E49)</f>
        <v>4.0334760000000003</v>
      </c>
      <c r="Q49" s="117">
        <f>SUMIFS(Q$14:Q$36,$C$14:$C$36,$C49,$E$14:$E$36,$E49)*SUMIFS('Key inputs_EB'!P$150:P$182,'Key inputs_EB'!$C$150:$C$182,'Key Inputs_BY Techs'!$C49,'Key inputs_EB'!$E$150:$E$182,'Key Inputs_BY Techs'!$E49)</f>
        <v>0.6924528000000002</v>
      </c>
      <c r="R49" s="117">
        <f>SUMIFS(R$14:R$36,$C$14:$C$36,$C49,$E$14:$E$36,$E49)*SUMIFS('Key inputs_EB'!Q$150:Q$182,'Key inputs_EB'!$C$150:$C$182,'Key Inputs_BY Techs'!$C49,'Key inputs_EB'!$E$150:$E$182,'Key Inputs_BY Techs'!$E49)</f>
        <v>0</v>
      </c>
      <c r="S49" s="117">
        <f>SUMIFS(S$14:S$36,$C$14:$C$36,$C49,$E$14:$E$36,$E49)*SUMIFS('Key inputs_EB'!R$150:R$182,'Key inputs_EB'!$C$150:$C$182,'Key Inputs_BY Techs'!$C49,'Key inputs_EB'!$E$150:$E$182,'Key Inputs_BY Techs'!$E49)</f>
        <v>0.12597120000000001</v>
      </c>
      <c r="T49" s="117">
        <f>SUMIFS(T$14:T$36,$C$14:$C$36,$C49,$E$14:$E$36,$E49)*SUMIFS('Key inputs_EB'!S$150:S$182,'Key inputs_EB'!$C$150:$C$182,'Key Inputs_BY Techs'!$C49,'Key inputs_EB'!$E$150:$E$182,'Key Inputs_BY Techs'!$E49)</f>
        <v>12.441826799999998</v>
      </c>
      <c r="U49" s="117">
        <f>SUMIFS(U$14:U$36,$C$14:$C$36,$C49,$E$14:$E$36,$E49)*SUMIFS('Key inputs_EB'!T$150:T$182,'Key inputs_EB'!$C$150:$C$182,'Key Inputs_BY Techs'!$C49,'Key inputs_EB'!$E$150:$E$182,'Key Inputs_BY Techs'!$E49)</f>
        <v>7.3982159999999997</v>
      </c>
      <c r="V49" s="117">
        <f>SUMIFS(V$14:V$36,$C$14:$C$36,$C49,$E$14:$E$36,$E49)*SUMIFS('Key inputs_EB'!U$150:U$182,'Key inputs_EB'!$C$150:$C$182,'Key Inputs_BY Techs'!$C49,'Key inputs_EB'!$E$150:$E$182,'Key Inputs_BY Techs'!$E49)</f>
        <v>11.904408000000002</v>
      </c>
      <c r="W49" s="117">
        <f>SUMIFS(W$14:W$36,$C$14:$C$36,$C49,$E$14:$E$36,$E49)*SUMIFS('Key inputs_EB'!V$150:V$182,'Key inputs_EB'!$C$150:$C$182,'Key Inputs_BY Techs'!$C49,'Key inputs_EB'!$E$150:$E$182,'Key Inputs_BY Techs'!$E49)</f>
        <v>18.156312</v>
      </c>
      <c r="X49" s="117">
        <f>SUMIFS(X$14:X$36,$C$14:$C$36,$C49,$E$14:$E$36,$E49)*SUMIFS('Key inputs_EB'!W$150:W$182,'Key inputs_EB'!$C$150:$C$182,'Key Inputs_BY Techs'!$C49,'Key inputs_EB'!$E$150:$E$182,'Key Inputs_BY Techs'!$E49)</f>
        <v>15.228</v>
      </c>
      <c r="Y49" s="117">
        <f>SUMIFS(Y$14:Y$36,$C$14:$C$36,$C49,$E$14:$E$36,$E49)*SUMIFS('Key inputs_EB'!X$150:X$182,'Key inputs_EB'!$C$150:$C$182,'Key Inputs_BY Techs'!$C49,'Key inputs_EB'!$E$150:$E$182,'Key Inputs_BY Techs'!$E49)</f>
        <v>47.824862400000001</v>
      </c>
      <c r="Z49" s="117">
        <f>SUMIFS(Z$14:Z$36,$C$14:$C$36,$C49,$E$14:$E$36,$E49)*SUMIFS('Key inputs_EB'!Y$150:Y$182,'Key inputs_EB'!$C$150:$C$182,'Key Inputs_BY Techs'!$C49,'Key inputs_EB'!$E$150:$E$182,'Key Inputs_BY Techs'!$E49)</f>
        <v>18.418428000000002</v>
      </c>
      <c r="AA49" s="117">
        <f>SUMIFS(AA$14:AA$36,$C$14:$C$36,$C49,$E$14:$E$36,$E49)*SUMIFS('Key inputs_EB'!Z$150:Z$182,'Key inputs_EB'!$C$150:$C$182,'Key Inputs_BY Techs'!$C49,'Key inputs_EB'!$E$150:$E$182,'Key Inputs_BY Techs'!$E49)</f>
        <v>21.334233600000001</v>
      </c>
      <c r="AB49" s="117">
        <f>SUMIFS(AB$14:AB$36,$C$14:$C$36,$C49,$E$14:$E$36,$E49)*SUMIFS('Key inputs_EB'!AA$150:AA$182,'Key inputs_EB'!$C$150:$C$182,'Key Inputs_BY Techs'!$C49,'Key inputs_EB'!$E$150:$E$182,'Key Inputs_BY Techs'!$E49)</f>
        <v>47.048040000000007</v>
      </c>
      <c r="AC49" s="117">
        <f>SUMIFS(AC$14:AC$36,$C$14:$C$36,$C49,$E$14:$E$36,$E49)*SUMIFS('Key inputs_EB'!AB$150:AB$182,'Key inputs_EB'!$C$150:$C$182,'Key Inputs_BY Techs'!$C49,'Key inputs_EB'!$E$150:$E$182,'Key Inputs_BY Techs'!$E49)</f>
        <v>5.5404000000000009</v>
      </c>
      <c r="AD49" s="117">
        <f>SUMIFS(AD$14:AD$36,$C$14:$C$36,$C49,$E$14:$E$36,$E49)*SUMIFS('Key inputs_EB'!AC$150:AC$182,'Key inputs_EB'!$C$150:$C$182,'Key Inputs_BY Techs'!$C49,'Key inputs_EB'!$E$150:$E$182,'Key Inputs_BY Techs'!$E49)</f>
        <v>3.5639999999999998E-2</v>
      </c>
      <c r="AE49" s="117">
        <f>SUMIFS(AE$14:AE$36,$C$14:$C$36,$C49,$E$14:$E$36,$E49)*SUMIFS('Key inputs_EB'!AD$150:AD$182,'Key inputs_EB'!$C$150:$C$182,'Key Inputs_BY Techs'!$C49,'Key inputs_EB'!$E$150:$E$182,'Key Inputs_BY Techs'!$E49)</f>
        <v>0</v>
      </c>
      <c r="AF49" s="117">
        <f>SUMIFS(AF$14:AF$36,$C$14:$C$36,$C49,$E$14:$E$36,$E49)*SUMIFS('Key inputs_EB'!AE$150:AE$182,'Key inputs_EB'!$C$150:$C$182,'Key Inputs_BY Techs'!$C49,'Key inputs_EB'!$E$150:$E$182,'Key Inputs_BY Techs'!$E49)</f>
        <v>0</v>
      </c>
      <c r="AG49" s="117">
        <f>SUMIFS(AG$14:AG$36,$C$14:$C$36,$C49,$E$14:$E$36,$E49)*SUMIFS('Key inputs_EB'!AF$150:AF$182,'Key inputs_EB'!$C$150:$C$182,'Key Inputs_BY Techs'!$C49,'Key inputs_EB'!$E$150:$E$182,'Key Inputs_BY Techs'!$E49)</f>
        <v>22.456699200000006</v>
      </c>
      <c r="AH49" s="117">
        <f>SUMIFS(AH$14:AH$36,$C$14:$C$36,$C49,$E$14:$E$36,$E49)*SUMIFS('Key inputs_EB'!AG$150:AG$182,'Key inputs_EB'!$C$150:$C$182,'Key Inputs_BY Techs'!$C49,'Key inputs_EB'!$E$150:$E$182,'Key Inputs_BY Techs'!$E49)</f>
        <v>31.090392000000001</v>
      </c>
      <c r="AI49" s="117">
        <f>SUMIFS(AI$14:AI$36,$C$14:$C$36,$C49,$E$14:$E$36,$E49)*SUMIFS('Key inputs_EB'!AH$150:AH$182,'Key inputs_EB'!$C$150:$C$182,'Key Inputs_BY Techs'!$C49,'Key inputs_EB'!$E$150:$E$182,'Key Inputs_BY Techs'!$E49)</f>
        <v>14.530428000000001</v>
      </c>
      <c r="AJ49" s="117">
        <f>SUMIFS(AJ$14:AJ$36,$C$14:$C$36,$C49,$E$14:$E$36,$E49)*SUMIFS('Key inputs_EB'!AI$150:AI$182,'Key inputs_EB'!$C$150:$C$182,'Key Inputs_BY Techs'!$C49,'Key inputs_EB'!$E$150:$E$182,'Key Inputs_BY Techs'!$E49)</f>
        <v>52.213895999999998</v>
      </c>
    </row>
    <row r="50" spans="1:36" x14ac:dyDescent="0.3">
      <c r="A50" s="508" t="s">
        <v>75</v>
      </c>
      <c r="B50" s="49" t="str">
        <f>Legend!A$45</f>
        <v>Thermal uses</v>
      </c>
      <c r="C50" s="49" t="str">
        <f t="shared" ref="C50:E50" si="17">C15</f>
        <v>S-TH</v>
      </c>
      <c r="D50" s="49" t="str">
        <f t="shared" si="17"/>
        <v>Coal</v>
      </c>
      <c r="E50" s="49" t="str">
        <f t="shared" si="17"/>
        <v>SRVCOA</v>
      </c>
      <c r="F50" s="109" t="s">
        <v>15</v>
      </c>
      <c r="G50" s="109"/>
      <c r="H50" s="109"/>
      <c r="I50" s="117">
        <f>SUMIFS(I$14:I$36,$C$14:$C$36,$C50,$E$14:$E$36,$E50)*SUMIFS('Key inputs_EB'!H$150:H$182,'Key inputs_EB'!$C$150:$C$182,'Key Inputs_BY Techs'!$C50,'Key inputs_EB'!$E$150:$E$182,'Key Inputs_BY Techs'!$E50)</f>
        <v>0</v>
      </c>
      <c r="J50" s="117">
        <f>SUMIFS(J$14:J$36,$C$14:$C$36,$C50,$E$14:$E$36,$E50)*SUMIFS('Key inputs_EB'!I$150:I$182,'Key inputs_EB'!$C$150:$C$182,'Key Inputs_BY Techs'!$C50,'Key inputs_EB'!$E$150:$E$182,'Key Inputs_BY Techs'!$E50)</f>
        <v>0</v>
      </c>
      <c r="K50" s="117">
        <f>SUMIFS(K$14:K$36,$C$14:$C$36,$C50,$E$14:$E$36,$E50)*SUMIFS('Key inputs_EB'!J$150:J$182,'Key inputs_EB'!$C$150:$C$182,'Key Inputs_BY Techs'!$C50,'Key inputs_EB'!$E$150:$E$182,'Key Inputs_BY Techs'!$E50)</f>
        <v>0</v>
      </c>
      <c r="L50" s="117">
        <f>SUMIFS(L$14:L$36,$C$14:$C$36,$C50,$E$14:$E$36,$E50)*SUMIFS('Key inputs_EB'!K$150:K$182,'Key inputs_EB'!$C$150:$C$182,'Key Inputs_BY Techs'!$C50,'Key inputs_EB'!$E$150:$E$182,'Key Inputs_BY Techs'!$E50)</f>
        <v>39.199545000000008</v>
      </c>
      <c r="M50" s="117">
        <f>SUMIFS(M$14:M$36,$C$14:$C$36,$C50,$E$14:$E$36,$E50)*SUMIFS('Key inputs_EB'!L$150:L$182,'Key inputs_EB'!$C$150:$C$182,'Key Inputs_BY Techs'!$C50,'Key inputs_EB'!$E$150:$E$182,'Key Inputs_BY Techs'!$E50)</f>
        <v>1.0941750000000001</v>
      </c>
      <c r="N50" s="117">
        <f>SUMIFS(N$14:N$36,$C$14:$C$36,$C50,$E$14:$E$36,$E50)*SUMIFS('Key inputs_EB'!M$150:M$182,'Key inputs_EB'!$C$150:$C$182,'Key Inputs_BY Techs'!$C50,'Key inputs_EB'!$E$150:$E$182,'Key Inputs_BY Techs'!$E50)</f>
        <v>44.104500000000009</v>
      </c>
      <c r="O50" s="117">
        <f>SUMIFS(O$14:O$36,$C$14:$C$36,$C50,$E$14:$E$36,$E50)*SUMIFS('Key inputs_EB'!N$150:N$182,'Key inputs_EB'!$C$150:$C$182,'Key Inputs_BY Techs'!$C50,'Key inputs_EB'!$E$150:$E$182,'Key Inputs_BY Techs'!$E50)</f>
        <v>5.5893375000000001</v>
      </c>
      <c r="P50" s="117">
        <f>SUMIFS(P$14:P$36,$C$14:$C$36,$C50,$E$14:$E$36,$E50)*SUMIFS('Key inputs_EB'!O$150:O$182,'Key inputs_EB'!$C$150:$C$182,'Key Inputs_BY Techs'!$C50,'Key inputs_EB'!$E$150:$E$182,'Key Inputs_BY Techs'!$E50)</f>
        <v>0</v>
      </c>
      <c r="Q50" s="117">
        <f>SUMIFS(Q$14:Q$36,$C$14:$C$36,$C50,$E$14:$E$36,$E50)*SUMIFS('Key inputs_EB'!P$150:P$182,'Key inputs_EB'!$C$150:$C$182,'Key Inputs_BY Techs'!$C50,'Key inputs_EB'!$E$150:$E$182,'Key Inputs_BY Techs'!$E50)</f>
        <v>0</v>
      </c>
      <c r="R50" s="117">
        <f>SUMIFS(R$14:R$36,$C$14:$C$36,$C50,$E$14:$E$36,$E50)*SUMIFS('Key inputs_EB'!Q$150:Q$182,'Key inputs_EB'!$C$150:$C$182,'Key Inputs_BY Techs'!$C50,'Key inputs_EB'!$E$150:$E$182,'Key Inputs_BY Techs'!$E50)</f>
        <v>0</v>
      </c>
      <c r="S50" s="117">
        <f>SUMIFS(S$14:S$36,$C$14:$C$36,$C50,$E$14:$E$36,$E50)*SUMIFS('Key inputs_EB'!R$150:R$182,'Key inputs_EB'!$C$150:$C$182,'Key Inputs_BY Techs'!$C50,'Key inputs_EB'!$E$150:$E$182,'Key Inputs_BY Techs'!$E50)</f>
        <v>0</v>
      </c>
      <c r="T50" s="117">
        <f>SUMIFS(T$14:T$36,$C$14:$C$36,$C50,$E$14:$E$36,$E50)*SUMIFS('Key inputs_EB'!S$150:S$182,'Key inputs_EB'!$C$150:$C$182,'Key Inputs_BY Techs'!$C50,'Key inputs_EB'!$E$150:$E$182,'Key Inputs_BY Techs'!$E50)</f>
        <v>13.445460000000001</v>
      </c>
      <c r="U50" s="117">
        <f>SUMIFS(U$14:U$36,$C$14:$C$36,$C50,$E$14:$E$36,$E50)*SUMIFS('Key inputs_EB'!T$150:T$182,'Key inputs_EB'!$C$150:$C$182,'Key Inputs_BY Techs'!$C50,'Key inputs_EB'!$E$150:$E$182,'Key Inputs_BY Techs'!$E50)</f>
        <v>14.374125000000003</v>
      </c>
      <c r="V50" s="117">
        <f>SUMIFS(V$14:V$36,$C$14:$C$36,$C50,$E$14:$E$36,$E50)*SUMIFS('Key inputs_EB'!U$150:U$182,'Key inputs_EB'!$C$150:$C$182,'Key Inputs_BY Techs'!$C50,'Key inputs_EB'!$E$150:$E$182,'Key Inputs_BY Techs'!$E50)</f>
        <v>0.43875000000000003</v>
      </c>
      <c r="W50" s="117">
        <f>SUMIFS(W$14:W$36,$C$14:$C$36,$C50,$E$14:$E$36,$E50)*SUMIFS('Key inputs_EB'!V$150:V$182,'Key inputs_EB'!$C$150:$C$182,'Key Inputs_BY Techs'!$C50,'Key inputs_EB'!$E$150:$E$182,'Key Inputs_BY Techs'!$E50)</f>
        <v>19.245600000000003</v>
      </c>
      <c r="X50" s="117">
        <f>SUMIFS(X$14:X$36,$C$14:$C$36,$C50,$E$14:$E$36,$E50)*SUMIFS('Key inputs_EB'!W$150:W$182,'Key inputs_EB'!$C$150:$C$182,'Key Inputs_BY Techs'!$C50,'Key inputs_EB'!$E$150:$E$182,'Key Inputs_BY Techs'!$E50)</f>
        <v>1.0158750000000001</v>
      </c>
      <c r="Y50" s="117">
        <f>SUMIFS(Y$14:Y$36,$C$14:$C$36,$C50,$E$14:$E$36,$E50)*SUMIFS('Key inputs_EB'!X$150:X$182,'Key inputs_EB'!$C$150:$C$182,'Key Inputs_BY Techs'!$C50,'Key inputs_EB'!$E$150:$E$182,'Key Inputs_BY Techs'!$E50)</f>
        <v>0.21870000000000003</v>
      </c>
      <c r="Z50" s="117">
        <f>SUMIFS(Z$14:Z$36,$C$14:$C$36,$C50,$E$14:$E$36,$E50)*SUMIFS('Key inputs_EB'!Y$150:Y$182,'Key inputs_EB'!$C$150:$C$182,'Key Inputs_BY Techs'!$C50,'Key inputs_EB'!$E$150:$E$182,'Key Inputs_BY Techs'!$E50)</f>
        <v>11.18205</v>
      </c>
      <c r="AA50" s="117">
        <f>SUMIFS(AA$14:AA$36,$C$14:$C$36,$C50,$E$14:$E$36,$E50)*SUMIFS('Key inputs_EB'!Z$150:Z$182,'Key inputs_EB'!$C$150:$C$182,'Key Inputs_BY Techs'!$C50,'Key inputs_EB'!$E$150:$E$182,'Key Inputs_BY Techs'!$E50)</f>
        <v>0</v>
      </c>
      <c r="AB50" s="117">
        <f>SUMIFS(AB$14:AB$36,$C$14:$C$36,$C50,$E$14:$E$36,$E50)*SUMIFS('Key inputs_EB'!AA$150:AA$182,'Key inputs_EB'!$C$150:$C$182,'Key Inputs_BY Techs'!$C50,'Key inputs_EB'!$E$150:$E$182,'Key Inputs_BY Techs'!$E50)</f>
        <v>2.6756730000000002</v>
      </c>
      <c r="AC50" s="117">
        <f>SUMIFS(AC$14:AC$36,$C$14:$C$36,$C50,$E$14:$E$36,$E50)*SUMIFS('Key inputs_EB'!AB$150:AB$182,'Key inputs_EB'!$C$150:$C$182,'Key Inputs_BY Techs'!$C50,'Key inputs_EB'!$E$150:$E$182,'Key Inputs_BY Techs'!$E50)</f>
        <v>0</v>
      </c>
      <c r="AD50" s="117">
        <f>SUMIFS(AD$14:AD$36,$C$14:$C$36,$C50,$E$14:$E$36,$E50)*SUMIFS('Key inputs_EB'!AC$150:AC$182,'Key inputs_EB'!$C$150:$C$182,'Key Inputs_BY Techs'!$C50,'Key inputs_EB'!$E$150:$E$182,'Key Inputs_BY Techs'!$E50)</f>
        <v>75.653324999999995</v>
      </c>
      <c r="AE50" s="117">
        <f>SUMIFS(AE$14:AE$36,$C$14:$C$36,$C50,$E$14:$E$36,$E50)*SUMIFS('Key inputs_EB'!AD$150:AD$182,'Key inputs_EB'!$C$150:$C$182,'Key Inputs_BY Techs'!$C50,'Key inputs_EB'!$E$150:$E$182,'Key Inputs_BY Techs'!$E50)</f>
        <v>0</v>
      </c>
      <c r="AF50" s="117">
        <f>SUMIFS(AF$14:AF$36,$C$14:$C$36,$C50,$E$14:$E$36,$E50)*SUMIFS('Key inputs_EB'!AE$150:AE$182,'Key inputs_EB'!$C$150:$C$182,'Key Inputs_BY Techs'!$C50,'Key inputs_EB'!$E$150:$E$182,'Key Inputs_BY Techs'!$E50)</f>
        <v>0</v>
      </c>
      <c r="AG50" s="117">
        <f>SUMIFS(AG$14:AG$36,$C$14:$C$36,$C50,$E$14:$E$36,$E50)*SUMIFS('Key inputs_EB'!AF$150:AF$182,'Key inputs_EB'!$C$150:$C$182,'Key Inputs_BY Techs'!$C50,'Key inputs_EB'!$E$150:$E$182,'Key Inputs_BY Techs'!$E50)</f>
        <v>0</v>
      </c>
      <c r="AH50" s="117">
        <f>SUMIFS(AH$14:AH$36,$C$14:$C$36,$C50,$E$14:$E$36,$E50)*SUMIFS('Key inputs_EB'!AG$150:AG$182,'Key inputs_EB'!$C$150:$C$182,'Key Inputs_BY Techs'!$C50,'Key inputs_EB'!$E$150:$E$182,'Key Inputs_BY Techs'!$E50)</f>
        <v>22.407300000000006</v>
      </c>
      <c r="AI50" s="117">
        <f>SUMIFS(AI$14:AI$36,$C$14:$C$36,$C50,$E$14:$E$36,$E50)*SUMIFS('Key inputs_EB'!AH$150:AH$182,'Key inputs_EB'!$C$150:$C$182,'Key Inputs_BY Techs'!$C50,'Key inputs_EB'!$E$150:$E$182,'Key Inputs_BY Techs'!$E50)</f>
        <v>0</v>
      </c>
      <c r="AJ50" s="117">
        <f>SUMIFS(AJ$14:AJ$36,$C$14:$C$36,$C50,$E$14:$E$36,$E50)*SUMIFS('Key inputs_EB'!AI$150:AI$182,'Key inputs_EB'!$C$150:$C$182,'Key Inputs_BY Techs'!$C50,'Key inputs_EB'!$E$150:$E$182,'Key Inputs_BY Techs'!$E50)</f>
        <v>10.758150000000001</v>
      </c>
    </row>
    <row r="51" spans="1:36" x14ac:dyDescent="0.3">
      <c r="A51" s="508" t="s">
        <v>75</v>
      </c>
      <c r="B51" s="49" t="str">
        <f>Legend!A$45</f>
        <v>Thermal uses</v>
      </c>
      <c r="C51" s="49" t="str">
        <f t="shared" ref="C51:E51" si="18">C16</f>
        <v>S-TH</v>
      </c>
      <c r="D51" s="49" t="str">
        <f t="shared" si="18"/>
        <v>Electricity</v>
      </c>
      <c r="E51" s="49" t="str">
        <f t="shared" si="18"/>
        <v>SRVELC</v>
      </c>
      <c r="F51" s="109" t="s">
        <v>15</v>
      </c>
      <c r="G51" s="109"/>
      <c r="H51" s="109"/>
      <c r="I51" s="595">
        <f>I16*SUMIFS('Key inputs_EB'!H$150:H$182,'Key inputs_EB'!$C$150:$C$182,'Key Inputs_BY Techs'!$C51,'Key inputs_EB'!$E$150:$E$182,'Key Inputs_BY Techs'!$E51)*(1-I39)</f>
        <v>1.8334107000000002</v>
      </c>
      <c r="J51" s="349">
        <f>J16*SUMIFS('Key inputs_EB'!I$150:I$182,'Key inputs_EB'!$C$150:$C$182,'Key Inputs_BY Techs'!$C51,'Key inputs_EB'!$E$150:$E$182,'Key Inputs_BY Techs'!$E51)*(1-J39)</f>
        <v>10.132006500000001</v>
      </c>
      <c r="K51" s="349">
        <f>K16*SUMIFS('Key inputs_EB'!J$150:J$182,'Key inputs_EB'!$C$150:$C$182,'Key Inputs_BY Techs'!$C51,'Key inputs_EB'!$E$150:$E$182,'Key Inputs_BY Techs'!$E51)*(1-K39)</f>
        <v>2.3549130000000003</v>
      </c>
      <c r="L51" s="349">
        <f>L16*SUMIFS('Key inputs_EB'!K$150:K$182,'Key inputs_EB'!$C$150:$C$182,'Key Inputs_BY Techs'!$C51,'Key inputs_EB'!$E$150:$E$182,'Key Inputs_BY Techs'!$E51)*(1-L39)</f>
        <v>6.17254506</v>
      </c>
      <c r="M51" s="349">
        <f>M16*SUMIFS('Key inputs_EB'!L$150:L$182,'Key inputs_EB'!$C$150:$C$182,'Key Inputs_BY Techs'!$C51,'Key inputs_EB'!$E$150:$E$182,'Key Inputs_BY Techs'!$E51)*(1-M39)</f>
        <v>36.295722540000007</v>
      </c>
      <c r="N51" s="349">
        <f>N16*SUMIFS('Key inputs_EB'!M$150:M$182,'Key inputs_EB'!$C$150:$C$182,'Key Inputs_BY Techs'!$C51,'Key inputs_EB'!$E$150:$E$182,'Key Inputs_BY Techs'!$E51)*(1-N39)</f>
        <v>17.783647200000004</v>
      </c>
      <c r="O51" s="349">
        <f>O16*SUMIFS('Key inputs_EB'!N$150:N$182,'Key inputs_EB'!$C$150:$C$182,'Key Inputs_BY Techs'!$C51,'Key inputs_EB'!$E$150:$E$182,'Key Inputs_BY Techs'!$E51)*(1-O39)</f>
        <v>38.121123150000003</v>
      </c>
      <c r="P51" s="349">
        <f>P16*SUMIFS('Key inputs_EB'!O$150:O$182,'Key inputs_EB'!$C$150:$C$182,'Key Inputs_BY Techs'!$C51,'Key inputs_EB'!$E$150:$E$182,'Key Inputs_BY Techs'!$E51)*(1-P39)</f>
        <v>8.8072677000000006</v>
      </c>
      <c r="Q51" s="349">
        <f>Q16*SUMIFS('Key inputs_EB'!P$150:P$182,'Key inputs_EB'!$C$150:$C$182,'Key Inputs_BY Techs'!$C51,'Key inputs_EB'!$E$150:$E$182,'Key Inputs_BY Techs'!$E51)*(1-Q39)</f>
        <v>18.096245639999999</v>
      </c>
      <c r="R51" s="349">
        <f>R16*SUMIFS('Key inputs_EB'!Q$150:Q$182,'Key inputs_EB'!$C$150:$C$182,'Key Inputs_BY Techs'!$C51,'Key inputs_EB'!$E$150:$E$182,'Key Inputs_BY Techs'!$E51)*(1-R39)</f>
        <v>97.091557199999997</v>
      </c>
      <c r="S51" s="349">
        <f>S16*SUMIFS('Key inputs_EB'!R$150:R$182,'Key inputs_EB'!$C$150:$C$182,'Key Inputs_BY Techs'!$C51,'Key inputs_EB'!$E$150:$E$182,'Key Inputs_BY Techs'!$E51)*(1-S39)</f>
        <v>1.5742900799999999</v>
      </c>
      <c r="T51" s="349">
        <f>T16*SUMIFS('Key inputs_EB'!S$150:S$182,'Key inputs_EB'!$C$150:$C$182,'Key Inputs_BY Techs'!$C51,'Key inputs_EB'!$E$150:$E$182,'Key Inputs_BY Techs'!$E51)*(1-T39)</f>
        <v>3.8475874799999996</v>
      </c>
      <c r="U51" s="349">
        <f>U16*SUMIFS('Key inputs_EB'!T$150:T$182,'Key inputs_EB'!$C$150:$C$182,'Key Inputs_BY Techs'!$C51,'Key inputs_EB'!$E$150:$E$182,'Key Inputs_BY Techs'!$E51)*(1-U39)</f>
        <v>27.901130400000003</v>
      </c>
      <c r="V51" s="349">
        <f>V16*SUMIFS('Key inputs_EB'!U$150:U$182,'Key inputs_EB'!$C$150:$C$182,'Key Inputs_BY Techs'!$C51,'Key inputs_EB'!$E$150:$E$182,'Key Inputs_BY Techs'!$E51)*(1-V39)</f>
        <v>90.620553869999995</v>
      </c>
      <c r="W51" s="349">
        <f>W16*SUMIFS('Key inputs_EB'!V$150:V$182,'Key inputs_EB'!$C$150:$C$182,'Key Inputs_BY Techs'!$C51,'Key inputs_EB'!$E$150:$E$182,'Key Inputs_BY Techs'!$E51)*(1-W39)</f>
        <v>74.907261000000005</v>
      </c>
      <c r="X51" s="349">
        <f>X16*SUMIFS('Key inputs_EB'!W$150:W$182,'Key inputs_EB'!$C$150:$C$182,'Key Inputs_BY Techs'!$C51,'Key inputs_EB'!$E$150:$E$182,'Key Inputs_BY Techs'!$E51)*(1-X39)</f>
        <v>227.72222549999998</v>
      </c>
      <c r="Y51" s="349">
        <f>Y16*SUMIFS('Key inputs_EB'!X$150:X$182,'Key inputs_EB'!$C$150:$C$182,'Key Inputs_BY Techs'!$C51,'Key inputs_EB'!$E$150:$E$182,'Key Inputs_BY Techs'!$E51)*(1-Y39)</f>
        <v>183.01098122999997</v>
      </c>
      <c r="Z51" s="349">
        <f>Z16*SUMIFS('Key inputs_EB'!Y$150:Y$182,'Key inputs_EB'!$C$150:$C$182,'Key Inputs_BY Techs'!$C51,'Key inputs_EB'!$E$150:$E$182,'Key Inputs_BY Techs'!$E51)*(1-Z39)</f>
        <v>31.646021219999994</v>
      </c>
      <c r="AA51" s="349">
        <f>AA16*SUMIFS('Key inputs_EB'!Z$150:Z$182,'Key inputs_EB'!$C$150:$C$182,'Key Inputs_BY Techs'!$C51,'Key inputs_EB'!$E$150:$E$182,'Key Inputs_BY Techs'!$E51)*(1-AA39)</f>
        <v>9.9964586699999991</v>
      </c>
      <c r="AB51" s="349">
        <f>AB16*SUMIFS('Key inputs_EB'!AA$150:AA$182,'Key inputs_EB'!$C$150:$C$182,'Key Inputs_BY Techs'!$C51,'Key inputs_EB'!$E$150:$E$182,'Key Inputs_BY Techs'!$E51)*(1-AB39)</f>
        <v>50.772922200000004</v>
      </c>
      <c r="AC51" s="349">
        <f>AC16*SUMIFS('Key inputs_EB'!AB$150:AB$182,'Key inputs_EB'!$C$150:$C$182,'Key Inputs_BY Techs'!$C51,'Key inputs_EB'!$E$150:$E$182,'Key Inputs_BY Techs'!$E51)*(1-AC39)</f>
        <v>14.83379568</v>
      </c>
      <c r="AD51" s="349">
        <f>AD16*SUMIFS('Key inputs_EB'!AC$150:AC$182,'Key inputs_EB'!$C$150:$C$182,'Key Inputs_BY Techs'!$C51,'Key inputs_EB'!$E$150:$E$182,'Key Inputs_BY Techs'!$E51)*(1-AD39)</f>
        <v>32.880840300000003</v>
      </c>
      <c r="AE51" s="349">
        <f>AE16*SUMIFS('Key inputs_EB'!AD$150:AD$182,'Key inputs_EB'!$C$150:$C$182,'Key Inputs_BY Techs'!$C51,'Key inputs_EB'!$E$150:$E$182,'Key Inputs_BY Techs'!$E51)*(1-AE39)</f>
        <v>71.167021199999994</v>
      </c>
      <c r="AF51" s="349">
        <f>AF16*SUMIFS('Key inputs_EB'!AE$150:AE$182,'Key inputs_EB'!$C$150:$C$182,'Key Inputs_BY Techs'!$C51,'Key inputs_EB'!$E$150:$E$182,'Key Inputs_BY Techs'!$E51)*(1-AF39)</f>
        <v>9.2110689000000008</v>
      </c>
      <c r="AG51" s="349">
        <f>AG16*SUMIFS('Key inputs_EB'!AF$150:AF$182,'Key inputs_EB'!$C$150:$C$182,'Key Inputs_BY Techs'!$C51,'Key inputs_EB'!$E$150:$E$182,'Key Inputs_BY Techs'!$E51)*(1-AG39)</f>
        <v>1.42305174</v>
      </c>
      <c r="AH51" s="349">
        <f>AH16*SUMIFS('Key inputs_EB'!AG$150:AG$182,'Key inputs_EB'!$C$150:$C$182,'Key Inputs_BY Techs'!$C51,'Key inputs_EB'!$E$150:$E$182,'Key Inputs_BY Techs'!$E51)*(1-AH39)</f>
        <v>98.068449600000008</v>
      </c>
      <c r="AI51" s="349">
        <f>AI16*SUMIFS('Key inputs_EB'!AH$150:AH$182,'Key inputs_EB'!$C$150:$C$182,'Key Inputs_BY Techs'!$C51,'Key inputs_EB'!$E$150:$E$182,'Key Inputs_BY Techs'!$E51)*(1-AI39)</f>
        <v>31.488046919999999</v>
      </c>
      <c r="AJ51" s="349">
        <f>AJ16*SUMIFS('Key inputs_EB'!AI$150:AI$182,'Key inputs_EB'!$C$150:$C$182,'Key Inputs_BY Techs'!$C51,'Key inputs_EB'!$E$150:$E$182,'Key Inputs_BY Techs'!$E51)*(1-AJ39)</f>
        <v>406.47424819706475</v>
      </c>
    </row>
    <row r="52" spans="1:36" x14ac:dyDescent="0.3">
      <c r="A52" s="508" t="s">
        <v>75</v>
      </c>
      <c r="B52" s="49" t="str">
        <f>Legend!A$45</f>
        <v>Thermal uses</v>
      </c>
      <c r="C52" s="49" t="str">
        <f t="shared" ref="C52:E52" si="19">C17</f>
        <v>S-TH</v>
      </c>
      <c r="D52" s="49" t="str">
        <f t="shared" si="19"/>
        <v>Electricity (Heat Pump)</v>
      </c>
      <c r="E52" s="49" t="str">
        <f t="shared" si="19"/>
        <v>SRVELC</v>
      </c>
      <c r="F52" s="109" t="s">
        <v>15</v>
      </c>
      <c r="G52" s="109"/>
      <c r="H52" s="109"/>
      <c r="I52" s="595">
        <f>I17*SUMIFS('Key inputs_EB'!H$150:H$182,'Key inputs_EB'!$C$150:$C$182,'Key Inputs_BY Techs'!$C52,'Key inputs_EB'!$E$150:$E$182,'Key Inputs_BY Techs'!$E52)*(I39)</f>
        <v>0.54850051200000005</v>
      </c>
      <c r="J52" s="349">
        <f>J17*SUMIFS('Key inputs_EB'!I$150:I$182,'Key inputs_EB'!$C$150:$C$182,'Key Inputs_BY Techs'!$C52,'Key inputs_EB'!$E$150:$E$182,'Key Inputs_BY Techs'!$E52)*(J39)</f>
        <v>3.0311870400000007</v>
      </c>
      <c r="K52" s="349">
        <f>K17*SUMIFS('Key inputs_EB'!J$150:J$182,'Key inputs_EB'!$C$150:$C$182,'Key Inputs_BY Techs'!$C52,'Key inputs_EB'!$E$150:$E$182,'Key Inputs_BY Techs'!$E52)*(K39)</f>
        <v>0.70451808000000016</v>
      </c>
      <c r="L52" s="349">
        <f>L17*SUMIFS('Key inputs_EB'!K$150:K$182,'Key inputs_EB'!$C$150:$C$182,'Key Inputs_BY Techs'!$C52,'Key inputs_EB'!$E$150:$E$182,'Key Inputs_BY Techs'!$E52)*(L39)</f>
        <v>1.8466370496</v>
      </c>
      <c r="M52" s="349">
        <f>M17*SUMIFS('Key inputs_EB'!L$150:L$182,'Key inputs_EB'!$C$150:$C$182,'Key Inputs_BY Techs'!$C52,'Key inputs_EB'!$E$150:$E$182,'Key Inputs_BY Techs'!$E52)*(M39)</f>
        <v>9.6951537200000004</v>
      </c>
      <c r="N52" s="349">
        <f>N17*SUMIFS('Key inputs_EB'!M$150:M$182,'Key inputs_EB'!$C$150:$C$182,'Key Inputs_BY Techs'!$C52,'Key inputs_EB'!$E$150:$E$182,'Key Inputs_BY Techs'!$E52)*(N39)</f>
        <v>3.9427403680000008</v>
      </c>
      <c r="O52" s="349">
        <f>O17*SUMIFS('Key inputs_EB'!N$150:N$182,'Key inputs_EB'!$C$150:$C$182,'Key Inputs_BY Techs'!$C52,'Key inputs_EB'!$E$150:$E$182,'Key Inputs_BY Techs'!$E52)*(O39)</f>
        <v>8.4516797609999994</v>
      </c>
      <c r="P52" s="349">
        <f>P17*SUMIFS('Key inputs_EB'!O$150:O$182,'Key inputs_EB'!$C$150:$C$182,'Key Inputs_BY Techs'!$C52,'Key inputs_EB'!$E$150:$E$182,'Key Inputs_BY Techs'!$E52)*(P39)</f>
        <v>2.3525585999999996</v>
      </c>
      <c r="Q52" s="349">
        <f>Q17*SUMIFS('Key inputs_EB'!P$150:P$182,'Key inputs_EB'!$C$150:$C$182,'Key Inputs_BY Techs'!$C52,'Key inputs_EB'!$E$150:$E$182,'Key Inputs_BY Techs'!$E52)*(Q39)</f>
        <v>5.4138442624000005</v>
      </c>
      <c r="R52" s="349">
        <f>R17*SUMIFS('Key inputs_EB'!Q$150:Q$182,'Key inputs_EB'!$C$150:$C$182,'Key Inputs_BY Techs'!$C52,'Key inputs_EB'!$E$150:$E$182,'Key Inputs_BY Techs'!$E52)*(R39)</f>
        <v>25.934669600000003</v>
      </c>
      <c r="S52" s="349">
        <f>S17*SUMIFS('Key inputs_EB'!R$150:R$182,'Key inputs_EB'!$C$150:$C$182,'Key Inputs_BY Techs'!$C52,'Key inputs_EB'!$E$150:$E$182,'Key Inputs_BY Techs'!$E52)*(S39)</f>
        <v>0.47097953280000004</v>
      </c>
      <c r="T52" s="349">
        <f>T17*SUMIFS('Key inputs_EB'!S$150:S$182,'Key inputs_EB'!$C$150:$C$182,'Key Inputs_BY Techs'!$C52,'Key inputs_EB'!$E$150:$E$182,'Key Inputs_BY Techs'!$E52)*(T39)</f>
        <v>0.85303303119999985</v>
      </c>
      <c r="U52" s="349">
        <f>U17*SUMIFS('Key inputs_EB'!T$150:T$182,'Key inputs_EB'!$C$150:$C$182,'Key Inputs_BY Techs'!$C52,'Key inputs_EB'!$E$150:$E$182,'Key Inputs_BY Techs'!$E52)*(U39)</f>
        <v>8.3471664640000007</v>
      </c>
      <c r="V52" s="349">
        <f>V17*SUMIFS('Key inputs_EB'!U$150:U$182,'Key inputs_EB'!$C$150:$C$182,'Key Inputs_BY Techs'!$C52,'Key inputs_EB'!$E$150:$E$182,'Key Inputs_BY Techs'!$E52)*(V39)</f>
        <v>27.1109032992</v>
      </c>
      <c r="W52" s="349">
        <f>W17*SUMIFS('Key inputs_EB'!V$150:V$182,'Key inputs_EB'!$C$150:$C$182,'Key Inputs_BY Techs'!$C52,'Key inputs_EB'!$E$150:$E$182,'Key Inputs_BY Techs'!$E52)*(W39)</f>
        <v>22.409965760000006</v>
      </c>
      <c r="X52" s="349">
        <f>X17*SUMIFS('Key inputs_EB'!W$150:W$182,'Key inputs_EB'!$C$150:$C$182,'Key Inputs_BY Techs'!$C52,'Key inputs_EB'!$E$150:$E$182,'Key Inputs_BY Techs'!$E52)*(X39)</f>
        <v>50.487371969999998</v>
      </c>
      <c r="Y52" s="349">
        <f>Y17*SUMIFS('Key inputs_EB'!X$150:X$182,'Key inputs_EB'!$C$150:$C$182,'Key Inputs_BY Techs'!$C52,'Key inputs_EB'!$E$150:$E$182,'Key Inputs_BY Techs'!$E52)*(Y39)</f>
        <v>40.574623156199991</v>
      </c>
      <c r="Z52" s="349">
        <f>Z17*SUMIFS('Key inputs_EB'!Y$150:Y$182,'Key inputs_EB'!$C$150:$C$182,'Key Inputs_BY Techs'!$C52,'Key inputs_EB'!$E$150:$E$182,'Key Inputs_BY Techs'!$E52)*(Z39)</f>
        <v>7.0161111467999993</v>
      </c>
      <c r="AA52" s="349">
        <f>AA17*SUMIFS('Key inputs_EB'!Z$150:Z$182,'Key inputs_EB'!$C$150:$C$182,'Key Inputs_BY Techs'!$C52,'Key inputs_EB'!$E$150:$E$182,'Key Inputs_BY Techs'!$E52)*(AA39)</f>
        <v>2.6702100600000001</v>
      </c>
      <c r="AB52" s="349">
        <f>AB17*SUMIFS('Key inputs_EB'!AA$150:AA$182,'Key inputs_EB'!$C$150:$C$182,'Key Inputs_BY Techs'!$C52,'Key inputs_EB'!$E$150:$E$182,'Key Inputs_BY Techs'!$E52)*(AB39)</f>
        <v>13.562239600000002</v>
      </c>
      <c r="AC52" s="349">
        <f>AC17*SUMIFS('Key inputs_EB'!AB$150:AB$182,'Key inputs_EB'!$C$150:$C$182,'Key Inputs_BY Techs'!$C52,'Key inputs_EB'!$E$150:$E$182,'Key Inputs_BY Techs'!$E52)*(AC39)</f>
        <v>4.4378188288000002</v>
      </c>
      <c r="AD52" s="349">
        <f>AD17*SUMIFS('Key inputs_EB'!AC$150:AC$182,'Key inputs_EB'!$C$150:$C$182,'Key Inputs_BY Techs'!$C52,'Key inputs_EB'!$E$150:$E$182,'Key Inputs_BY Techs'!$E52)*(AD39)</f>
        <v>9.8369436480000019</v>
      </c>
      <c r="AE52" s="349">
        <f>AE17*SUMIFS('Key inputs_EB'!AD$150:AD$182,'Key inputs_EB'!$C$150:$C$182,'Key Inputs_BY Techs'!$C52,'Key inputs_EB'!$E$150:$E$182,'Key Inputs_BY Techs'!$E52)*(AE39)</f>
        <v>21.291000191999998</v>
      </c>
      <c r="AF52" s="349">
        <f>AF17*SUMIFS('Key inputs_EB'!AE$150:AE$182,'Key inputs_EB'!$C$150:$C$182,'Key Inputs_BY Techs'!$C52,'Key inputs_EB'!$E$150:$E$182,'Key Inputs_BY Techs'!$E52)*(AF39)</f>
        <v>2.7556706240000004</v>
      </c>
      <c r="AG52" s="349">
        <f>AG17*SUMIFS('Key inputs_EB'!AF$150:AF$182,'Key inputs_EB'!$C$150:$C$182,'Key Inputs_BY Techs'!$C52,'Key inputs_EB'!$E$150:$E$182,'Key Inputs_BY Techs'!$E52)*(AG39)</f>
        <v>0.42573363840000006</v>
      </c>
      <c r="AH52" s="349">
        <f>AH17*SUMIFS('Key inputs_EB'!AG$150:AG$182,'Key inputs_EB'!$C$150:$C$182,'Key Inputs_BY Techs'!$C52,'Key inputs_EB'!$E$150:$E$182,'Key Inputs_BY Techs'!$E52)*(AH39)</f>
        <v>29.339086336000005</v>
      </c>
      <c r="AI52" s="349">
        <f>AI17*SUMIFS('Key inputs_EB'!AH$150:AH$182,'Key inputs_EB'!$C$150:$C$182,'Key Inputs_BY Techs'!$C52,'Key inputs_EB'!$E$150:$E$182,'Key Inputs_BY Techs'!$E52)*(AI39)</f>
        <v>6.9810873047999991</v>
      </c>
      <c r="AJ52" s="349">
        <f>AJ17*SUMIFS('Key inputs_EB'!AI$150:AI$182,'Key inputs_EB'!$C$150:$C$182,'Key Inputs_BY Techs'!$C52,'Key inputs_EB'!$E$150:$E$182,'Key Inputs_BY Techs'!$E52)*(AJ39)</f>
        <v>90.11775868557595</v>
      </c>
    </row>
    <row r="53" spans="1:36" x14ac:dyDescent="0.3">
      <c r="A53" s="508" t="s">
        <v>75</v>
      </c>
      <c r="B53" s="49" t="str">
        <f>Legend!A$45</f>
        <v>Thermal uses</v>
      </c>
      <c r="C53" s="49" t="str">
        <f t="shared" ref="C53:E53" si="20">C18</f>
        <v>S-TH</v>
      </c>
      <c r="D53" s="49" t="str">
        <f t="shared" si="20"/>
        <v>Natural gas, Biogas</v>
      </c>
      <c r="E53" s="49" t="str">
        <f t="shared" si="20"/>
        <v>SRVGAS, SRVBGS</v>
      </c>
      <c r="F53" s="109" t="s">
        <v>15</v>
      </c>
      <c r="G53" s="109"/>
      <c r="H53" s="109"/>
      <c r="I53" s="117">
        <f>SUMIFS(I$14:I$36,$C$14:$C$36,$C53,$E$14:$E$36,$E53)*SUMIFS('Key inputs_EB'!H$150:H$182,'Key inputs_EB'!$C$150:$C$182,'Key Inputs_BY Techs'!$C53,'Key inputs_EB'!$E$150:$E$182,'Key Inputs_BY Techs'!$E53)</f>
        <v>0</v>
      </c>
      <c r="J53" s="117">
        <f>SUMIFS(J$14:J$36,$C$14:$C$36,$C53,$E$14:$E$36,$E53)*SUMIFS('Key inputs_EB'!I$150:I$182,'Key inputs_EB'!$C$150:$C$182,'Key Inputs_BY Techs'!$C53,'Key inputs_EB'!$E$150:$E$182,'Key Inputs_BY Techs'!$E53)</f>
        <v>2.2956156864000006</v>
      </c>
      <c r="K53" s="117">
        <f>SUMIFS(K$14:K$36,$C$14:$C$36,$C53,$E$14:$E$36,$E53)*SUMIFS('Key inputs_EB'!J$150:J$182,'Key inputs_EB'!$C$150:$C$182,'Key Inputs_BY Techs'!$C53,'Key inputs_EB'!$E$150:$E$182,'Key Inputs_BY Techs'!$E53)</f>
        <v>0</v>
      </c>
      <c r="L53" s="117">
        <f>SUMIFS(L$14:L$36,$C$14:$C$36,$C53,$E$14:$E$36,$E53)*SUMIFS('Key inputs_EB'!K$150:K$182,'Key inputs_EB'!$C$150:$C$182,'Key Inputs_BY Techs'!$C53,'Key inputs_EB'!$E$150:$E$182,'Key Inputs_BY Techs'!$E53)</f>
        <v>0.33791774400000013</v>
      </c>
      <c r="M53" s="117">
        <f>SUMIFS(M$14:M$36,$C$14:$C$36,$C53,$E$14:$E$36,$E53)*SUMIFS('Key inputs_EB'!L$150:L$182,'Key inputs_EB'!$C$150:$C$182,'Key Inputs_BY Techs'!$C53,'Key inputs_EB'!$E$150:$E$182,'Key Inputs_BY Techs'!$E53)</f>
        <v>51.462786499200014</v>
      </c>
      <c r="N53" s="117">
        <f>SUMIFS(N$14:N$36,$C$14:$C$36,$C53,$E$14:$E$36,$E53)*SUMIFS('Key inputs_EB'!M$150:M$182,'Key inputs_EB'!$C$150:$C$182,'Key Inputs_BY Techs'!$C53,'Key inputs_EB'!$E$150:$E$182,'Key Inputs_BY Techs'!$E53)</f>
        <v>274.31096325120001</v>
      </c>
      <c r="O53" s="117">
        <f>SUMIFS(O$14:O$36,$C$14:$C$36,$C53,$E$14:$E$36,$E53)*SUMIFS('Key inputs_EB'!N$150:N$182,'Key inputs_EB'!$C$150:$C$182,'Key Inputs_BY Techs'!$C53,'Key inputs_EB'!$E$150:$E$182,'Key Inputs_BY Techs'!$E53)</f>
        <v>2.1617835724800005</v>
      </c>
      <c r="P53" s="117">
        <f>SUMIFS(P$14:P$36,$C$14:$C$36,$C53,$E$14:$E$36,$E53)*SUMIFS('Key inputs_EB'!O$150:O$182,'Key inputs_EB'!$C$150:$C$182,'Key Inputs_BY Techs'!$C53,'Key inputs_EB'!$E$150:$E$182,'Key Inputs_BY Techs'!$E53)</f>
        <v>3.5510565888000007</v>
      </c>
      <c r="Q53" s="117">
        <f>SUMIFS(Q$14:Q$36,$C$14:$C$36,$C53,$E$14:$E$36,$E53)*SUMIFS('Key inputs_EB'!P$150:P$182,'Key inputs_EB'!$C$150:$C$182,'Key Inputs_BY Techs'!$C53,'Key inputs_EB'!$E$150:$E$182,'Key Inputs_BY Techs'!$E53)</f>
        <v>1.6197801984000004</v>
      </c>
      <c r="R53" s="117">
        <f>SUMIFS(R$14:R$36,$C$14:$C$36,$C53,$E$14:$E$36,$E53)*SUMIFS('Key inputs_EB'!Q$150:Q$182,'Key inputs_EB'!$C$150:$C$182,'Key Inputs_BY Techs'!$C53,'Key inputs_EB'!$E$150:$E$182,'Key Inputs_BY Techs'!$E53)</f>
        <v>466.97386109760009</v>
      </c>
      <c r="S53" s="117">
        <f>SUMIFS(S$14:S$36,$C$14:$C$36,$C53,$E$14:$E$36,$E53)*SUMIFS('Key inputs_EB'!R$150:R$182,'Key inputs_EB'!$C$150:$C$182,'Key Inputs_BY Techs'!$C53,'Key inputs_EB'!$E$150:$E$182,'Key Inputs_BY Techs'!$E53)</f>
        <v>1.8203058720000005</v>
      </c>
      <c r="T53" s="117">
        <f>SUMIFS(T$14:T$36,$C$14:$C$36,$C53,$E$14:$E$36,$E53)*SUMIFS('Key inputs_EB'!S$150:S$182,'Key inputs_EB'!$C$150:$C$182,'Key Inputs_BY Techs'!$C53,'Key inputs_EB'!$E$150:$E$182,'Key Inputs_BY Techs'!$E53)</f>
        <v>0</v>
      </c>
      <c r="U53" s="117">
        <f>SUMIFS(U$14:U$36,$C$14:$C$36,$C53,$E$14:$E$36,$E53)*SUMIFS('Key inputs_EB'!T$150:T$182,'Key inputs_EB'!$C$150:$C$182,'Key Inputs_BY Techs'!$C53,'Key inputs_EB'!$E$150:$E$182,'Key Inputs_BY Techs'!$E53)</f>
        <v>36.064584115200006</v>
      </c>
      <c r="V53" s="117">
        <f>SUMIFS(V$14:V$36,$C$14:$C$36,$C53,$E$14:$E$36,$E53)*SUMIFS('Key inputs_EB'!U$150:U$182,'Key inputs_EB'!$C$150:$C$182,'Key Inputs_BY Techs'!$C53,'Key inputs_EB'!$E$150:$E$182,'Key Inputs_BY Techs'!$E53)</f>
        <v>218.61848491776004</v>
      </c>
      <c r="W53" s="117">
        <f>SUMIFS(W$14:W$36,$C$14:$C$36,$C53,$E$14:$E$36,$E53)*SUMIFS('Key inputs_EB'!V$150:V$182,'Key inputs_EB'!$C$150:$C$182,'Key Inputs_BY Techs'!$C53,'Key inputs_EB'!$E$150:$E$182,'Key Inputs_BY Techs'!$E53)</f>
        <v>169.24478100479999</v>
      </c>
      <c r="X53" s="117">
        <f>SUMIFS(X$14:X$36,$C$14:$C$36,$C53,$E$14:$E$36,$E53)*SUMIFS('Key inputs_EB'!W$150:W$182,'Key inputs_EB'!$C$150:$C$182,'Key Inputs_BY Techs'!$C53,'Key inputs_EB'!$E$150:$E$182,'Key Inputs_BY Techs'!$E53)</f>
        <v>480.53702643552015</v>
      </c>
      <c r="Y53" s="117">
        <f>SUMIFS(Y$14:Y$36,$C$14:$C$36,$C53,$E$14:$E$36,$E53)*SUMIFS('Key inputs_EB'!X$150:X$182,'Key inputs_EB'!$C$150:$C$182,'Key Inputs_BY Techs'!$C53,'Key inputs_EB'!$E$150:$E$182,'Key Inputs_BY Techs'!$E53)</f>
        <v>483.98923860768002</v>
      </c>
      <c r="Z53" s="117">
        <f>SUMIFS(Z$14:Z$36,$C$14:$C$36,$C53,$E$14:$E$36,$E53)*SUMIFS('Key inputs_EB'!Y$150:Y$182,'Key inputs_EB'!$C$150:$C$182,'Key Inputs_BY Techs'!$C53,'Key inputs_EB'!$E$150:$E$182,'Key Inputs_BY Techs'!$E53)</f>
        <v>4.4263608883200005</v>
      </c>
      <c r="AA53" s="117">
        <f>SUMIFS(AA$14:AA$36,$C$14:$C$36,$C53,$E$14:$E$36,$E53)*SUMIFS('Key inputs_EB'!Z$150:Z$182,'Key inputs_EB'!$C$150:$C$182,'Key Inputs_BY Techs'!$C53,'Key inputs_EB'!$E$150:$E$182,'Key Inputs_BY Techs'!$E53)</f>
        <v>27.059841072000001</v>
      </c>
      <c r="AB53" s="117">
        <f>SUMIFS(AB$14:AB$36,$C$14:$C$36,$C53,$E$14:$E$36,$E53)*SUMIFS('Key inputs_EB'!AA$150:AA$182,'Key inputs_EB'!$C$150:$C$182,'Key Inputs_BY Techs'!$C53,'Key inputs_EB'!$E$150:$E$182,'Key Inputs_BY Techs'!$E53)</f>
        <v>181.58898572352001</v>
      </c>
      <c r="AC53" s="117">
        <f>SUMIFS(AC$14:AC$36,$C$14:$C$36,$C53,$E$14:$E$36,$E53)*SUMIFS('Key inputs_EB'!AB$150:AB$182,'Key inputs_EB'!$C$150:$C$182,'Key Inputs_BY Techs'!$C53,'Key inputs_EB'!$E$150:$E$182,'Key Inputs_BY Techs'!$E53)</f>
        <v>21.862582732800007</v>
      </c>
      <c r="AD53" s="117">
        <f>SUMIFS(AD$14:AD$36,$C$14:$C$36,$C53,$E$14:$E$36,$E53)*SUMIFS('Key inputs_EB'!AC$150:AC$182,'Key inputs_EB'!$C$150:$C$182,'Key Inputs_BY Techs'!$C53,'Key inputs_EB'!$E$150:$E$182,'Key Inputs_BY Techs'!$E53)</f>
        <v>29.438058873600006</v>
      </c>
      <c r="AE53" s="117">
        <f>SUMIFS(AE$14:AE$36,$C$14:$C$36,$C53,$E$14:$E$36,$E53)*SUMIFS('Key inputs_EB'!AD$150:AD$182,'Key inputs_EB'!$C$150:$C$182,'Key Inputs_BY Techs'!$C53,'Key inputs_EB'!$E$150:$E$182,'Key Inputs_BY Techs'!$E53)</f>
        <v>100.27247834880002</v>
      </c>
      <c r="AF53" s="117">
        <f>SUMIFS(AF$14:AF$36,$C$14:$C$36,$C53,$E$14:$E$36,$E53)*SUMIFS('Key inputs_EB'!AE$150:AE$182,'Key inputs_EB'!$C$150:$C$182,'Key Inputs_BY Techs'!$C53,'Key inputs_EB'!$E$150:$E$182,'Key Inputs_BY Techs'!$E53)</f>
        <v>2.7439477056000006</v>
      </c>
      <c r="AG53" s="117">
        <f>SUMIFS(AG$14:AG$36,$C$14:$C$36,$C53,$E$14:$E$36,$E53)*SUMIFS('Key inputs_EB'!AF$150:AF$182,'Key inputs_EB'!$C$150:$C$182,'Key Inputs_BY Techs'!$C53,'Key inputs_EB'!$E$150:$E$182,'Key Inputs_BY Techs'!$E53)</f>
        <v>0</v>
      </c>
      <c r="AH53" s="117">
        <f>SUMIFS(AH$14:AH$36,$C$14:$C$36,$C53,$E$14:$E$36,$E53)*SUMIFS('Key inputs_EB'!AG$150:AG$182,'Key inputs_EB'!$C$150:$C$182,'Key Inputs_BY Techs'!$C53,'Key inputs_EB'!$E$150:$E$182,'Key Inputs_BY Techs'!$E53)</f>
        <v>175.08681792000002</v>
      </c>
      <c r="AI53" s="117">
        <f>SUMIFS(AI$14:AI$36,$C$14:$C$36,$C53,$E$14:$E$36,$E53)*SUMIFS('Key inputs_EB'!AH$150:AH$182,'Key inputs_EB'!$C$150:$C$182,'Key Inputs_BY Techs'!$C53,'Key inputs_EB'!$E$150:$E$182,'Key Inputs_BY Techs'!$E53)</f>
        <v>109.25339564159999</v>
      </c>
      <c r="AJ53" s="117">
        <f>SUMIFS(AJ$14:AJ$36,$C$14:$C$36,$C53,$E$14:$E$36,$E53)*SUMIFS('Key inputs_EB'!AI$150:AI$182,'Key inputs_EB'!$C$150:$C$182,'Key Inputs_BY Techs'!$C53,'Key inputs_EB'!$E$150:$E$182,'Key Inputs_BY Techs'!$E53)</f>
        <v>2665.7419855518847</v>
      </c>
    </row>
    <row r="54" spans="1:36" x14ac:dyDescent="0.3">
      <c r="A54" s="508" t="s">
        <v>75</v>
      </c>
      <c r="B54" s="49" t="str">
        <f>Legend!A$45</f>
        <v>Thermal uses</v>
      </c>
      <c r="C54" s="49" t="str">
        <f t="shared" ref="C54:E54" si="21">C19</f>
        <v>S-TH</v>
      </c>
      <c r="D54" s="49" t="str">
        <f t="shared" si="21"/>
        <v>Geothermal</v>
      </c>
      <c r="E54" s="49" t="str">
        <f t="shared" si="21"/>
        <v>SRVGEO</v>
      </c>
      <c r="F54" s="109" t="s">
        <v>15</v>
      </c>
      <c r="G54" s="109"/>
      <c r="H54" s="109"/>
      <c r="I54" s="117">
        <f>SUMIFS(I$14:I$36,$C$14:$C$36,$C54,$E$14:$E$36,$E54)*SUMIFS('Key inputs_EB'!H$150:H$182,'Key inputs_EB'!$C$150:$C$182,'Key Inputs_BY Techs'!$C54,'Key inputs_EB'!$E$150:$E$182,'Key Inputs_BY Techs'!$E54)</f>
        <v>0</v>
      </c>
      <c r="J54" s="117">
        <f>SUMIFS(J$14:J$36,$C$14:$C$36,$C54,$E$14:$E$36,$E54)*SUMIFS('Key inputs_EB'!I$150:I$182,'Key inputs_EB'!$C$150:$C$182,'Key Inputs_BY Techs'!$C54,'Key inputs_EB'!$E$150:$E$182,'Key Inputs_BY Techs'!$E54)</f>
        <v>0</v>
      </c>
      <c r="K54" s="117">
        <f>SUMIFS(K$14:K$36,$C$14:$C$36,$C54,$E$14:$E$36,$E54)*SUMIFS('Key inputs_EB'!J$150:J$182,'Key inputs_EB'!$C$150:$C$182,'Key Inputs_BY Techs'!$C54,'Key inputs_EB'!$E$150:$E$182,'Key Inputs_BY Techs'!$E54)</f>
        <v>0</v>
      </c>
      <c r="L54" s="117">
        <f>SUMIFS(L$14:L$36,$C$14:$C$36,$C54,$E$14:$E$36,$E54)*SUMIFS('Key inputs_EB'!K$150:K$182,'Key inputs_EB'!$C$150:$C$182,'Key Inputs_BY Techs'!$C54,'Key inputs_EB'!$E$150:$E$182,'Key Inputs_BY Techs'!$E54)</f>
        <v>0</v>
      </c>
      <c r="M54" s="117">
        <f>SUMIFS(M$14:M$36,$C$14:$C$36,$C54,$E$14:$E$36,$E54)*SUMIFS('Key inputs_EB'!L$150:L$182,'Key inputs_EB'!$C$150:$C$182,'Key Inputs_BY Techs'!$C54,'Key inputs_EB'!$E$150:$E$182,'Key Inputs_BY Techs'!$E54)</f>
        <v>7.7047200000000009</v>
      </c>
      <c r="N54" s="117">
        <f>SUMIFS(N$14:N$36,$C$14:$C$36,$C54,$E$14:$E$36,$E54)*SUMIFS('Key inputs_EB'!M$150:M$182,'Key inputs_EB'!$C$150:$C$182,'Key Inputs_BY Techs'!$C54,'Key inputs_EB'!$E$150:$E$182,'Key Inputs_BY Techs'!$E54)</f>
        <v>1.2052800000000001</v>
      </c>
      <c r="O54" s="117">
        <f>SUMIFS(O$14:O$36,$C$14:$C$36,$C54,$E$14:$E$36,$E54)*SUMIFS('Key inputs_EB'!N$150:N$182,'Key inputs_EB'!$C$150:$C$182,'Key Inputs_BY Techs'!$C54,'Key inputs_EB'!$E$150:$E$182,'Key Inputs_BY Techs'!$E54)</f>
        <v>0</v>
      </c>
      <c r="P54" s="117">
        <f>SUMIFS(P$14:P$36,$C$14:$C$36,$C54,$E$14:$E$36,$E54)*SUMIFS('Key inputs_EB'!O$150:O$182,'Key inputs_EB'!$C$150:$C$182,'Key Inputs_BY Techs'!$C54,'Key inputs_EB'!$E$150:$E$182,'Key Inputs_BY Techs'!$E54)</f>
        <v>0</v>
      </c>
      <c r="Q54" s="117">
        <f>SUMIFS(Q$14:Q$36,$C$14:$C$36,$C54,$E$14:$E$36,$E54)*SUMIFS('Key inputs_EB'!P$150:P$182,'Key inputs_EB'!$C$150:$C$182,'Key Inputs_BY Techs'!$C54,'Key inputs_EB'!$E$150:$E$182,'Key Inputs_BY Techs'!$E54)</f>
        <v>0</v>
      </c>
      <c r="R54" s="117">
        <f>SUMIFS(R$14:R$36,$C$14:$C$36,$C54,$E$14:$E$36,$E54)*SUMIFS('Key inputs_EB'!Q$150:Q$182,'Key inputs_EB'!$C$150:$C$182,'Key Inputs_BY Techs'!$C54,'Key inputs_EB'!$E$150:$E$182,'Key Inputs_BY Techs'!$E54)</f>
        <v>0</v>
      </c>
      <c r="S54" s="117">
        <f>SUMIFS(S$14:S$36,$C$14:$C$36,$C54,$E$14:$E$36,$E54)*SUMIFS('Key inputs_EB'!R$150:R$182,'Key inputs_EB'!$C$150:$C$182,'Key Inputs_BY Techs'!$C54,'Key inputs_EB'!$E$150:$E$182,'Key Inputs_BY Techs'!$E54)</f>
        <v>0</v>
      </c>
      <c r="T54" s="117">
        <f>SUMIFS(T$14:T$36,$C$14:$C$36,$C54,$E$14:$E$36,$E54)*SUMIFS('Key inputs_EB'!S$150:S$182,'Key inputs_EB'!$C$150:$C$182,'Key Inputs_BY Techs'!$C54,'Key inputs_EB'!$E$150:$E$182,'Key Inputs_BY Techs'!$E54)</f>
        <v>0</v>
      </c>
      <c r="U54" s="117">
        <f>SUMIFS(U$14:U$36,$C$14:$C$36,$C54,$E$14:$E$36,$E54)*SUMIFS('Key inputs_EB'!T$150:T$182,'Key inputs_EB'!$C$150:$C$182,'Key Inputs_BY Techs'!$C54,'Key inputs_EB'!$E$150:$E$182,'Key Inputs_BY Techs'!$E54)</f>
        <v>0.28511999999999998</v>
      </c>
      <c r="V54" s="117">
        <f>SUMIFS(V$14:V$36,$C$14:$C$36,$C54,$E$14:$E$36,$E54)*SUMIFS('Key inputs_EB'!U$150:U$182,'Key inputs_EB'!$C$150:$C$182,'Key Inputs_BY Techs'!$C54,'Key inputs_EB'!$E$150:$E$182,'Key Inputs_BY Techs'!$E54)</f>
        <v>0.90072000000000019</v>
      </c>
      <c r="W54" s="117">
        <f>SUMIFS(W$14:W$36,$C$14:$C$36,$C54,$E$14:$E$36,$E54)*SUMIFS('Key inputs_EB'!V$150:V$182,'Key inputs_EB'!$C$150:$C$182,'Key Inputs_BY Techs'!$C54,'Key inputs_EB'!$E$150:$E$182,'Key Inputs_BY Techs'!$E54)</f>
        <v>13.964399999999999</v>
      </c>
      <c r="X54" s="117">
        <f>SUMIFS(X$14:X$36,$C$14:$C$36,$C54,$E$14:$E$36,$E54)*SUMIFS('Key inputs_EB'!W$150:W$182,'Key inputs_EB'!$C$150:$C$182,'Key Inputs_BY Techs'!$C54,'Key inputs_EB'!$E$150:$E$182,'Key Inputs_BY Techs'!$E54)</f>
        <v>14.230080000000003</v>
      </c>
      <c r="Y54" s="117">
        <f>SUMIFS(Y$14:Y$36,$C$14:$C$36,$C54,$E$14:$E$36,$E54)*SUMIFS('Key inputs_EB'!X$150:X$182,'Key inputs_EB'!$C$150:$C$182,'Key Inputs_BY Techs'!$C54,'Key inputs_EB'!$E$150:$E$182,'Key Inputs_BY Techs'!$E54)</f>
        <v>9.0914400000000004</v>
      </c>
      <c r="Z54" s="117">
        <f>SUMIFS(Z$14:Z$36,$C$14:$C$36,$C54,$E$14:$E$36,$E54)*SUMIFS('Key inputs_EB'!Y$150:Y$182,'Key inputs_EB'!$C$150:$C$182,'Key Inputs_BY Techs'!$C54,'Key inputs_EB'!$E$150:$E$182,'Key Inputs_BY Techs'!$E54)</f>
        <v>0</v>
      </c>
      <c r="AA54" s="117">
        <f>SUMIFS(AA$14:AA$36,$C$14:$C$36,$C54,$E$14:$E$36,$E54)*SUMIFS('Key inputs_EB'!Z$150:Z$182,'Key inputs_EB'!$C$150:$C$182,'Key Inputs_BY Techs'!$C54,'Key inputs_EB'!$E$150:$E$182,'Key Inputs_BY Techs'!$E54)</f>
        <v>0</v>
      </c>
      <c r="AB54" s="117">
        <f>SUMIFS(AB$14:AB$36,$C$14:$C$36,$C54,$E$14:$E$36,$E54)*SUMIFS('Key inputs_EB'!AA$150:AA$182,'Key inputs_EB'!$C$150:$C$182,'Key Inputs_BY Techs'!$C54,'Key inputs_EB'!$E$150:$E$182,'Key Inputs_BY Techs'!$E54)</f>
        <v>6.8072400000000002</v>
      </c>
      <c r="AC54" s="117">
        <f>SUMIFS(AC$14:AC$36,$C$14:$C$36,$C54,$E$14:$E$36,$E54)*SUMIFS('Key inputs_EB'!AB$150:AB$182,'Key inputs_EB'!$C$150:$C$182,'Key Inputs_BY Techs'!$C54,'Key inputs_EB'!$E$150:$E$182,'Key Inputs_BY Techs'!$E54)</f>
        <v>0.33048</v>
      </c>
      <c r="AD54" s="117">
        <f>SUMIFS(AD$14:AD$36,$C$14:$C$36,$C54,$E$14:$E$36,$E54)*SUMIFS('Key inputs_EB'!AC$150:AC$182,'Key inputs_EB'!$C$150:$C$182,'Key Inputs_BY Techs'!$C54,'Key inputs_EB'!$E$150:$E$182,'Key Inputs_BY Techs'!$E54)</f>
        <v>0</v>
      </c>
      <c r="AE54" s="117">
        <f>SUMIFS(AE$14:AE$36,$C$14:$C$36,$C54,$E$14:$E$36,$E54)*SUMIFS('Key inputs_EB'!AD$150:AD$182,'Key inputs_EB'!$C$150:$C$182,'Key Inputs_BY Techs'!$C54,'Key inputs_EB'!$E$150:$E$182,'Key Inputs_BY Techs'!$E54)</f>
        <v>0</v>
      </c>
      <c r="AF54" s="117">
        <f>SUMIFS(AF$14:AF$36,$C$14:$C$36,$C54,$E$14:$E$36,$E54)*SUMIFS('Key inputs_EB'!AE$150:AE$182,'Key inputs_EB'!$C$150:$C$182,'Key Inputs_BY Techs'!$C54,'Key inputs_EB'!$E$150:$E$182,'Key Inputs_BY Techs'!$E54)</f>
        <v>0</v>
      </c>
      <c r="AG54" s="117">
        <f>SUMIFS(AG$14:AG$36,$C$14:$C$36,$C54,$E$14:$E$36,$E54)*SUMIFS('Key inputs_EB'!AF$150:AF$182,'Key inputs_EB'!$C$150:$C$182,'Key Inputs_BY Techs'!$C54,'Key inputs_EB'!$E$150:$E$182,'Key Inputs_BY Techs'!$E54)</f>
        <v>0</v>
      </c>
      <c r="AH54" s="117">
        <f>SUMIFS(AH$14:AH$36,$C$14:$C$36,$C54,$E$14:$E$36,$E54)*SUMIFS('Key inputs_EB'!AG$150:AG$182,'Key inputs_EB'!$C$150:$C$182,'Key Inputs_BY Techs'!$C54,'Key inputs_EB'!$E$150:$E$182,'Key Inputs_BY Techs'!$E54)</f>
        <v>0</v>
      </c>
      <c r="AI54" s="117">
        <f>SUMIFS(AI$14:AI$36,$C$14:$C$36,$C54,$E$14:$E$36,$E54)*SUMIFS('Key inputs_EB'!AH$150:AH$182,'Key inputs_EB'!$C$150:$C$182,'Key Inputs_BY Techs'!$C54,'Key inputs_EB'!$E$150:$E$182,'Key Inputs_BY Techs'!$E54)</f>
        <v>20.991960000000002</v>
      </c>
      <c r="AJ54" s="117">
        <f>SUMIFS(AJ$14:AJ$36,$C$14:$C$36,$C54,$E$14:$E$36,$E54)*SUMIFS('Key inputs_EB'!AI$150:AI$182,'Key inputs_EB'!$C$150:$C$182,'Key Inputs_BY Techs'!$C54,'Key inputs_EB'!$E$150:$E$182,'Key Inputs_BY Techs'!$E54)</f>
        <v>0</v>
      </c>
    </row>
    <row r="55" spans="1:36" x14ac:dyDescent="0.3">
      <c r="A55" s="508" t="s">
        <v>75</v>
      </c>
      <c r="B55" s="49" t="str">
        <f>Legend!A$45</f>
        <v>Thermal uses</v>
      </c>
      <c r="C55" s="49" t="str">
        <f t="shared" ref="C55:E55" si="22">C20</f>
        <v>S-TH</v>
      </c>
      <c r="D55" s="49" t="str">
        <f t="shared" si="22"/>
        <v>Heat</v>
      </c>
      <c r="E55" s="49" t="str">
        <f t="shared" si="22"/>
        <v>SRVHET</v>
      </c>
      <c r="F55" s="109" t="s">
        <v>15</v>
      </c>
      <c r="G55" s="109"/>
      <c r="H55" s="109"/>
      <c r="I55" s="117">
        <f>SUMIFS(I$14:I$36,$C$14:$C$36,$C55,$E$14:$E$36,$E55)*SUMIFS('Key inputs_EB'!H$150:H$182,'Key inputs_EB'!$C$150:$C$182,'Key Inputs_BY Techs'!$C55,'Key inputs_EB'!$E$150:$E$182,'Key Inputs_BY Techs'!$E55)</f>
        <v>0</v>
      </c>
      <c r="J55" s="117">
        <f>SUMIFS(J$14:J$36,$C$14:$C$36,$C55,$E$14:$E$36,$E55)*SUMIFS('Key inputs_EB'!I$150:I$182,'Key inputs_EB'!$C$150:$C$182,'Key Inputs_BY Techs'!$C55,'Key inputs_EB'!$E$150:$E$182,'Key Inputs_BY Techs'!$E55)</f>
        <v>0</v>
      </c>
      <c r="K55" s="117">
        <f>SUMIFS(K$14:K$36,$C$14:$C$36,$C55,$E$14:$E$36,$E55)*SUMIFS('Key inputs_EB'!J$150:J$182,'Key inputs_EB'!$C$150:$C$182,'Key Inputs_BY Techs'!$C55,'Key inputs_EB'!$E$150:$E$182,'Key Inputs_BY Techs'!$E55)</f>
        <v>0</v>
      </c>
      <c r="L55" s="117">
        <f>SUMIFS(L$14:L$36,$C$14:$C$36,$C55,$E$14:$E$36,$E55)*SUMIFS('Key inputs_EB'!K$150:K$182,'Key inputs_EB'!$C$150:$C$182,'Key Inputs_BY Techs'!$C55,'Key inputs_EB'!$E$150:$E$182,'Key Inputs_BY Techs'!$E55)</f>
        <v>0</v>
      </c>
      <c r="M55" s="117">
        <f>SUMIFS(M$14:M$36,$C$14:$C$36,$C55,$E$14:$E$36,$E55)*SUMIFS('Key inputs_EB'!L$150:L$182,'Key inputs_EB'!$C$150:$C$182,'Key Inputs_BY Techs'!$C55,'Key inputs_EB'!$E$150:$E$182,'Key Inputs_BY Techs'!$E55)</f>
        <v>0</v>
      </c>
      <c r="N55" s="117">
        <f>SUMIFS(N$14:N$36,$C$14:$C$36,$C55,$E$14:$E$36,$E55)*SUMIFS('Key inputs_EB'!M$150:M$182,'Key inputs_EB'!$C$150:$C$182,'Key Inputs_BY Techs'!$C55,'Key inputs_EB'!$E$150:$E$182,'Key Inputs_BY Techs'!$E55)</f>
        <v>71.465549371554602</v>
      </c>
      <c r="O55" s="117">
        <f>SUMIFS(O$14:O$36,$C$14:$C$36,$C55,$E$14:$E$36,$E55)*SUMIFS('Key inputs_EB'!N$150:N$182,'Key inputs_EB'!$C$150:$C$182,'Key Inputs_BY Techs'!$C55,'Key inputs_EB'!$E$150:$E$182,'Key Inputs_BY Techs'!$E55)</f>
        <v>9.1775207531983552E-2</v>
      </c>
      <c r="P55" s="117">
        <f>SUMIFS(P$14:P$36,$C$14:$C$36,$C55,$E$14:$E$36,$E55)*SUMIFS('Key inputs_EB'!O$150:O$182,'Key inputs_EB'!$C$150:$C$182,'Key Inputs_BY Techs'!$C55,'Key inputs_EB'!$E$150:$E$182,'Key Inputs_BY Techs'!$E55)</f>
        <v>0</v>
      </c>
      <c r="Q55" s="117">
        <f>SUMIFS(Q$14:Q$36,$C$14:$C$36,$C55,$E$14:$E$36,$E55)*SUMIFS('Key inputs_EB'!P$150:P$182,'Key inputs_EB'!$C$150:$C$182,'Key Inputs_BY Techs'!$C55,'Key inputs_EB'!$E$150:$E$182,'Key Inputs_BY Techs'!$E55)</f>
        <v>0</v>
      </c>
      <c r="R55" s="117">
        <f>SUMIFS(R$14:R$36,$C$14:$C$36,$C55,$E$14:$E$36,$E55)*SUMIFS('Key inputs_EB'!Q$150:Q$182,'Key inputs_EB'!$C$150:$C$182,'Key Inputs_BY Techs'!$C55,'Key inputs_EB'!$E$150:$E$182,'Key Inputs_BY Techs'!$E55)</f>
        <v>0.19005929503077446</v>
      </c>
      <c r="S55" s="117">
        <f>SUMIFS(S$14:S$36,$C$14:$C$36,$C55,$E$14:$E$36,$E55)*SUMIFS('Key inputs_EB'!R$150:R$182,'Key inputs_EB'!$C$150:$C$182,'Key Inputs_BY Techs'!$C55,'Key inputs_EB'!$E$150:$E$182,'Key Inputs_BY Techs'!$E55)</f>
        <v>0</v>
      </c>
      <c r="T55" s="117">
        <f>SUMIFS(T$14:T$36,$C$14:$C$36,$C55,$E$14:$E$36,$E55)*SUMIFS('Key inputs_EB'!S$150:S$182,'Key inputs_EB'!$C$150:$C$182,'Key Inputs_BY Techs'!$C55,'Key inputs_EB'!$E$150:$E$182,'Key Inputs_BY Techs'!$E55)</f>
        <v>0</v>
      </c>
      <c r="U55" s="117">
        <f>SUMIFS(U$14:U$36,$C$14:$C$36,$C55,$E$14:$E$36,$E55)*SUMIFS('Key inputs_EB'!T$150:T$182,'Key inputs_EB'!$C$150:$C$182,'Key Inputs_BY Techs'!$C55,'Key inputs_EB'!$E$150:$E$182,'Key Inputs_BY Techs'!$E55)</f>
        <v>40.189730243048636</v>
      </c>
      <c r="V55" s="117">
        <f>SUMIFS(V$14:V$36,$C$14:$C$36,$C55,$E$14:$E$36,$E55)*SUMIFS('Key inputs_EB'!U$150:U$182,'Key inputs_EB'!$C$150:$C$182,'Key Inputs_BY Techs'!$C55,'Key inputs_EB'!$E$150:$E$182,'Key Inputs_BY Techs'!$E55)</f>
        <v>29.954516495244082</v>
      </c>
      <c r="W55" s="117">
        <f>SUMIFS(W$14:W$36,$C$14:$C$36,$C55,$E$14:$E$36,$E55)*SUMIFS('Key inputs_EB'!V$150:V$182,'Key inputs_EB'!$C$150:$C$182,'Key Inputs_BY Techs'!$C55,'Key inputs_EB'!$E$150:$E$182,'Key Inputs_BY Techs'!$E55)</f>
        <v>69.307855662557969</v>
      </c>
      <c r="X55" s="117">
        <f>SUMIFS(X$14:X$36,$C$14:$C$36,$C55,$E$14:$E$36,$E55)*SUMIFS('Key inputs_EB'!W$150:W$182,'Key inputs_EB'!$C$150:$C$182,'Key Inputs_BY Techs'!$C55,'Key inputs_EB'!$E$150:$E$182,'Key Inputs_BY Techs'!$E55)</f>
        <v>30.541617468250106</v>
      </c>
      <c r="Y55" s="117">
        <f>SUMIFS(Y$14:Y$36,$C$14:$C$36,$C55,$E$14:$E$36,$E55)*SUMIFS('Key inputs_EB'!X$150:X$182,'Key inputs_EB'!$C$150:$C$182,'Key Inputs_BY Techs'!$C55,'Key inputs_EB'!$E$150:$E$182,'Key Inputs_BY Techs'!$E55)</f>
        <v>150.0296832349093</v>
      </c>
      <c r="Z55" s="117">
        <f>SUMIFS(Z$14:Z$36,$C$14:$C$36,$C55,$E$14:$E$36,$E55)*SUMIFS('Key inputs_EB'!Y$150:Y$182,'Key inputs_EB'!$C$150:$C$182,'Key Inputs_BY Techs'!$C55,'Key inputs_EB'!$E$150:$E$182,'Key Inputs_BY Techs'!$E55)</f>
        <v>0</v>
      </c>
      <c r="AA55" s="117">
        <f>SUMIFS(AA$14:AA$36,$C$14:$C$36,$C55,$E$14:$E$36,$E55)*SUMIFS('Key inputs_EB'!Z$150:Z$182,'Key inputs_EB'!$C$150:$C$182,'Key Inputs_BY Techs'!$C55,'Key inputs_EB'!$E$150:$E$182,'Key Inputs_BY Techs'!$E55)</f>
        <v>0</v>
      </c>
      <c r="AB55" s="117">
        <f>SUMIFS(AB$14:AB$36,$C$14:$C$36,$C55,$E$14:$E$36,$E55)*SUMIFS('Key inputs_EB'!AA$150:AA$182,'Key inputs_EB'!$C$150:$C$182,'Key Inputs_BY Techs'!$C55,'Key inputs_EB'!$E$150:$E$182,'Key Inputs_BY Techs'!$E55)</f>
        <v>14.033796096433317</v>
      </c>
      <c r="AC55" s="117">
        <f>SUMIFS(AC$14:AC$36,$C$14:$C$36,$C55,$E$14:$E$36,$E55)*SUMIFS('Key inputs_EB'!AB$150:AB$182,'Key inputs_EB'!$C$150:$C$182,'Key Inputs_BY Techs'!$C55,'Key inputs_EB'!$E$150:$E$182,'Key Inputs_BY Techs'!$E55)</f>
        <v>1.8224863907060566E-2</v>
      </c>
      <c r="AD55" s="117">
        <f>SUMIFS(AD$14:AD$36,$C$14:$C$36,$C55,$E$14:$E$36,$E55)*SUMIFS('Key inputs_EB'!AC$150:AC$182,'Key inputs_EB'!$C$150:$C$182,'Key Inputs_BY Techs'!$C55,'Key inputs_EB'!$E$150:$E$182,'Key Inputs_BY Techs'!$E55)</f>
        <v>0</v>
      </c>
      <c r="AE55" s="117">
        <f>SUMIFS(AE$14:AE$36,$C$14:$C$36,$C55,$E$14:$E$36,$E55)*SUMIFS('Key inputs_EB'!AD$150:AD$182,'Key inputs_EB'!$C$150:$C$182,'Key Inputs_BY Techs'!$C55,'Key inputs_EB'!$E$150:$E$182,'Key Inputs_BY Techs'!$E55)</f>
        <v>0</v>
      </c>
      <c r="AF55" s="117">
        <f>SUMIFS(AF$14:AF$36,$C$14:$C$36,$C55,$E$14:$E$36,$E55)*SUMIFS('Key inputs_EB'!AE$150:AE$182,'Key inputs_EB'!$C$150:$C$182,'Key Inputs_BY Techs'!$C55,'Key inputs_EB'!$E$150:$E$182,'Key Inputs_BY Techs'!$E55)</f>
        <v>0</v>
      </c>
      <c r="AG55" s="117">
        <f>SUMIFS(AG$14:AG$36,$C$14:$C$36,$C55,$E$14:$E$36,$E55)*SUMIFS('Key inputs_EB'!AF$150:AF$182,'Key inputs_EB'!$C$150:$C$182,'Key Inputs_BY Techs'!$C55,'Key inputs_EB'!$E$150:$E$182,'Key Inputs_BY Techs'!$E55)</f>
        <v>0</v>
      </c>
      <c r="AH55" s="117">
        <f>SUMIFS(AH$14:AH$36,$C$14:$C$36,$C55,$E$14:$E$36,$E55)*SUMIFS('Key inputs_EB'!AG$150:AG$182,'Key inputs_EB'!$C$150:$C$182,'Key Inputs_BY Techs'!$C55,'Key inputs_EB'!$E$150:$E$182,'Key Inputs_BY Techs'!$E55)</f>
        <v>515.08021617329928</v>
      </c>
      <c r="AI55" s="117">
        <f>SUMIFS(AI$14:AI$36,$C$14:$C$36,$C55,$E$14:$E$36,$E55)*SUMIFS('Key inputs_EB'!AH$150:AH$182,'Key inputs_EB'!$C$150:$C$182,'Key Inputs_BY Techs'!$C55,'Key inputs_EB'!$E$150:$E$182,'Key Inputs_BY Techs'!$E55)</f>
        <v>8.6841476517143601</v>
      </c>
      <c r="AJ55" s="117">
        <f>SUMIFS(AJ$14:AJ$36,$C$14:$C$36,$C55,$E$14:$E$36,$E55)*SUMIFS('Key inputs_EB'!AI$150:AI$182,'Key inputs_EB'!$C$150:$C$182,'Key Inputs_BY Techs'!$C55,'Key inputs_EB'!$E$150:$E$182,'Key Inputs_BY Techs'!$E55)</f>
        <v>34.504874480039099</v>
      </c>
    </row>
    <row r="56" spans="1:36" x14ac:dyDescent="0.3">
      <c r="A56" s="508" t="s">
        <v>75</v>
      </c>
      <c r="B56" s="49" t="str">
        <f>Legend!A$45</f>
        <v>Thermal uses</v>
      </c>
      <c r="C56" s="49" t="str">
        <f t="shared" ref="C56:E56" si="23">C21</f>
        <v>S-TH</v>
      </c>
      <c r="D56" s="49" t="str">
        <f t="shared" si="23"/>
        <v>LPG</v>
      </c>
      <c r="E56" s="49" t="str">
        <f t="shared" si="23"/>
        <v>SRVLPG</v>
      </c>
      <c r="F56" s="109" t="s">
        <v>15</v>
      </c>
      <c r="G56" s="109"/>
      <c r="H56" s="109"/>
      <c r="I56" s="117">
        <f>SUMIFS(I$14:I$36,$C$14:$C$36,$C56,$E$14:$E$36,$E56)*SUMIFS('Key inputs_EB'!H$150:H$182,'Key inputs_EB'!$C$150:$C$182,'Key Inputs_BY Techs'!$C56,'Key inputs_EB'!$E$150:$E$182,'Key Inputs_BY Techs'!$E56)</f>
        <v>1.2077910000000003</v>
      </c>
      <c r="J56" s="117">
        <f>SUMIFS(J$14:J$36,$C$14:$C$36,$C56,$E$14:$E$36,$E56)*SUMIFS('Key inputs_EB'!I$150:I$182,'Key inputs_EB'!$C$150:$C$182,'Key Inputs_BY Techs'!$C56,'Key inputs_EB'!$E$150:$E$182,'Key Inputs_BY Techs'!$E56)</f>
        <v>1.5167412000000005</v>
      </c>
      <c r="K56" s="117">
        <f>SUMIFS(K$14:K$36,$C$14:$C$36,$C56,$E$14:$E$36,$E56)*SUMIFS('Key inputs_EB'!J$150:J$182,'Key inputs_EB'!$C$150:$C$182,'Key Inputs_BY Techs'!$C56,'Key inputs_EB'!$E$150:$E$182,'Key Inputs_BY Techs'!$E56)</f>
        <v>1.5668640000000007</v>
      </c>
      <c r="L56" s="117">
        <f>SUMIFS(L$14:L$36,$C$14:$C$36,$C56,$E$14:$E$36,$E56)*SUMIFS('Key inputs_EB'!K$150:K$182,'Key inputs_EB'!$C$150:$C$182,'Key Inputs_BY Techs'!$C56,'Key inputs_EB'!$E$150:$E$182,'Key Inputs_BY Techs'!$E56)</f>
        <v>0.49343580000000009</v>
      </c>
      <c r="M56" s="117">
        <f>SUMIFS(M$14:M$36,$C$14:$C$36,$C56,$E$14:$E$36,$E56)*SUMIFS('Key inputs_EB'!L$150:L$182,'Key inputs_EB'!$C$150:$C$182,'Key Inputs_BY Techs'!$C56,'Key inputs_EB'!$E$150:$E$182,'Key Inputs_BY Techs'!$E56)</f>
        <v>0.92916719999999997</v>
      </c>
      <c r="N56" s="117">
        <f>SUMIFS(N$14:N$36,$C$14:$C$36,$C56,$E$14:$E$36,$E56)*SUMIFS('Key inputs_EB'!M$150:M$182,'Key inputs_EB'!$C$150:$C$182,'Key Inputs_BY Techs'!$C56,'Key inputs_EB'!$E$150:$E$182,'Key Inputs_BY Techs'!$E56)</f>
        <v>1.3857498111691606</v>
      </c>
      <c r="O56" s="117">
        <f>SUMIFS(O$14:O$36,$C$14:$C$36,$C56,$E$14:$E$36,$E56)*SUMIFS('Key inputs_EB'!N$150:N$182,'Key inputs_EB'!$C$150:$C$182,'Key Inputs_BY Techs'!$C56,'Key inputs_EB'!$E$150:$E$182,'Key Inputs_BY Techs'!$E56)</f>
        <v>10.359835200000003</v>
      </c>
      <c r="P56" s="117">
        <f>SUMIFS(P$14:P$36,$C$14:$C$36,$C56,$E$14:$E$36,$E56)*SUMIFS('Key inputs_EB'!O$150:O$182,'Key inputs_EB'!$C$150:$C$182,'Key Inputs_BY Techs'!$C56,'Key inputs_EB'!$E$150:$E$182,'Key Inputs_BY Techs'!$E56)</f>
        <v>6.9455880000000008</v>
      </c>
      <c r="Q56" s="117">
        <f>SUMIFS(Q$14:Q$36,$C$14:$C$36,$C56,$E$14:$E$36,$E56)*SUMIFS('Key inputs_EB'!P$150:P$182,'Key inputs_EB'!$C$150:$C$182,'Key Inputs_BY Techs'!$C56,'Key inputs_EB'!$E$150:$E$182,'Key Inputs_BY Techs'!$E56)</f>
        <v>0</v>
      </c>
      <c r="R56" s="117">
        <f>SUMIFS(R$14:R$36,$C$14:$C$36,$C56,$E$14:$E$36,$E56)*SUMIFS('Key inputs_EB'!Q$150:Q$182,'Key inputs_EB'!$C$150:$C$182,'Key Inputs_BY Techs'!$C56,'Key inputs_EB'!$E$150:$E$182,'Key Inputs_BY Techs'!$E56)</f>
        <v>7.9345656000000027</v>
      </c>
      <c r="S56" s="117">
        <f>SUMIFS(S$14:S$36,$C$14:$C$36,$C56,$E$14:$E$36,$E56)*SUMIFS('Key inputs_EB'!R$150:R$182,'Key inputs_EB'!$C$150:$C$182,'Key Inputs_BY Techs'!$C56,'Key inputs_EB'!$E$150:$E$182,'Key Inputs_BY Techs'!$E56)</f>
        <v>0.63411660000000003</v>
      </c>
      <c r="T56" s="117">
        <f>SUMIFS(T$14:T$36,$C$14:$C$36,$C56,$E$14:$E$36,$E56)*SUMIFS('Key inputs_EB'!S$150:S$182,'Key inputs_EB'!$C$150:$C$182,'Key Inputs_BY Techs'!$C56,'Key inputs_EB'!$E$150:$E$182,'Key Inputs_BY Techs'!$E56)</f>
        <v>0</v>
      </c>
      <c r="U56" s="117">
        <f>SUMIFS(U$14:U$36,$C$14:$C$36,$C56,$E$14:$E$36,$E56)*SUMIFS('Key inputs_EB'!T$150:T$182,'Key inputs_EB'!$C$150:$C$182,'Key Inputs_BY Techs'!$C56,'Key inputs_EB'!$E$150:$E$182,'Key Inputs_BY Techs'!$E56)</f>
        <v>2.3395522199851699</v>
      </c>
      <c r="V56" s="117">
        <f>SUMIFS(V$14:V$36,$C$14:$C$36,$C56,$E$14:$E$36,$E56)*SUMIFS('Key inputs_EB'!U$150:U$182,'Key inputs_EB'!$C$150:$C$182,'Key Inputs_BY Techs'!$C56,'Key inputs_EB'!$E$150:$E$182,'Key Inputs_BY Techs'!$E56)</f>
        <v>6.202521</v>
      </c>
      <c r="W56" s="117">
        <f>SUMIFS(W$14:W$36,$C$14:$C$36,$C56,$E$14:$E$36,$E56)*SUMIFS('Key inputs_EB'!V$150:V$182,'Key inputs_EB'!$C$150:$C$182,'Key Inputs_BY Techs'!$C56,'Key inputs_EB'!$E$150:$E$182,'Key Inputs_BY Techs'!$E56)</f>
        <v>4.6269840897618151</v>
      </c>
      <c r="X56" s="117">
        <f>SUMIFS(X$14:X$36,$C$14:$C$36,$C56,$E$14:$E$36,$E56)*SUMIFS('Key inputs_EB'!W$150:W$182,'Key inputs_EB'!$C$150:$C$182,'Key Inputs_BY Techs'!$C56,'Key inputs_EB'!$E$150:$E$182,'Key Inputs_BY Techs'!$E56)</f>
        <v>16.667586</v>
      </c>
      <c r="Y56" s="117">
        <f>SUMIFS(Y$14:Y$36,$C$14:$C$36,$C56,$E$14:$E$36,$E56)*SUMIFS('Key inputs_EB'!X$150:X$182,'Key inputs_EB'!$C$150:$C$182,'Key Inputs_BY Techs'!$C56,'Key inputs_EB'!$E$150:$E$182,'Key Inputs_BY Techs'!$E56)</f>
        <v>6.3299340000000006</v>
      </c>
      <c r="Z56" s="117">
        <f>SUMIFS(Z$14:Z$36,$C$14:$C$36,$C56,$E$14:$E$36,$E56)*SUMIFS('Key inputs_EB'!Y$150:Y$182,'Key inputs_EB'!$C$150:$C$182,'Key Inputs_BY Techs'!$C56,'Key inputs_EB'!$E$150:$E$182,'Key Inputs_BY Techs'!$E56)</f>
        <v>12.213115200000003</v>
      </c>
      <c r="AA56" s="117">
        <f>SUMIFS(AA$14:AA$36,$C$14:$C$36,$C56,$E$14:$E$36,$E56)*SUMIFS('Key inputs_EB'!Z$150:Z$182,'Key inputs_EB'!$C$150:$C$182,'Key Inputs_BY Techs'!$C56,'Key inputs_EB'!$E$150:$E$182,'Key Inputs_BY Techs'!$E56)</f>
        <v>0</v>
      </c>
      <c r="AB56" s="117">
        <f>SUMIFS(AB$14:AB$36,$C$14:$C$36,$C56,$E$14:$E$36,$E56)*SUMIFS('Key inputs_EB'!AA$150:AA$182,'Key inputs_EB'!$C$150:$C$182,'Key Inputs_BY Techs'!$C56,'Key inputs_EB'!$E$150:$E$182,'Key Inputs_BY Techs'!$E56)</f>
        <v>25.886952000000001</v>
      </c>
      <c r="AC56" s="117">
        <f>SUMIFS(AC$14:AC$36,$C$14:$C$36,$C56,$E$14:$E$36,$E56)*SUMIFS('Key inputs_EB'!AB$150:AB$182,'Key inputs_EB'!$C$150:$C$182,'Key Inputs_BY Techs'!$C56,'Key inputs_EB'!$E$150:$E$182,'Key Inputs_BY Techs'!$E56)</f>
        <v>2.3792184000000005</v>
      </c>
      <c r="AD56" s="117">
        <f>SUMIFS(AD$14:AD$36,$C$14:$C$36,$C56,$E$14:$E$36,$E56)*SUMIFS('Key inputs_EB'!AC$150:AC$182,'Key inputs_EB'!$C$150:$C$182,'Key Inputs_BY Techs'!$C56,'Key inputs_EB'!$E$150:$E$182,'Key Inputs_BY Techs'!$E56)</f>
        <v>3.5767251000000009</v>
      </c>
      <c r="AE56" s="117">
        <f>SUMIFS(AE$14:AE$36,$C$14:$C$36,$C56,$E$14:$E$36,$E56)*SUMIFS('Key inputs_EB'!AD$150:AD$182,'Key inputs_EB'!$C$150:$C$182,'Key Inputs_BY Techs'!$C56,'Key inputs_EB'!$E$150:$E$182,'Key Inputs_BY Techs'!$E56)</f>
        <v>0.23924160000000005</v>
      </c>
      <c r="AF56" s="117">
        <f>SUMIFS(AF$14:AF$36,$C$14:$C$36,$C56,$E$14:$E$36,$E56)*SUMIFS('Key inputs_EB'!AE$150:AE$182,'Key inputs_EB'!$C$150:$C$182,'Key Inputs_BY Techs'!$C56,'Key inputs_EB'!$E$150:$E$182,'Key Inputs_BY Techs'!$E56)</f>
        <v>4.2456258000000009</v>
      </c>
      <c r="AG56" s="117">
        <f>SUMIFS(AG$14:AG$36,$C$14:$C$36,$C56,$E$14:$E$36,$E56)*SUMIFS('Key inputs_EB'!AF$150:AF$182,'Key inputs_EB'!$C$150:$C$182,'Key Inputs_BY Techs'!$C56,'Key inputs_EB'!$E$150:$E$182,'Key Inputs_BY Techs'!$E56)</f>
        <v>0</v>
      </c>
      <c r="AH56" s="117">
        <f>SUMIFS(AH$14:AH$36,$C$14:$C$36,$C56,$E$14:$E$36,$E56)*SUMIFS('Key inputs_EB'!AG$150:AG$182,'Key inputs_EB'!$C$150:$C$182,'Key Inputs_BY Techs'!$C56,'Key inputs_EB'!$E$150:$E$182,'Key Inputs_BY Techs'!$E56)</f>
        <v>0.64433782945289142</v>
      </c>
      <c r="AI56" s="117">
        <f>SUMIFS(AI$14:AI$36,$C$14:$C$36,$C56,$E$14:$E$36,$E56)*SUMIFS('Key inputs_EB'!AH$150:AH$182,'Key inputs_EB'!$C$150:$C$182,'Key Inputs_BY Techs'!$C56,'Key inputs_EB'!$E$150:$E$182,'Key Inputs_BY Techs'!$E56)</f>
        <v>28.923452999999999</v>
      </c>
      <c r="AJ56" s="117">
        <f>SUMIFS(AJ$14:AJ$36,$C$14:$C$36,$C56,$E$14:$E$36,$E56)*SUMIFS('Key inputs_EB'!AI$150:AI$182,'Key inputs_EB'!$C$150:$C$182,'Key Inputs_BY Techs'!$C56,'Key inputs_EB'!$E$150:$E$182,'Key Inputs_BY Techs'!$E56)</f>
        <v>43.384328009198676</v>
      </c>
    </row>
    <row r="57" spans="1:36" x14ac:dyDescent="0.3">
      <c r="A57" s="508" t="s">
        <v>75</v>
      </c>
      <c r="B57" s="49" t="str">
        <f>Legend!A$45</f>
        <v>Thermal uses</v>
      </c>
      <c r="C57" s="49" t="str">
        <f t="shared" ref="C57:E57" si="24">C22</f>
        <v>S-TH</v>
      </c>
      <c r="D57" s="49" t="str">
        <f t="shared" si="24"/>
        <v>Oil, Liquid biofuels</v>
      </c>
      <c r="E57" s="49" t="str">
        <f t="shared" si="24"/>
        <v>SRVOIL, SRVBLQ</v>
      </c>
      <c r="F57" s="109" t="s">
        <v>15</v>
      </c>
      <c r="G57" s="109"/>
      <c r="H57" s="109"/>
      <c r="I57" s="117">
        <f>SUMIFS(I$14:I$36,$C$14:$C$36,$C57,$E$14:$E$36,$E57)*SUMIFS('Key inputs_EB'!H$150:H$182,'Key inputs_EB'!$C$150:$C$182,'Key Inputs_BY Techs'!$C57,'Key inputs_EB'!$E$150:$E$182,'Key Inputs_BY Techs'!$E57)</f>
        <v>11.221470000000002</v>
      </c>
      <c r="J57" s="117">
        <f>SUMIFS(J$14:J$36,$C$14:$C$36,$C57,$E$14:$E$36,$E57)*SUMIFS('Key inputs_EB'!I$150:I$182,'Key inputs_EB'!$C$150:$C$182,'Key Inputs_BY Techs'!$C57,'Key inputs_EB'!$E$150:$E$182,'Key Inputs_BY Techs'!$E57)</f>
        <v>3.7872900000000005</v>
      </c>
      <c r="K57" s="117">
        <f>SUMIFS(K$14:K$36,$C$14:$C$36,$C57,$E$14:$E$36,$E57)*SUMIFS('Key inputs_EB'!J$150:J$182,'Key inputs_EB'!$C$150:$C$182,'Key Inputs_BY Techs'!$C57,'Key inputs_EB'!$E$150:$E$182,'Key Inputs_BY Techs'!$E57)</f>
        <v>0.65426400000000007</v>
      </c>
      <c r="L57" s="117">
        <f>SUMIFS(L$14:L$36,$C$14:$C$36,$C57,$E$14:$E$36,$E57)*SUMIFS('Key inputs_EB'!K$150:K$182,'Key inputs_EB'!$C$150:$C$182,'Key Inputs_BY Techs'!$C57,'Key inputs_EB'!$E$150:$E$182,'Key Inputs_BY Techs'!$E57)</f>
        <v>24.727950000000003</v>
      </c>
      <c r="M57" s="117">
        <f>SUMIFS(M$14:M$36,$C$14:$C$36,$C57,$E$14:$E$36,$E57)*SUMIFS('Key inputs_EB'!L$150:L$182,'Key inputs_EB'!$C$150:$C$182,'Key Inputs_BY Techs'!$C57,'Key inputs_EB'!$E$150:$E$182,'Key Inputs_BY Techs'!$E57)</f>
        <v>22.473126000000001</v>
      </c>
      <c r="N57" s="117">
        <f>SUMIFS(N$14:N$36,$C$14:$C$36,$C57,$E$14:$E$36,$E57)*SUMIFS('Key inputs_EB'!M$150:M$182,'Key inputs_EB'!$C$150:$C$182,'Key Inputs_BY Techs'!$C57,'Key inputs_EB'!$E$150:$E$182,'Key Inputs_BY Techs'!$E57)</f>
        <v>20.047014000000001</v>
      </c>
      <c r="O57" s="117">
        <f>SUMIFS(O$14:O$36,$C$14:$C$36,$C57,$E$14:$E$36,$E57)*SUMIFS('Key inputs_EB'!N$150:N$182,'Key inputs_EB'!$C$150:$C$182,'Key Inputs_BY Techs'!$C57,'Key inputs_EB'!$E$150:$E$182,'Key Inputs_BY Techs'!$E57)</f>
        <v>7.5439728000000006</v>
      </c>
      <c r="P57" s="117">
        <f>SUMIFS(P$14:P$36,$C$14:$C$36,$C57,$E$14:$E$36,$E57)*SUMIFS('Key inputs_EB'!O$150:O$182,'Key inputs_EB'!$C$150:$C$182,'Key Inputs_BY Techs'!$C57,'Key inputs_EB'!$E$150:$E$182,'Key Inputs_BY Techs'!$E57)</f>
        <v>1.4742E-2</v>
      </c>
      <c r="Q57" s="117">
        <f>SUMIFS(Q$14:Q$36,$C$14:$C$36,$C57,$E$14:$E$36,$E57)*SUMIFS('Key inputs_EB'!P$150:P$182,'Key inputs_EB'!$C$150:$C$182,'Key Inputs_BY Techs'!$C57,'Key inputs_EB'!$E$150:$E$182,'Key Inputs_BY Techs'!$E57)</f>
        <v>0.84345300000000012</v>
      </c>
      <c r="R57" s="117">
        <f>SUMIFS(R$14:R$36,$C$14:$C$36,$C57,$E$14:$E$36,$E57)*SUMIFS('Key inputs_EB'!Q$150:Q$182,'Key inputs_EB'!$C$150:$C$182,'Key Inputs_BY Techs'!$C57,'Key inputs_EB'!$E$150:$E$182,'Key Inputs_BY Techs'!$E57)</f>
        <v>15.47559</v>
      </c>
      <c r="S57" s="117">
        <f>SUMIFS(S$14:S$36,$C$14:$C$36,$C57,$E$14:$E$36,$E57)*SUMIFS('Key inputs_EB'!R$150:R$182,'Key inputs_EB'!$C$150:$C$182,'Key Inputs_BY Techs'!$C57,'Key inputs_EB'!$E$150:$E$182,'Key Inputs_BY Techs'!$E57)</f>
        <v>6.4731420000000011</v>
      </c>
      <c r="T57" s="117">
        <f>SUMIFS(T$14:T$36,$C$14:$C$36,$C57,$E$14:$E$36,$E57)*SUMIFS('Key inputs_EB'!S$150:S$182,'Key inputs_EB'!$C$150:$C$182,'Key Inputs_BY Techs'!$C57,'Key inputs_EB'!$E$150:$E$182,'Key Inputs_BY Techs'!$E57)</f>
        <v>0</v>
      </c>
      <c r="U57" s="117">
        <f>SUMIFS(U$14:U$36,$C$14:$C$36,$C57,$E$14:$E$36,$E57)*SUMIFS('Key inputs_EB'!T$150:T$182,'Key inputs_EB'!$C$150:$C$182,'Key Inputs_BY Techs'!$C57,'Key inputs_EB'!$E$150:$E$182,'Key Inputs_BY Techs'!$E57)</f>
        <v>9.2621880000000001</v>
      </c>
      <c r="V57" s="117">
        <f>SUMIFS(V$14:V$36,$C$14:$C$36,$C57,$E$14:$E$36,$E57)*SUMIFS('Key inputs_EB'!U$150:U$182,'Key inputs_EB'!$C$150:$C$182,'Key Inputs_BY Techs'!$C57,'Key inputs_EB'!$E$150:$E$182,'Key Inputs_BY Techs'!$E57)</f>
        <v>81.03958200000001</v>
      </c>
      <c r="W57" s="117">
        <f>SUMIFS(W$14:W$36,$C$14:$C$36,$C57,$E$14:$E$36,$E57)*SUMIFS('Key inputs_EB'!V$150:V$182,'Key inputs_EB'!$C$150:$C$182,'Key Inputs_BY Techs'!$C57,'Key inputs_EB'!$E$150:$E$182,'Key Inputs_BY Techs'!$E57)</f>
        <v>17.684784000000001</v>
      </c>
      <c r="X57" s="117">
        <f>SUMIFS(X$14:X$36,$C$14:$C$36,$C57,$E$14:$E$36,$E57)*SUMIFS('Key inputs_EB'!W$150:W$182,'Key inputs_EB'!$C$150:$C$182,'Key Inputs_BY Techs'!$C57,'Key inputs_EB'!$E$150:$E$182,'Key Inputs_BY Techs'!$E57)</f>
        <v>101.50569000000002</v>
      </c>
      <c r="Y57" s="117">
        <f>SUMIFS(Y$14:Y$36,$C$14:$C$36,$C57,$E$14:$E$36,$E57)*SUMIFS('Key inputs_EB'!X$150:X$182,'Key inputs_EB'!$C$150:$C$182,'Key Inputs_BY Techs'!$C57,'Key inputs_EB'!$E$150:$E$182,'Key Inputs_BY Techs'!$E57)</f>
        <v>150.27292800000001</v>
      </c>
      <c r="Z57" s="117">
        <f>SUMIFS(Z$14:Z$36,$C$14:$C$36,$C57,$E$14:$E$36,$E57)*SUMIFS('Key inputs_EB'!Y$150:Y$182,'Key inputs_EB'!$C$150:$C$182,'Key Inputs_BY Techs'!$C57,'Key inputs_EB'!$E$150:$E$182,'Key Inputs_BY Techs'!$E57)</f>
        <v>56.211737399999997</v>
      </c>
      <c r="AA57" s="117">
        <f>SUMIFS(AA$14:AA$36,$C$14:$C$36,$C57,$E$14:$E$36,$E57)*SUMIFS('Key inputs_EB'!Z$150:Z$182,'Key inputs_EB'!$C$150:$C$182,'Key Inputs_BY Techs'!$C57,'Key inputs_EB'!$E$150:$E$182,'Key Inputs_BY Techs'!$E57)</f>
        <v>1.3376610000000002</v>
      </c>
      <c r="AB57" s="117">
        <f>SUMIFS(AB$14:AB$36,$C$14:$C$36,$C57,$E$14:$E$36,$E57)*SUMIFS('Key inputs_EB'!AA$150:AA$182,'Key inputs_EB'!$C$150:$C$182,'Key Inputs_BY Techs'!$C57,'Key inputs_EB'!$E$150:$E$182,'Key Inputs_BY Techs'!$E57)</f>
        <v>284.76138600000002</v>
      </c>
      <c r="AC57" s="117">
        <f>SUMIFS(AC$14:AC$36,$C$14:$C$36,$C57,$E$14:$E$36,$E57)*SUMIFS('Key inputs_EB'!AB$150:AB$182,'Key inputs_EB'!$C$150:$C$182,'Key Inputs_BY Techs'!$C57,'Key inputs_EB'!$E$150:$E$182,'Key Inputs_BY Techs'!$E57)</f>
        <v>16.82694</v>
      </c>
      <c r="AD57" s="117">
        <f>SUMIFS(AD$14:AD$36,$C$14:$C$36,$C57,$E$14:$E$36,$E57)*SUMIFS('Key inputs_EB'!AC$150:AC$182,'Key inputs_EB'!$C$150:$C$182,'Key Inputs_BY Techs'!$C57,'Key inputs_EB'!$E$150:$E$182,'Key Inputs_BY Techs'!$E57)</f>
        <v>5.1709320000000005</v>
      </c>
      <c r="AE57" s="117">
        <f>SUMIFS(AE$14:AE$36,$C$14:$C$36,$C57,$E$14:$E$36,$E57)*SUMIFS('Key inputs_EB'!AD$150:AD$182,'Key inputs_EB'!$C$150:$C$182,'Key Inputs_BY Techs'!$C57,'Key inputs_EB'!$E$150:$E$182,'Key Inputs_BY Techs'!$E57)</f>
        <v>9.8810711999999992</v>
      </c>
      <c r="AF57" s="117">
        <f>SUMIFS(AF$14:AF$36,$C$14:$C$36,$C57,$E$14:$E$36,$E57)*SUMIFS('Key inputs_EB'!AE$150:AE$182,'Key inputs_EB'!$C$150:$C$182,'Key Inputs_BY Techs'!$C57,'Key inputs_EB'!$E$150:$E$182,'Key Inputs_BY Techs'!$E57)</f>
        <v>0.38862720000000001</v>
      </c>
      <c r="AG57" s="117">
        <f>SUMIFS(AG$14:AG$36,$C$14:$C$36,$C57,$E$14:$E$36,$E57)*SUMIFS('Key inputs_EB'!AF$150:AF$182,'Key inputs_EB'!$C$150:$C$182,'Key Inputs_BY Techs'!$C57,'Key inputs_EB'!$E$150:$E$182,'Key Inputs_BY Techs'!$E57)</f>
        <v>3.2292000000000001E-2</v>
      </c>
      <c r="AH57" s="117">
        <f>SUMIFS(AH$14:AH$36,$C$14:$C$36,$C57,$E$14:$E$36,$E57)*SUMIFS('Key inputs_EB'!AG$150:AG$182,'Key inputs_EB'!$C$150:$C$182,'Key Inputs_BY Techs'!$C57,'Key inputs_EB'!$E$150:$E$182,'Key Inputs_BY Techs'!$E57)</f>
        <v>43.134390000000003</v>
      </c>
      <c r="AI57" s="117">
        <f>SUMIFS(AI$14:AI$36,$C$14:$C$36,$C57,$E$14:$E$36,$E57)*SUMIFS('Key inputs_EB'!AH$150:AH$182,'Key inputs_EB'!$C$150:$C$182,'Key Inputs_BY Techs'!$C57,'Key inputs_EB'!$E$150:$E$182,'Key Inputs_BY Techs'!$E57)</f>
        <v>17.914338000000004</v>
      </c>
      <c r="AJ57" s="117">
        <f>SUMIFS(AJ$14:AJ$36,$C$14:$C$36,$C57,$E$14:$E$36,$E57)*SUMIFS('Key inputs_EB'!AI$150:AI$182,'Key inputs_EB'!$C$150:$C$182,'Key Inputs_BY Techs'!$C57,'Key inputs_EB'!$E$150:$E$182,'Key Inputs_BY Techs'!$E57)</f>
        <v>263.56415201999999</v>
      </c>
    </row>
    <row r="58" spans="1:36" x14ac:dyDescent="0.3">
      <c r="A58" s="509" t="s">
        <v>75</v>
      </c>
      <c r="B58" s="51" t="str">
        <f>Legend!A$45</f>
        <v>Thermal uses</v>
      </c>
      <c r="C58" s="51" t="str">
        <f t="shared" ref="C58:E58" si="25">C23</f>
        <v>S-TH</v>
      </c>
      <c r="D58" s="51" t="str">
        <f t="shared" si="25"/>
        <v>Solar</v>
      </c>
      <c r="E58" s="51" t="str">
        <f t="shared" si="25"/>
        <v>SRVSOL</v>
      </c>
      <c r="F58" s="171" t="s">
        <v>15</v>
      </c>
      <c r="G58" s="171"/>
      <c r="H58" s="171"/>
      <c r="I58" s="119">
        <f>SUMIFS(I$14:I$36,$C$14:$C$36,$C58,$E$14:$E$36,$E58)*SUMIFS('Key inputs_EB'!H$150:H$182,'Key inputs_EB'!$C$150:$C$182,'Key Inputs_BY Techs'!$C58,'Key inputs_EB'!$E$150:$E$182,'Key Inputs_BY Techs'!$E58)</f>
        <v>0</v>
      </c>
      <c r="J58" s="119">
        <f>SUMIFS(J$14:J$36,$C$14:$C$36,$C58,$E$14:$E$36,$E58)*SUMIFS('Key inputs_EB'!I$150:I$182,'Key inputs_EB'!$C$150:$C$182,'Key Inputs_BY Techs'!$C58,'Key inputs_EB'!$E$150:$E$182,'Key Inputs_BY Techs'!$E58)</f>
        <v>9.9900000000000003E-2</v>
      </c>
      <c r="K58" s="119">
        <f>SUMIFS(K$14:K$36,$C$14:$C$36,$C58,$E$14:$E$36,$E58)*SUMIFS('Key inputs_EB'!J$150:J$182,'Key inputs_EB'!$C$150:$C$182,'Key Inputs_BY Techs'!$C58,'Key inputs_EB'!$E$150:$E$182,'Key Inputs_BY Techs'!$E58)</f>
        <v>0</v>
      </c>
      <c r="L58" s="119">
        <f>SUMIFS(L$14:L$36,$C$14:$C$36,$C58,$E$14:$E$36,$E58)*SUMIFS('Key inputs_EB'!K$150:K$182,'Key inputs_EB'!$C$150:$C$182,'Key Inputs_BY Techs'!$C58,'Key inputs_EB'!$E$150:$E$182,'Key Inputs_BY Techs'!$E58)</f>
        <v>0</v>
      </c>
      <c r="M58" s="119">
        <f>SUMIFS(M$14:M$36,$C$14:$C$36,$C58,$E$14:$E$36,$E58)*SUMIFS('Key inputs_EB'!L$150:L$182,'Key inputs_EB'!$C$150:$C$182,'Key Inputs_BY Techs'!$C58,'Key inputs_EB'!$E$150:$E$182,'Key Inputs_BY Techs'!$E58)</f>
        <v>0.4239</v>
      </c>
      <c r="N58" s="119">
        <f>SUMIFS(N$14:N$36,$C$14:$C$36,$C58,$E$14:$E$36,$E58)*SUMIFS('Key inputs_EB'!M$150:M$182,'Key inputs_EB'!$C$150:$C$182,'Key Inputs_BY Techs'!$C58,'Key inputs_EB'!$E$150:$E$182,'Key Inputs_BY Techs'!$E58)</f>
        <v>0.27450000000000002</v>
      </c>
      <c r="O58" s="119">
        <f>SUMIFS(O$14:O$36,$C$14:$C$36,$C58,$E$14:$E$36,$E58)*SUMIFS('Key inputs_EB'!N$150:N$182,'Key inputs_EB'!$C$150:$C$182,'Key Inputs_BY Techs'!$C58,'Key inputs_EB'!$E$150:$E$182,'Key Inputs_BY Techs'!$E58)</f>
        <v>0.38340000000000002</v>
      </c>
      <c r="P58" s="119">
        <f>SUMIFS(P$14:P$36,$C$14:$C$36,$C58,$E$14:$E$36,$E58)*SUMIFS('Key inputs_EB'!O$150:O$182,'Key inputs_EB'!$C$150:$C$182,'Key Inputs_BY Techs'!$C58,'Key inputs_EB'!$E$150:$E$182,'Key Inputs_BY Techs'!$E58)</f>
        <v>0</v>
      </c>
      <c r="Q58" s="119">
        <f>SUMIFS(Q$14:Q$36,$C$14:$C$36,$C58,$E$14:$E$36,$E58)*SUMIFS('Key inputs_EB'!P$150:P$182,'Key inputs_EB'!$C$150:$C$182,'Key Inputs_BY Techs'!$C58,'Key inputs_EB'!$E$150:$E$182,'Key Inputs_BY Techs'!$E58)</f>
        <v>0</v>
      </c>
      <c r="R58" s="119">
        <f>SUMIFS(R$14:R$36,$C$14:$C$36,$C58,$E$14:$E$36,$E58)*SUMIFS('Key inputs_EB'!Q$150:Q$182,'Key inputs_EB'!$C$150:$C$182,'Key Inputs_BY Techs'!$C58,'Key inputs_EB'!$E$150:$E$182,'Key Inputs_BY Techs'!$E58)</f>
        <v>0</v>
      </c>
      <c r="S58" s="119">
        <f>SUMIFS(S$14:S$36,$C$14:$C$36,$C58,$E$14:$E$36,$E58)*SUMIFS('Key inputs_EB'!R$150:R$182,'Key inputs_EB'!$C$150:$C$182,'Key Inputs_BY Techs'!$C58,'Key inputs_EB'!$E$150:$E$182,'Key Inputs_BY Techs'!$E58)</f>
        <v>0</v>
      </c>
      <c r="T58" s="119">
        <f>SUMIFS(T$14:T$36,$C$14:$C$36,$C58,$E$14:$E$36,$E58)*SUMIFS('Key inputs_EB'!S$150:S$182,'Key inputs_EB'!$C$150:$C$182,'Key Inputs_BY Techs'!$C58,'Key inputs_EB'!$E$150:$E$182,'Key Inputs_BY Techs'!$E58)</f>
        <v>0</v>
      </c>
      <c r="U58" s="119">
        <f>SUMIFS(U$14:U$36,$C$14:$C$36,$C58,$E$14:$E$36,$E58)*SUMIFS('Key inputs_EB'!T$150:T$182,'Key inputs_EB'!$C$150:$C$182,'Key Inputs_BY Techs'!$C58,'Key inputs_EB'!$E$150:$E$182,'Key Inputs_BY Techs'!$E58)</f>
        <v>0.18180000000000002</v>
      </c>
      <c r="V58" s="119">
        <f>SUMIFS(V$14:V$36,$C$14:$C$36,$C58,$E$14:$E$36,$E58)*SUMIFS('Key inputs_EB'!U$150:U$182,'Key inputs_EB'!$C$150:$C$182,'Key Inputs_BY Techs'!$C58,'Key inputs_EB'!$E$150:$E$182,'Key Inputs_BY Techs'!$E58)</f>
        <v>1.0053000000000001</v>
      </c>
      <c r="W58" s="119">
        <f>SUMIFS(W$14:W$36,$C$14:$C$36,$C58,$E$14:$E$36,$E58)*SUMIFS('Key inputs_EB'!V$150:V$182,'Key inputs_EB'!$C$150:$C$182,'Key Inputs_BY Techs'!$C58,'Key inputs_EB'!$E$150:$E$182,'Key Inputs_BY Techs'!$E58)</f>
        <v>1.1556</v>
      </c>
      <c r="X58" s="119">
        <f>SUMIFS(X$14:X$36,$C$14:$C$36,$C58,$E$14:$E$36,$E58)*SUMIFS('Key inputs_EB'!W$150:W$182,'Key inputs_EB'!$C$150:$C$182,'Key Inputs_BY Techs'!$C58,'Key inputs_EB'!$E$150:$E$182,'Key Inputs_BY Techs'!$E58)</f>
        <v>6.3558000000000003</v>
      </c>
      <c r="Y58" s="119">
        <f>SUMIFS(Y$14:Y$36,$C$14:$C$36,$C58,$E$14:$E$36,$E58)*SUMIFS('Key inputs_EB'!X$150:X$182,'Key inputs_EB'!$C$150:$C$182,'Key Inputs_BY Techs'!$C58,'Key inputs_EB'!$E$150:$E$182,'Key Inputs_BY Techs'!$E58)</f>
        <v>3.8493000000000004</v>
      </c>
      <c r="Z58" s="119">
        <f>SUMIFS(Z$14:Z$36,$C$14:$C$36,$C58,$E$14:$E$36,$E58)*SUMIFS('Key inputs_EB'!Y$150:Y$182,'Key inputs_EB'!$C$150:$C$182,'Key Inputs_BY Techs'!$C58,'Key inputs_EB'!$E$150:$E$182,'Key Inputs_BY Techs'!$E58)</f>
        <v>0</v>
      </c>
      <c r="AA58" s="119">
        <f>SUMIFS(AA$14:AA$36,$C$14:$C$36,$C58,$E$14:$E$36,$E58)*SUMIFS('Key inputs_EB'!Z$150:Z$182,'Key inputs_EB'!$C$150:$C$182,'Key Inputs_BY Techs'!$C58,'Key inputs_EB'!$E$150:$E$182,'Key Inputs_BY Techs'!$E58)</f>
        <v>0</v>
      </c>
      <c r="AB58" s="119">
        <f>SUMIFS(AB$14:AB$36,$C$14:$C$36,$C58,$E$14:$E$36,$E58)*SUMIFS('Key inputs_EB'!AA$150:AA$182,'Key inputs_EB'!$C$150:$C$182,'Key Inputs_BY Techs'!$C58,'Key inputs_EB'!$E$150:$E$182,'Key Inputs_BY Techs'!$E58)</f>
        <v>0.68940000000000001</v>
      </c>
      <c r="AC58" s="119">
        <f>SUMIFS(AC$14:AC$36,$C$14:$C$36,$C58,$E$14:$E$36,$E58)*SUMIFS('Key inputs_EB'!AB$150:AB$182,'Key inputs_EB'!$C$150:$C$182,'Key Inputs_BY Techs'!$C58,'Key inputs_EB'!$E$150:$E$182,'Key Inputs_BY Techs'!$E58)</f>
        <v>0.51659999999999995</v>
      </c>
      <c r="AD58" s="119">
        <f>SUMIFS(AD$14:AD$36,$C$14:$C$36,$C58,$E$14:$E$36,$E58)*SUMIFS('Key inputs_EB'!AC$150:AC$182,'Key inputs_EB'!$C$150:$C$182,'Key Inputs_BY Techs'!$C58,'Key inputs_EB'!$E$150:$E$182,'Key Inputs_BY Techs'!$E58)</f>
        <v>2.3237999999999999</v>
      </c>
      <c r="AE58" s="119">
        <f>SUMIFS(AE$14:AE$36,$C$14:$C$36,$C58,$E$14:$E$36,$E58)*SUMIFS('Key inputs_EB'!AD$150:AD$182,'Key inputs_EB'!$C$150:$C$182,'Key Inputs_BY Techs'!$C58,'Key inputs_EB'!$E$150:$E$182,'Key Inputs_BY Techs'!$E58)</f>
        <v>0</v>
      </c>
      <c r="AF58" s="119">
        <f>SUMIFS(AF$14:AF$36,$C$14:$C$36,$C58,$E$14:$E$36,$E58)*SUMIFS('Key inputs_EB'!AE$150:AE$182,'Key inputs_EB'!$C$150:$C$182,'Key Inputs_BY Techs'!$C58,'Key inputs_EB'!$E$150:$E$182,'Key Inputs_BY Techs'!$E58)</f>
        <v>4.6574999999999998</v>
      </c>
      <c r="AG58" s="119">
        <f>SUMIFS(AG$14:AG$36,$C$14:$C$36,$C58,$E$14:$E$36,$E58)*SUMIFS('Key inputs_EB'!AF$150:AF$182,'Key inputs_EB'!$C$150:$C$182,'Key Inputs_BY Techs'!$C58,'Key inputs_EB'!$E$150:$E$182,'Key Inputs_BY Techs'!$E58)</f>
        <v>0</v>
      </c>
      <c r="AH58" s="119">
        <f>SUMIFS(AH$14:AH$36,$C$14:$C$36,$C58,$E$14:$E$36,$E58)*SUMIFS('Key inputs_EB'!AG$150:AG$182,'Key inputs_EB'!$C$150:$C$182,'Key Inputs_BY Techs'!$C58,'Key inputs_EB'!$E$150:$E$182,'Key Inputs_BY Techs'!$E58)</f>
        <v>0</v>
      </c>
      <c r="AI58" s="119">
        <f>SUMIFS(AI$14:AI$36,$C$14:$C$36,$C58,$E$14:$E$36,$E58)*SUMIFS('Key inputs_EB'!AH$150:AH$182,'Key inputs_EB'!$C$150:$C$182,'Key Inputs_BY Techs'!$C58,'Key inputs_EB'!$E$150:$E$182,'Key Inputs_BY Techs'!$E58)</f>
        <v>0.82800000000000007</v>
      </c>
      <c r="AJ58" s="119">
        <f>SUMIFS(AJ$14:AJ$36,$C$14:$C$36,$C58,$E$14:$E$36,$E58)*SUMIFS('Key inputs_EB'!AI$150:AI$182,'Key inputs_EB'!$C$150:$C$182,'Key Inputs_BY Techs'!$C58,'Key inputs_EB'!$E$150:$E$182,'Key Inputs_BY Techs'!$E58)</f>
        <v>67.979700000000008</v>
      </c>
    </row>
    <row r="59" spans="1:36" x14ac:dyDescent="0.3">
      <c r="A59" s="508" t="s">
        <v>75</v>
      </c>
      <c r="B59" s="49" t="str">
        <f>'Key inputs_EB'!B159</f>
        <v>Air conditioning</v>
      </c>
      <c r="C59" s="49" t="str">
        <f t="shared" ref="C59:E59" si="26">C24</f>
        <v>S-AC</v>
      </c>
      <c r="D59" s="49" t="str">
        <f t="shared" si="26"/>
        <v>Natural gas, Biogas</v>
      </c>
      <c r="E59" s="49" t="str">
        <f t="shared" si="26"/>
        <v>SRVGAS, SRVBGS</v>
      </c>
      <c r="F59" s="109" t="s">
        <v>15</v>
      </c>
      <c r="G59" s="109"/>
      <c r="H59" s="109"/>
      <c r="I59" s="117">
        <f>SUMIFS(I$14:I$36,$C$14:$C$36,$C59,$E$14:$E$36,$E59)*SUMIFS('Key inputs_EB'!H$150:H$182,'Key inputs_EB'!$C$150:$C$182,'Key Inputs_BY Techs'!$C59,'Key inputs_EB'!$E$150:$E$182,'Key Inputs_BY Techs'!$E59)</f>
        <v>0</v>
      </c>
      <c r="J59" s="117">
        <f>SUMIFS(J$14:J$36,$C$14:$C$36,$C59,$E$14:$E$36,$E59)*SUMIFS('Key inputs_EB'!I$150:I$182,'Key inputs_EB'!$C$150:$C$182,'Key Inputs_BY Techs'!$C59,'Key inputs_EB'!$E$150:$E$182,'Key Inputs_BY Techs'!$E59)</f>
        <v>0</v>
      </c>
      <c r="K59" s="117">
        <f>SUMIFS(K$14:K$36,$C$14:$C$36,$C59,$E$14:$E$36,$E59)*SUMIFS('Key inputs_EB'!J$150:J$182,'Key inputs_EB'!$C$150:$C$182,'Key Inputs_BY Techs'!$C59,'Key inputs_EB'!$E$150:$E$182,'Key Inputs_BY Techs'!$E59)</f>
        <v>0</v>
      </c>
      <c r="L59" s="117">
        <f>SUMIFS(L$14:L$36,$C$14:$C$36,$C59,$E$14:$E$36,$E59)*SUMIFS('Key inputs_EB'!K$150:K$182,'Key inputs_EB'!$C$150:$C$182,'Key Inputs_BY Techs'!$C59,'Key inputs_EB'!$E$150:$E$182,'Key Inputs_BY Techs'!$E59)</f>
        <v>0</v>
      </c>
      <c r="M59" s="117">
        <f>SUMIFS(M$14:M$36,$C$14:$C$36,$C59,$E$14:$E$36,$E59)*SUMIFS('Key inputs_EB'!L$150:L$182,'Key inputs_EB'!$C$150:$C$182,'Key Inputs_BY Techs'!$C59,'Key inputs_EB'!$E$150:$E$182,'Key Inputs_BY Techs'!$E59)</f>
        <v>0</v>
      </c>
      <c r="N59" s="117">
        <f>SUMIFS(N$14:N$36,$C$14:$C$36,$C59,$E$14:$E$36,$E59)*SUMIFS('Key inputs_EB'!M$150:M$182,'Key inputs_EB'!$C$150:$C$182,'Key Inputs_BY Techs'!$C59,'Key inputs_EB'!$E$150:$E$182,'Key Inputs_BY Techs'!$E59)</f>
        <v>4.8082060000000011</v>
      </c>
      <c r="O59" s="117">
        <f>SUMIFS(O$14:O$36,$C$14:$C$36,$C59,$E$14:$E$36,$E59)*SUMIFS('Key inputs_EB'!N$150:N$182,'Key inputs_EB'!$C$150:$C$182,'Key Inputs_BY Techs'!$C59,'Key inputs_EB'!$E$150:$E$182,'Key Inputs_BY Techs'!$E59)</f>
        <v>0.126308</v>
      </c>
      <c r="P59" s="117">
        <f>SUMIFS(P$14:P$36,$C$14:$C$36,$C59,$E$14:$E$36,$E59)*SUMIFS('Key inputs_EB'!O$150:O$182,'Key inputs_EB'!$C$150:$C$182,'Key Inputs_BY Techs'!$C59,'Key inputs_EB'!$E$150:$E$182,'Key Inputs_BY Techs'!$E59)</f>
        <v>0.20716800000000002</v>
      </c>
      <c r="Q59" s="117">
        <f>SUMIFS(Q$14:Q$36,$C$14:$C$36,$C59,$E$14:$E$36,$E59)*SUMIFS('Key inputs_EB'!P$150:P$182,'Key inputs_EB'!$C$150:$C$182,'Key Inputs_BY Techs'!$C59,'Key inputs_EB'!$E$150:$E$182,'Key Inputs_BY Techs'!$E59)</f>
        <v>0</v>
      </c>
      <c r="R59" s="117">
        <f>SUMIFS(R$14:R$36,$C$14:$C$36,$C59,$E$14:$E$36,$E59)*SUMIFS('Key inputs_EB'!Q$150:Q$182,'Key inputs_EB'!$C$150:$C$182,'Key Inputs_BY Techs'!$C59,'Key inputs_EB'!$E$150:$E$182,'Key Inputs_BY Techs'!$E59)</f>
        <v>0</v>
      </c>
      <c r="S59" s="117">
        <f>SUMIFS(S$14:S$36,$C$14:$C$36,$C59,$E$14:$E$36,$E59)*SUMIFS('Key inputs_EB'!R$150:R$182,'Key inputs_EB'!$C$150:$C$182,'Key Inputs_BY Techs'!$C59,'Key inputs_EB'!$E$150:$E$182,'Key Inputs_BY Techs'!$E59)</f>
        <v>0</v>
      </c>
      <c r="T59" s="117">
        <f>SUMIFS(T$14:T$36,$C$14:$C$36,$C59,$E$14:$E$36,$E59)*SUMIFS('Key inputs_EB'!S$150:S$182,'Key inputs_EB'!$C$150:$C$182,'Key Inputs_BY Techs'!$C59,'Key inputs_EB'!$E$150:$E$182,'Key Inputs_BY Techs'!$E59)</f>
        <v>0</v>
      </c>
      <c r="U59" s="117">
        <f>SUMIFS(U$14:U$36,$C$14:$C$36,$C59,$E$14:$E$36,$E59)*SUMIFS('Key inputs_EB'!T$150:T$182,'Key inputs_EB'!$C$150:$C$182,'Key Inputs_BY Techs'!$C59,'Key inputs_EB'!$E$150:$E$182,'Key Inputs_BY Techs'!$E59)</f>
        <v>0.63147500000000001</v>
      </c>
      <c r="V59" s="117">
        <f>SUMIFS(V$14:V$36,$C$14:$C$36,$C59,$E$14:$E$36,$E59)*SUMIFS('Key inputs_EB'!U$150:U$182,'Key inputs_EB'!$C$150:$C$182,'Key Inputs_BY Techs'!$C59,'Key inputs_EB'!$E$150:$E$182,'Key Inputs_BY Techs'!$E59)</f>
        <v>1.9144320000000004</v>
      </c>
      <c r="W59" s="117">
        <f>SUMIFS(W$14:W$36,$C$14:$C$36,$C59,$E$14:$E$36,$E59)*SUMIFS('Key inputs_EB'!V$150:V$182,'Key inputs_EB'!$C$150:$C$182,'Key Inputs_BY Techs'!$C59,'Key inputs_EB'!$E$150:$E$182,'Key Inputs_BY Techs'!$E59)</f>
        <v>2.9245970000000003</v>
      </c>
      <c r="X59" s="117">
        <f>SUMIFS(X$14:X$36,$C$14:$C$36,$C59,$E$14:$E$36,$E59)*SUMIFS('Key inputs_EB'!W$150:W$182,'Key inputs_EB'!$C$150:$C$182,'Key Inputs_BY Techs'!$C59,'Key inputs_EB'!$E$150:$E$182,'Key Inputs_BY Techs'!$E59)</f>
        <v>4.1942614999999996</v>
      </c>
      <c r="Y59" s="117">
        <f>SUMIFS(Y$14:Y$36,$C$14:$C$36,$C59,$E$14:$E$36,$E59)*SUMIFS('Key inputs_EB'!X$150:X$182,'Key inputs_EB'!$C$150:$C$182,'Key Inputs_BY Techs'!$C59,'Key inputs_EB'!$E$150:$E$182,'Key Inputs_BY Techs'!$E59)</f>
        <v>4.1790905</v>
      </c>
      <c r="Z59" s="117">
        <f>SUMIFS(Z$14:Z$36,$C$14:$C$36,$C59,$E$14:$E$36,$E59)*SUMIFS('Key inputs_EB'!Y$150:Y$182,'Key inputs_EB'!$C$150:$C$182,'Key Inputs_BY Techs'!$C59,'Key inputs_EB'!$E$150:$E$182,'Key Inputs_BY Techs'!$E59)</f>
        <v>0.25862199999999996</v>
      </c>
      <c r="AA59" s="117">
        <f>SUMIFS(AA$14:AA$36,$C$14:$C$36,$C59,$E$14:$E$36,$E59)*SUMIFS('Key inputs_EB'!Z$150:Z$182,'Key inputs_EB'!$C$150:$C$182,'Key Inputs_BY Techs'!$C59,'Key inputs_EB'!$E$150:$E$182,'Key Inputs_BY Techs'!$E59)</f>
        <v>0</v>
      </c>
      <c r="AB59" s="117">
        <f>SUMIFS(AB$14:AB$36,$C$14:$C$36,$C59,$E$14:$E$36,$E59)*SUMIFS('Key inputs_EB'!AA$150:AA$182,'Key inputs_EB'!$C$150:$C$182,'Key Inputs_BY Techs'!$C59,'Key inputs_EB'!$E$150:$E$182,'Key Inputs_BY Techs'!$E59)</f>
        <v>29.957148</v>
      </c>
      <c r="AC59" s="117">
        <f>SUMIFS(AC$14:AC$36,$C$14:$C$36,$C59,$E$14:$E$36,$E59)*SUMIFS('Key inputs_EB'!AB$150:AB$182,'Key inputs_EB'!$C$150:$C$182,'Key Inputs_BY Techs'!$C59,'Key inputs_EB'!$E$150:$E$182,'Key Inputs_BY Techs'!$E59)</f>
        <v>0</v>
      </c>
      <c r="AD59" s="117">
        <f>SUMIFS(AD$14:AD$36,$C$14:$C$36,$C59,$E$14:$E$36,$E59)*SUMIFS('Key inputs_EB'!AC$150:AC$182,'Key inputs_EB'!$C$150:$C$182,'Key Inputs_BY Techs'!$C59,'Key inputs_EB'!$E$150:$E$182,'Key Inputs_BY Techs'!$E59)</f>
        <v>2.0639970000000001</v>
      </c>
      <c r="AE59" s="117">
        <f>SUMIFS(AE$14:AE$36,$C$14:$C$36,$C59,$E$14:$E$36,$E59)*SUMIFS('Key inputs_EB'!AD$150:AD$182,'Key inputs_EB'!$C$150:$C$182,'Key Inputs_BY Techs'!$C59,'Key inputs_EB'!$E$150:$E$182,'Key Inputs_BY Techs'!$E59)</f>
        <v>7.0304260000000012</v>
      </c>
      <c r="AF59" s="117">
        <f>SUMIFS(AF$14:AF$36,$C$14:$C$36,$C59,$E$14:$E$36,$E59)*SUMIFS('Key inputs_EB'!AE$150:AE$182,'Key inputs_EB'!$C$150:$C$182,'Key Inputs_BY Techs'!$C59,'Key inputs_EB'!$E$150:$E$182,'Key Inputs_BY Techs'!$E59)</f>
        <v>0</v>
      </c>
      <c r="AG59" s="117">
        <f>SUMIFS(AG$14:AG$36,$C$14:$C$36,$C59,$E$14:$E$36,$E59)*SUMIFS('Key inputs_EB'!AF$150:AF$182,'Key inputs_EB'!$C$150:$C$182,'Key Inputs_BY Techs'!$C59,'Key inputs_EB'!$E$150:$E$182,'Key Inputs_BY Techs'!$E59)</f>
        <v>0</v>
      </c>
      <c r="AH59" s="117">
        <f>SUMIFS(AH$14:AH$36,$C$14:$C$36,$C59,$E$14:$E$36,$E59)*SUMIFS('Key inputs_EB'!AG$150:AG$182,'Key inputs_EB'!$C$150:$C$182,'Key Inputs_BY Techs'!$C59,'Key inputs_EB'!$E$150:$E$182,'Key Inputs_BY Techs'!$E59)</f>
        <v>3.068975</v>
      </c>
      <c r="AI59" s="117">
        <f>SUMIFS(AI$14:AI$36,$C$14:$C$36,$C59,$E$14:$E$36,$E59)*SUMIFS('Key inputs_EB'!AH$150:AH$182,'Key inputs_EB'!$C$150:$C$182,'Key Inputs_BY Techs'!$C59,'Key inputs_EB'!$E$150:$E$182,'Key Inputs_BY Techs'!$E59)</f>
        <v>10.880805000000001</v>
      </c>
      <c r="AJ59" s="117">
        <f>SUMIFS(AJ$14:AJ$36,$C$14:$C$36,$C59,$E$14:$E$36,$E59)*SUMIFS('Key inputs_EB'!AI$150:AI$182,'Key inputs_EB'!$C$150:$C$182,'Key Inputs_BY Techs'!$C59,'Key inputs_EB'!$E$150:$E$182,'Key Inputs_BY Techs'!$E59)</f>
        <v>27.817796107463003</v>
      </c>
    </row>
    <row r="60" spans="1:36" x14ac:dyDescent="0.3">
      <c r="A60" s="509" t="s">
        <v>75</v>
      </c>
      <c r="B60" s="51" t="str">
        <f>'Key inputs_EB'!B160</f>
        <v>Air conditioning</v>
      </c>
      <c r="C60" s="51" t="str">
        <f t="shared" ref="C60:E60" si="27">C25</f>
        <v>S-AC</v>
      </c>
      <c r="D60" s="51" t="str">
        <f t="shared" si="27"/>
        <v>Electricity</v>
      </c>
      <c r="E60" s="51" t="str">
        <f t="shared" si="27"/>
        <v>SRVELC</v>
      </c>
      <c r="F60" s="171" t="s">
        <v>15</v>
      </c>
      <c r="G60" s="171"/>
      <c r="H60" s="171"/>
      <c r="I60" s="119">
        <f>SUMIFS(I$14:I$36,$C$14:$C$36,$C60,$E$14:$E$36,$E60)*SUMIFS('Key inputs_EB'!H$150:H$182,'Key inputs_EB'!$C$150:$C$182,'Key Inputs_BY Techs'!$C60,'Key inputs_EB'!$E$150:$E$182,'Key Inputs_BY Techs'!$E60)</f>
        <v>2.824504467849458</v>
      </c>
      <c r="J60" s="119">
        <f>SUMIFS(J$14:J$36,$C$14:$C$36,$C60,$E$14:$E$36,$E60)*SUMIFS('Key inputs_EB'!I$150:I$182,'Key inputs_EB'!$C$150:$C$182,'Key Inputs_BY Techs'!$C60,'Key inputs_EB'!$E$150:$E$182,'Key Inputs_BY Techs'!$E60)</f>
        <v>15.609103638115425</v>
      </c>
      <c r="K60" s="119">
        <f>SUMIFS(K$14:K$36,$C$14:$C$36,$C60,$E$14:$E$36,$E60)*SUMIFS('Key inputs_EB'!J$150:J$182,'Key inputs_EB'!$C$150:$C$182,'Key Inputs_BY Techs'!$C60,'Key inputs_EB'!$E$150:$E$182,'Key Inputs_BY Techs'!$E60)</f>
        <v>3.6279172418360872</v>
      </c>
      <c r="L60" s="119">
        <f>SUMIFS(L$14:L$36,$C$14:$C$36,$C60,$E$14:$E$36,$E60)*SUMIFS('Key inputs_EB'!K$150:K$182,'Key inputs_EB'!$C$150:$C$182,'Key Inputs_BY Techs'!$C60,'Key inputs_EB'!$E$150:$E$182,'Key Inputs_BY Techs'!$E60)</f>
        <v>9.5092611273470258</v>
      </c>
      <c r="M60" s="119">
        <f>SUMIFS(M$14:M$36,$C$14:$C$36,$C60,$E$14:$E$36,$E60)*SUMIFS('Key inputs_EB'!L$150:L$182,'Key inputs_EB'!$C$150:$C$182,'Key Inputs_BY Techs'!$C60,'Key inputs_EB'!$E$150:$E$182,'Key Inputs_BY Techs'!$E60)</f>
        <v>47.928204666255994</v>
      </c>
      <c r="N60" s="119">
        <f>SUMIFS(N$14:N$36,$C$14:$C$36,$C60,$E$14:$E$36,$E60)*SUMIFS('Key inputs_EB'!M$150:M$182,'Key inputs_EB'!$C$150:$C$182,'Key Inputs_BY Techs'!$C60,'Key inputs_EB'!$E$150:$E$182,'Key Inputs_BY Techs'!$E60)</f>
        <v>2.7397020739029454</v>
      </c>
      <c r="O60" s="119">
        <f>SUMIFS(O$14:O$36,$C$14:$C$36,$C60,$E$14:$E$36,$E60)*SUMIFS('Key inputs_EB'!N$150:N$182,'Key inputs_EB'!$C$150:$C$182,'Key Inputs_BY Techs'!$C60,'Key inputs_EB'!$E$150:$E$182,'Key Inputs_BY Techs'!$E60)</f>
        <v>169.65983120796994</v>
      </c>
      <c r="P60" s="119">
        <f>SUMIFS(P$14:P$36,$C$14:$C$36,$C60,$E$14:$E$36,$E60)*SUMIFS('Key inputs_EB'!O$150:O$182,'Key inputs_EB'!$C$150:$C$182,'Key Inputs_BY Techs'!$C60,'Key inputs_EB'!$E$150:$E$182,'Key Inputs_BY Techs'!$E60)</f>
        <v>39.197154436028363</v>
      </c>
      <c r="Q60" s="119">
        <f>SUMIFS(Q$14:Q$36,$C$14:$C$36,$C60,$E$14:$E$36,$E60)*SUMIFS('Key inputs_EB'!P$150:P$182,'Key inputs_EB'!$C$150:$C$182,'Key Inputs_BY Techs'!$C60,'Key inputs_EB'!$E$150:$E$182,'Key Inputs_BY Techs'!$E60)</f>
        <v>111.51440680799185</v>
      </c>
      <c r="R60" s="119">
        <f>SUMIFS(R$14:R$36,$C$14:$C$36,$C60,$E$14:$E$36,$E60)*SUMIFS('Key inputs_EB'!Q$150:Q$182,'Key inputs_EB'!$C$150:$C$182,'Key Inputs_BY Techs'!$C60,'Key inputs_EB'!$E$150:$E$182,'Key Inputs_BY Techs'!$E60)</f>
        <v>194.44972053038612</v>
      </c>
      <c r="S60" s="119">
        <f>SUMIFS(S$14:S$36,$C$14:$C$36,$C60,$E$14:$E$36,$E60)*SUMIFS('Key inputs_EB'!R$150:R$182,'Key inputs_EB'!$C$150:$C$182,'Key Inputs_BY Techs'!$C60,'Key inputs_EB'!$E$150:$E$182,'Key Inputs_BY Techs'!$E60)</f>
        <v>9.7012401305415761</v>
      </c>
      <c r="T60" s="119">
        <f>SUMIFS(T$14:T$36,$C$14:$C$36,$C60,$E$14:$E$36,$E60)*SUMIFS('Key inputs_EB'!S$150:S$182,'Key inputs_EB'!$C$150:$C$182,'Key Inputs_BY Techs'!$C60,'Key inputs_EB'!$E$150:$E$182,'Key Inputs_BY Techs'!$E60)</f>
        <v>8.8912386305765825</v>
      </c>
      <c r="U60" s="119">
        <f>SUMIFS(U$14:U$36,$C$14:$C$36,$C60,$E$14:$E$36,$E60)*SUMIFS('Key inputs_EB'!T$150:T$182,'Key inputs_EB'!$C$150:$C$182,'Key Inputs_BY Techs'!$C60,'Key inputs_EB'!$E$150:$E$182,'Key Inputs_BY Techs'!$E60)</f>
        <v>4.2983750161843348</v>
      </c>
      <c r="V60" s="119">
        <f>SUMIFS(V$14:V$36,$C$14:$C$36,$C60,$E$14:$E$36,$E60)*SUMIFS('Key inputs_EB'!U$150:U$182,'Key inputs_EB'!$C$150:$C$182,'Key Inputs_BY Techs'!$C60,'Key inputs_EB'!$E$150:$E$182,'Key Inputs_BY Techs'!$E60)</f>
        <v>132.95966665261662</v>
      </c>
      <c r="W60" s="119">
        <f>SUMIFS(W$14:W$36,$C$14:$C$36,$C60,$E$14:$E$36,$E60)*SUMIFS('Key inputs_EB'!V$150:V$182,'Key inputs_EB'!$C$150:$C$182,'Key Inputs_BY Techs'!$C60,'Key inputs_EB'!$E$150:$E$182,'Key Inputs_BY Techs'!$E60)</f>
        <v>11.540016285978121</v>
      </c>
      <c r="X60" s="119">
        <f>SUMIFS(X$14:X$36,$C$14:$C$36,$C60,$E$14:$E$36,$E60)*SUMIFS('Key inputs_EB'!W$150:W$182,'Key inputs_EB'!$C$150:$C$182,'Key Inputs_BY Techs'!$C60,'Key inputs_EB'!$E$150:$E$182,'Key Inputs_BY Techs'!$E60)</f>
        <v>334.11703966527512</v>
      </c>
      <c r="Y60" s="119">
        <f>SUMIFS(Y$14:Y$36,$C$14:$C$36,$C60,$E$14:$E$36,$E60)*SUMIFS('Key inputs_EB'!X$150:X$182,'Key inputs_EB'!$C$150:$C$182,'Key Inputs_BY Techs'!$C60,'Key inputs_EB'!$E$150:$E$182,'Key Inputs_BY Techs'!$E60)</f>
        <v>268.51611493145549</v>
      </c>
      <c r="Z60" s="119">
        <f>SUMIFS(Z$14:Z$36,$C$14:$C$36,$C60,$E$14:$E$36,$E60)*SUMIFS('Key inputs_EB'!Y$150:Y$182,'Key inputs_EB'!$C$150:$C$182,'Key Inputs_BY Techs'!$C60,'Key inputs_EB'!$E$150:$E$182,'Key Inputs_BY Techs'!$E60)</f>
        <v>140.84208897683109</v>
      </c>
      <c r="AA60" s="119">
        <f>SUMIFS(AA$14:AA$36,$C$14:$C$36,$C60,$E$14:$E$36,$E60)*SUMIFS('Key inputs_EB'!Z$150:Z$182,'Key inputs_EB'!$C$150:$C$182,'Key Inputs_BY Techs'!$C60,'Key inputs_EB'!$E$150:$E$182,'Key Inputs_BY Techs'!$E60)</f>
        <v>51.334274013795621</v>
      </c>
      <c r="AB60" s="119">
        <f>SUMIFS(AB$14:AB$36,$C$14:$C$36,$C60,$E$14:$E$36,$E60)*SUMIFS('Key inputs_EB'!AA$150:AA$182,'Key inputs_EB'!$C$150:$C$182,'Key Inputs_BY Techs'!$C60,'Key inputs_EB'!$E$150:$E$182,'Key Inputs_BY Techs'!$E60)</f>
        <v>438.02882537893367</v>
      </c>
      <c r="AC60" s="119">
        <f>SUMIFS(AC$14:AC$36,$C$14:$C$36,$C60,$E$14:$E$36,$E60)*SUMIFS('Key inputs_EB'!AB$150:AB$182,'Key inputs_EB'!$C$150:$C$182,'Key Inputs_BY Techs'!$C60,'Key inputs_EB'!$E$150:$E$182,'Key Inputs_BY Techs'!$E60)</f>
        <v>91.410227230213039</v>
      </c>
      <c r="AD60" s="119">
        <f>SUMIFS(AD$14:AD$36,$C$14:$C$36,$C60,$E$14:$E$36,$E60)*SUMIFS('Key inputs_EB'!AC$150:AC$182,'Key inputs_EB'!$C$150:$C$182,'Key Inputs_BY Techs'!$C60,'Key inputs_EB'!$E$150:$E$182,'Key Inputs_BY Techs'!$E60)</f>
        <v>101.31072141555028</v>
      </c>
      <c r="AE60" s="119">
        <f>SUMIFS(AE$14:AE$36,$C$14:$C$36,$C60,$E$14:$E$36,$E60)*SUMIFS('Key inputs_EB'!AD$150:AD$182,'Key inputs_EB'!$C$150:$C$182,'Key Inputs_BY Techs'!$C60,'Key inputs_EB'!$E$150:$E$182,'Key Inputs_BY Techs'!$E60)</f>
        <v>219.27609492290745</v>
      </c>
      <c r="AF60" s="119">
        <f>SUMIFS(AF$14:AF$36,$C$14:$C$36,$C60,$E$14:$E$36,$E60)*SUMIFS('Key inputs_EB'!AE$150:AE$182,'Key inputs_EB'!$C$150:$C$182,'Key Inputs_BY Techs'!$C60,'Key inputs_EB'!$E$150:$E$182,'Key Inputs_BY Techs'!$E60)</f>
        <v>28.38066262154922</v>
      </c>
      <c r="AG60" s="119">
        <f>SUMIFS(AG$14:AG$36,$C$14:$C$36,$C60,$E$14:$E$36,$E60)*SUMIFS('Key inputs_EB'!AF$150:AF$182,'Key inputs_EB'!$C$150:$C$182,'Key Inputs_BY Techs'!$C60,'Key inputs_EB'!$E$150:$E$182,'Key Inputs_BY Techs'!$E60)</f>
        <v>2.1923162102255351</v>
      </c>
      <c r="AH60" s="119">
        <f>SUMIFS(AH$14:AH$36,$C$14:$C$36,$C60,$E$14:$E$36,$E60)*SUMIFS('Key inputs_EB'!AG$150:AG$182,'Key inputs_EB'!$C$150:$C$182,'Key Inputs_BY Techs'!$C60,'Key inputs_EB'!$E$150:$E$182,'Key Inputs_BY Techs'!$E60)</f>
        <v>15.108168292585475</v>
      </c>
      <c r="AI60" s="119">
        <f>SUMIFS(AI$14:AI$36,$C$14:$C$36,$C60,$E$14:$E$36,$E60)*SUMIFS('Key inputs_EB'!AH$150:AH$182,'Key inputs_EB'!$C$150:$C$182,'Key Inputs_BY Techs'!$C60,'Key inputs_EB'!$E$150:$E$182,'Key Inputs_BY Techs'!$E60)</f>
        <v>242.54829866923257</v>
      </c>
      <c r="AJ60" s="119">
        <f>SUMIFS(AJ$14:AJ$36,$C$14:$C$36,$C60,$E$14:$E$36,$E60)*SUMIFS('Key inputs_EB'!AI$150:AI$182,'Key inputs_EB'!$C$150:$C$182,'Key Inputs_BY Techs'!$C60,'Key inputs_EB'!$E$150:$E$182,'Key Inputs_BY Techs'!$E60)</f>
        <v>2793.8424190028604</v>
      </c>
    </row>
    <row r="61" spans="1:36" x14ac:dyDescent="0.3">
      <c r="A61" s="508" t="s">
        <v>75</v>
      </c>
      <c r="B61" s="49" t="str">
        <f>'Key inputs_EB'!B161</f>
        <v>Cooking</v>
      </c>
      <c r="C61" s="49" t="str">
        <f t="shared" ref="C61:E61" si="28">C26</f>
        <v>S-CK</v>
      </c>
      <c r="D61" s="49" t="str">
        <f t="shared" si="28"/>
        <v>Biomass</v>
      </c>
      <c r="E61" s="49" t="str">
        <f t="shared" si="28"/>
        <v>SRVBIO</v>
      </c>
      <c r="F61" s="109" t="s">
        <v>15</v>
      </c>
      <c r="G61" s="109"/>
      <c r="H61" s="109"/>
      <c r="I61" s="117">
        <f>SUMIFS(I$14:I$36,$C$14:$C$36,$C61,$E$14:$E$36,$E61)*SUMIFS('Key inputs_EB'!H$150:H$182,'Key inputs_EB'!$C$150:$C$182,'Key Inputs_BY Techs'!$C61,'Key inputs_EB'!$E$150:$E$182,'Key Inputs_BY Techs'!$E61)</f>
        <v>55.175204699999995</v>
      </c>
      <c r="J61" s="117">
        <f>SUMIFS(J$14:J$36,$C$14:$C$36,$C61,$E$14:$E$36,$E61)*SUMIFS('Key inputs_EB'!I$150:I$182,'Key inputs_EB'!$C$150:$C$182,'Key Inputs_BY Techs'!$C61,'Key inputs_EB'!$E$150:$E$182,'Key Inputs_BY Techs'!$E61)</f>
        <v>10.5563766</v>
      </c>
      <c r="K61" s="117">
        <f>SUMIFS(K$14:K$36,$C$14:$C$36,$C61,$E$14:$E$36,$E61)*SUMIFS('Key inputs_EB'!J$150:J$182,'Key inputs_EB'!$C$150:$C$182,'Key Inputs_BY Techs'!$C61,'Key inputs_EB'!$E$150:$E$182,'Key Inputs_BY Techs'!$E61)</f>
        <v>35.657052199999995</v>
      </c>
      <c r="L61" s="117">
        <f>SUMIFS(L$14:L$36,$C$14:$C$36,$C61,$E$14:$E$36,$E61)*SUMIFS('Key inputs_EB'!K$150:K$182,'Key inputs_EB'!$C$150:$C$182,'Key Inputs_BY Techs'!$C61,'Key inputs_EB'!$E$150:$E$182,'Key Inputs_BY Techs'!$E61)</f>
        <v>1.6643703999999999</v>
      </c>
      <c r="M61" s="117">
        <f>SUMIFS(M$14:M$36,$C$14:$C$36,$C61,$E$14:$E$36,$E61)*SUMIFS('Key inputs_EB'!L$150:L$182,'Key inputs_EB'!$C$150:$C$182,'Key Inputs_BY Techs'!$C61,'Key inputs_EB'!$E$150:$E$182,'Key Inputs_BY Techs'!$E61)</f>
        <v>0</v>
      </c>
      <c r="N61" s="117">
        <f>SUMIFS(N$14:N$36,$C$14:$C$36,$C61,$E$14:$E$36,$E61)*SUMIFS('Key inputs_EB'!M$150:M$182,'Key inputs_EB'!$C$150:$C$182,'Key Inputs_BY Techs'!$C61,'Key inputs_EB'!$E$150:$E$182,'Key Inputs_BY Techs'!$E61)</f>
        <v>0</v>
      </c>
      <c r="O61" s="117">
        <f>SUMIFS(O$14:O$36,$C$14:$C$36,$C61,$E$14:$E$36,$E61)*SUMIFS('Key inputs_EB'!N$150:N$182,'Key inputs_EB'!$C$150:$C$182,'Key Inputs_BY Techs'!$C61,'Key inputs_EB'!$E$150:$E$182,'Key Inputs_BY Techs'!$E61)</f>
        <v>4.5352559999999995</v>
      </c>
      <c r="P61" s="117">
        <f>SUMIFS(P$14:P$36,$C$14:$C$36,$C61,$E$14:$E$36,$E61)*SUMIFS('Key inputs_EB'!O$150:O$182,'Key inputs_EB'!$C$150:$C$182,'Key Inputs_BY Techs'!$C61,'Key inputs_EB'!$E$150:$E$182,'Key Inputs_BY Techs'!$E61)</f>
        <v>2.8072495000000006</v>
      </c>
      <c r="Q61" s="117">
        <f>SUMIFS(Q$14:Q$36,$C$14:$C$36,$C61,$E$14:$E$36,$E61)*SUMIFS('Key inputs_EB'!P$150:P$182,'Key inputs_EB'!$C$150:$C$182,'Key Inputs_BY Techs'!$C61,'Key inputs_EB'!$E$150:$E$182,'Key Inputs_BY Techs'!$E61)</f>
        <v>1.1245234</v>
      </c>
      <c r="R61" s="117">
        <f>SUMIFS(R$14:R$36,$C$14:$C$36,$C61,$E$14:$E$36,$E61)*SUMIFS('Key inputs_EB'!Q$150:Q$182,'Key inputs_EB'!$C$150:$C$182,'Key Inputs_BY Techs'!$C61,'Key inputs_EB'!$E$150:$E$182,'Key Inputs_BY Techs'!$E61)</f>
        <v>0</v>
      </c>
      <c r="S61" s="117">
        <f>SUMIFS(S$14:S$36,$C$14:$C$36,$C61,$E$14:$E$36,$E61)*SUMIFS('Key inputs_EB'!R$150:R$182,'Key inputs_EB'!$C$150:$C$182,'Key Inputs_BY Techs'!$C61,'Key inputs_EB'!$E$150:$E$182,'Key Inputs_BY Techs'!$E61)</f>
        <v>0.20457359999999997</v>
      </c>
      <c r="T61" s="117">
        <f>SUMIFS(T$14:T$36,$C$14:$C$36,$C61,$E$14:$E$36,$E61)*SUMIFS('Key inputs_EB'!S$150:S$182,'Key inputs_EB'!$C$150:$C$182,'Key Inputs_BY Techs'!$C61,'Key inputs_EB'!$E$150:$E$182,'Key Inputs_BY Techs'!$E61)</f>
        <v>4.6627311499999999</v>
      </c>
      <c r="U61" s="117">
        <f>SUMIFS(U$14:U$36,$C$14:$C$36,$C61,$E$14:$E$36,$E61)*SUMIFS('Key inputs_EB'!T$150:T$182,'Key inputs_EB'!$C$150:$C$182,'Key Inputs_BY Techs'!$C61,'Key inputs_EB'!$E$150:$E$182,'Key Inputs_BY Techs'!$E61)</f>
        <v>0</v>
      </c>
      <c r="V61" s="117">
        <f>SUMIFS(V$14:V$36,$C$14:$C$36,$C61,$E$14:$E$36,$E61)*SUMIFS('Key inputs_EB'!U$150:U$182,'Key inputs_EB'!$C$150:$C$182,'Key Inputs_BY Techs'!$C61,'Key inputs_EB'!$E$150:$E$182,'Key Inputs_BY Techs'!$E61)</f>
        <v>1.5293410000000001</v>
      </c>
      <c r="W61" s="117">
        <f>SUMIFS(W$14:W$36,$C$14:$C$36,$C61,$E$14:$E$36,$E61)*SUMIFS('Key inputs_EB'!V$150:V$182,'Key inputs_EB'!$C$150:$C$182,'Key Inputs_BY Techs'!$C61,'Key inputs_EB'!$E$150:$E$182,'Key Inputs_BY Techs'!$E61)</f>
        <v>0</v>
      </c>
      <c r="X61" s="117">
        <f>SUMIFS(X$14:X$36,$C$14:$C$36,$C61,$E$14:$E$36,$E61)*SUMIFS('Key inputs_EB'!W$150:W$182,'Key inputs_EB'!$C$150:$C$182,'Key Inputs_BY Techs'!$C61,'Key inputs_EB'!$E$150:$E$182,'Key Inputs_BY Techs'!$E61)</f>
        <v>2.1905070000000002</v>
      </c>
      <c r="Y61" s="117">
        <f>SUMIFS(Y$14:Y$36,$C$14:$C$36,$C61,$E$14:$E$36,$E61)*SUMIFS('Key inputs_EB'!X$150:X$182,'Key inputs_EB'!$C$150:$C$182,'Key Inputs_BY Techs'!$C61,'Key inputs_EB'!$E$150:$E$182,'Key Inputs_BY Techs'!$E61)</f>
        <v>7.9228072000000003</v>
      </c>
      <c r="Z61" s="117">
        <f>SUMIFS(Z$14:Z$36,$C$14:$C$36,$C61,$E$14:$E$36,$E61)*SUMIFS('Key inputs_EB'!Y$150:Y$182,'Key inputs_EB'!$C$150:$C$182,'Key Inputs_BY Techs'!$C61,'Key inputs_EB'!$E$150:$E$182,'Key Inputs_BY Techs'!$E61)</f>
        <v>12.818998500000001</v>
      </c>
      <c r="AA61" s="117">
        <f>SUMIFS(AA$14:AA$36,$C$14:$C$36,$C61,$E$14:$E$36,$E61)*SUMIFS('Key inputs_EB'!Z$150:Z$182,'Key inputs_EB'!$C$150:$C$182,'Key Inputs_BY Techs'!$C61,'Key inputs_EB'!$E$150:$E$182,'Key Inputs_BY Techs'!$E61)</f>
        <v>34.646180799999996</v>
      </c>
      <c r="AB61" s="117">
        <f>SUMIFS(AB$14:AB$36,$C$14:$C$36,$C61,$E$14:$E$36,$E61)*SUMIFS('Key inputs_EB'!AA$150:AA$182,'Key inputs_EB'!$C$150:$C$182,'Key Inputs_BY Techs'!$C61,'Key inputs_EB'!$E$150:$E$182,'Key Inputs_BY Techs'!$E61)</f>
        <v>0</v>
      </c>
      <c r="AC61" s="117">
        <f>SUMIFS(AC$14:AC$36,$C$14:$C$36,$C61,$E$14:$E$36,$E61)*SUMIFS('Key inputs_EB'!AB$150:AB$182,'Key inputs_EB'!$C$150:$C$182,'Key Inputs_BY Techs'!$C61,'Key inputs_EB'!$E$150:$E$182,'Key Inputs_BY Techs'!$E61)</f>
        <v>8.9974500000000006</v>
      </c>
      <c r="AD61" s="117">
        <f>SUMIFS(AD$14:AD$36,$C$14:$C$36,$C61,$E$14:$E$36,$E61)*SUMIFS('Key inputs_EB'!AC$150:AC$182,'Key inputs_EB'!$C$150:$C$182,'Key Inputs_BY Techs'!$C61,'Key inputs_EB'!$E$150:$E$182,'Key Inputs_BY Techs'!$E61)</f>
        <v>0</v>
      </c>
      <c r="AE61" s="117">
        <f>SUMIFS(AE$14:AE$36,$C$14:$C$36,$C61,$E$14:$E$36,$E61)*SUMIFS('Key inputs_EB'!AD$150:AD$182,'Key inputs_EB'!$C$150:$C$182,'Key Inputs_BY Techs'!$C61,'Key inputs_EB'!$E$150:$E$182,'Key Inputs_BY Techs'!$E61)</f>
        <v>0</v>
      </c>
      <c r="AF61" s="117">
        <f>SUMIFS(AF$14:AF$36,$C$14:$C$36,$C61,$E$14:$E$36,$E61)*SUMIFS('Key inputs_EB'!AE$150:AE$182,'Key inputs_EB'!$C$150:$C$182,'Key Inputs_BY Techs'!$C61,'Key inputs_EB'!$E$150:$E$182,'Key Inputs_BY Techs'!$E61)</f>
        <v>0</v>
      </c>
      <c r="AG61" s="117">
        <f>SUMIFS(AG$14:AG$36,$C$14:$C$36,$C61,$E$14:$E$36,$E61)*SUMIFS('Key inputs_EB'!AF$150:AF$182,'Key inputs_EB'!$C$150:$C$182,'Key Inputs_BY Techs'!$C61,'Key inputs_EB'!$E$150:$E$182,'Key Inputs_BY Techs'!$E61)</f>
        <v>36.469032599999998</v>
      </c>
      <c r="AH61" s="117">
        <f>SUMIFS(AH$14:AH$36,$C$14:$C$36,$C61,$E$14:$E$36,$E61)*SUMIFS('Key inputs_EB'!AG$150:AG$182,'Key inputs_EB'!$C$150:$C$182,'Key Inputs_BY Techs'!$C61,'Key inputs_EB'!$E$150:$E$182,'Key Inputs_BY Techs'!$E61)</f>
        <v>0</v>
      </c>
      <c r="AI61" s="117">
        <f>SUMIFS(AI$14:AI$36,$C$14:$C$36,$C61,$E$14:$E$36,$E61)*SUMIFS('Key inputs_EB'!AH$150:AH$182,'Key inputs_EB'!$C$150:$C$182,'Key Inputs_BY Techs'!$C61,'Key inputs_EB'!$E$150:$E$182,'Key Inputs_BY Techs'!$E61)</f>
        <v>2.3567004999999996</v>
      </c>
      <c r="AJ61" s="117">
        <f>SUMIFS(AJ$14:AJ$36,$C$14:$C$36,$C61,$E$14:$E$36,$E61)*SUMIFS('Key inputs_EB'!AI$150:AI$182,'Key inputs_EB'!$C$150:$C$182,'Key Inputs_BY Techs'!$C61,'Key inputs_EB'!$E$150:$E$182,'Key Inputs_BY Techs'!$E61)</f>
        <v>0</v>
      </c>
    </row>
    <row r="62" spans="1:36" x14ac:dyDescent="0.3">
      <c r="A62" s="508" t="s">
        <v>75</v>
      </c>
      <c r="B62" s="49" t="str">
        <f>'Key inputs_EB'!B162</f>
        <v>Cooking</v>
      </c>
      <c r="C62" s="49" t="str">
        <f t="shared" ref="C62:E62" si="29">C27</f>
        <v>S-CK</v>
      </c>
      <c r="D62" s="49" t="str">
        <f t="shared" si="29"/>
        <v>Coal</v>
      </c>
      <c r="E62" s="49" t="str">
        <f t="shared" si="29"/>
        <v>SRVCOA</v>
      </c>
      <c r="F62" s="109" t="s">
        <v>15</v>
      </c>
      <c r="G62" s="109"/>
      <c r="H62" s="109"/>
      <c r="I62" s="117">
        <f>SUMIFS(I$14:I$36,$C$14:$C$36,$C62,$E$14:$E$36,$E62)*SUMIFS('Key inputs_EB'!H$150:H$182,'Key inputs_EB'!$C$150:$C$182,'Key Inputs_BY Techs'!$C62,'Key inputs_EB'!$E$150:$E$182,'Key Inputs_BY Techs'!$E62)</f>
        <v>0</v>
      </c>
      <c r="J62" s="117">
        <f>SUMIFS(J$14:J$36,$C$14:$C$36,$C62,$E$14:$E$36,$E62)*SUMIFS('Key inputs_EB'!I$150:I$182,'Key inputs_EB'!$C$150:$C$182,'Key Inputs_BY Techs'!$C62,'Key inputs_EB'!$E$150:$E$182,'Key Inputs_BY Techs'!$E62)</f>
        <v>0</v>
      </c>
      <c r="K62" s="117">
        <f>SUMIFS(K$14:K$36,$C$14:$C$36,$C62,$E$14:$E$36,$E62)*SUMIFS('Key inputs_EB'!J$150:J$182,'Key inputs_EB'!$C$150:$C$182,'Key Inputs_BY Techs'!$C62,'Key inputs_EB'!$E$150:$E$182,'Key Inputs_BY Techs'!$E62)</f>
        <v>0</v>
      </c>
      <c r="L62" s="117">
        <f>SUMIFS(L$14:L$36,$C$14:$C$36,$C62,$E$14:$E$36,$E62)*SUMIFS('Key inputs_EB'!K$150:K$182,'Key inputs_EB'!$C$150:$C$182,'Key Inputs_BY Techs'!$C62,'Key inputs_EB'!$E$150:$E$182,'Key Inputs_BY Techs'!$E62)</f>
        <v>17.460735600000003</v>
      </c>
      <c r="M62" s="117">
        <f>SUMIFS(M$14:M$36,$C$14:$C$36,$C62,$E$14:$E$36,$E62)*SUMIFS('Key inputs_EB'!L$150:L$182,'Key inputs_EB'!$C$150:$C$182,'Key Inputs_BY Techs'!$C62,'Key inputs_EB'!$E$150:$E$182,'Key Inputs_BY Techs'!$E62)</f>
        <v>0</v>
      </c>
      <c r="N62" s="117">
        <f>SUMIFS(N$14:N$36,$C$14:$C$36,$C62,$E$14:$E$36,$E62)*SUMIFS('Key inputs_EB'!M$150:M$182,'Key inputs_EB'!$C$150:$C$182,'Key Inputs_BY Techs'!$C62,'Key inputs_EB'!$E$150:$E$182,'Key Inputs_BY Techs'!$E62)</f>
        <v>0</v>
      </c>
      <c r="O62" s="117">
        <f>SUMIFS(O$14:O$36,$C$14:$C$36,$C62,$E$14:$E$36,$E62)*SUMIFS('Key inputs_EB'!N$150:N$182,'Key inputs_EB'!$C$150:$C$182,'Key Inputs_BY Techs'!$C62,'Key inputs_EB'!$E$150:$E$182,'Key Inputs_BY Techs'!$E62)</f>
        <v>3.7345055</v>
      </c>
      <c r="P62" s="117">
        <f>SUMIFS(P$14:P$36,$C$14:$C$36,$C62,$E$14:$E$36,$E62)*SUMIFS('Key inputs_EB'!O$150:O$182,'Key inputs_EB'!$C$150:$C$182,'Key Inputs_BY Techs'!$C62,'Key inputs_EB'!$E$150:$E$182,'Key Inputs_BY Techs'!$E62)</f>
        <v>0</v>
      </c>
      <c r="Q62" s="117">
        <f>SUMIFS(Q$14:Q$36,$C$14:$C$36,$C62,$E$14:$E$36,$E62)*SUMIFS('Key inputs_EB'!P$150:P$182,'Key inputs_EB'!$C$150:$C$182,'Key Inputs_BY Techs'!$C62,'Key inputs_EB'!$E$150:$E$182,'Key Inputs_BY Techs'!$E62)</f>
        <v>0</v>
      </c>
      <c r="R62" s="117">
        <f>SUMIFS(R$14:R$36,$C$14:$C$36,$C62,$E$14:$E$36,$E62)*SUMIFS('Key inputs_EB'!Q$150:Q$182,'Key inputs_EB'!$C$150:$C$182,'Key Inputs_BY Techs'!$C62,'Key inputs_EB'!$E$150:$E$182,'Key Inputs_BY Techs'!$E62)</f>
        <v>0</v>
      </c>
      <c r="S62" s="117">
        <f>SUMIFS(S$14:S$36,$C$14:$C$36,$C62,$E$14:$E$36,$E62)*SUMIFS('Key inputs_EB'!R$150:R$182,'Key inputs_EB'!$C$150:$C$182,'Key Inputs_BY Techs'!$C62,'Key inputs_EB'!$E$150:$E$182,'Key Inputs_BY Techs'!$E62)</f>
        <v>0</v>
      </c>
      <c r="T62" s="117">
        <f>SUMIFS(T$14:T$36,$C$14:$C$36,$C62,$E$14:$E$36,$E62)*SUMIFS('Key inputs_EB'!S$150:S$182,'Key inputs_EB'!$C$150:$C$182,'Key Inputs_BY Techs'!$C62,'Key inputs_EB'!$E$150:$E$182,'Key Inputs_BY Techs'!$E62)</f>
        <v>3.8500967999999998</v>
      </c>
      <c r="U62" s="117">
        <f>SUMIFS(U$14:U$36,$C$14:$C$36,$C62,$E$14:$E$36,$E62)*SUMIFS('Key inputs_EB'!T$150:T$182,'Key inputs_EB'!$C$150:$C$182,'Key Inputs_BY Techs'!$C62,'Key inputs_EB'!$E$150:$E$182,'Key Inputs_BY Techs'!$E62)</f>
        <v>0</v>
      </c>
      <c r="V62" s="117">
        <f>SUMIFS(V$14:V$36,$C$14:$C$36,$C62,$E$14:$E$36,$E62)*SUMIFS('Key inputs_EB'!U$150:U$182,'Key inputs_EB'!$C$150:$C$182,'Key Inputs_BY Techs'!$C62,'Key inputs_EB'!$E$150:$E$182,'Key Inputs_BY Techs'!$E62)</f>
        <v>0</v>
      </c>
      <c r="W62" s="117">
        <f>SUMIFS(W$14:W$36,$C$14:$C$36,$C62,$E$14:$E$36,$E62)*SUMIFS('Key inputs_EB'!V$150:V$182,'Key inputs_EB'!$C$150:$C$182,'Key Inputs_BY Techs'!$C62,'Key inputs_EB'!$E$150:$E$182,'Key Inputs_BY Techs'!$E62)</f>
        <v>0</v>
      </c>
      <c r="X62" s="117">
        <f>SUMIFS(X$14:X$36,$C$14:$C$36,$C62,$E$14:$E$36,$E62)*SUMIFS('Key inputs_EB'!W$150:W$182,'Key inputs_EB'!$C$150:$C$182,'Key Inputs_BY Techs'!$C62,'Key inputs_EB'!$E$150:$E$182,'Key Inputs_BY Techs'!$E62)</f>
        <v>0</v>
      </c>
      <c r="Y62" s="117">
        <f>SUMIFS(Y$14:Y$36,$C$14:$C$36,$C62,$E$14:$E$36,$E62)*SUMIFS('Key inputs_EB'!X$150:X$182,'Key inputs_EB'!$C$150:$C$182,'Key Inputs_BY Techs'!$C62,'Key inputs_EB'!$E$150:$E$182,'Key Inputs_BY Techs'!$E62)</f>
        <v>0</v>
      </c>
      <c r="Z62" s="117">
        <f>SUMIFS(Z$14:Z$36,$C$14:$C$36,$C62,$E$14:$E$36,$E62)*SUMIFS('Key inputs_EB'!Y$150:Y$182,'Key inputs_EB'!$C$150:$C$182,'Key Inputs_BY Techs'!$C62,'Key inputs_EB'!$E$150:$E$182,'Key Inputs_BY Techs'!$E62)</f>
        <v>7.471266</v>
      </c>
      <c r="AA62" s="117">
        <f>SUMIFS(AA$14:AA$36,$C$14:$C$36,$C62,$E$14:$E$36,$E62)*SUMIFS('Key inputs_EB'!Z$150:Z$182,'Key inputs_EB'!$C$150:$C$182,'Key Inputs_BY Techs'!$C62,'Key inputs_EB'!$E$150:$E$182,'Key Inputs_BY Techs'!$E62)</f>
        <v>0</v>
      </c>
      <c r="AB62" s="117">
        <f>SUMIFS(AB$14:AB$36,$C$14:$C$36,$C62,$E$14:$E$36,$E62)*SUMIFS('Key inputs_EB'!AA$150:AA$182,'Key inputs_EB'!$C$150:$C$182,'Key Inputs_BY Techs'!$C62,'Key inputs_EB'!$E$150:$E$182,'Key Inputs_BY Techs'!$E62)</f>
        <v>0.53400203999999996</v>
      </c>
      <c r="AC62" s="117">
        <f>SUMIFS(AC$14:AC$36,$C$14:$C$36,$C62,$E$14:$E$36,$E62)*SUMIFS('Key inputs_EB'!AB$150:AB$182,'Key inputs_EB'!$C$150:$C$182,'Key Inputs_BY Techs'!$C62,'Key inputs_EB'!$E$150:$E$182,'Key Inputs_BY Techs'!$E62)</f>
        <v>0</v>
      </c>
      <c r="AD62" s="117">
        <f>SUMIFS(AD$14:AD$36,$C$14:$C$36,$C62,$E$14:$E$36,$E62)*SUMIFS('Key inputs_EB'!AC$150:AC$182,'Key inputs_EB'!$C$150:$C$182,'Key Inputs_BY Techs'!$C62,'Key inputs_EB'!$E$150:$E$182,'Key Inputs_BY Techs'!$E62)</f>
        <v>0</v>
      </c>
      <c r="AE62" s="117">
        <f>SUMIFS(AE$14:AE$36,$C$14:$C$36,$C62,$E$14:$E$36,$E62)*SUMIFS('Key inputs_EB'!AD$150:AD$182,'Key inputs_EB'!$C$150:$C$182,'Key Inputs_BY Techs'!$C62,'Key inputs_EB'!$E$150:$E$182,'Key Inputs_BY Techs'!$E62)</f>
        <v>0</v>
      </c>
      <c r="AF62" s="117">
        <f>SUMIFS(AF$14:AF$36,$C$14:$C$36,$C62,$E$14:$E$36,$E62)*SUMIFS('Key inputs_EB'!AE$150:AE$182,'Key inputs_EB'!$C$150:$C$182,'Key Inputs_BY Techs'!$C62,'Key inputs_EB'!$E$150:$E$182,'Key Inputs_BY Techs'!$E62)</f>
        <v>0</v>
      </c>
      <c r="AG62" s="117">
        <f>SUMIFS(AG$14:AG$36,$C$14:$C$36,$C62,$E$14:$E$36,$E62)*SUMIFS('Key inputs_EB'!AF$150:AF$182,'Key inputs_EB'!$C$150:$C$182,'Key Inputs_BY Techs'!$C62,'Key inputs_EB'!$E$150:$E$182,'Key Inputs_BY Techs'!$E62)</f>
        <v>0</v>
      </c>
      <c r="AH62" s="117">
        <f>SUMIFS(AH$14:AH$36,$C$14:$C$36,$C62,$E$14:$E$36,$E62)*SUMIFS('Key inputs_EB'!AG$150:AG$182,'Key inputs_EB'!$C$150:$C$182,'Key Inputs_BY Techs'!$C62,'Key inputs_EB'!$E$150:$E$182,'Key Inputs_BY Techs'!$E62)</f>
        <v>0</v>
      </c>
      <c r="AI62" s="117">
        <f>SUMIFS(AI$14:AI$36,$C$14:$C$36,$C62,$E$14:$E$36,$E62)*SUMIFS('Key inputs_EB'!AH$150:AH$182,'Key inputs_EB'!$C$150:$C$182,'Key Inputs_BY Techs'!$C62,'Key inputs_EB'!$E$150:$E$182,'Key Inputs_BY Techs'!$E62)</f>
        <v>0</v>
      </c>
      <c r="AJ62" s="117">
        <f>SUMIFS(AJ$14:AJ$36,$C$14:$C$36,$C62,$E$14:$E$36,$E62)*SUMIFS('Key inputs_EB'!AI$150:AI$182,'Key inputs_EB'!$C$150:$C$182,'Key Inputs_BY Techs'!$C62,'Key inputs_EB'!$E$150:$E$182,'Key Inputs_BY Techs'!$E62)</f>
        <v>0</v>
      </c>
    </row>
    <row r="63" spans="1:36" x14ac:dyDescent="0.3">
      <c r="A63" s="508" t="s">
        <v>75</v>
      </c>
      <c r="B63" s="49" t="str">
        <f>'Key inputs_EB'!B163</f>
        <v>Cooking</v>
      </c>
      <c r="C63" s="49" t="str">
        <f t="shared" ref="C63:E63" si="30">C28</f>
        <v>S-CK</v>
      </c>
      <c r="D63" s="49" t="str">
        <f t="shared" si="30"/>
        <v>Electricity</v>
      </c>
      <c r="E63" s="49" t="str">
        <f t="shared" si="30"/>
        <v>SRVELC</v>
      </c>
      <c r="F63" s="109" t="s">
        <v>15</v>
      </c>
      <c r="G63" s="109"/>
      <c r="H63" s="109"/>
      <c r="I63" s="117">
        <f>SUMIFS(I$14:I$36,$C$14:$C$36,$C63,$E$14:$E$36,$E63)*SUMIFS('Key inputs_EB'!H$150:H$182,'Key inputs_EB'!$C$150:$C$182,'Key Inputs_BY Techs'!$C63,'Key inputs_EB'!$E$150:$E$182,'Key Inputs_BY Techs'!$E63)</f>
        <v>1.3546525000000003</v>
      </c>
      <c r="J63" s="117">
        <f>SUMIFS(J$14:J$36,$C$14:$C$36,$C63,$E$14:$E$36,$E63)*SUMIFS('Key inputs_EB'!I$150:I$182,'Key inputs_EB'!$C$150:$C$182,'Key Inputs_BY Techs'!$C63,'Key inputs_EB'!$E$150:$E$182,'Key Inputs_BY Techs'!$E63)</f>
        <v>7.4862375000000005</v>
      </c>
      <c r="K63" s="117">
        <f>SUMIFS(K$14:K$36,$C$14:$C$36,$C63,$E$14:$E$36,$E63)*SUMIFS('Key inputs_EB'!J$150:J$182,'Key inputs_EB'!$C$150:$C$182,'Key Inputs_BY Techs'!$C63,'Key inputs_EB'!$E$150:$E$182,'Key Inputs_BY Techs'!$E63)</f>
        <v>1.7399750000000003</v>
      </c>
      <c r="L63" s="117">
        <f>SUMIFS(L$14:L$36,$C$14:$C$36,$C63,$E$14:$E$36,$E63)*SUMIFS('Key inputs_EB'!K$150:K$182,'Key inputs_EB'!$C$150:$C$182,'Key Inputs_BY Techs'!$C63,'Key inputs_EB'!$E$150:$E$182,'Key Inputs_BY Techs'!$E63)</f>
        <v>4.5607095000000006</v>
      </c>
      <c r="M63" s="117">
        <f>SUMIFS(M$14:M$36,$C$14:$C$36,$C63,$E$14:$E$36,$E63)*SUMIFS('Key inputs_EB'!L$150:L$182,'Key inputs_EB'!$C$150:$C$182,'Key Inputs_BY Techs'!$C63,'Key inputs_EB'!$E$150:$E$182,'Key Inputs_BY Techs'!$E63)</f>
        <v>11.493354500000001</v>
      </c>
      <c r="N63" s="117">
        <f>SUMIFS(N$14:N$36,$C$14:$C$36,$C63,$E$14:$E$36,$E63)*SUMIFS('Key inputs_EB'!M$150:M$182,'Key inputs_EB'!$C$150:$C$182,'Key Inputs_BY Techs'!$C63,'Key inputs_EB'!$E$150:$E$182,'Key Inputs_BY Techs'!$E63)</f>
        <v>2.3651651999999999</v>
      </c>
      <c r="O63" s="117">
        <f>SUMIFS(O$14:O$36,$C$14:$C$36,$C63,$E$14:$E$36,$E63)*SUMIFS('Key inputs_EB'!N$150:N$182,'Key inputs_EB'!$C$150:$C$182,'Key Inputs_BY Techs'!$C63,'Key inputs_EB'!$E$150:$E$182,'Key Inputs_BY Techs'!$E63)</f>
        <v>3.7555415000000001</v>
      </c>
      <c r="P63" s="117">
        <f>SUMIFS(P$14:P$36,$C$14:$C$36,$C63,$E$14:$E$36,$E63)*SUMIFS('Key inputs_EB'!O$150:O$182,'Key inputs_EB'!$C$150:$C$182,'Key Inputs_BY Techs'!$C63,'Key inputs_EB'!$E$150:$E$182,'Key Inputs_BY Techs'!$E63)</f>
        <v>0.86765700000000012</v>
      </c>
      <c r="Q63" s="117">
        <f>SUMIFS(Q$14:Q$36,$C$14:$C$36,$C63,$E$14:$E$36,$E63)*SUMIFS('Key inputs_EB'!P$150:P$182,'Key inputs_EB'!$C$150:$C$182,'Key Inputs_BY Techs'!$C63,'Key inputs_EB'!$E$150:$E$182,'Key Inputs_BY Techs'!$E63)</f>
        <v>8.0224658000000009</v>
      </c>
      <c r="R63" s="117">
        <f>SUMIFS(R$14:R$36,$C$14:$C$36,$C63,$E$14:$E$36,$E63)*SUMIFS('Key inputs_EB'!Q$150:Q$182,'Key inputs_EB'!$C$150:$C$182,'Key Inputs_BY Techs'!$C63,'Key inputs_EB'!$E$150:$E$182,'Key Inputs_BY Techs'!$E63)</f>
        <v>17.2171336</v>
      </c>
      <c r="S63" s="117">
        <f>SUMIFS(S$14:S$36,$C$14:$C$36,$C63,$E$14:$E$36,$E63)*SUMIFS('Key inputs_EB'!R$150:R$182,'Key inputs_EB'!$C$150:$C$182,'Key Inputs_BY Techs'!$C63,'Key inputs_EB'!$E$150:$E$182,'Key Inputs_BY Techs'!$E63)</f>
        <v>0.69791760000000003</v>
      </c>
      <c r="T63" s="117">
        <f>SUMIFS(T$14:T$36,$C$14:$C$36,$C63,$E$14:$E$36,$E63)*SUMIFS('Key inputs_EB'!S$150:S$182,'Key inputs_EB'!$C$150:$C$182,'Key Inputs_BY Techs'!$C63,'Key inputs_EB'!$E$150:$E$182,'Key Inputs_BY Techs'!$E63)</f>
        <v>4.2643015000000002</v>
      </c>
      <c r="U63" s="117">
        <f>SUMIFS(U$14:U$36,$C$14:$C$36,$C63,$E$14:$E$36,$E63)*SUMIFS('Key inputs_EB'!T$150:T$182,'Key inputs_EB'!$C$150:$C$182,'Key Inputs_BY Techs'!$C63,'Key inputs_EB'!$E$150:$E$182,'Key Inputs_BY Techs'!$E63)</f>
        <v>3.7107564000000002</v>
      </c>
      <c r="V63" s="117">
        <f>SUMIFS(V$14:V$36,$C$14:$C$36,$C63,$E$14:$E$36,$E63)*SUMIFS('Key inputs_EB'!U$150:U$182,'Key inputs_EB'!$C$150:$C$182,'Key Inputs_BY Techs'!$C63,'Key inputs_EB'!$E$150:$E$182,'Key Inputs_BY Techs'!$E63)</f>
        <v>15.3044172</v>
      </c>
      <c r="W63" s="117">
        <f>SUMIFS(W$14:W$36,$C$14:$C$36,$C63,$E$14:$E$36,$E63)*SUMIFS('Key inputs_EB'!V$150:V$182,'Key inputs_EB'!$C$150:$C$182,'Key Inputs_BY Techs'!$C63,'Key inputs_EB'!$E$150:$E$182,'Key Inputs_BY Techs'!$E63)</f>
        <v>9.9624135000000003</v>
      </c>
      <c r="X63" s="117">
        <f>SUMIFS(X$14:X$36,$C$14:$C$36,$C63,$E$14:$E$36,$E63)*SUMIFS('Key inputs_EB'!W$150:W$182,'Key inputs_EB'!$C$150:$C$182,'Key Inputs_BY Techs'!$C63,'Key inputs_EB'!$E$150:$E$182,'Key Inputs_BY Techs'!$E63)</f>
        <v>38.458780000000004</v>
      </c>
      <c r="Y63" s="117">
        <f>SUMIFS(Y$14:Y$36,$C$14:$C$36,$C63,$E$14:$E$36,$E63)*SUMIFS('Key inputs_EB'!X$150:X$182,'Key inputs_EB'!$C$150:$C$182,'Key Inputs_BY Techs'!$C63,'Key inputs_EB'!$E$150:$E$182,'Key Inputs_BY Techs'!$E63)</f>
        <v>30.907738800000001</v>
      </c>
      <c r="Z63" s="117">
        <f>SUMIFS(Z$14:Z$36,$C$14:$C$36,$C63,$E$14:$E$36,$E63)*SUMIFS('Key inputs_EB'!Y$150:Y$182,'Key inputs_EB'!$C$150:$C$182,'Key Inputs_BY Techs'!$C63,'Key inputs_EB'!$E$150:$E$182,'Key Inputs_BY Techs'!$E63)</f>
        <v>3.1176402000000003</v>
      </c>
      <c r="AA63" s="117">
        <f>SUMIFS(AA$14:AA$36,$C$14:$C$36,$C63,$E$14:$E$36,$E63)*SUMIFS('Key inputs_EB'!Z$150:Z$182,'Key inputs_EB'!$C$150:$C$182,'Key Inputs_BY Techs'!$C63,'Key inputs_EB'!$E$150:$E$182,'Key Inputs_BY Techs'!$E63)</f>
        <v>8.8633023000000009</v>
      </c>
      <c r="AB63" s="117">
        <f>SUMIFS(AB$14:AB$36,$C$14:$C$36,$C63,$E$14:$E$36,$E63)*SUMIFS('Key inputs_EB'!AA$150:AA$182,'Key inputs_EB'!$C$150:$C$182,'Key Inputs_BY Techs'!$C63,'Key inputs_EB'!$E$150:$E$182,'Key Inputs_BY Techs'!$E63)</f>
        <v>0</v>
      </c>
      <c r="AC63" s="117">
        <f>SUMIFS(AC$14:AC$36,$C$14:$C$36,$C63,$E$14:$E$36,$E63)*SUMIFS('Key inputs_EB'!AB$150:AB$182,'Key inputs_EB'!$C$150:$C$182,'Key Inputs_BY Techs'!$C63,'Key inputs_EB'!$E$150:$E$182,'Key Inputs_BY Techs'!$E63)</f>
        <v>6.5761495999999999</v>
      </c>
      <c r="AD63" s="117">
        <f>SUMIFS(AD$14:AD$36,$C$14:$C$36,$C63,$E$14:$E$36,$E63)*SUMIFS('Key inputs_EB'!AC$150:AC$182,'Key inputs_EB'!$C$150:$C$182,'Key Inputs_BY Techs'!$C63,'Key inputs_EB'!$E$150:$E$182,'Key Inputs_BY Techs'!$E63)</f>
        <v>8.7460821000000006</v>
      </c>
      <c r="AE63" s="117">
        <f>SUMIFS(AE$14:AE$36,$C$14:$C$36,$C63,$E$14:$E$36,$E63)*SUMIFS('Key inputs_EB'!AD$150:AD$182,'Key inputs_EB'!$C$150:$C$182,'Key Inputs_BY Techs'!$C63,'Key inputs_EB'!$E$150:$E$182,'Key Inputs_BY Techs'!$E63)</f>
        <v>18.929948400000001</v>
      </c>
      <c r="AF63" s="117">
        <f>SUMIFS(AF$14:AF$36,$C$14:$C$36,$C63,$E$14:$E$36,$E63)*SUMIFS('Key inputs_EB'!AE$150:AE$182,'Key inputs_EB'!$C$150:$C$182,'Key Inputs_BY Techs'!$C63,'Key inputs_EB'!$E$150:$E$182,'Key Inputs_BY Techs'!$E63)</f>
        <v>1.6333882</v>
      </c>
      <c r="AG63" s="117">
        <f>SUMIFS(AG$14:AG$36,$C$14:$C$36,$C63,$E$14:$E$36,$E63)*SUMIFS('Key inputs_EB'!AF$150:AF$182,'Key inputs_EB'!$C$150:$C$182,'Key Inputs_BY Techs'!$C63,'Key inputs_EB'!$E$150:$E$182,'Key Inputs_BY Techs'!$E63)</f>
        <v>1.0514505000000001</v>
      </c>
      <c r="AH63" s="117">
        <f>SUMIFS(AH$14:AH$36,$C$14:$C$36,$C63,$E$14:$E$36,$E63)*SUMIFS('Key inputs_EB'!AG$150:AG$182,'Key inputs_EB'!$C$150:$C$182,'Key Inputs_BY Techs'!$C63,'Key inputs_EB'!$E$150:$E$182,'Key Inputs_BY Techs'!$E63)</f>
        <v>13.042773599999999</v>
      </c>
      <c r="AI63" s="117">
        <f>SUMIFS(AI$14:AI$36,$C$14:$C$36,$C63,$E$14:$E$36,$E63)*SUMIFS('Key inputs_EB'!AH$150:AH$182,'Key inputs_EB'!$C$150:$C$182,'Key Inputs_BY Techs'!$C63,'Key inputs_EB'!$E$150:$E$182,'Key Inputs_BY Techs'!$E63)</f>
        <v>4.6531158000000001</v>
      </c>
      <c r="AJ63" s="117">
        <f>SUMIFS(AJ$14:AJ$36,$C$14:$C$36,$C63,$E$14:$E$36,$E63)*SUMIFS('Key inputs_EB'!AI$150:AI$182,'Key inputs_EB'!$C$150:$C$182,'Key Inputs_BY Techs'!$C63,'Key inputs_EB'!$E$150:$E$182,'Key Inputs_BY Techs'!$E63)</f>
        <v>40.010544884213573</v>
      </c>
    </row>
    <row r="64" spans="1:36" x14ac:dyDescent="0.3">
      <c r="A64" s="508" t="s">
        <v>75</v>
      </c>
      <c r="B64" s="49" t="str">
        <f>'Key inputs_EB'!B164</f>
        <v>Cooking</v>
      </c>
      <c r="C64" s="49" t="str">
        <f t="shared" ref="C64:E64" si="31">C29</f>
        <v>S-CK</v>
      </c>
      <c r="D64" s="49" t="str">
        <f t="shared" si="31"/>
        <v>Natural gas, Biogas</v>
      </c>
      <c r="E64" s="49" t="str">
        <f t="shared" si="31"/>
        <v>SRVGAS, SRVBGS</v>
      </c>
      <c r="F64" s="109" t="s">
        <v>15</v>
      </c>
      <c r="G64" s="109"/>
      <c r="H64" s="109"/>
      <c r="I64" s="117">
        <f>SUMIFS(I$14:I$36,$C$14:$C$36,$C64,$E$14:$E$36,$E64)*SUMIFS('Key inputs_EB'!H$150:H$182,'Key inputs_EB'!$C$150:$C$182,'Key Inputs_BY Techs'!$C64,'Key inputs_EB'!$E$150:$E$182,'Key Inputs_BY Techs'!$E64)</f>
        <v>0</v>
      </c>
      <c r="J64" s="117">
        <f>SUMIFS(J$14:J$36,$C$14:$C$36,$C64,$E$14:$E$36,$E64)*SUMIFS('Key inputs_EB'!I$150:I$182,'Key inputs_EB'!$C$150:$C$182,'Key Inputs_BY Techs'!$C64,'Key inputs_EB'!$E$150:$E$182,'Key Inputs_BY Techs'!$E64)</f>
        <v>2.4266759999999996</v>
      </c>
      <c r="K64" s="117">
        <f>SUMIFS(K$14:K$36,$C$14:$C$36,$C64,$E$14:$E$36,$E64)*SUMIFS('Key inputs_EB'!J$150:J$182,'Key inputs_EB'!$C$150:$C$182,'Key Inputs_BY Techs'!$C64,'Key inputs_EB'!$E$150:$E$182,'Key Inputs_BY Techs'!$E64)</f>
        <v>0</v>
      </c>
      <c r="L64" s="117">
        <f>SUMIFS(L$14:L$36,$C$14:$C$36,$C64,$E$14:$E$36,$E64)*SUMIFS('Key inputs_EB'!K$150:K$182,'Key inputs_EB'!$C$150:$C$182,'Key Inputs_BY Techs'!$C64,'Key inputs_EB'!$E$150:$E$182,'Key Inputs_BY Techs'!$E64)</f>
        <v>0.35721000000000003</v>
      </c>
      <c r="M64" s="117">
        <f>SUMIFS(M$14:M$36,$C$14:$C$36,$C64,$E$14:$E$36,$E64)*SUMIFS('Key inputs_EB'!L$150:L$182,'Key inputs_EB'!$C$150:$C$182,'Key Inputs_BY Techs'!$C64,'Key inputs_EB'!$E$150:$E$182,'Key Inputs_BY Techs'!$E64)</f>
        <v>2.5905179999999999</v>
      </c>
      <c r="N64" s="117">
        <f>SUMIFS(N$14:N$36,$C$14:$C$36,$C64,$E$14:$E$36,$E64)*SUMIFS('Key inputs_EB'!M$150:M$182,'Key inputs_EB'!$C$150:$C$182,'Key Inputs_BY Techs'!$C64,'Key inputs_EB'!$E$150:$E$182,'Key Inputs_BY Techs'!$E64)</f>
        <v>29.514987600000001</v>
      </c>
      <c r="O64" s="117">
        <f>SUMIFS(O$14:O$36,$C$14:$C$36,$C64,$E$14:$E$36,$E64)*SUMIFS('Key inputs_EB'!N$150:N$182,'Key inputs_EB'!$C$150:$C$182,'Key Inputs_BY Techs'!$C64,'Key inputs_EB'!$E$150:$E$182,'Key Inputs_BY Techs'!$E64)</f>
        <v>1.0201799999999999</v>
      </c>
      <c r="P64" s="117">
        <f>SUMIFS(P$14:P$36,$C$14:$C$36,$C64,$E$14:$E$36,$E64)*SUMIFS('Key inputs_EB'!O$150:O$182,'Key inputs_EB'!$C$150:$C$182,'Key Inputs_BY Techs'!$C64,'Key inputs_EB'!$E$150:$E$182,'Key Inputs_BY Techs'!$E64)</f>
        <v>1.6759008</v>
      </c>
      <c r="Q64" s="117">
        <f>SUMIFS(Q$14:Q$36,$C$14:$C$36,$C64,$E$14:$E$36,$E64)*SUMIFS('Key inputs_EB'!P$150:P$182,'Key inputs_EB'!$C$150:$C$182,'Key Inputs_BY Techs'!$C64,'Key inputs_EB'!$E$150:$E$182,'Key Inputs_BY Techs'!$E64)</f>
        <v>1.7122559999999998</v>
      </c>
      <c r="R64" s="117">
        <f>SUMIFS(R$14:R$36,$C$14:$C$36,$C64,$E$14:$E$36,$E64)*SUMIFS('Key inputs_EB'!Q$150:Q$182,'Key inputs_EB'!$C$150:$C$182,'Key Inputs_BY Techs'!$C64,'Key inputs_EB'!$E$150:$E$182,'Key Inputs_BY Techs'!$E64)</f>
        <v>24.889116000000001</v>
      </c>
      <c r="S64" s="117">
        <f>SUMIFS(S$14:S$36,$C$14:$C$36,$C64,$E$14:$E$36,$E64)*SUMIFS('Key inputs_EB'!R$150:R$182,'Key inputs_EB'!$C$150:$C$182,'Key Inputs_BY Techs'!$C64,'Key inputs_EB'!$E$150:$E$182,'Key Inputs_BY Techs'!$E64)</f>
        <v>1.9242299999999999</v>
      </c>
      <c r="T64" s="117">
        <f>SUMIFS(T$14:T$36,$C$14:$C$36,$C64,$E$14:$E$36,$E64)*SUMIFS('Key inputs_EB'!S$150:S$182,'Key inputs_EB'!$C$150:$C$182,'Key Inputs_BY Techs'!$C64,'Key inputs_EB'!$E$150:$E$182,'Key Inputs_BY Techs'!$E64)</f>
        <v>0</v>
      </c>
      <c r="U64" s="117">
        <f>SUMIFS(U$14:U$36,$C$14:$C$36,$C64,$E$14:$E$36,$E64)*SUMIFS('Key inputs_EB'!T$150:T$182,'Key inputs_EB'!$C$150:$C$182,'Key Inputs_BY Techs'!$C64,'Key inputs_EB'!$E$150:$E$182,'Key Inputs_BY Techs'!$E64)</f>
        <v>3.8806530000000001</v>
      </c>
      <c r="V64" s="117">
        <f>SUMIFS(V$14:V$36,$C$14:$C$36,$C64,$E$14:$E$36,$E64)*SUMIFS('Key inputs_EB'!U$150:U$182,'Key inputs_EB'!$C$150:$C$182,'Key Inputs_BY Techs'!$C64,'Key inputs_EB'!$E$150:$E$182,'Key Inputs_BY Techs'!$E64)</f>
        <v>24.920817599999999</v>
      </c>
      <c r="W64" s="117">
        <f>SUMIFS(W$14:W$36,$C$14:$C$36,$C64,$E$14:$E$36,$E64)*SUMIFS('Key inputs_EB'!V$150:V$182,'Key inputs_EB'!$C$150:$C$182,'Key Inputs_BY Techs'!$C64,'Key inputs_EB'!$E$150:$E$182,'Key Inputs_BY Techs'!$E64)</f>
        <v>18.223762199999999</v>
      </c>
      <c r="X64" s="117">
        <f>SUMIFS(X$14:X$36,$C$14:$C$36,$C64,$E$14:$E$36,$E64)*SUMIFS('Key inputs_EB'!W$150:W$182,'Key inputs_EB'!$C$150:$C$182,'Key Inputs_BY Techs'!$C64,'Key inputs_EB'!$E$150:$E$182,'Key Inputs_BY Techs'!$E64)</f>
        <v>54.781958699999997</v>
      </c>
      <c r="Y64" s="117">
        <f>SUMIFS(Y$14:Y$36,$C$14:$C$36,$C64,$E$14:$E$36,$E64)*SUMIFS('Key inputs_EB'!X$150:X$182,'Key inputs_EB'!$C$150:$C$182,'Key Inputs_BY Techs'!$C64,'Key inputs_EB'!$E$150:$E$182,'Key Inputs_BY Techs'!$E64)</f>
        <v>55.190152499999996</v>
      </c>
      <c r="Z64" s="117">
        <f>SUMIFS(Z$14:Z$36,$C$14:$C$36,$C64,$E$14:$E$36,$E64)*SUMIFS('Key inputs_EB'!Y$150:Y$182,'Key inputs_EB'!$C$150:$C$182,'Key Inputs_BY Techs'!$C64,'Key inputs_EB'!$E$150:$E$182,'Key Inputs_BY Techs'!$E64)</f>
        <v>2.0888699999999996</v>
      </c>
      <c r="AA64" s="117">
        <f>SUMIFS(AA$14:AA$36,$C$14:$C$36,$C64,$E$14:$E$36,$E64)*SUMIFS('Key inputs_EB'!Z$150:Z$182,'Key inputs_EB'!$C$150:$C$182,'Key Inputs_BY Techs'!$C64,'Key inputs_EB'!$E$150:$E$182,'Key Inputs_BY Techs'!$E64)</f>
        <v>28.604729999999996</v>
      </c>
      <c r="AB64" s="117">
        <f>SUMIFS(AB$14:AB$36,$C$14:$C$36,$C64,$E$14:$E$36,$E64)*SUMIFS('Key inputs_EB'!AA$150:AA$182,'Key inputs_EB'!$C$150:$C$182,'Key Inputs_BY Techs'!$C64,'Key inputs_EB'!$E$150:$E$182,'Key Inputs_BY Techs'!$E64)</f>
        <v>69.362319599999992</v>
      </c>
      <c r="AC64" s="117">
        <f>SUMIFS(AC$14:AC$36,$C$14:$C$36,$C64,$E$14:$E$36,$E64)*SUMIFS('Key inputs_EB'!AB$150:AB$182,'Key inputs_EB'!$C$150:$C$182,'Key Inputs_BY Techs'!$C64,'Key inputs_EB'!$E$150:$E$182,'Key Inputs_BY Techs'!$E64)</f>
        <v>23.110751999999998</v>
      </c>
      <c r="AD64" s="117">
        <f>SUMIFS(AD$14:AD$36,$C$14:$C$36,$C64,$E$14:$E$36,$E64)*SUMIFS('Key inputs_EB'!AC$150:AC$182,'Key inputs_EB'!$C$150:$C$182,'Key Inputs_BY Techs'!$C64,'Key inputs_EB'!$E$150:$E$182,'Key Inputs_BY Techs'!$E64)</f>
        <v>52.679554200000005</v>
      </c>
      <c r="AE64" s="117">
        <f>SUMIFS(AE$14:AE$36,$C$14:$C$36,$C64,$E$14:$E$36,$E64)*SUMIFS('Key inputs_EB'!AD$150:AD$182,'Key inputs_EB'!$C$150:$C$182,'Key Inputs_BY Techs'!$C64,'Key inputs_EB'!$E$150:$E$182,'Key Inputs_BY Techs'!$E64)</f>
        <v>179.43810360000001</v>
      </c>
      <c r="AF64" s="117">
        <f>SUMIFS(AF$14:AF$36,$C$14:$C$36,$C64,$E$14:$E$36,$E64)*SUMIFS('Key inputs_EB'!AE$150:AE$182,'Key inputs_EB'!$C$150:$C$182,'Key Inputs_BY Techs'!$C64,'Key inputs_EB'!$E$150:$E$182,'Key Inputs_BY Techs'!$E64)</f>
        <v>2.9006039999999995</v>
      </c>
      <c r="AG64" s="117">
        <f>SUMIFS(AG$14:AG$36,$C$14:$C$36,$C64,$E$14:$E$36,$E64)*SUMIFS('Key inputs_EB'!AF$150:AF$182,'Key inputs_EB'!$C$150:$C$182,'Key Inputs_BY Techs'!$C64,'Key inputs_EB'!$E$150:$E$182,'Key Inputs_BY Techs'!$E64)</f>
        <v>0</v>
      </c>
      <c r="AH64" s="117">
        <f>SUMIFS(AH$14:AH$36,$C$14:$C$36,$C64,$E$14:$E$36,$E64)*SUMIFS('Key inputs_EB'!AG$150:AG$182,'Key inputs_EB'!$C$150:$C$182,'Key Inputs_BY Techs'!$C64,'Key inputs_EB'!$E$150:$E$182,'Key Inputs_BY Techs'!$E64)</f>
        <v>18.838784999999998</v>
      </c>
      <c r="AI64" s="117">
        <f>SUMIFS(AI$14:AI$36,$C$14:$C$36,$C64,$E$14:$E$36,$E64)*SUMIFS('Key inputs_EB'!AH$150:AH$182,'Key inputs_EB'!$C$150:$C$182,'Key Inputs_BY Techs'!$C64,'Key inputs_EB'!$E$150:$E$182,'Key Inputs_BY Techs'!$E64)</f>
        <v>17.697267</v>
      </c>
      <c r="AJ64" s="117">
        <f>SUMIFS(AJ$14:AJ$36,$C$14:$C$36,$C64,$E$14:$E$36,$E64)*SUMIFS('Key inputs_EB'!AI$150:AI$182,'Key inputs_EB'!$C$150:$C$182,'Key Inputs_BY Techs'!$C64,'Key inputs_EB'!$E$150:$E$182,'Key Inputs_BY Techs'!$E64)</f>
        <v>122.98205518624515</v>
      </c>
    </row>
    <row r="65" spans="1:36" x14ac:dyDescent="0.3">
      <c r="A65" s="508" t="s">
        <v>75</v>
      </c>
      <c r="B65" s="49" t="str">
        <f>'Key inputs_EB'!B165</f>
        <v>Cooking</v>
      </c>
      <c r="C65" s="49" t="str">
        <f t="shared" ref="C65:E65" si="32">C30</f>
        <v>S-CK</v>
      </c>
      <c r="D65" s="49" t="str">
        <f t="shared" si="32"/>
        <v>LPG</v>
      </c>
      <c r="E65" s="49" t="str">
        <f t="shared" si="32"/>
        <v>SRVLPG</v>
      </c>
      <c r="F65" s="109" t="s">
        <v>15</v>
      </c>
      <c r="G65" s="109"/>
      <c r="H65" s="109"/>
      <c r="I65" s="117">
        <f>SUMIFS(I$14:I$36,$C$14:$C$36,$C65,$E$14:$E$36,$E65)*SUMIFS('Key inputs_EB'!H$150:H$182,'Key inputs_EB'!$C$150:$C$182,'Key Inputs_BY Techs'!$C65,'Key inputs_EB'!$E$150:$E$182,'Key Inputs_BY Techs'!$E65)</f>
        <v>2.4247579999999997</v>
      </c>
      <c r="J65" s="117">
        <f>SUMIFS(J$14:J$36,$C$14:$C$36,$C65,$E$14:$E$36,$E65)*SUMIFS('Key inputs_EB'!I$150:I$182,'Key inputs_EB'!$C$150:$C$182,'Key Inputs_BY Techs'!$C65,'Key inputs_EB'!$E$150:$E$182,'Key Inputs_BY Techs'!$E65)</f>
        <v>3.0450055999999996</v>
      </c>
      <c r="K65" s="117">
        <f>SUMIFS(K$14:K$36,$C$14:$C$36,$C65,$E$14:$E$36,$E65)*SUMIFS('Key inputs_EB'!J$150:J$182,'Key inputs_EB'!$C$150:$C$182,'Key Inputs_BY Techs'!$C65,'Key inputs_EB'!$E$150:$E$182,'Key Inputs_BY Techs'!$E65)</f>
        <v>3.145632</v>
      </c>
      <c r="L65" s="117">
        <f>SUMIFS(L$14:L$36,$C$14:$C$36,$C65,$E$14:$E$36,$E65)*SUMIFS('Key inputs_EB'!K$150:K$182,'Key inputs_EB'!$C$150:$C$182,'Key Inputs_BY Techs'!$C65,'Key inputs_EB'!$E$150:$E$182,'Key Inputs_BY Techs'!$E65)</f>
        <v>0.99062039999999996</v>
      </c>
      <c r="M65" s="117">
        <f>SUMIFS(M$14:M$36,$C$14:$C$36,$C65,$E$14:$E$36,$E65)*SUMIFS('Key inputs_EB'!L$150:L$182,'Key inputs_EB'!$C$150:$C$182,'Key Inputs_BY Techs'!$C65,'Key inputs_EB'!$E$150:$E$182,'Key Inputs_BY Techs'!$E65)</f>
        <v>0.53296960000000004</v>
      </c>
      <c r="N65" s="117">
        <f>SUMIFS(N$14:N$36,$C$14:$C$36,$C65,$E$14:$E$36,$E65)*SUMIFS('Key inputs_EB'!M$150:M$182,'Key inputs_EB'!$C$150:$C$182,'Key Inputs_BY Techs'!$C65,'Key inputs_EB'!$E$150:$E$182,'Key Inputs_BY Techs'!$E65)</f>
        <v>9.2410441672118079E-2</v>
      </c>
      <c r="O65" s="117">
        <f>SUMIFS(O$14:O$36,$C$14:$C$36,$C65,$E$14:$E$36,$E65)*SUMIFS('Key inputs_EB'!N$150:N$182,'Key inputs_EB'!$C$150:$C$182,'Key Inputs_BY Techs'!$C65,'Key inputs_EB'!$E$150:$E$182,'Key Inputs_BY Techs'!$E65)</f>
        <v>20.798377599999998</v>
      </c>
      <c r="P65" s="117">
        <f>SUMIFS(P$14:P$36,$C$14:$C$36,$C65,$E$14:$E$36,$E65)*SUMIFS('Key inputs_EB'!O$150:O$182,'Key inputs_EB'!$C$150:$C$182,'Key Inputs_BY Techs'!$C65,'Key inputs_EB'!$E$150:$E$182,'Key Inputs_BY Techs'!$E65)</f>
        <v>13.943943999999997</v>
      </c>
      <c r="Q65" s="117">
        <f>SUMIFS(Q$14:Q$36,$C$14:$C$36,$C65,$E$14:$E$36,$E65)*SUMIFS('Key inputs_EB'!P$150:P$182,'Key inputs_EB'!$C$150:$C$182,'Key Inputs_BY Techs'!$C65,'Key inputs_EB'!$E$150:$E$182,'Key Inputs_BY Techs'!$E65)</f>
        <v>0</v>
      </c>
      <c r="R65" s="117">
        <f>SUMIFS(R$14:R$36,$C$14:$C$36,$C65,$E$14:$E$36,$E65)*SUMIFS('Key inputs_EB'!Q$150:Q$182,'Key inputs_EB'!$C$150:$C$182,'Key Inputs_BY Techs'!$C65,'Key inputs_EB'!$E$150:$E$182,'Key Inputs_BY Techs'!$E65)</f>
        <v>15.9294128</v>
      </c>
      <c r="S65" s="117">
        <f>SUMIFS(S$14:S$36,$C$14:$C$36,$C65,$E$14:$E$36,$E65)*SUMIFS('Key inputs_EB'!R$150:R$182,'Key inputs_EB'!$C$150:$C$182,'Key Inputs_BY Techs'!$C65,'Key inputs_EB'!$E$150:$E$182,'Key Inputs_BY Techs'!$E65)</f>
        <v>4.9103387999999999</v>
      </c>
      <c r="T65" s="117">
        <f>SUMIFS(T$14:T$36,$C$14:$C$36,$C65,$E$14:$E$36,$E65)*SUMIFS('Key inputs_EB'!S$150:S$182,'Key inputs_EB'!$C$150:$C$182,'Key Inputs_BY Techs'!$C65,'Key inputs_EB'!$E$150:$E$182,'Key Inputs_BY Techs'!$E65)</f>
        <v>0</v>
      </c>
      <c r="U65" s="117">
        <f>SUMIFS(U$14:U$36,$C$14:$C$36,$C65,$E$14:$E$36,$E65)*SUMIFS('Key inputs_EB'!T$150:T$182,'Key inputs_EB'!$C$150:$C$182,'Key Inputs_BY Techs'!$C65,'Key inputs_EB'!$E$150:$E$182,'Key Inputs_BY Techs'!$E65)</f>
        <v>0.1560159360811359</v>
      </c>
      <c r="V65" s="117">
        <f>SUMIFS(V$14:V$36,$C$14:$C$36,$C65,$E$14:$E$36,$E65)*SUMIFS('Key inputs_EB'!U$150:U$182,'Key inputs_EB'!$C$150:$C$182,'Key Inputs_BY Techs'!$C65,'Key inputs_EB'!$E$150:$E$182,'Key Inputs_BY Techs'!$E65)</f>
        <v>5.3366419999999994</v>
      </c>
      <c r="W65" s="117">
        <f>SUMIFS(W$14:W$36,$C$14:$C$36,$C65,$E$14:$E$36,$E65)*SUMIFS('Key inputs_EB'!V$150:V$182,'Key inputs_EB'!$C$150:$C$182,'Key Inputs_BY Techs'!$C65,'Key inputs_EB'!$E$150:$E$182,'Key Inputs_BY Techs'!$E65)</f>
        <v>0.30855616208527631</v>
      </c>
      <c r="X65" s="117">
        <f>SUMIFS(X$14:X$36,$C$14:$C$36,$C65,$E$14:$E$36,$E65)*SUMIFS('Key inputs_EB'!W$150:W$182,'Key inputs_EB'!$C$150:$C$182,'Key Inputs_BY Techs'!$C65,'Key inputs_EB'!$E$150:$E$182,'Key Inputs_BY Techs'!$E65)</f>
        <v>14.340771999999999</v>
      </c>
      <c r="Y65" s="117">
        <f>SUMIFS(Y$14:Y$36,$C$14:$C$36,$C65,$E$14:$E$36,$E65)*SUMIFS('Key inputs_EB'!X$150:X$182,'Key inputs_EB'!$C$150:$C$182,'Key Inputs_BY Techs'!$C65,'Key inputs_EB'!$E$150:$E$182,'Key Inputs_BY Techs'!$E65)</f>
        <v>5.4462679999999999</v>
      </c>
      <c r="Z65" s="117">
        <f>SUMIFS(Z$14:Z$36,$C$14:$C$36,$C65,$E$14:$E$36,$E65)*SUMIFS('Key inputs_EB'!Y$150:Y$182,'Key inputs_EB'!$C$150:$C$182,'Key Inputs_BY Techs'!$C65,'Key inputs_EB'!$E$150:$E$182,'Key Inputs_BY Techs'!$E65)</f>
        <v>24.519017599999994</v>
      </c>
      <c r="AA65" s="117">
        <f>SUMIFS(AA$14:AA$36,$C$14:$C$36,$C65,$E$14:$E$36,$E65)*SUMIFS('Key inputs_EB'!Z$150:Z$182,'Key inputs_EB'!$C$150:$C$182,'Key Inputs_BY Techs'!$C65,'Key inputs_EB'!$E$150:$E$182,'Key Inputs_BY Techs'!$E65)</f>
        <v>0</v>
      </c>
      <c r="AB65" s="117">
        <f>SUMIFS(AB$14:AB$36,$C$14:$C$36,$C65,$E$14:$E$36,$E65)*SUMIFS('Key inputs_EB'!AA$150:AA$182,'Key inputs_EB'!$C$150:$C$182,'Key Inputs_BY Techs'!$C65,'Key inputs_EB'!$E$150:$E$182,'Key Inputs_BY Techs'!$E65)</f>
        <v>0</v>
      </c>
      <c r="AC65" s="117">
        <f>SUMIFS(AC$14:AC$36,$C$14:$C$36,$C65,$E$14:$E$36,$E65)*SUMIFS('Key inputs_EB'!AB$150:AB$182,'Key inputs_EB'!$C$150:$C$182,'Key Inputs_BY Techs'!$C65,'Key inputs_EB'!$E$150:$E$182,'Key Inputs_BY Techs'!$E65)</f>
        <v>18.4236912</v>
      </c>
      <c r="AD65" s="117">
        <f>SUMIFS(AD$14:AD$36,$C$14:$C$36,$C65,$E$14:$E$36,$E65)*SUMIFS('Key inputs_EB'!AC$150:AC$182,'Key inputs_EB'!$C$150:$C$182,'Key Inputs_BY Techs'!$C65,'Key inputs_EB'!$E$150:$E$182,'Key Inputs_BY Techs'!$E65)</f>
        <v>17.438657799999998</v>
      </c>
      <c r="AE65" s="117">
        <f>SUMIFS(AE$14:AE$36,$C$14:$C$36,$C65,$E$14:$E$36,$E65)*SUMIFS('Key inputs_EB'!AD$150:AD$182,'Key inputs_EB'!$C$150:$C$182,'Key Inputs_BY Techs'!$C65,'Key inputs_EB'!$E$150:$E$182,'Key Inputs_BY Techs'!$E65)</f>
        <v>1.1664447999999998</v>
      </c>
      <c r="AF65" s="117">
        <f>SUMIFS(AF$14:AF$36,$C$14:$C$36,$C65,$E$14:$E$36,$E65)*SUMIFS('Key inputs_EB'!AE$150:AE$182,'Key inputs_EB'!$C$150:$C$182,'Key Inputs_BY Techs'!$C65,'Key inputs_EB'!$E$150:$E$182,'Key Inputs_BY Techs'!$E65)</f>
        <v>32.876384399999999</v>
      </c>
      <c r="AG65" s="117">
        <f>SUMIFS(AG$14:AG$36,$C$14:$C$36,$C65,$E$14:$E$36,$E65)*SUMIFS('Key inputs_EB'!AF$150:AF$182,'Key inputs_EB'!$C$150:$C$182,'Key Inputs_BY Techs'!$C65,'Key inputs_EB'!$E$150:$E$182,'Key Inputs_BY Techs'!$E65)</f>
        <v>0</v>
      </c>
      <c r="AH65" s="117">
        <f>SUMIFS(AH$14:AH$36,$C$14:$C$36,$C65,$E$14:$E$36,$E65)*SUMIFS('Key inputs_EB'!AG$150:AG$182,'Key inputs_EB'!$C$150:$C$182,'Key Inputs_BY Techs'!$C65,'Key inputs_EB'!$E$150:$E$182,'Key Inputs_BY Techs'!$E65)</f>
        <v>4.2968465826856976E-2</v>
      </c>
      <c r="AI65" s="117">
        <f>SUMIFS(AI$14:AI$36,$C$14:$C$36,$C65,$E$14:$E$36,$E65)*SUMIFS('Key inputs_EB'!AH$150:AH$182,'Key inputs_EB'!$C$150:$C$182,'Key Inputs_BY Techs'!$C65,'Key inputs_EB'!$E$150:$E$182,'Key Inputs_BY Techs'!$E65)</f>
        <v>1.3097739999999998</v>
      </c>
      <c r="AJ65" s="117">
        <f>SUMIFS(AJ$14:AJ$36,$C$14:$C$36,$C65,$E$14:$E$36,$E65)*SUMIFS('Key inputs_EB'!AI$150:AI$182,'Key inputs_EB'!$C$150:$C$182,'Key Inputs_BY Techs'!$C65,'Key inputs_EB'!$E$150:$E$182,'Key Inputs_BY Techs'!$E65)</f>
        <v>2.8931376217150984</v>
      </c>
    </row>
    <row r="66" spans="1:36" x14ac:dyDescent="0.3">
      <c r="A66" s="508" t="s">
        <v>75</v>
      </c>
      <c r="B66" s="49" t="str">
        <f>'Key inputs_EB'!B166</f>
        <v>Cooking</v>
      </c>
      <c r="C66" s="49" t="str">
        <f t="shared" ref="C66:E66" si="33">C31</f>
        <v>S-CK</v>
      </c>
      <c r="D66" s="49" t="str">
        <f t="shared" si="33"/>
        <v>Oil, Liquid biofuels</v>
      </c>
      <c r="E66" s="49" t="str">
        <f t="shared" si="33"/>
        <v>SRVOIL, SRVBLQ</v>
      </c>
      <c r="F66" s="109" t="s">
        <v>15</v>
      </c>
      <c r="G66" s="109"/>
      <c r="H66" s="109"/>
      <c r="I66" s="117">
        <f>SUMIFS(I$14:I$36,$C$14:$C$36,$C66,$E$14:$E$36,$E66)*SUMIFS('Key inputs_EB'!H$150:H$182,'Key inputs_EB'!$C$150:$C$182,'Key Inputs_BY Techs'!$C66,'Key inputs_EB'!$E$150:$E$182,'Key Inputs_BY Techs'!$E66)</f>
        <v>0</v>
      </c>
      <c r="J66" s="117">
        <f>SUMIFS(J$14:J$36,$C$14:$C$36,$C66,$E$14:$E$36,$E66)*SUMIFS('Key inputs_EB'!I$150:I$182,'Key inputs_EB'!$C$150:$C$182,'Key Inputs_BY Techs'!$C66,'Key inputs_EB'!$E$150:$E$182,'Key Inputs_BY Techs'!$E66)</f>
        <v>0</v>
      </c>
      <c r="K66" s="117">
        <f>SUMIFS(K$14:K$36,$C$14:$C$36,$C66,$E$14:$E$36,$E66)*SUMIFS('Key inputs_EB'!J$150:J$182,'Key inputs_EB'!$C$150:$C$182,'Key Inputs_BY Techs'!$C66,'Key inputs_EB'!$E$150:$E$182,'Key Inputs_BY Techs'!$E66)</f>
        <v>0</v>
      </c>
      <c r="L66" s="117">
        <f>SUMIFS(L$14:L$36,$C$14:$C$36,$C66,$E$14:$E$36,$E66)*SUMIFS('Key inputs_EB'!K$150:K$182,'Key inputs_EB'!$C$150:$C$182,'Key Inputs_BY Techs'!$C66,'Key inputs_EB'!$E$150:$E$182,'Key Inputs_BY Techs'!$E66)</f>
        <v>0</v>
      </c>
      <c r="M66" s="117">
        <f>SUMIFS(M$14:M$36,$C$14:$C$36,$C66,$E$14:$E$36,$E66)*SUMIFS('Key inputs_EB'!L$150:L$182,'Key inputs_EB'!$C$150:$C$182,'Key Inputs_BY Techs'!$C66,'Key inputs_EB'!$E$150:$E$182,'Key Inputs_BY Techs'!$E66)</f>
        <v>0</v>
      </c>
      <c r="N66" s="117">
        <f>SUMIFS(N$14:N$36,$C$14:$C$36,$C66,$E$14:$E$36,$E66)*SUMIFS('Key inputs_EB'!M$150:M$182,'Key inputs_EB'!$C$150:$C$182,'Key Inputs_BY Techs'!$C66,'Key inputs_EB'!$E$150:$E$182,'Key Inputs_BY Techs'!$E66)</f>
        <v>0</v>
      </c>
      <c r="O66" s="117">
        <f>SUMIFS(O$14:O$36,$C$14:$C$36,$C66,$E$14:$E$36,$E66)*SUMIFS('Key inputs_EB'!N$150:N$182,'Key inputs_EB'!$C$150:$C$182,'Key Inputs_BY Techs'!$C66,'Key inputs_EB'!$E$150:$E$182,'Key Inputs_BY Techs'!$E66)</f>
        <v>2.7817824</v>
      </c>
      <c r="P66" s="117">
        <f>SUMIFS(P$14:P$36,$C$14:$C$36,$C66,$E$14:$E$36,$E66)*SUMIFS('Key inputs_EB'!O$150:O$182,'Key inputs_EB'!$C$150:$C$182,'Key Inputs_BY Techs'!$C66,'Key inputs_EB'!$E$150:$E$182,'Key Inputs_BY Techs'!$E66)</f>
        <v>5.435999999999999E-3</v>
      </c>
      <c r="Q66" s="117">
        <f>SUMIFS(Q$14:Q$36,$C$14:$C$36,$C66,$E$14:$E$36,$E66)*SUMIFS('Key inputs_EB'!P$150:P$182,'Key inputs_EB'!$C$150:$C$182,'Key Inputs_BY Techs'!$C66,'Key inputs_EB'!$E$150:$E$182,'Key Inputs_BY Techs'!$E66)</f>
        <v>0.72570599999999996</v>
      </c>
      <c r="R66" s="117">
        <f>SUMIFS(R$14:R$36,$C$14:$C$36,$C66,$E$14:$E$36,$E66)*SUMIFS('Key inputs_EB'!Q$150:Q$182,'Key inputs_EB'!$C$150:$C$182,'Key Inputs_BY Techs'!$C66,'Key inputs_EB'!$E$150:$E$182,'Key Inputs_BY Techs'!$E66)</f>
        <v>0</v>
      </c>
      <c r="S66" s="117">
        <f>SUMIFS(S$14:S$36,$C$14:$C$36,$C66,$E$14:$E$36,$E66)*SUMIFS('Key inputs_EB'!R$150:R$182,'Key inputs_EB'!$C$150:$C$182,'Key Inputs_BY Techs'!$C66,'Key inputs_EB'!$E$150:$E$182,'Key Inputs_BY Techs'!$E66)</f>
        <v>5.5694840000000001</v>
      </c>
      <c r="T66" s="117">
        <f>SUMIFS(T$14:T$36,$C$14:$C$36,$C66,$E$14:$E$36,$E66)*SUMIFS('Key inputs_EB'!S$150:S$182,'Key inputs_EB'!$C$150:$C$182,'Key Inputs_BY Techs'!$C66,'Key inputs_EB'!$E$150:$E$182,'Key Inputs_BY Techs'!$E66)</f>
        <v>0</v>
      </c>
      <c r="U66" s="117">
        <f>SUMIFS(U$14:U$36,$C$14:$C$36,$C66,$E$14:$E$36,$E66)*SUMIFS('Key inputs_EB'!T$150:T$182,'Key inputs_EB'!$C$150:$C$182,'Key Inputs_BY Techs'!$C66,'Key inputs_EB'!$E$150:$E$182,'Key Inputs_BY Techs'!$E66)</f>
        <v>0</v>
      </c>
      <c r="V66" s="117">
        <f>SUMIFS(V$14:V$36,$C$14:$C$36,$C66,$E$14:$E$36,$E66)*SUMIFS('Key inputs_EB'!U$150:U$182,'Key inputs_EB'!$C$150:$C$182,'Key Inputs_BY Techs'!$C66,'Key inputs_EB'!$E$150:$E$182,'Key Inputs_BY Techs'!$E66)</f>
        <v>0</v>
      </c>
      <c r="W66" s="117">
        <f>SUMIFS(W$14:W$36,$C$14:$C$36,$C66,$E$14:$E$36,$E66)*SUMIFS('Key inputs_EB'!V$150:V$182,'Key inputs_EB'!$C$150:$C$182,'Key Inputs_BY Techs'!$C66,'Key inputs_EB'!$E$150:$E$182,'Key Inputs_BY Techs'!$E66)</f>
        <v>0</v>
      </c>
      <c r="X66" s="117">
        <f>SUMIFS(X$14:X$36,$C$14:$C$36,$C66,$E$14:$E$36,$E66)*SUMIFS('Key inputs_EB'!W$150:W$182,'Key inputs_EB'!$C$150:$C$182,'Key Inputs_BY Techs'!$C66,'Key inputs_EB'!$E$150:$E$182,'Key Inputs_BY Techs'!$E66)</f>
        <v>0</v>
      </c>
      <c r="Y66" s="117">
        <f>SUMIFS(Y$14:Y$36,$C$14:$C$36,$C66,$E$14:$E$36,$E66)*SUMIFS('Key inputs_EB'!X$150:X$182,'Key inputs_EB'!$C$150:$C$182,'Key Inputs_BY Techs'!$C66,'Key inputs_EB'!$E$150:$E$182,'Key Inputs_BY Techs'!$E66)</f>
        <v>0</v>
      </c>
      <c r="Z66" s="117">
        <f>SUMIFS(Z$14:Z$36,$C$14:$C$36,$C66,$E$14:$E$36,$E66)*SUMIFS('Key inputs_EB'!Y$150:Y$182,'Key inputs_EB'!$C$150:$C$182,'Key Inputs_BY Techs'!$C66,'Key inputs_EB'!$E$150:$E$182,'Key Inputs_BY Techs'!$E66)</f>
        <v>20.727649199999998</v>
      </c>
      <c r="AA66" s="117">
        <f>SUMIFS(AA$14:AA$36,$C$14:$C$36,$C66,$E$14:$E$36,$E66)*SUMIFS('Key inputs_EB'!Z$150:Z$182,'Key inputs_EB'!$C$150:$C$182,'Key Inputs_BY Techs'!$C66,'Key inputs_EB'!$E$150:$E$182,'Key Inputs_BY Techs'!$E66)</f>
        <v>1.150922</v>
      </c>
      <c r="AB66" s="117">
        <f>SUMIFS(AB$14:AB$36,$C$14:$C$36,$C66,$E$14:$E$36,$E66)*SUMIFS('Key inputs_EB'!AA$150:AA$182,'Key inputs_EB'!$C$150:$C$182,'Key Inputs_BY Techs'!$C66,'Key inputs_EB'!$E$150:$E$182,'Key Inputs_BY Techs'!$E66)</f>
        <v>0</v>
      </c>
      <c r="AC66" s="117">
        <f>SUMIFS(AC$14:AC$36,$C$14:$C$36,$C66,$E$14:$E$36,$E66)*SUMIFS('Key inputs_EB'!AB$150:AB$182,'Key inputs_EB'!$C$150:$C$182,'Key Inputs_BY Techs'!$C66,'Key inputs_EB'!$E$150:$E$182,'Key Inputs_BY Techs'!$E66)</f>
        <v>14.477879999999999</v>
      </c>
      <c r="AD66" s="117">
        <f>SUMIFS(AD$14:AD$36,$C$14:$C$36,$C66,$E$14:$E$36,$E66)*SUMIFS('Key inputs_EB'!AC$150:AC$182,'Key inputs_EB'!$C$150:$C$182,'Key Inputs_BY Techs'!$C66,'Key inputs_EB'!$E$150:$E$182,'Key Inputs_BY Techs'!$E66)</f>
        <v>6.6735959999999999</v>
      </c>
      <c r="AE66" s="117">
        <f>SUMIFS(AE$14:AE$36,$C$14:$C$36,$C66,$E$14:$E$36,$E66)*SUMIFS('Key inputs_EB'!AD$150:AD$182,'Key inputs_EB'!$C$150:$C$182,'Key Inputs_BY Techs'!$C66,'Key inputs_EB'!$E$150:$E$182,'Key Inputs_BY Techs'!$E66)</f>
        <v>12.752493599999996</v>
      </c>
      <c r="AF66" s="117">
        <f>SUMIFS(AF$14:AF$36,$C$14:$C$36,$C66,$E$14:$E$36,$E66)*SUMIFS('Key inputs_EB'!AE$150:AE$182,'Key inputs_EB'!$C$150:$C$182,'Key Inputs_BY Techs'!$C66,'Key inputs_EB'!$E$150:$E$182,'Key Inputs_BY Techs'!$E66)</f>
        <v>0.50156159999999994</v>
      </c>
      <c r="AG66" s="117">
        <f>SUMIFS(AG$14:AG$36,$C$14:$C$36,$C66,$E$14:$E$36,$E66)*SUMIFS('Key inputs_EB'!AF$150:AF$182,'Key inputs_EB'!$C$150:$C$182,'Key Inputs_BY Techs'!$C66,'Key inputs_EB'!$E$150:$E$182,'Key Inputs_BY Techs'!$E66)</f>
        <v>0</v>
      </c>
      <c r="AH66" s="117">
        <f>SUMIFS(AH$14:AH$36,$C$14:$C$36,$C66,$E$14:$E$36,$E66)*SUMIFS('Key inputs_EB'!AG$150:AG$182,'Key inputs_EB'!$C$150:$C$182,'Key Inputs_BY Techs'!$C66,'Key inputs_EB'!$E$150:$E$182,'Key Inputs_BY Techs'!$E66)</f>
        <v>0</v>
      </c>
      <c r="AI66" s="117">
        <f>SUMIFS(AI$14:AI$36,$C$14:$C$36,$C66,$E$14:$E$36,$E66)*SUMIFS('Key inputs_EB'!AH$150:AH$182,'Key inputs_EB'!$C$150:$C$182,'Key Inputs_BY Techs'!$C66,'Key inputs_EB'!$E$150:$E$182,'Key Inputs_BY Techs'!$E66)</f>
        <v>0</v>
      </c>
      <c r="AJ66" s="117">
        <f>SUMIFS(AJ$14:AJ$36,$C$14:$C$36,$C66,$E$14:$E$36,$E66)*SUMIFS('Key inputs_EB'!AI$150:AI$182,'Key inputs_EB'!$C$150:$C$182,'Key Inputs_BY Techs'!$C66,'Key inputs_EB'!$E$150:$E$182,'Key Inputs_BY Techs'!$E66)</f>
        <v>0</v>
      </c>
    </row>
    <row r="67" spans="1:36" ht="17.25" customHeight="1" x14ac:dyDescent="0.3">
      <c r="A67" s="508" t="s">
        <v>75</v>
      </c>
      <c r="B67" s="49" t="str">
        <f>'Key inputs_EB'!B167</f>
        <v>Cooking</v>
      </c>
      <c r="C67" s="49" t="str">
        <f t="shared" ref="C67:E67" si="34">C32</f>
        <v>S-CK</v>
      </c>
      <c r="D67" s="49" t="str">
        <f t="shared" si="34"/>
        <v>Solar</v>
      </c>
      <c r="E67" s="49" t="str">
        <f t="shared" si="34"/>
        <v>SRVSOL</v>
      </c>
      <c r="F67" s="109" t="s">
        <v>15</v>
      </c>
      <c r="G67" s="109"/>
      <c r="H67" s="109"/>
      <c r="I67" s="117">
        <f>SUMIFS(I$14:I$36,$C$14:$C$36,$C67,$E$14:$E$36,$E67)*SUMIFS('Key inputs_EB'!H$150:H$182,'Key inputs_EB'!$C$150:$C$182,'Key Inputs_BY Techs'!$C67,'Key inputs_EB'!$E$150:$E$182,'Key Inputs_BY Techs'!$E67)</f>
        <v>0</v>
      </c>
      <c r="J67" s="117">
        <f>SUMIFS(J$14:J$36,$C$14:$C$36,$C67,$E$14:$E$36,$E67)*SUMIFS('Key inputs_EB'!I$150:I$182,'Key inputs_EB'!$C$150:$C$182,'Key Inputs_BY Techs'!$C67,'Key inputs_EB'!$E$150:$E$182,'Key Inputs_BY Techs'!$E67)</f>
        <v>0</v>
      </c>
      <c r="K67" s="117">
        <f>SUMIFS(K$14:K$36,$C$14:$C$36,$C67,$E$14:$E$36,$E67)*SUMIFS('Key inputs_EB'!J$150:J$182,'Key inputs_EB'!$C$150:$C$182,'Key Inputs_BY Techs'!$C67,'Key inputs_EB'!$E$150:$E$182,'Key Inputs_BY Techs'!$E67)</f>
        <v>0</v>
      </c>
      <c r="L67" s="117">
        <f>SUMIFS(L$14:L$36,$C$14:$C$36,$C67,$E$14:$E$36,$E67)*SUMIFS('Key inputs_EB'!K$150:K$182,'Key inputs_EB'!$C$150:$C$182,'Key Inputs_BY Techs'!$C67,'Key inputs_EB'!$E$150:$E$182,'Key Inputs_BY Techs'!$E67)</f>
        <v>0</v>
      </c>
      <c r="M67" s="117">
        <f>SUMIFS(M$14:M$36,$C$14:$C$36,$C67,$E$14:$E$36,$E67)*SUMIFS('Key inputs_EB'!L$150:L$182,'Key inputs_EB'!$C$150:$C$182,'Key Inputs_BY Techs'!$C67,'Key inputs_EB'!$E$150:$E$182,'Key Inputs_BY Techs'!$E67)</f>
        <v>0</v>
      </c>
      <c r="N67" s="117">
        <f>SUMIFS(N$14:N$36,$C$14:$C$36,$C67,$E$14:$E$36,$E67)*SUMIFS('Key inputs_EB'!M$150:M$182,'Key inputs_EB'!$C$150:$C$182,'Key Inputs_BY Techs'!$C67,'Key inputs_EB'!$E$150:$E$182,'Key Inputs_BY Techs'!$E67)</f>
        <v>0</v>
      </c>
      <c r="O67" s="117">
        <f>SUMIFS(O$14:O$36,$C$14:$C$36,$C67,$E$14:$E$36,$E67)*SUMIFS('Key inputs_EB'!N$150:N$182,'Key inputs_EB'!$C$150:$C$182,'Key Inputs_BY Techs'!$C67,'Key inputs_EB'!$E$150:$E$182,'Key Inputs_BY Techs'!$E67)</f>
        <v>0</v>
      </c>
      <c r="P67" s="117">
        <f>SUMIFS(P$14:P$36,$C$14:$C$36,$C67,$E$14:$E$36,$E67)*SUMIFS('Key inputs_EB'!O$150:O$182,'Key inputs_EB'!$C$150:$C$182,'Key Inputs_BY Techs'!$C67,'Key inputs_EB'!$E$150:$E$182,'Key Inputs_BY Techs'!$E67)</f>
        <v>0</v>
      </c>
      <c r="Q67" s="117">
        <f>SUMIFS(Q$14:Q$36,$C$14:$C$36,$C67,$E$14:$E$36,$E67)*SUMIFS('Key inputs_EB'!P$150:P$182,'Key inputs_EB'!$C$150:$C$182,'Key Inputs_BY Techs'!$C67,'Key inputs_EB'!$E$150:$E$182,'Key Inputs_BY Techs'!$E67)</f>
        <v>0</v>
      </c>
      <c r="R67" s="117">
        <f>SUMIFS(R$14:R$36,$C$14:$C$36,$C67,$E$14:$E$36,$E67)*SUMIFS('Key inputs_EB'!Q$150:Q$182,'Key inputs_EB'!$C$150:$C$182,'Key Inputs_BY Techs'!$C67,'Key inputs_EB'!$E$150:$E$182,'Key Inputs_BY Techs'!$E67)</f>
        <v>0</v>
      </c>
      <c r="S67" s="117">
        <f>SUMIFS(S$14:S$36,$C$14:$C$36,$C67,$E$14:$E$36,$E67)*SUMIFS('Key inputs_EB'!R$150:R$182,'Key inputs_EB'!$C$150:$C$182,'Key Inputs_BY Techs'!$C67,'Key inputs_EB'!$E$150:$E$182,'Key Inputs_BY Techs'!$E67)</f>
        <v>0</v>
      </c>
      <c r="T67" s="117">
        <f>SUMIFS(T$14:T$36,$C$14:$C$36,$C67,$E$14:$E$36,$E67)*SUMIFS('Key inputs_EB'!S$150:S$182,'Key inputs_EB'!$C$150:$C$182,'Key Inputs_BY Techs'!$C67,'Key inputs_EB'!$E$150:$E$182,'Key Inputs_BY Techs'!$E67)</f>
        <v>0</v>
      </c>
      <c r="U67" s="117">
        <f>SUMIFS(U$14:U$36,$C$14:$C$36,$C67,$E$14:$E$36,$E67)*SUMIFS('Key inputs_EB'!T$150:T$182,'Key inputs_EB'!$C$150:$C$182,'Key Inputs_BY Techs'!$C67,'Key inputs_EB'!$E$150:$E$182,'Key Inputs_BY Techs'!$E67)</f>
        <v>0</v>
      </c>
      <c r="V67" s="117">
        <f>SUMIFS(V$14:V$36,$C$14:$C$36,$C67,$E$14:$E$36,$E67)*SUMIFS('Key inputs_EB'!U$150:U$182,'Key inputs_EB'!$C$150:$C$182,'Key Inputs_BY Techs'!$C67,'Key inputs_EB'!$E$150:$E$182,'Key Inputs_BY Techs'!$E67)</f>
        <v>0</v>
      </c>
      <c r="W67" s="117">
        <f>SUMIFS(W$14:W$36,$C$14:$C$36,$C67,$E$14:$E$36,$E67)*SUMIFS('Key inputs_EB'!V$150:V$182,'Key inputs_EB'!$C$150:$C$182,'Key Inputs_BY Techs'!$C67,'Key inputs_EB'!$E$150:$E$182,'Key Inputs_BY Techs'!$E67)</f>
        <v>0</v>
      </c>
      <c r="X67" s="117">
        <f>SUMIFS(X$14:X$36,$C$14:$C$36,$C67,$E$14:$E$36,$E67)*SUMIFS('Key inputs_EB'!W$150:W$182,'Key inputs_EB'!$C$150:$C$182,'Key Inputs_BY Techs'!$C67,'Key inputs_EB'!$E$150:$E$182,'Key Inputs_BY Techs'!$E67)</f>
        <v>0</v>
      </c>
      <c r="Y67" s="117">
        <f>SUMIFS(Y$14:Y$36,$C$14:$C$36,$C67,$E$14:$E$36,$E67)*SUMIFS('Key inputs_EB'!X$150:X$182,'Key inputs_EB'!$C$150:$C$182,'Key Inputs_BY Techs'!$C67,'Key inputs_EB'!$E$150:$E$182,'Key Inputs_BY Techs'!$E67)</f>
        <v>0</v>
      </c>
      <c r="Z67" s="117">
        <f>SUMIFS(Z$14:Z$36,$C$14:$C$36,$C67,$E$14:$E$36,$E67)*SUMIFS('Key inputs_EB'!Y$150:Y$182,'Key inputs_EB'!$C$150:$C$182,'Key Inputs_BY Techs'!$C67,'Key inputs_EB'!$E$150:$E$182,'Key Inputs_BY Techs'!$E67)</f>
        <v>0</v>
      </c>
      <c r="AA67" s="117">
        <f>SUMIFS(AA$14:AA$36,$C$14:$C$36,$C67,$E$14:$E$36,$E67)*SUMIFS('Key inputs_EB'!Z$150:Z$182,'Key inputs_EB'!$C$150:$C$182,'Key Inputs_BY Techs'!$C67,'Key inputs_EB'!$E$150:$E$182,'Key Inputs_BY Techs'!$E67)</f>
        <v>0</v>
      </c>
      <c r="AB67" s="117">
        <f>SUMIFS(AB$14:AB$36,$C$14:$C$36,$C67,$E$14:$E$36,$E67)*SUMIFS('Key inputs_EB'!AA$150:AA$182,'Key inputs_EB'!$C$150:$C$182,'Key Inputs_BY Techs'!$C67,'Key inputs_EB'!$E$150:$E$182,'Key Inputs_BY Techs'!$E67)</f>
        <v>0</v>
      </c>
      <c r="AC67" s="117">
        <f>SUMIFS(AC$14:AC$36,$C$14:$C$36,$C67,$E$14:$E$36,$E67)*SUMIFS('Key inputs_EB'!AB$150:AB$182,'Key inputs_EB'!$C$150:$C$182,'Key Inputs_BY Techs'!$C67,'Key inputs_EB'!$E$150:$E$182,'Key Inputs_BY Techs'!$E67)</f>
        <v>0</v>
      </c>
      <c r="AD67" s="117">
        <f>SUMIFS(AD$14:AD$36,$C$14:$C$36,$C67,$E$14:$E$36,$E67)*SUMIFS('Key inputs_EB'!AC$150:AC$182,'Key inputs_EB'!$C$150:$C$182,'Key Inputs_BY Techs'!$C67,'Key inputs_EB'!$E$150:$E$182,'Key Inputs_BY Techs'!$E67)</f>
        <v>0</v>
      </c>
      <c r="AE67" s="117">
        <f>SUMIFS(AE$14:AE$36,$C$14:$C$36,$C67,$E$14:$E$36,$E67)*SUMIFS('Key inputs_EB'!AD$150:AD$182,'Key inputs_EB'!$C$150:$C$182,'Key Inputs_BY Techs'!$C67,'Key inputs_EB'!$E$150:$E$182,'Key Inputs_BY Techs'!$E67)</f>
        <v>0</v>
      </c>
      <c r="AF67" s="117">
        <f>SUMIFS(AF$14:AF$36,$C$14:$C$36,$C67,$E$14:$E$36,$E67)*SUMIFS('Key inputs_EB'!AE$150:AE$182,'Key inputs_EB'!$C$150:$C$182,'Key Inputs_BY Techs'!$C67,'Key inputs_EB'!$E$150:$E$182,'Key Inputs_BY Techs'!$E67)</f>
        <v>0</v>
      </c>
      <c r="AG67" s="117">
        <f>SUMIFS(AG$14:AG$36,$C$14:$C$36,$C67,$E$14:$E$36,$E67)*SUMIFS('Key inputs_EB'!AF$150:AF$182,'Key inputs_EB'!$C$150:$C$182,'Key Inputs_BY Techs'!$C67,'Key inputs_EB'!$E$150:$E$182,'Key Inputs_BY Techs'!$E67)</f>
        <v>0</v>
      </c>
      <c r="AH67" s="117">
        <f>SUMIFS(AH$14:AH$36,$C$14:$C$36,$C67,$E$14:$E$36,$E67)*SUMIFS('Key inputs_EB'!AG$150:AG$182,'Key inputs_EB'!$C$150:$C$182,'Key Inputs_BY Techs'!$C67,'Key inputs_EB'!$E$150:$E$182,'Key Inputs_BY Techs'!$E67)</f>
        <v>0</v>
      </c>
      <c r="AI67" s="117">
        <f>SUMIFS(AI$14:AI$36,$C$14:$C$36,$C67,$E$14:$E$36,$E67)*SUMIFS('Key inputs_EB'!AH$150:AH$182,'Key inputs_EB'!$C$150:$C$182,'Key Inputs_BY Techs'!$C67,'Key inputs_EB'!$E$150:$E$182,'Key Inputs_BY Techs'!$E67)</f>
        <v>0</v>
      </c>
      <c r="AJ67" s="117">
        <f>SUMIFS(AJ$14:AJ$36,$C$14:$C$36,$C67,$E$14:$E$36,$E67)*SUMIFS('Key inputs_EB'!AI$150:AI$182,'Key inputs_EB'!$C$150:$C$182,'Key Inputs_BY Techs'!$C67,'Key inputs_EB'!$E$150:$E$182,'Key Inputs_BY Techs'!$E67)</f>
        <v>0</v>
      </c>
    </row>
    <row r="68" spans="1:36" ht="17.25" customHeight="1" x14ac:dyDescent="0.3">
      <c r="A68" s="567" t="s">
        <v>75</v>
      </c>
      <c r="B68" s="68" t="str">
        <f>'Key inputs_EB'!B168</f>
        <v>Lighting</v>
      </c>
      <c r="C68" s="68" t="str">
        <f t="shared" ref="C68:E68" si="35">C33</f>
        <v>S-LIG</v>
      </c>
      <c r="D68" s="68" t="str">
        <f t="shared" si="35"/>
        <v>Electricity</v>
      </c>
      <c r="E68" s="68" t="str">
        <f t="shared" si="35"/>
        <v>SRVELC</v>
      </c>
      <c r="F68" s="548" t="s">
        <v>162</v>
      </c>
      <c r="G68" s="548"/>
      <c r="H68" s="111"/>
      <c r="I68" s="118">
        <f>SUMIFS(I$14:I$36,$C$14:$C$36,$C68,$E$14:$E$36,$E68)*SUMIFS('Key inputs_EB'!H$150:H$182,'Key inputs_EB'!$C$150:$C$182,'Key Inputs_BY Techs'!$C68,'Key inputs_EB'!$E$150:$E$182,'Key Inputs_BY Techs'!$E68)</f>
        <v>128.79131264896495</v>
      </c>
      <c r="J68" s="118">
        <f>SUMIFS(J$14:J$36,$C$14:$C$36,$C68,$E$14:$E$36,$E68)*SUMIFS('Key inputs_EB'!I$150:I$182,'Key inputs_EB'!$C$150:$C$182,'Key Inputs_BY Techs'!$C68,'Key inputs_EB'!$E$150:$E$182,'Key Inputs_BY Techs'!$E68)</f>
        <v>711.74146463901684</v>
      </c>
      <c r="K68" s="118">
        <f>SUMIFS(K$14:K$36,$C$14:$C$36,$C68,$E$14:$E$36,$E68)*SUMIFS('Key inputs_EB'!J$150:J$182,'Key inputs_EB'!$C$150:$C$182,'Key Inputs_BY Techs'!$C68,'Key inputs_EB'!$E$150:$E$182,'Key Inputs_BY Techs'!$E68)</f>
        <v>165.42520257142166</v>
      </c>
      <c r="L68" s="118">
        <f>SUMIFS(L$14:L$36,$C$14:$C$36,$C68,$E$14:$E$36,$E68)*SUMIFS('Key inputs_EB'!K$150:K$182,'Key inputs_EB'!$C$150:$C$182,'Key Inputs_BY Techs'!$C68,'Key inputs_EB'!$E$150:$E$182,'Key Inputs_BY Techs'!$E68)</f>
        <v>433.60180054708098</v>
      </c>
      <c r="M68" s="118">
        <f>SUMIFS(M$14:M$36,$C$14:$C$36,$C68,$E$14:$E$36,$E68)*SUMIFS('Key inputs_EB'!L$150:L$182,'Key inputs_EB'!$C$150:$C$182,'Key Inputs_BY Techs'!$C68,'Key inputs_EB'!$E$150:$E$182,'Key Inputs_BY Techs'!$E68)</f>
        <v>788.18049888439623</v>
      </c>
      <c r="N68" s="118">
        <f>SUMIFS(N$14:N$36,$C$14:$C$36,$C68,$E$14:$E$36,$E68)*SUMIFS('Key inputs_EB'!M$150:M$182,'Key inputs_EB'!$C$150:$C$182,'Key Inputs_BY Techs'!$C68,'Key inputs_EB'!$E$150:$E$182,'Key Inputs_BY Techs'!$E68)</f>
        <v>367.17177633729091</v>
      </c>
      <c r="O68" s="118">
        <f>SUMIFS(O$14:O$36,$C$14:$C$36,$C68,$E$14:$E$36,$E68)*SUMIFS('Key inputs_EB'!N$150:N$182,'Key inputs_EB'!$C$150:$C$182,'Key Inputs_BY Techs'!$C68,'Key inputs_EB'!$E$150:$E$182,'Key Inputs_BY Techs'!$E68)</f>
        <v>1530.4166553002135</v>
      </c>
      <c r="P68" s="118">
        <f>SUMIFS(P$14:P$36,$C$14:$C$36,$C68,$E$14:$E$36,$E68)*SUMIFS('Key inputs_EB'!O$150:O$182,'Key inputs_EB'!$C$150:$C$182,'Key Inputs_BY Techs'!$C68,'Key inputs_EB'!$E$150:$E$182,'Key Inputs_BY Techs'!$E68)</f>
        <v>353.57796575748597</v>
      </c>
      <c r="Q68" s="118">
        <f>SUMIFS(Q$14:Q$36,$C$14:$C$36,$C68,$E$14:$E$36,$E68)*SUMIFS('Key inputs_EB'!P$150:P$182,'Key inputs_EB'!$C$150:$C$182,'Key Inputs_BY Techs'!$C68,'Key inputs_EB'!$E$150:$E$182,'Key Inputs_BY Techs'!$E68)</f>
        <v>698.07281266165546</v>
      </c>
      <c r="R68" s="118">
        <f>SUMIFS(R$14:R$36,$C$14:$C$36,$C68,$E$14:$E$36,$E68)*SUMIFS('Key inputs_EB'!Q$150:Q$182,'Key inputs_EB'!$C$150:$C$182,'Key Inputs_BY Techs'!$C68,'Key inputs_EB'!$E$150:$E$182,'Key Inputs_BY Techs'!$E68)</f>
        <v>1904.3796341311697</v>
      </c>
      <c r="S68" s="118">
        <f>SUMIFS(S$14:S$36,$C$14:$C$36,$C68,$E$14:$E$36,$E68)*SUMIFS('Key inputs_EB'!R$150:R$182,'Key inputs_EB'!$C$150:$C$182,'Key Inputs_BY Techs'!$C68,'Key inputs_EB'!$E$150:$E$182,'Key Inputs_BY Techs'!$E68)</f>
        <v>60.729121716925519</v>
      </c>
      <c r="T68" s="118">
        <f>SUMIFS(T$14:T$36,$C$14:$C$36,$C68,$E$14:$E$36,$E68)*SUMIFS('Key inputs_EB'!S$150:S$182,'Key inputs_EB'!$C$150:$C$182,'Key Inputs_BY Techs'!$C68,'Key inputs_EB'!$E$150:$E$182,'Key Inputs_BY Techs'!$E68)</f>
        <v>595.79687750077528</v>
      </c>
      <c r="U68" s="118">
        <f>SUMIFS(U$14:U$36,$C$14:$C$36,$C68,$E$14:$E$36,$E68)*SUMIFS('Key inputs_EB'!T$150:T$182,'Key inputs_EB'!$C$150:$C$182,'Key Inputs_BY Techs'!$C68,'Key inputs_EB'!$E$150:$E$182,'Key Inputs_BY Techs'!$E68)</f>
        <v>576.06336290715376</v>
      </c>
      <c r="V68" s="118">
        <f>SUMIFS(V$14:V$36,$C$14:$C$36,$C68,$E$14:$E$36,$E68)*SUMIFS('Key inputs_EB'!U$150:U$182,'Key inputs_EB'!$C$150:$C$182,'Key Inputs_BY Techs'!$C68,'Key inputs_EB'!$E$150:$E$182,'Key Inputs_BY Techs'!$E68)</f>
        <v>1737.3626685472263</v>
      </c>
      <c r="W68" s="118">
        <f>SUMIFS(W$14:W$36,$C$14:$C$36,$C68,$E$14:$E$36,$E68)*SUMIFS('Key inputs_EB'!V$150:V$182,'Key inputs_EB'!$C$150:$C$182,'Key Inputs_BY Techs'!$C68,'Key inputs_EB'!$E$150:$E$182,'Key Inputs_BY Techs'!$E68)</f>
        <v>1546.5799435073743</v>
      </c>
      <c r="X68" s="118">
        <f>SUMIFS(X$14:X$36,$C$14:$C$36,$C68,$E$14:$E$36,$E68)*SUMIFS('Key inputs_EB'!W$150:W$182,'Key inputs_EB'!$C$150:$C$182,'Key Inputs_BY Techs'!$C68,'Key inputs_EB'!$E$150:$E$182,'Key Inputs_BY Techs'!$E68)</f>
        <v>4365.8538431552106</v>
      </c>
      <c r="Y68" s="118">
        <f>SUMIFS(Y$14:Y$36,$C$14:$C$36,$C68,$E$14:$E$36,$E68)*SUMIFS('Key inputs_EB'!X$150:X$182,'Key inputs_EB'!$C$150:$C$182,'Key Inputs_BY Techs'!$C68,'Key inputs_EB'!$E$150:$E$182,'Key Inputs_BY Techs'!$E68)</f>
        <v>3508.6570666884754</v>
      </c>
      <c r="Z68" s="118">
        <f>SUMIFS(Z$14:Z$36,$C$14:$C$36,$C68,$E$14:$E$36,$E68)*SUMIFS('Key inputs_EB'!Y$150:Y$182,'Key inputs_EB'!$C$150:$C$182,'Key Inputs_BY Techs'!$C68,'Key inputs_EB'!$E$150:$E$182,'Key Inputs_BY Techs'!$E68)</f>
        <v>1270.4661863844374</v>
      </c>
      <c r="AA68" s="118">
        <f>SUMIFS(AA$14:AA$36,$C$14:$C$36,$C68,$E$14:$E$36,$E68)*SUMIFS('Key inputs_EB'!Z$150:Z$182,'Key inputs_EB'!$C$150:$C$182,'Key Inputs_BY Techs'!$C68,'Key inputs_EB'!$E$150:$E$182,'Key Inputs_BY Techs'!$E68)</f>
        <v>1375.9522800797999</v>
      </c>
      <c r="AB68" s="118">
        <f>SUMIFS(AB$14:AB$36,$C$14:$C$36,$C68,$E$14:$E$36,$E68)*SUMIFS('Key inputs_EB'!AA$150:AA$182,'Key inputs_EB'!$C$150:$C$182,'Key Inputs_BY Techs'!$C68,'Key inputs_EB'!$E$150:$E$182,'Key Inputs_BY Techs'!$E68)</f>
        <v>4193.1520175476871</v>
      </c>
      <c r="AC68" s="118">
        <f>SUMIFS(AC$14:AC$36,$C$14:$C$36,$C68,$E$14:$E$36,$E68)*SUMIFS('Key inputs_EB'!AB$150:AB$182,'Key inputs_EB'!$C$150:$C$182,'Key Inputs_BY Techs'!$C68,'Key inputs_EB'!$E$150:$E$182,'Key Inputs_BY Techs'!$E68)</f>
        <v>572.22197790557379</v>
      </c>
      <c r="AD68" s="118">
        <f>SUMIFS(AD$14:AD$36,$C$14:$C$36,$C68,$E$14:$E$36,$E68)*SUMIFS('Key inputs_EB'!AC$150:AC$182,'Key inputs_EB'!$C$150:$C$182,'Key Inputs_BY Techs'!$C68,'Key inputs_EB'!$E$150:$E$182,'Key Inputs_BY Techs'!$E68)</f>
        <v>1221.9793571222447</v>
      </c>
      <c r="AE68" s="118">
        <f>SUMIFS(AE$14:AE$36,$C$14:$C$36,$C68,$E$14:$E$36,$E68)*SUMIFS('Key inputs_EB'!AD$150:AD$182,'Key inputs_EB'!$C$150:$C$182,'Key Inputs_BY Techs'!$C68,'Key inputs_EB'!$E$150:$E$182,'Key Inputs_BY Techs'!$E68)</f>
        <v>2644.8421032074766</v>
      </c>
      <c r="AF68" s="118">
        <f>SUMIFS(AF$14:AF$36,$C$14:$C$36,$C68,$E$14:$E$36,$E68)*SUMIFS('Key inputs_EB'!AE$150:AE$182,'Key inputs_EB'!$C$150:$C$182,'Key Inputs_BY Techs'!$C68,'Key inputs_EB'!$E$150:$E$182,'Key Inputs_BY Techs'!$E68)</f>
        <v>128.59277543359383</v>
      </c>
      <c r="AG68" s="118">
        <f>SUMIFS(AG$14:AG$36,$C$14:$C$36,$C68,$E$14:$E$36,$E68)*SUMIFS('Key inputs_EB'!AF$150:AF$182,'Key inputs_EB'!$C$150:$C$182,'Key Inputs_BY Techs'!$C68,'Key inputs_EB'!$E$150:$E$182,'Key Inputs_BY Techs'!$E68)</f>
        <v>99.964891424487476</v>
      </c>
      <c r="AH68" s="118">
        <f>SUMIFS(AH$14:AH$36,$C$14:$C$36,$C68,$E$14:$E$36,$E68)*SUMIFS('Key inputs_EB'!AG$150:AG$182,'Key inputs_EB'!$C$150:$C$182,'Key Inputs_BY Techs'!$C68,'Key inputs_EB'!$E$150:$E$182,'Key Inputs_BY Techs'!$E68)</f>
        <v>2024.7796437547463</v>
      </c>
      <c r="AI68" s="118">
        <f>SUMIFS(AI$14:AI$36,$C$14:$C$36,$C68,$E$14:$E$36,$E68)*SUMIFS('Key inputs_EB'!AH$150:AH$182,'Key inputs_EB'!$C$150:$C$182,'Key Inputs_BY Techs'!$C68,'Key inputs_EB'!$E$150:$E$182,'Key Inputs_BY Techs'!$E68)</f>
        <v>2492.1304180242646</v>
      </c>
      <c r="AJ68" s="118">
        <f>SUMIFS(AJ$14:AJ$36,$C$14:$C$36,$C68,$E$14:$E$36,$E68)*SUMIFS('Key inputs_EB'!AI$150:AI$182,'Key inputs_EB'!$C$150:$C$182,'Key Inputs_BY Techs'!$C68,'Key inputs_EB'!$E$150:$E$182,'Key Inputs_BY Techs'!$E68)</f>
        <v>17884.000404104754</v>
      </c>
    </row>
    <row r="69" spans="1:36" x14ac:dyDescent="0.3">
      <c r="A69" s="509" t="s">
        <v>75</v>
      </c>
      <c r="B69" s="51" t="str">
        <f>'Key inputs_EB'!B169</f>
        <v>Street lighting</v>
      </c>
      <c r="C69" s="51" t="str">
        <f t="shared" ref="C69:E69" si="36">C34</f>
        <v>S-SLIG</v>
      </c>
      <c r="D69" s="51" t="str">
        <f t="shared" si="36"/>
        <v>Electricity</v>
      </c>
      <c r="E69" s="51" t="str">
        <f t="shared" si="36"/>
        <v>SRVELC</v>
      </c>
      <c r="F69" s="548" t="s">
        <v>162</v>
      </c>
      <c r="G69" s="607"/>
      <c r="H69" s="171"/>
      <c r="I69" s="119">
        <f>SUMIFS(I$14:I$36,$C$14:$C$36,$C69,$E$14:$E$36,$E69)*SUMIFS('Key inputs_EB'!H$150:H$182,'Key inputs_EB'!$C$150:$C$182,'Key Inputs_BY Techs'!$C69,'Key inputs_EB'!$E$150:$E$182,'Key Inputs_BY Techs'!$E69)</f>
        <v>129.41050165208497</v>
      </c>
      <c r="J69" s="119">
        <f>SUMIFS(J$14:J$36,$C$14:$C$36,$C69,$E$14:$E$36,$E69)*SUMIFS('Key inputs_EB'!I$150:I$182,'Key inputs_EB'!$C$150:$C$182,'Key Inputs_BY Techs'!$C69,'Key inputs_EB'!$E$150:$E$182,'Key Inputs_BY Techs'!$E69)</f>
        <v>715.16329860362748</v>
      </c>
      <c r="K69" s="119">
        <f>SUMIFS(K$14:K$36,$C$14:$C$36,$C69,$E$14:$E$36,$E69)*SUMIFS('Key inputs_EB'!J$150:J$182,'Key inputs_EB'!$C$150:$C$182,'Key Inputs_BY Techs'!$C69,'Key inputs_EB'!$E$150:$E$182,'Key Inputs_BY Techs'!$E69)</f>
        <v>166.22051604532271</v>
      </c>
      <c r="L69" s="119">
        <f>SUMIFS(L$14:L$36,$C$14:$C$36,$C69,$E$14:$E$36,$E69)*SUMIFS('Key inputs_EB'!K$150:K$182,'Key inputs_EB'!$C$150:$C$182,'Key Inputs_BY Techs'!$C69,'Key inputs_EB'!$E$150:$E$182,'Key Inputs_BY Techs'!$E69)</f>
        <v>435.68642458817266</v>
      </c>
      <c r="M69" s="119">
        <f>SUMIFS(M$14:M$36,$C$14:$C$36,$C69,$E$14:$E$36,$E69)*SUMIFS('Key inputs_EB'!L$150:L$182,'Key inputs_EB'!$C$150:$C$182,'Key Inputs_BY Techs'!$C69,'Key inputs_EB'!$E$150:$E$182,'Key Inputs_BY Techs'!$E69)</f>
        <v>640.52136744782581</v>
      </c>
      <c r="N69" s="119">
        <f>SUMIFS(N$14:N$36,$C$14:$C$36,$C69,$E$14:$E$36,$E69)*SUMIFS('Key inputs_EB'!M$150:M$182,'Key inputs_EB'!$C$150:$C$182,'Key Inputs_BY Techs'!$C69,'Key inputs_EB'!$E$150:$E$182,'Key Inputs_BY Techs'!$E69)</f>
        <v>286.17503578483564</v>
      </c>
      <c r="O69" s="119">
        <f>SUMIFS(O$14:O$36,$C$14:$C$36,$C69,$E$14:$E$36,$E69)*SUMIFS('Key inputs_EB'!N$150:N$182,'Key inputs_EB'!$C$150:$C$182,'Key Inputs_BY Techs'!$C69,'Key inputs_EB'!$E$150:$E$182,'Key Inputs_BY Techs'!$E69)</f>
        <v>1192.8123818915822</v>
      </c>
      <c r="P69" s="119">
        <f>SUMIFS(P$14:P$36,$C$14:$C$36,$C69,$E$14:$E$36,$E69)*SUMIFS('Key inputs_EB'!O$150:O$182,'Key inputs_EB'!$C$150:$C$182,'Key Inputs_BY Techs'!$C69,'Key inputs_EB'!$E$150:$E$182,'Key Inputs_BY Techs'!$E69)</f>
        <v>275.5799697153937</v>
      </c>
      <c r="Q69" s="119">
        <f>SUMIFS(Q$14:Q$36,$C$14:$C$36,$C69,$E$14:$E$36,$E69)*SUMIFS('Key inputs_EB'!P$150:P$182,'Key inputs_EB'!$C$150:$C$182,'Key Inputs_BY Techs'!$C69,'Key inputs_EB'!$E$150:$E$182,'Key Inputs_BY Techs'!$E69)</f>
        <v>2792.2912506466223</v>
      </c>
      <c r="R69" s="119">
        <f>SUMIFS(R$14:R$36,$C$14:$C$36,$C69,$E$14:$E$36,$E69)*SUMIFS('Key inputs_EB'!Q$150:Q$182,'Key inputs_EB'!$C$150:$C$182,'Key Inputs_BY Techs'!$C69,'Key inputs_EB'!$E$150:$E$182,'Key Inputs_BY Techs'!$E69)</f>
        <v>1484.2805059307316</v>
      </c>
      <c r="S69" s="119">
        <f>SUMIFS(S$14:S$36,$C$14:$C$36,$C69,$E$14:$E$36,$E69)*SUMIFS('Key inputs_EB'!R$150:R$182,'Key inputs_EB'!$C$150:$C$182,'Key Inputs_BY Techs'!$C69,'Key inputs_EB'!$E$150:$E$182,'Key Inputs_BY Techs'!$E69)</f>
        <v>242.9164868677021</v>
      </c>
      <c r="T69" s="119">
        <f>SUMIFS(T$14:T$36,$C$14:$C$36,$C69,$E$14:$E$36,$E69)*SUMIFS('Key inputs_EB'!S$150:S$182,'Key inputs_EB'!$C$150:$C$182,'Key Inputs_BY Techs'!$C69,'Key inputs_EB'!$E$150:$E$182,'Key Inputs_BY Techs'!$E69)</f>
        <v>464.36628228922228</v>
      </c>
      <c r="U69" s="119">
        <f>SUMIFS(U$14:U$36,$C$14:$C$36,$C69,$E$14:$E$36,$E69)*SUMIFS('Key inputs_EB'!T$150:T$182,'Key inputs_EB'!$C$150:$C$182,'Key Inputs_BY Techs'!$C69,'Key inputs_EB'!$E$150:$E$182,'Key Inputs_BY Techs'!$E69)</f>
        <v>448.98590828192795</v>
      </c>
      <c r="V69" s="119">
        <f>SUMIFS(V$14:V$36,$C$14:$C$36,$C69,$E$14:$E$36,$E69)*SUMIFS('Key inputs_EB'!U$150:U$182,'Key inputs_EB'!$C$150:$C$182,'Key Inputs_BY Techs'!$C69,'Key inputs_EB'!$E$150:$E$182,'Key Inputs_BY Techs'!$E69)</f>
        <v>1354.1068673699256</v>
      </c>
      <c r="W69" s="119">
        <f>SUMIFS(W$14:W$36,$C$14:$C$36,$C69,$E$14:$E$36,$E69)*SUMIFS('Key inputs_EB'!V$150:V$182,'Key inputs_EB'!$C$150:$C$182,'Key Inputs_BY Techs'!$C69,'Key inputs_EB'!$E$150:$E$182,'Key Inputs_BY Techs'!$E69)</f>
        <v>1205.4101082942659</v>
      </c>
      <c r="X69" s="119">
        <f>SUMIFS(X$14:X$36,$C$14:$C$36,$C69,$E$14:$E$36,$E69)*SUMIFS('Key inputs_EB'!W$150:W$182,'Key inputs_EB'!$C$150:$C$182,'Key Inputs_BY Techs'!$C69,'Key inputs_EB'!$E$150:$E$182,'Key Inputs_BY Techs'!$E69)</f>
        <v>3402.7625768506332</v>
      </c>
      <c r="Y69" s="119">
        <f>SUMIFS(Y$14:Y$36,$C$14:$C$36,$C69,$E$14:$E$36,$E69)*SUMIFS('Key inputs_EB'!X$150:X$182,'Key inputs_EB'!$C$150:$C$182,'Key Inputs_BY Techs'!$C69,'Key inputs_EB'!$E$150:$E$182,'Key Inputs_BY Techs'!$E69)</f>
        <v>2734.6602498496909</v>
      </c>
      <c r="Z69" s="119">
        <f>SUMIFS(Z$14:Z$36,$C$14:$C$36,$C69,$E$14:$E$36,$E69)*SUMIFS('Key inputs_EB'!Y$150:Y$182,'Key inputs_EB'!$C$150:$C$182,'Key Inputs_BY Techs'!$C69,'Key inputs_EB'!$E$150:$E$182,'Key Inputs_BY Techs'!$E69)</f>
        <v>990.20602830322787</v>
      </c>
      <c r="AA69" s="119">
        <f>SUMIFS(AA$14:AA$36,$C$14:$C$36,$C69,$E$14:$E$36,$E69)*SUMIFS('Key inputs_EB'!Z$150:Z$182,'Key inputs_EB'!$C$150:$C$182,'Key Inputs_BY Techs'!$C69,'Key inputs_EB'!$E$150:$E$182,'Key Inputs_BY Techs'!$E69)</f>
        <v>1072.4222785259631</v>
      </c>
      <c r="AB69" s="119">
        <f>SUMIFS(AB$14:AB$36,$C$14:$C$36,$C69,$E$14:$E$36,$E69)*SUMIFS('Key inputs_EB'!AA$150:AA$182,'Key inputs_EB'!$C$150:$C$182,'Key Inputs_BY Techs'!$C69,'Key inputs_EB'!$E$150:$E$182,'Key Inputs_BY Techs'!$E69)</f>
        <v>3268.1581374344119</v>
      </c>
      <c r="AC69" s="119">
        <f>SUMIFS(AC$14:AC$36,$C$14:$C$36,$C69,$E$14:$E$36,$E69)*SUMIFS('Key inputs_EB'!AB$150:AB$182,'Key inputs_EB'!$C$150:$C$182,'Key Inputs_BY Techs'!$C69,'Key inputs_EB'!$E$150:$E$182,'Key Inputs_BY Techs'!$E69)</f>
        <v>2288.8879116222952</v>
      </c>
      <c r="AD69" s="119">
        <f>SUMIFS(AD$14:AD$36,$C$14:$C$36,$C69,$E$14:$E$36,$E69)*SUMIFS('Key inputs_EB'!AC$150:AC$182,'Key inputs_EB'!$C$150:$C$182,'Key Inputs_BY Techs'!$C69,'Key inputs_EB'!$E$150:$E$182,'Key Inputs_BY Techs'!$E69)</f>
        <v>952.41521486539227</v>
      </c>
      <c r="AE69" s="119">
        <f>SUMIFS(AE$14:AE$36,$C$14:$C$36,$C69,$E$14:$E$36,$E69)*SUMIFS('Key inputs_EB'!AD$150:AD$182,'Key inputs_EB'!$C$150:$C$182,'Key Inputs_BY Techs'!$C69,'Key inputs_EB'!$E$150:$E$182,'Key Inputs_BY Techs'!$E69)</f>
        <v>2061.3996834967725</v>
      </c>
      <c r="AF69" s="119">
        <f>SUMIFS(AF$14:AF$36,$C$14:$C$36,$C69,$E$14:$E$36,$E69)*SUMIFS('Key inputs_EB'!AE$150:AE$182,'Key inputs_EB'!$C$150:$C$182,'Key Inputs_BY Techs'!$C69,'Key inputs_EB'!$E$150:$E$182,'Key Inputs_BY Techs'!$E69)</f>
        <v>514.37110173437532</v>
      </c>
      <c r="AG69" s="119">
        <f>SUMIFS(AG$14:AG$36,$C$14:$C$36,$C69,$E$14:$E$36,$E69)*SUMIFS('Key inputs_EB'!AF$150:AF$182,'Key inputs_EB'!$C$150:$C$182,'Key Inputs_BY Techs'!$C69,'Key inputs_EB'!$E$150:$E$182,'Key Inputs_BY Techs'!$E69)</f>
        <v>100.44549186402827</v>
      </c>
      <c r="AH69" s="119">
        <f>SUMIFS(AH$14:AH$36,$C$14:$C$36,$C69,$E$14:$E$36,$E69)*SUMIFS('Key inputs_EB'!AG$150:AG$182,'Key inputs_EB'!$C$150:$C$182,'Key Inputs_BY Techs'!$C69,'Key inputs_EB'!$E$150:$E$182,'Key Inputs_BY Techs'!$E69)</f>
        <v>1578.1207171970514</v>
      </c>
      <c r="AI69" s="119">
        <f>SUMIFS(AI$14:AI$36,$C$14:$C$36,$C69,$E$14:$E$36,$E69)*SUMIFS('Key inputs_EB'!AH$150:AH$182,'Key inputs_EB'!$C$150:$C$182,'Key Inputs_BY Techs'!$C69,'Key inputs_EB'!$E$150:$E$182,'Key Inputs_BY Techs'!$E69)</f>
        <v>1942.3756332061475</v>
      </c>
      <c r="AJ69" s="119">
        <f>SUMIFS(AJ$14:AJ$36,$C$14:$C$36,$C69,$E$14:$E$36,$E69)*SUMIFS('Key inputs_EB'!AI$150:AI$182,'Key inputs_EB'!$C$150:$C$182,'Key Inputs_BY Techs'!$C69,'Key inputs_EB'!$E$150:$E$182,'Key Inputs_BY Techs'!$E69)</f>
        <v>13938.855831117156</v>
      </c>
    </row>
    <row r="70" spans="1:36" x14ac:dyDescent="0.3">
      <c r="A70" s="509" t="s">
        <v>75</v>
      </c>
      <c r="B70" s="114" t="str">
        <f>'Key inputs_EB'!B170</f>
        <v>Electric Appliances</v>
      </c>
      <c r="C70" s="114" t="str">
        <f t="shared" ref="C70:E70" si="37">C35</f>
        <v>S-EAP</v>
      </c>
      <c r="D70" s="114" t="str">
        <f t="shared" si="37"/>
        <v>Electricity</v>
      </c>
      <c r="E70" s="114" t="str">
        <f t="shared" si="37"/>
        <v>SRVELC</v>
      </c>
      <c r="F70" s="109" t="s">
        <v>15</v>
      </c>
      <c r="G70" s="111"/>
      <c r="H70" s="171"/>
      <c r="I70" s="119">
        <f>SUMIFS(I$14:I$36,$C$14:$C$36,$C70,$E$14:$E$36,$E70)*SUMIFS('Key inputs_EB'!H$150:H$182,'Key inputs_EB'!$C$150:$C$182,'Key Inputs_BY Techs'!$C70,'Key inputs_EB'!$E$150:$E$182,'Key Inputs_BY Techs'!$E70)</f>
        <v>13.718000000000002</v>
      </c>
      <c r="J70" s="119">
        <f>SUMIFS(J$14:J$36,$C$14:$C$36,$C70,$E$14:$E$36,$E70)*SUMIFS('Key inputs_EB'!I$150:I$182,'Key inputs_EB'!$C$150:$C$182,'Key Inputs_BY Techs'!$C70,'Key inputs_EB'!$E$150:$E$182,'Key Inputs_BY Techs'!$E70)</f>
        <v>75.81</v>
      </c>
      <c r="K70" s="119">
        <f>SUMIFS(K$14:K$36,$C$14:$C$36,$C70,$E$14:$E$36,$E70)*SUMIFS('Key inputs_EB'!J$150:J$182,'Key inputs_EB'!$C$150:$C$182,'Key Inputs_BY Techs'!$C70,'Key inputs_EB'!$E$150:$E$182,'Key Inputs_BY Techs'!$E70)</f>
        <v>17.62</v>
      </c>
      <c r="L70" s="119">
        <f>SUMIFS(L$14:L$36,$C$14:$C$36,$C70,$E$14:$E$36,$E70)*SUMIFS('Key inputs_EB'!K$150:K$182,'Key inputs_EB'!$C$150:$C$182,'Key Inputs_BY Techs'!$C70,'Key inputs_EB'!$E$150:$E$182,'Key Inputs_BY Techs'!$E70)</f>
        <v>46.184400000000004</v>
      </c>
      <c r="M70" s="119">
        <f>SUMIFS(M$14:M$36,$C$14:$C$36,$C70,$E$14:$E$36,$E70)*SUMIFS('Key inputs_EB'!L$150:L$182,'Key inputs_EB'!$C$150:$C$182,'Key Inputs_BY Techs'!$C70,'Key inputs_EB'!$E$150:$E$182,'Key Inputs_BY Techs'!$E70)</f>
        <v>130.93695</v>
      </c>
      <c r="N70" s="119">
        <f>SUMIFS(N$14:N$36,$C$14:$C$36,$C70,$E$14:$E$36,$E70)*SUMIFS('Key inputs_EB'!M$150:M$182,'Key inputs_EB'!$C$150:$C$182,'Key Inputs_BY Techs'!$C70,'Key inputs_EB'!$E$150:$E$182,'Key Inputs_BY Techs'!$E70)</f>
        <v>35.926560000000002</v>
      </c>
      <c r="O70" s="119">
        <f>SUMIFS(O$14:O$36,$C$14:$C$36,$C70,$E$14:$E$36,$E70)*SUMIFS('Key inputs_EB'!N$150:N$182,'Key inputs_EB'!$C$150:$C$182,'Key Inputs_BY Techs'!$C70,'Key inputs_EB'!$E$150:$E$182,'Key Inputs_BY Techs'!$E70)</f>
        <v>199.66170000000002</v>
      </c>
      <c r="P70" s="119">
        <f>SUMIFS(P$14:P$36,$C$14:$C$36,$C70,$E$14:$E$36,$E70)*SUMIFS('Key inputs_EB'!O$150:O$182,'Key inputs_EB'!$C$150:$C$182,'Key Inputs_BY Techs'!$C70,'Key inputs_EB'!$E$150:$E$182,'Key Inputs_BY Techs'!$E70)</f>
        <v>46.128600000000006</v>
      </c>
      <c r="Q70" s="119">
        <f>SUMIFS(Q$14:Q$36,$C$14:$C$36,$C70,$E$14:$E$36,$E70)*SUMIFS('Key inputs_EB'!P$150:P$182,'Key inputs_EB'!$C$150:$C$182,'Key Inputs_BY Techs'!$C70,'Key inputs_EB'!$E$150:$E$182,'Key Inputs_BY Techs'!$E70)</f>
        <v>223.41043999999999</v>
      </c>
      <c r="R70" s="119">
        <f>SUMIFS(R$14:R$36,$C$14:$C$36,$C70,$E$14:$E$36,$E70)*SUMIFS('Key inputs_EB'!Q$150:Q$182,'Key inputs_EB'!$C$150:$C$182,'Key Inputs_BY Techs'!$C70,'Key inputs_EB'!$E$150:$E$182,'Key Inputs_BY Techs'!$E70)</f>
        <v>108.9692</v>
      </c>
      <c r="S70" s="119">
        <f>SUMIFS(S$14:S$36,$C$14:$C$36,$C70,$E$14:$E$36,$E70)*SUMIFS('Key inputs_EB'!R$150:R$182,'Key inputs_EB'!$C$150:$C$182,'Key Inputs_BY Techs'!$C70,'Key inputs_EB'!$E$150:$E$182,'Key Inputs_BY Techs'!$E70)</f>
        <v>19.435679999999998</v>
      </c>
      <c r="T70" s="119">
        <f>SUMIFS(T$14:T$36,$C$14:$C$36,$C70,$E$14:$E$36,$E70)*SUMIFS('Key inputs_EB'!S$150:S$182,'Key inputs_EB'!$C$150:$C$182,'Key Inputs_BY Techs'!$C70,'Key inputs_EB'!$E$150:$E$182,'Key Inputs_BY Techs'!$E70)</f>
        <v>30.227959999999999</v>
      </c>
      <c r="U70" s="119">
        <f>SUMIFS(U$14:U$36,$C$14:$C$36,$C70,$E$14:$E$36,$E70)*SUMIFS('Key inputs_EB'!T$150:T$182,'Key inputs_EB'!$C$150:$C$182,'Key Inputs_BY Techs'!$C70,'Key inputs_EB'!$E$150:$E$182,'Key Inputs_BY Techs'!$E70)</f>
        <v>56.365919999999996</v>
      </c>
      <c r="V70" s="119">
        <f>SUMIFS(V$14:V$36,$C$14:$C$36,$C70,$E$14:$E$36,$E70)*SUMIFS('Key inputs_EB'!U$150:U$182,'Key inputs_EB'!$C$150:$C$182,'Key Inputs_BY Techs'!$C70,'Key inputs_EB'!$E$150:$E$182,'Key Inputs_BY Techs'!$E70)</f>
        <v>125.92242</v>
      </c>
      <c r="W70" s="119">
        <f>SUMIFS(W$14:W$36,$C$14:$C$36,$C70,$E$14:$E$36,$E70)*SUMIFS('Key inputs_EB'!V$150:V$182,'Key inputs_EB'!$C$150:$C$182,'Key Inputs_BY Techs'!$C70,'Key inputs_EB'!$E$150:$E$182,'Key Inputs_BY Techs'!$E70)</f>
        <v>151.3278</v>
      </c>
      <c r="X70" s="119">
        <f>SUMIFS(X$14:X$36,$C$14:$C$36,$C70,$E$14:$E$36,$E70)*SUMIFS('Key inputs_EB'!W$150:W$182,'Key inputs_EB'!$C$150:$C$182,'Key Inputs_BY Techs'!$C70,'Key inputs_EB'!$E$150:$E$182,'Key Inputs_BY Techs'!$E70)</f>
        <v>316.43299999999999</v>
      </c>
      <c r="Y70" s="119">
        <f>SUMIFS(Y$14:Y$36,$C$14:$C$36,$C70,$E$14:$E$36,$E70)*SUMIFS('Key inputs_EB'!X$150:X$182,'Key inputs_EB'!$C$150:$C$182,'Key Inputs_BY Techs'!$C70,'Key inputs_EB'!$E$150:$E$182,'Key Inputs_BY Techs'!$E70)</f>
        <v>254.30418</v>
      </c>
      <c r="Z70" s="119">
        <f>SUMIFS(Z$14:Z$36,$C$14:$C$36,$C70,$E$14:$E$36,$E70)*SUMIFS('Key inputs_EB'!Y$150:Y$182,'Key inputs_EB'!$C$150:$C$182,'Key Inputs_BY Techs'!$C70,'Key inputs_EB'!$E$150:$E$182,'Key Inputs_BY Techs'!$E70)</f>
        <v>165.74796000000001</v>
      </c>
      <c r="AA70" s="119">
        <f>SUMIFS(AA$14:AA$36,$C$14:$C$36,$C70,$E$14:$E$36,$E70)*SUMIFS('Key inputs_EB'!Z$150:Z$182,'Key inputs_EB'!$C$150:$C$182,'Key Inputs_BY Techs'!$C70,'Key inputs_EB'!$E$150:$E$182,'Key Inputs_BY Techs'!$E70)</f>
        <v>183.24970999999999</v>
      </c>
      <c r="AB70" s="119">
        <f>SUMIFS(AB$14:AB$36,$C$14:$C$36,$C70,$E$14:$E$36,$E70)*SUMIFS('Key inputs_EB'!AA$150:AA$182,'Key inputs_EB'!$C$150:$C$182,'Key Inputs_BY Techs'!$C70,'Key inputs_EB'!$E$150:$E$182,'Key Inputs_BY Techs'!$E70)</f>
        <v>387.49255999999997</v>
      </c>
      <c r="AC70" s="119">
        <f>SUMIFS(AC$14:AC$36,$C$14:$C$36,$C70,$E$14:$E$36,$E70)*SUMIFS('Key inputs_EB'!AB$150:AB$182,'Key inputs_EB'!$C$150:$C$182,'Key Inputs_BY Techs'!$C70,'Key inputs_EB'!$E$150:$E$182,'Key Inputs_BY Techs'!$E70)</f>
        <v>183.13327999999998</v>
      </c>
      <c r="AD70" s="119">
        <f>SUMIFS(AD$14:AD$36,$C$14:$C$36,$C70,$E$14:$E$36,$E70)*SUMIFS('Key inputs_EB'!AC$150:AC$182,'Key inputs_EB'!$C$150:$C$182,'Key Inputs_BY Techs'!$C70,'Key inputs_EB'!$E$150:$E$182,'Key Inputs_BY Techs'!$E70)</f>
        <v>151.30353000000002</v>
      </c>
      <c r="AE70" s="119">
        <f>SUMIFS(AE$14:AE$36,$C$14:$C$36,$C70,$E$14:$E$36,$E70)*SUMIFS('Key inputs_EB'!AD$150:AD$182,'Key inputs_EB'!$C$150:$C$182,'Key Inputs_BY Techs'!$C70,'Key inputs_EB'!$E$150:$E$182,'Key Inputs_BY Techs'!$E70)</f>
        <v>327.48012</v>
      </c>
      <c r="AF70" s="119">
        <f>SUMIFS(AF$14:AF$36,$C$14:$C$36,$C70,$E$14:$E$36,$E70)*SUMIFS('Key inputs_EB'!AE$150:AE$182,'Key inputs_EB'!$C$150:$C$182,'Key Inputs_BY Techs'!$C70,'Key inputs_EB'!$E$150:$E$182,'Key Inputs_BY Techs'!$E70)</f>
        <v>41.351600000000005</v>
      </c>
      <c r="AG70" s="119">
        <f>SUMIFS(AG$14:AG$36,$C$14:$C$36,$C70,$E$14:$E$36,$E70)*SUMIFS('Key inputs_EB'!AF$150:AF$182,'Key inputs_EB'!$C$150:$C$182,'Key Inputs_BY Techs'!$C70,'Key inputs_EB'!$E$150:$E$182,'Key Inputs_BY Techs'!$E70)</f>
        <v>10.647600000000001</v>
      </c>
      <c r="AH70" s="119">
        <f>SUMIFS(AH$14:AH$36,$C$14:$C$36,$C70,$E$14:$E$36,$E70)*SUMIFS('Key inputs_EB'!AG$150:AG$182,'Key inputs_EB'!$C$150:$C$182,'Key Inputs_BY Techs'!$C70,'Key inputs_EB'!$E$150:$E$182,'Key Inputs_BY Techs'!$E70)</f>
        <v>198.11807999999999</v>
      </c>
      <c r="AI70" s="119">
        <f>SUMIFS(AI$14:AI$36,$C$14:$C$36,$C70,$E$14:$E$36,$E70)*SUMIFS('Key inputs_EB'!AH$150:AH$182,'Key inputs_EB'!$C$150:$C$182,'Key Inputs_BY Techs'!$C70,'Key inputs_EB'!$E$150:$E$182,'Key Inputs_BY Techs'!$E70)</f>
        <v>188.48063999999999</v>
      </c>
      <c r="AJ70" s="119">
        <f>SUMIFS(AJ$14:AJ$36,$C$14:$C$36,$C70,$E$14:$E$36,$E70)*SUMIFS('Key inputs_EB'!AI$150:AI$182,'Key inputs_EB'!$C$150:$C$182,'Key Inputs_BY Techs'!$C70,'Key inputs_EB'!$E$150:$E$182,'Key Inputs_BY Techs'!$E70)</f>
        <v>983.27207197212283</v>
      </c>
    </row>
    <row r="71" spans="1:36" x14ac:dyDescent="0.3">
      <c r="A71" s="509" t="s">
        <v>75</v>
      </c>
      <c r="B71" s="68" t="str">
        <f>Legend!A$51</f>
        <v>Other uses</v>
      </c>
      <c r="C71" s="68" t="str">
        <f t="shared" ref="C71" si="38">C36</f>
        <v>S-OTH</v>
      </c>
      <c r="D71" s="68"/>
      <c r="E71" s="68"/>
      <c r="F71" s="111" t="s">
        <v>15</v>
      </c>
      <c r="G71" s="171"/>
      <c r="H71" s="171"/>
      <c r="I71" s="119">
        <f>SUM('Key inputs_EB'!H$171:H$182)</f>
        <v>0</v>
      </c>
      <c r="J71" s="119">
        <f>SUM('Key inputs_EB'!I$171:I$182)</f>
        <v>0</v>
      </c>
      <c r="K71" s="119">
        <f>SUM('Key inputs_EB'!J$171:J$182)</f>
        <v>0</v>
      </c>
      <c r="L71" s="119">
        <f>SUM('Key inputs_EB'!K$171:K$182)</f>
        <v>0</v>
      </c>
      <c r="M71" s="119">
        <f>SUM('Key inputs_EB'!L$171:L$182)</f>
        <v>0</v>
      </c>
      <c r="N71" s="119">
        <f>SUM('Key inputs_EB'!M$171:M$182)</f>
        <v>0</v>
      </c>
      <c r="O71" s="119">
        <f>SUM('Key inputs_EB'!N$171:N$182)</f>
        <v>0</v>
      </c>
      <c r="P71" s="119">
        <f>SUM('Key inputs_EB'!O$171:O$182)</f>
        <v>0</v>
      </c>
      <c r="Q71" s="119">
        <f>SUM('Key inputs_EB'!P$171:P$182)</f>
        <v>0</v>
      </c>
      <c r="R71" s="119">
        <f>SUM('Key inputs_EB'!Q$171:Q$182)</f>
        <v>56.872200000000007</v>
      </c>
      <c r="S71" s="119">
        <f>SUM('Key inputs_EB'!R$171:R$182)</f>
        <v>0</v>
      </c>
      <c r="T71" s="119">
        <f>SUM('Key inputs_EB'!S$171:S$182)</f>
        <v>0</v>
      </c>
      <c r="U71" s="119">
        <f>SUM('Key inputs_EB'!T$171:T$182)</f>
        <v>0</v>
      </c>
      <c r="V71" s="119">
        <f>SUM('Key inputs_EB'!U$171:U$182)</f>
        <v>0</v>
      </c>
      <c r="W71" s="119">
        <f>SUM('Key inputs_EB'!V$171:V$182)</f>
        <v>0</v>
      </c>
      <c r="X71" s="119">
        <f>SUM('Key inputs_EB'!W$171:W$182)</f>
        <v>0</v>
      </c>
      <c r="Y71" s="119">
        <f>SUM('Key inputs_EB'!X$171:X$182)</f>
        <v>0</v>
      </c>
      <c r="Z71" s="119">
        <f>SUM('Key inputs_EB'!Y$171:Y$182)</f>
        <v>0</v>
      </c>
      <c r="AA71" s="119">
        <f>SUM('Key inputs_EB'!Z$171:Z$182)</f>
        <v>0</v>
      </c>
      <c r="AB71" s="119">
        <f>SUM('Key inputs_EB'!AA$171:AA$182)</f>
        <v>79.77788000000001</v>
      </c>
      <c r="AC71" s="119">
        <f>SUM('Key inputs_EB'!AB$171:AB$182)</f>
        <v>0</v>
      </c>
      <c r="AD71" s="119">
        <f>SUM('Key inputs_EB'!AC$171:AC$182)</f>
        <v>0</v>
      </c>
      <c r="AE71" s="119">
        <f>SUM('Key inputs_EB'!AD$171:AD$182)</f>
        <v>0</v>
      </c>
      <c r="AF71" s="119">
        <f>SUM('Key inputs_EB'!AE$171:AE$182)</f>
        <v>0</v>
      </c>
      <c r="AG71" s="119">
        <f>SUM('Key inputs_EB'!AF$171:AF$182)</f>
        <v>0</v>
      </c>
      <c r="AH71" s="119">
        <f>SUM('Key inputs_EB'!AG$171:AG$182)</f>
        <v>0</v>
      </c>
      <c r="AI71" s="119">
        <f>SUM('Key inputs_EB'!AH$171:AH$182)</f>
        <v>0</v>
      </c>
      <c r="AJ71" s="119">
        <f>SUM('Key inputs_EB'!AI$171:AI$182)</f>
        <v>761.53464617891655</v>
      </c>
    </row>
    <row r="72" spans="1:36" x14ac:dyDescent="0.3">
      <c r="A72" s="508"/>
      <c r="B72" s="49"/>
      <c r="C72" s="49"/>
      <c r="D72" s="49"/>
      <c r="E72" s="49"/>
      <c r="F72" s="462" t="s">
        <v>423</v>
      </c>
      <c r="G72" s="462"/>
      <c r="H72" s="78"/>
      <c r="I72" s="118">
        <f t="shared" ref="I72:AJ72" si="39">SUM(I49:I71)-I61</f>
        <v>327.31038388089939</v>
      </c>
      <c r="J72" s="118">
        <f t="shared" si="39"/>
        <v>1558.6448736071598</v>
      </c>
      <c r="K72" s="118">
        <f t="shared" si="39"/>
        <v>385.01650433858043</v>
      </c>
      <c r="L72" s="118">
        <f t="shared" si="39"/>
        <v>1022.1540692162006</v>
      </c>
      <c r="M72" s="118">
        <f t="shared" si="39"/>
        <v>1752.412950057678</v>
      </c>
      <c r="N72" s="118">
        <f t="shared" si="39"/>
        <v>1164.0350114396256</v>
      </c>
      <c r="O72" s="118">
        <f t="shared" si="39"/>
        <v>3203.9864585907776</v>
      </c>
      <c r="P72" s="118">
        <f t="shared" si="39"/>
        <v>756.88848459770804</v>
      </c>
      <c r="Q72" s="118">
        <f t="shared" si="39"/>
        <v>3862.4151138170696</v>
      </c>
      <c r="R72" s="118">
        <f t="shared" si="39"/>
        <v>4420.5872257849187</v>
      </c>
      <c r="S72" s="118">
        <f t="shared" si="39"/>
        <v>356.9833043999692</v>
      </c>
      <c r="T72" s="118">
        <f t="shared" si="39"/>
        <v>1137.9846640317742</v>
      </c>
      <c r="U72" s="118">
        <f t="shared" si="39"/>
        <v>1240.436078983581</v>
      </c>
      <c r="V72" s="118">
        <f t="shared" si="39"/>
        <v>3865.6236709519726</v>
      </c>
      <c r="W72" s="118">
        <f t="shared" si="39"/>
        <v>3356.9807404668236</v>
      </c>
      <c r="X72" s="118">
        <f t="shared" si="39"/>
        <v>9475.2335042448904</v>
      </c>
      <c r="Y72" s="118">
        <f t="shared" si="39"/>
        <v>7937.0525518984123</v>
      </c>
      <c r="Z72" s="118">
        <f t="shared" si="39"/>
        <v>2766.5591525196164</v>
      </c>
      <c r="AA72" s="118">
        <f t="shared" si="39"/>
        <v>2783.9759013215585</v>
      </c>
      <c r="AB72" s="118">
        <f t="shared" si="39"/>
        <v>9094.2895246209864</v>
      </c>
      <c r="AC72" s="118">
        <f t="shared" si="39"/>
        <v>3264.9879300635894</v>
      </c>
      <c r="AD72" s="118">
        <f t="shared" si="39"/>
        <v>2673.5269754247875</v>
      </c>
      <c r="AE72" s="118">
        <f t="shared" si="39"/>
        <v>5675.1662305679565</v>
      </c>
      <c r="AF72" s="118">
        <f t="shared" si="39"/>
        <v>774.61051821911838</v>
      </c>
      <c r="AG72" s="118">
        <f t="shared" si="39"/>
        <v>238.63952657714128</v>
      </c>
      <c r="AH72" s="118">
        <f t="shared" si="39"/>
        <v>4765.9711011689624</v>
      </c>
      <c r="AI72" s="118">
        <f t="shared" si="39"/>
        <v>5139.6708082177583</v>
      </c>
      <c r="AJ72" s="118">
        <f t="shared" si="39"/>
        <v>40189.947999119213</v>
      </c>
    </row>
    <row r="73" spans="1:36" x14ac:dyDescent="0.3">
      <c r="H73" s="563"/>
      <c r="J73" s="563"/>
    </row>
    <row r="74" spans="1:36" ht="18" x14ac:dyDescent="0.3">
      <c r="B74" s="173" t="s">
        <v>196</v>
      </c>
      <c r="C74" s="173" t="s">
        <v>187</v>
      </c>
      <c r="D74" s="92"/>
      <c r="E74" s="92"/>
      <c r="F74" s="92"/>
      <c r="G74" s="92"/>
      <c r="H74" s="564"/>
      <c r="I74" s="119"/>
      <c r="J74" s="119"/>
      <c r="K74" s="119"/>
      <c r="L74" s="565"/>
      <c r="M74" s="119"/>
      <c r="N74" s="119"/>
      <c r="O74" s="119"/>
      <c r="P74" s="119"/>
      <c r="Q74" s="119"/>
      <c r="R74" s="119"/>
      <c r="S74" s="119"/>
      <c r="T74" s="119"/>
      <c r="U74" s="119"/>
      <c r="V74" s="119"/>
      <c r="W74" s="119"/>
      <c r="X74" s="119"/>
      <c r="Y74" s="119"/>
      <c r="Z74" s="119"/>
      <c r="AA74" s="119"/>
      <c r="AB74" s="119"/>
      <c r="AC74" s="119"/>
      <c r="AD74" s="119"/>
      <c r="AE74" s="119"/>
      <c r="AF74" s="119"/>
      <c r="AG74" s="119"/>
      <c r="AH74" s="119"/>
      <c r="AI74" s="119"/>
      <c r="AJ74" s="119"/>
    </row>
    <row r="75" spans="1:36" x14ac:dyDescent="0.3">
      <c r="B75" s="61" t="s">
        <v>98</v>
      </c>
      <c r="C75" s="61"/>
      <c r="D75" s="64" t="s">
        <v>99</v>
      </c>
      <c r="E75" s="64"/>
      <c r="F75" s="61" t="s">
        <v>49</v>
      </c>
      <c r="G75" s="61"/>
      <c r="H75" s="61"/>
      <c r="I75" s="62" t="s">
        <v>457</v>
      </c>
      <c r="J75" s="62" t="s">
        <v>458</v>
      </c>
      <c r="K75" s="62" t="s">
        <v>460</v>
      </c>
      <c r="L75" s="62" t="s">
        <v>459</v>
      </c>
      <c r="M75" s="62" t="s">
        <v>461</v>
      </c>
      <c r="N75" s="62" t="s">
        <v>463</v>
      </c>
      <c r="O75" s="62" t="s">
        <v>464</v>
      </c>
      <c r="P75" s="62" t="s">
        <v>465</v>
      </c>
      <c r="Q75" s="62" t="s">
        <v>1</v>
      </c>
      <c r="R75" s="62" t="s">
        <v>2</v>
      </c>
      <c r="S75" s="62" t="s">
        <v>707</v>
      </c>
      <c r="T75" s="62" t="s">
        <v>3</v>
      </c>
      <c r="U75" s="62" t="s">
        <v>467</v>
      </c>
      <c r="V75" s="62" t="s">
        <v>468</v>
      </c>
      <c r="W75" s="62" t="s">
        <v>469</v>
      </c>
      <c r="X75" s="62" t="s">
        <v>708</v>
      </c>
      <c r="Y75" s="62" t="s">
        <v>470</v>
      </c>
      <c r="Z75" s="62" t="s">
        <v>5</v>
      </c>
      <c r="AA75" s="62" t="s">
        <v>6</v>
      </c>
      <c r="AB75" s="62" t="s">
        <v>7</v>
      </c>
      <c r="AC75" s="62" t="s">
        <v>8</v>
      </c>
      <c r="AD75" s="62" t="s">
        <v>709</v>
      </c>
      <c r="AE75" s="62" t="s">
        <v>9</v>
      </c>
      <c r="AF75" s="62" t="s">
        <v>10</v>
      </c>
      <c r="AG75" s="62" t="s">
        <v>710</v>
      </c>
      <c r="AH75" s="62" t="s">
        <v>11</v>
      </c>
      <c r="AI75" s="62" t="s">
        <v>711</v>
      </c>
      <c r="AJ75" s="62" t="s">
        <v>13</v>
      </c>
    </row>
    <row r="76" spans="1:36" s="563" customFormat="1" ht="15" thickBot="1" x14ac:dyDescent="0.35">
      <c r="A76" s="572"/>
      <c r="B76" s="571" t="s">
        <v>30</v>
      </c>
      <c r="C76" s="571" t="s">
        <v>35</v>
      </c>
      <c r="D76" s="571" t="s">
        <v>30</v>
      </c>
      <c r="E76" s="571" t="s">
        <v>35</v>
      </c>
      <c r="F76" s="571"/>
      <c r="G76" s="571"/>
      <c r="H76" s="571"/>
      <c r="I76" s="571" t="s">
        <v>477</v>
      </c>
      <c r="J76" s="571" t="s">
        <v>478</v>
      </c>
      <c r="K76" s="571" t="s">
        <v>480</v>
      </c>
      <c r="L76" s="571" t="s">
        <v>479</v>
      </c>
      <c r="M76" s="571" t="s">
        <v>481</v>
      </c>
      <c r="N76" s="571" t="s">
        <v>482</v>
      </c>
      <c r="O76" s="571" t="s">
        <v>483</v>
      </c>
      <c r="P76" s="571" t="s">
        <v>484</v>
      </c>
      <c r="Q76" s="571" t="s">
        <v>90</v>
      </c>
      <c r="R76" s="571" t="s">
        <v>91</v>
      </c>
      <c r="S76" s="571" t="s">
        <v>715</v>
      </c>
      <c r="T76" s="571" t="s">
        <v>716</v>
      </c>
      <c r="U76" s="571" t="s">
        <v>485</v>
      </c>
      <c r="V76" s="571" t="s">
        <v>486</v>
      </c>
      <c r="W76" s="571" t="s">
        <v>487</v>
      </c>
      <c r="X76" s="571" t="s">
        <v>717</v>
      </c>
      <c r="Y76" s="571" t="s">
        <v>488</v>
      </c>
      <c r="Z76" s="571" t="s">
        <v>718</v>
      </c>
      <c r="AA76" s="571" t="s">
        <v>92</v>
      </c>
      <c r="AB76" s="571" t="s">
        <v>93</v>
      </c>
      <c r="AC76" s="571" t="s">
        <v>94</v>
      </c>
      <c r="AD76" s="571" t="s">
        <v>719</v>
      </c>
      <c r="AE76" s="571" t="s">
        <v>720</v>
      </c>
      <c r="AF76" s="571" t="s">
        <v>95</v>
      </c>
      <c r="AG76" s="571" t="s">
        <v>721</v>
      </c>
      <c r="AH76" s="571" t="s">
        <v>722</v>
      </c>
      <c r="AI76" s="571" t="s">
        <v>769</v>
      </c>
      <c r="AJ76" s="571" t="s">
        <v>489</v>
      </c>
    </row>
    <row r="77" spans="1:36" s="52" customFormat="1" x14ac:dyDescent="0.3">
      <c r="A77" s="505" t="str">
        <f>'SRV_BY Techs'!$L$91</f>
        <v>PRC_RESID</v>
      </c>
      <c r="B77" s="49" t="str">
        <f t="shared" ref="B77:E98" si="40">B49</f>
        <v>Thermal uses</v>
      </c>
      <c r="C77" s="49" t="str">
        <f t="shared" si="40"/>
        <v>S-TH</v>
      </c>
      <c r="D77" s="49" t="str">
        <f t="shared" si="40"/>
        <v>Biomass, Waste</v>
      </c>
      <c r="E77" s="49" t="str">
        <f t="shared" si="40"/>
        <v>SRVBIO, SRVWAS</v>
      </c>
      <c r="F77" s="49" t="s">
        <v>181</v>
      </c>
      <c r="G77" s="49"/>
      <c r="H77" s="49"/>
      <c r="I77" s="84">
        <f>I49/('SRV_BY Techs'!$M6*SUMIFS(I$132:I$135,$C$132:$C$135,$C77)/8760)</f>
        <v>547.74230091428569</v>
      </c>
      <c r="J77" s="84">
        <f>J49/('SRV_BY Techs'!$M6*SUMIFS(J$132:J$135,$C$132:$C$135,$C77)/8760)</f>
        <v>10.631539408695653</v>
      </c>
      <c r="K77" s="84">
        <f>K49/('SRV_BY Techs'!$M6*SUMIFS(K$132:K$135,$C$132:$C$135,$C77)/8760)</f>
        <v>864.36785804651163</v>
      </c>
      <c r="L77" s="84">
        <f>L49/('SRV_BY Techs'!$M6*SUMIFS(L$132:L$135,$C$132:$C$135,$C77)/8760)</f>
        <v>4.471362556701032</v>
      </c>
      <c r="M77" s="84">
        <f>M49/('SRV_BY Techs'!$M6*SUMIFS(M$132:M$135,$C$132:$C$135,$C77)/8760)</f>
        <v>0.35004874828060528</v>
      </c>
      <c r="N77" s="84">
        <f>N49/('SRV_BY Techs'!$M6*SUMIFS(N$132:N$135,$C$132:$C$135,$C77)/8760)</f>
        <v>0.43979537463976942</v>
      </c>
      <c r="O77" s="84">
        <f>O49/('SRV_BY Techs'!$M6*SUMIFS(O$132:O$135,$C$132:$C$135,$C77)/8760)</f>
        <v>172.35355499999997</v>
      </c>
      <c r="P77" s="84">
        <f>P49/('SRV_BY Techs'!$M6*SUMIFS(P$132:P$135,$C$132:$C$135,$C77)/8760)</f>
        <v>11.631649982964225</v>
      </c>
      <c r="Q77" s="84">
        <f>Q49/('SRV_BY Techs'!$M6*SUMIFS(Q$132:Q$135,$C$132:$C$135,$C77)/8760)</f>
        <v>13.320099000000004</v>
      </c>
      <c r="R77" s="84">
        <f>R49/('SRV_BY Techs'!$M6*SUMIFS(R$132:R$135,$C$132:$C$135,$C77)/8760)</f>
        <v>0</v>
      </c>
      <c r="S77" s="84">
        <f>S49/('SRV_BY Techs'!$M6*SUMIFS(S$132:S$135,$C$132:$C$135,$C77)/8760)</f>
        <v>8.23961545595054E-2</v>
      </c>
      <c r="T77" s="84">
        <f>T49/('SRV_BY Techs'!$M6*SUMIFS(T$132:T$135,$C$132:$C$135,$C77)/8760)</f>
        <v>9.7011736167664662</v>
      </c>
      <c r="U77" s="84">
        <f>U49/('SRV_BY Techs'!$M6*SUMIFS(U$132:U$135,$C$132:$C$135,$C77)/8760)</f>
        <v>4.0088142253521122</v>
      </c>
      <c r="V77" s="84">
        <f>V49/('SRV_BY Techs'!$M6*SUMIFS(V$132:V$135,$C$132:$C$135,$C77)/8760)</f>
        <v>7.6796941006097574</v>
      </c>
      <c r="W77" s="84">
        <f>W49/('SRV_BY Techs'!$M6*SUMIFS(W$132:W$135,$C$132:$C$135,$C77)/8760)</f>
        <v>5.6238978005489475</v>
      </c>
      <c r="X77" s="84">
        <f>X49/('SRV_BY Techs'!$M6*SUMIFS(X$132:X$135,$C$132:$C$135,$C77)/8760)</f>
        <v>12.556074037993177</v>
      </c>
      <c r="Y77" s="84">
        <f>Y49/('SRV_BY Techs'!$M6*SUMIFS(Y$132:Y$135,$C$132:$C$135,$C77)/8760)</f>
        <v>26.569368000000001</v>
      </c>
      <c r="Z77" s="84">
        <f>Z49/('SRV_BY Techs'!$M6*SUMIFS(Z$132:Z$135,$C$132:$C$135,$C77)/8760)</f>
        <v>1355.5785052173912</v>
      </c>
      <c r="AA77" s="84">
        <f>AA49/('SRV_BY Techs'!$M6*SUMIFS(AA$132:AA$135,$C$132:$C$135,$C77)/8760)</f>
        <v>118.796436</v>
      </c>
      <c r="AB77" s="84">
        <f>AB49/('SRV_BY Techs'!$M6*SUMIFS(AB$132:AB$135,$C$132:$C$135,$C77)/8760)</f>
        <v>48.180203629764065</v>
      </c>
      <c r="AC77" s="84">
        <f>AC49/('SRV_BY Techs'!$M6*SUMIFS(AC$132:AC$135,$C$132:$C$135,$C77)/8760)</f>
        <v>22.819138686131385</v>
      </c>
      <c r="AD77" s="84">
        <f>AD49/('SRV_BY Techs'!$M6*SUMIFS(AD$132:AD$135,$C$132:$C$135,$C77)/8760)</f>
        <v>3.0671377732587695E-2</v>
      </c>
      <c r="AE77" s="84">
        <f>AE49/('SRV_BY Techs'!$M6*SUMIFS(AE$132:AE$135,$C$132:$C$135,$C77)/8760)</f>
        <v>0</v>
      </c>
      <c r="AF77" s="84">
        <f>AF49/('SRV_BY Techs'!$M6*SUMIFS(AF$132:AF$135,$C$132:$C$135,$C77)/8760)</f>
        <v>0</v>
      </c>
      <c r="AG77" s="84">
        <f>AG49/('SRV_BY Techs'!$M6*SUMIFS(AG$132:AG$135,$C$132:$C$135,$C77)/8760)</f>
        <v>731.04233400000021</v>
      </c>
      <c r="AH77" s="84">
        <f>AH49/('SRV_BY Techs'!$M6*SUMIFS(AH$132:AH$135,$C$132:$C$135,$C77)/8760)</f>
        <v>10.971258011257037</v>
      </c>
      <c r="AI77" s="84">
        <f>AI49/('SRV_BY Techs'!$M6*SUMIFS(AI$132:AI$135,$C$132:$C$135,$C77)/8760)</f>
        <v>11.746315959885388</v>
      </c>
      <c r="AJ77" s="84">
        <f>AJ49/('SRV_BY Techs'!$M6*SUMIFS(AJ$132:AJ$135,$C$132:$C$135,$C77)/8760)</f>
        <v>37.659362096293137</v>
      </c>
    </row>
    <row r="78" spans="1:36" s="49" customFormat="1" x14ac:dyDescent="0.3">
      <c r="A78" s="505" t="str">
        <f>'SRV_BY Techs'!$L$91</f>
        <v>PRC_RESID</v>
      </c>
      <c r="B78" s="49" t="str">
        <f t="shared" si="40"/>
        <v>Thermal uses</v>
      </c>
      <c r="C78" s="49" t="str">
        <f t="shared" si="40"/>
        <v>S-TH</v>
      </c>
      <c r="D78" s="49" t="str">
        <f t="shared" si="40"/>
        <v>Coal</v>
      </c>
      <c r="E78" s="49" t="str">
        <f t="shared" si="40"/>
        <v>SRVCOA</v>
      </c>
      <c r="F78" s="49" t="s">
        <v>181</v>
      </c>
      <c r="I78" s="84">
        <f>I50/('SRV_BY Techs'!$M7*SUMIFS(I$132:I$135,$C$132:$C$135,$C78)/8760)</f>
        <v>0</v>
      </c>
      <c r="J78" s="84">
        <f>J50/('SRV_BY Techs'!$M7*SUMIFS(J$132:J$135,$C$132:$C$135,$C78)/8760)</f>
        <v>0</v>
      </c>
      <c r="K78" s="84">
        <f>K50/('SRV_BY Techs'!$M7*SUMIFS(K$132:K$135,$C$132:$C$135,$C78)/8760)</f>
        <v>0</v>
      </c>
      <c r="L78" s="84">
        <f>L50/('SRV_BY Techs'!$M7*SUMIFS(L$132:L$135,$C$132:$C$135,$C78)/8760)</f>
        <v>171.02092442010314</v>
      </c>
      <c r="M78" s="84">
        <f>M50/('SRV_BY Techs'!$M7*SUMIFS(M$132:M$135,$C$132:$C$135,$C78)/8760)</f>
        <v>2.5477236932599725</v>
      </c>
      <c r="N78" s="84">
        <f>N50/('SRV_BY Techs'!$M7*SUMIFS(N$132:N$135,$C$132:$C$135,$C78)/8760)</f>
        <v>26.894494776657066</v>
      </c>
      <c r="O78" s="84">
        <f>O50/('SRV_BY Techs'!$M7*SUMIFS(O$132:O$135,$C$132:$C$135,$C78)/8760)</f>
        <v>147.8360361328125</v>
      </c>
      <c r="P78" s="84">
        <f>P50/('SRV_BY Techs'!$M7*SUMIFS(P$132:P$135,$C$132:$C$135,$C78)/8760)</f>
        <v>0</v>
      </c>
      <c r="Q78" s="84">
        <f>Q50/('SRV_BY Techs'!$M7*SUMIFS(Q$132:Q$135,$C$132:$C$135,$C78)/8760)</f>
        <v>0</v>
      </c>
      <c r="R78" s="84">
        <f>R50/('SRV_BY Techs'!$M7*SUMIFS(R$132:R$135,$C$132:$C$135,$C78)/8760)</f>
        <v>0</v>
      </c>
      <c r="S78" s="84">
        <f>S50/('SRV_BY Techs'!$M7*SUMIFS(S$132:S$135,$C$132:$C$135,$C78)/8760)</f>
        <v>0</v>
      </c>
      <c r="T78" s="84">
        <f>T50/('SRV_BY Techs'!$M7*SUMIFS(T$132:T$135,$C$132:$C$135,$C78)/8760)</f>
        <v>10.483729111008753</v>
      </c>
      <c r="U78" s="84">
        <f>U50/('SRV_BY Techs'!$M7*SUMIFS(U$132:U$135,$C$132:$C$135,$C78)/8760)</f>
        <v>7.788796214788734</v>
      </c>
      <c r="V78" s="84">
        <f>V50/('SRV_BY Techs'!$M7*SUMIFS(V$132:V$135,$C$132:$C$135,$C78)/8760)</f>
        <v>0.2830435403963415</v>
      </c>
      <c r="W78" s="84">
        <f>W50/('SRV_BY Techs'!$M7*SUMIFS(W$132:W$135,$C$132:$C$135,$C78)/8760)</f>
        <v>5.9613035681610249</v>
      </c>
      <c r="X78" s="84">
        <f>X50/('SRV_BY Techs'!$M7*SUMIFS(X$132:X$135,$C$132:$C$135,$C78)/8760)</f>
        <v>0.83762816609839252</v>
      </c>
      <c r="Y78" s="84">
        <f>Y50/('SRV_BY Techs'!$M7*SUMIFS(Y$132:Y$135,$C$132:$C$135,$C78)/8760)</f>
        <v>0.12150000000000001</v>
      </c>
      <c r="Z78" s="84">
        <f>Z50/('SRV_BY Techs'!$M7*SUMIFS(Z$132:Z$135,$C$132:$C$135,$C78)/8760)</f>
        <v>822.98807608695643</v>
      </c>
      <c r="AA78" s="84">
        <f>AA50/('SRV_BY Techs'!$M7*SUMIFS(AA$132:AA$135,$C$132:$C$135,$C78)/8760)</f>
        <v>0</v>
      </c>
      <c r="AB78" s="84">
        <f>AB50/('SRV_BY Techs'!$M7*SUMIFS(AB$132:AB$135,$C$132:$C$135,$C78)/8760)</f>
        <v>2.7400603720508165</v>
      </c>
      <c r="AC78" s="84">
        <f>AC50/('SRV_BY Techs'!$M7*SUMIFS(AC$132:AC$135,$C$132:$C$135,$C78)/8760)</f>
        <v>0</v>
      </c>
      <c r="AD78" s="84">
        <f>AD50/('SRV_BY Techs'!$M7*SUMIFS(AD$132:AD$135,$C$132:$C$135,$C78)/8760)</f>
        <v>65.106389107778341</v>
      </c>
      <c r="AE78" s="84">
        <f>AE50/('SRV_BY Techs'!$M7*SUMIFS(AE$132:AE$135,$C$132:$C$135,$C78)/8760)</f>
        <v>0</v>
      </c>
      <c r="AF78" s="84">
        <f>AF50/('SRV_BY Techs'!$M7*SUMIFS(AF$132:AF$135,$C$132:$C$135,$C78)/8760)</f>
        <v>0</v>
      </c>
      <c r="AG78" s="84">
        <f>AG50/('SRV_BY Techs'!$M7*SUMIFS(AG$132:AG$135,$C$132:$C$135,$C78)/8760)</f>
        <v>0</v>
      </c>
      <c r="AH78" s="84">
        <f>AH50/('SRV_BY Techs'!$M7*SUMIFS(AH$132:AH$135,$C$132:$C$135,$C78)/8760)</f>
        <v>7.9071460287679827</v>
      </c>
      <c r="AI78" s="84">
        <f>AI50/('SRV_BY Techs'!$M7*SUMIFS(AI$132:AI$135,$C$132:$C$135,$C78)/8760)</f>
        <v>0</v>
      </c>
      <c r="AJ78" s="84">
        <f>AJ50/('SRV_BY Techs'!$M7*SUMIFS(AJ$132:AJ$135,$C$132:$C$135,$C78)/8760)</f>
        <v>7.7593341499786961</v>
      </c>
    </row>
    <row r="79" spans="1:36" s="49" customFormat="1" x14ac:dyDescent="0.3">
      <c r="A79" s="505" t="str">
        <f>'SRV_BY Techs'!$L$91</f>
        <v>PRC_RESID</v>
      </c>
      <c r="B79" s="49" t="str">
        <f t="shared" si="40"/>
        <v>Thermal uses</v>
      </c>
      <c r="C79" s="49" t="str">
        <f t="shared" si="40"/>
        <v>S-TH</v>
      </c>
      <c r="D79" s="49" t="str">
        <f t="shared" si="40"/>
        <v>Electricity</v>
      </c>
      <c r="E79" s="49" t="str">
        <f t="shared" si="40"/>
        <v>SRVELC</v>
      </c>
      <c r="F79" s="49" t="s">
        <v>181</v>
      </c>
      <c r="I79" s="84">
        <f>I51/('SRV_BY Techs'!$M8*SUMIFS(I$132:I$135,$C$132:$C$135,$C79)/8760)</f>
        <v>29.557684671428571</v>
      </c>
      <c r="J79" s="84">
        <f>J51/('SRV_BY Techs'!$M8*SUMIFS(J$132:J$135,$C$132:$C$135,$C79)/8760)</f>
        <v>16.571241978260868</v>
      </c>
      <c r="K79" s="84">
        <f>K51/('SRV_BY Techs'!$M8*SUMIFS(K$132:K$135,$C$132:$C$135,$C79)/8760)</f>
        <v>92.705683604651156</v>
      </c>
      <c r="L79" s="84">
        <f>L51/('SRV_BY Techs'!$M8*SUMIFS(L$132:L$135,$C$132:$C$135,$C79)/8760)</f>
        <v>26.929760592525774</v>
      </c>
      <c r="M79" s="84">
        <f>M51/('SRV_BY Techs'!$M8*SUMIFS(M$132:M$135,$C$132:$C$135,$C79)/8760)</f>
        <v>84.512506938239355</v>
      </c>
      <c r="N79" s="84">
        <f>N51/('SRV_BY Techs'!$M8*SUMIFS(N$132:N$135,$C$132:$C$135,$C79)/8760)</f>
        <v>10.84429495244957</v>
      </c>
      <c r="O79" s="84">
        <f>O51/('SRV_BY Techs'!$M8*SUMIFS(O$132:O$135,$C$132:$C$135,$C79)/8760)</f>
        <v>1008.2904708164062</v>
      </c>
      <c r="P79" s="84">
        <f>P51/('SRV_BY Techs'!$M8*SUMIFS(P$132:P$135,$C$132:$C$135,$C79)/8760)</f>
        <v>25.398206210391823</v>
      </c>
      <c r="Q79" s="84">
        <f>Q51/('SRV_BY Techs'!$M8*SUMIFS(Q$132:Q$135,$C$132:$C$135,$C79)/8760)</f>
        <v>348.10139182500001</v>
      </c>
      <c r="R79" s="84">
        <f>R51/('SRV_BY Techs'!$M8*SUMIFS(R$132:R$135,$C$132:$C$135,$C79)/8760)</f>
        <v>36.329449698938994</v>
      </c>
      <c r="S79" s="84">
        <f>S51/('SRV_BY Techs'!$M8*SUMIFS(S$132:S$135,$C$132:$C$135,$C79)/8760)</f>
        <v>1.0297230537867077</v>
      </c>
      <c r="T79" s="84">
        <f>T51/('SRV_BY Techs'!$M8*SUMIFS(T$132:T$135,$C$132:$C$135,$C79)/8760)</f>
        <v>3.0000509369875634</v>
      </c>
      <c r="U79" s="84">
        <f>U51/('SRV_BY Techs'!$M8*SUMIFS(U$132:U$135,$C$132:$C$135,$C79)/8760)</f>
        <v>15.118570267605635</v>
      </c>
      <c r="V79" s="84">
        <f>V51/('SRV_BY Techs'!$M8*SUMIFS(V$132:V$135,$C$132:$C$135,$C79)/8760)</f>
        <v>58.460541082717221</v>
      </c>
      <c r="W79" s="84">
        <f>W51/('SRV_BY Techs'!$M8*SUMIFS(W$132:W$135,$C$132:$C$135,$C79)/8760)</f>
        <v>23.202442235132661</v>
      </c>
      <c r="X79" s="84">
        <f>X51/('SRV_BY Techs'!$M8*SUMIFS(X$132:X$135,$C$132:$C$135,$C79)/8760)</f>
        <v>187.76576854968334</v>
      </c>
      <c r="Y79" s="84">
        <f>Y51/('SRV_BY Techs'!$M8*SUMIFS(Y$132:Y$135,$C$132:$C$135,$C79)/8760)</f>
        <v>101.67276734999999</v>
      </c>
      <c r="Z79" s="84">
        <f>Z51/('SRV_BY Techs'!$M8*SUMIFS(Z$132:Z$135,$C$132:$C$135,$C79)/8760)</f>
        <v>2329.1165859260864</v>
      </c>
      <c r="AA79" s="84">
        <f>AA51/('SRV_BY Techs'!$M8*SUMIFS(AA$132:AA$135,$C$132:$C$135,$C79)/8760)</f>
        <v>55.663760174506571</v>
      </c>
      <c r="AB79" s="84">
        <f>AB51/('SRV_BY Techs'!$M8*SUMIFS(AB$132:AB$135,$C$132:$C$135,$C79)/8760)</f>
        <v>51.994721362976399</v>
      </c>
      <c r="AC79" s="84">
        <f>AC51/('SRV_BY Techs'!$M8*SUMIFS(AC$132:AC$135,$C$132:$C$135,$C79)/8760)</f>
        <v>61.095668338686117</v>
      </c>
      <c r="AD79" s="84">
        <f>AD51/('SRV_BY Techs'!$M8*SUMIFS(AD$132:AD$135,$C$132:$C$135,$C79)/8760)</f>
        <v>28.29687634697509</v>
      </c>
      <c r="AE79" s="84">
        <f>AE51/('SRV_BY Techs'!$M8*SUMIFS(AE$132:AE$135,$C$132:$C$135,$C79)/8760)</f>
        <v>96.453124097678128</v>
      </c>
      <c r="AF79" s="84">
        <f>AF51/('SRV_BY Techs'!$M8*SUMIFS(AF$132:AF$135,$C$132:$C$135,$C79)/8760)</f>
        <v>38.499488255555555</v>
      </c>
      <c r="AG79" s="84">
        <f>AG51/('SRV_BY Techs'!$M8*SUMIFS(AG$132:AG$135,$C$132:$C$135,$C79)/8760)</f>
        <v>46.325199271153849</v>
      </c>
      <c r="AH79" s="84">
        <f>AH51/('SRV_BY Techs'!$M8*SUMIFS(AH$132:AH$135,$C$132:$C$135,$C79)/8760)</f>
        <v>34.606648360225144</v>
      </c>
      <c r="AI79" s="84">
        <f>AI51/('SRV_BY Techs'!$M8*SUMIFS(AI$132:AI$135,$C$132:$C$135,$C79)/8760)</f>
        <v>25.454759356160459</v>
      </c>
      <c r="AJ79" s="84">
        <f>AJ51/('SRV_BY Techs'!$M8*SUMIFS(AJ$132:AJ$135,$C$132:$C$135,$C79)/8760)</f>
        <v>293.17024907836395</v>
      </c>
    </row>
    <row r="80" spans="1:36" s="49" customFormat="1" x14ac:dyDescent="0.3">
      <c r="A80" s="505" t="str">
        <f>'SRV_BY Techs'!$L$91</f>
        <v>PRC_RESID</v>
      </c>
      <c r="B80" s="49" t="str">
        <f t="shared" si="40"/>
        <v>Thermal uses</v>
      </c>
      <c r="C80" s="49" t="str">
        <f t="shared" si="40"/>
        <v>S-TH</v>
      </c>
      <c r="D80" s="49" t="str">
        <f t="shared" si="40"/>
        <v>Electricity (Heat Pump)</v>
      </c>
      <c r="E80" s="49" t="str">
        <f t="shared" si="40"/>
        <v>SRVELC</v>
      </c>
      <c r="F80" s="49" t="s">
        <v>181</v>
      </c>
      <c r="I80" s="84">
        <f>I52/('SRV_BY Techs'!$M9*SUMIFS(I$132:I$135,$C$132:$C$135,$C80)/8760)</f>
        <v>8.8427569315555559</v>
      </c>
      <c r="J80" s="84">
        <f>J52/('SRV_BY Techs'!$M9*SUMIFS(J$132:J$135,$C$132:$C$135,$C80)/8760)</f>
        <v>4.9576097213526573</v>
      </c>
      <c r="K80" s="84">
        <f>K52/('SRV_BY Techs'!$M9*SUMIFS(K$132:K$135,$C$132:$C$135,$C80)/8760)</f>
        <v>27.734710462015506</v>
      </c>
      <c r="L80" s="84">
        <f>L52/('SRV_BY Techs'!$M9*SUMIFS(L$132:L$135,$C$132:$C$135,$C80)/8760)</f>
        <v>8.0565622710927833</v>
      </c>
      <c r="M80" s="84">
        <f>M52/('SRV_BY Techs'!$M9*SUMIFS(M$132:M$135,$C$132:$C$135,$C80)/8760)</f>
        <v>22.574609036252482</v>
      </c>
      <c r="N80" s="84">
        <f>N52/('SRV_BY Techs'!$M9*SUMIFS(N$132:N$135,$C$132:$C$135,$C80)/8760)</f>
        <v>2.4042446968651943</v>
      </c>
      <c r="O80" s="84">
        <f>O52/('SRV_BY Techs'!$M9*SUMIFS(O$132:O$135,$C$132:$C$135,$C80)/8760)</f>
        <v>223.54399506742183</v>
      </c>
      <c r="P80" s="84">
        <f>P52/('SRV_BY Techs'!$M9*SUMIFS(P$132:P$135,$C$132:$C$135,$C80)/8760)</f>
        <v>6.7842571022146494</v>
      </c>
      <c r="Q80" s="84">
        <f>Q52/('SRV_BY Techs'!$M9*SUMIFS(Q$132:Q$135,$C$132:$C$135,$C80)/8760)</f>
        <v>104.14130976977779</v>
      </c>
      <c r="R80" s="84">
        <f>R52/('SRV_BY Techs'!$M9*SUMIFS(R$132:R$135,$C$132:$C$135,$C80)/8760)</f>
        <v>9.7041627703114273</v>
      </c>
      <c r="S80" s="84">
        <f>S52/('SRV_BY Techs'!$M9*SUMIFS(S$132:S$135,$C$132:$C$135,$C80)/8760)</f>
        <v>0.30806170282534773</v>
      </c>
      <c r="T80" s="84">
        <f>T52/('SRV_BY Techs'!$M9*SUMIFS(T$132:T$135,$C$132:$C$135,$C80)/8760)</f>
        <v>0.66512913815098007</v>
      </c>
      <c r="U80" s="84">
        <f>U52/('SRV_BY Techs'!$M9*SUMIFS(U$132:U$135,$C$132:$C$135,$C80)/8760)</f>
        <v>4.523014691956182</v>
      </c>
      <c r="V80" s="84">
        <f>V52/('SRV_BY Techs'!$M9*SUMIFS(V$132:V$135,$C$132:$C$135,$C80)/8760)</f>
        <v>17.489609237945121</v>
      </c>
      <c r="W80" s="84">
        <f>W52/('SRV_BY Techs'!$M9*SUMIFS(W$132:W$135,$C$132:$C$135,$C80)/8760)</f>
        <v>6.941462404261463</v>
      </c>
      <c r="X80" s="84">
        <f>X52/('SRV_BY Techs'!$M9*SUMIFS(X$132:X$135,$C$132:$C$135,$C80)/8760)</f>
        <v>41.628787788220478</v>
      </c>
      <c r="Y80" s="84">
        <f>Y52/('SRV_BY Techs'!$M9*SUMIFS(Y$132:Y$135,$C$132:$C$135,$C80)/8760)</f>
        <v>22.541457308999995</v>
      </c>
      <c r="Z80" s="84">
        <f>Z52/('SRV_BY Techs'!$M9*SUMIFS(Z$132:Z$135,$C$132:$C$135,$C80)/8760)</f>
        <v>516.37900155313037</v>
      </c>
      <c r="AA80" s="84">
        <f>AA52/('SRV_BY Techs'!$M9*SUMIFS(AA$132:AA$135,$C$132:$C$135,$C80)/8760)</f>
        <v>14.86865872225877</v>
      </c>
      <c r="AB80" s="84">
        <f>AB52/('SRV_BY Techs'!$M9*SUMIFS(AB$132:AB$135,$C$132:$C$135,$C80)/8760)</f>
        <v>13.888601217046446</v>
      </c>
      <c r="AC80" s="84">
        <f>AC52/('SRV_BY Techs'!$M9*SUMIFS(AC$132:AC$135,$C$132:$C$135,$C80)/8760)</f>
        <v>18.277958869091105</v>
      </c>
      <c r="AD80" s="84">
        <f>AD52/('SRV_BY Techs'!$M9*SUMIFS(AD$132:AD$135,$C$132:$C$135,$C80)/8760)</f>
        <v>8.4655615702016629</v>
      </c>
      <c r="AE80" s="84">
        <f>AE52/('SRV_BY Techs'!$M9*SUMIFS(AE$132:AE$135,$C$132:$C$135,$C80)/8760)</f>
        <v>28.855830257550039</v>
      </c>
      <c r="AF80" s="84">
        <f>AF52/('SRV_BY Techs'!$M9*SUMIFS(AF$132:AF$135,$C$132:$C$135,$C80)/8760)</f>
        <v>11.517871593042523</v>
      </c>
      <c r="AG80" s="84">
        <f>AG52/('SRV_BY Techs'!$M9*SUMIFS(AG$132:AG$135,$C$132:$C$135,$C80)/8760)</f>
        <v>13.859085429538464</v>
      </c>
      <c r="AH80" s="84">
        <f>AH52/('SRV_BY Techs'!$M9*SUMIFS(AH$132:AH$135,$C$132:$C$135,$C80)/8760)</f>
        <v>10.353252735018648</v>
      </c>
      <c r="AI80" s="84">
        <f>AI52/('SRV_BY Techs'!$M9*SUMIFS(AI$132:AI$135,$C$132:$C$135,$C80)/8760)</f>
        <v>5.6434715636542494</v>
      </c>
      <c r="AJ80" s="84">
        <f>AJ52/('SRV_BY Techs'!$M9*SUMIFS(AJ$132:AJ$135,$C$132:$C$135,$C80)/8760)</f>
        <v>64.997588106554446</v>
      </c>
    </row>
    <row r="81" spans="1:36" s="88" customFormat="1" x14ac:dyDescent="0.3">
      <c r="A81" s="505" t="str">
        <f>'SRV_BY Techs'!$L$91</f>
        <v>PRC_RESID</v>
      </c>
      <c r="B81" s="49" t="str">
        <f t="shared" si="40"/>
        <v>Thermal uses</v>
      </c>
      <c r="C81" s="49" t="str">
        <f t="shared" si="40"/>
        <v>S-TH</v>
      </c>
      <c r="D81" s="49" t="str">
        <f t="shared" si="40"/>
        <v>Natural gas, Biogas</v>
      </c>
      <c r="E81" s="49" t="str">
        <f t="shared" si="40"/>
        <v>SRVGAS, SRVBGS</v>
      </c>
      <c r="F81" s="49" t="s">
        <v>181</v>
      </c>
      <c r="G81" s="49"/>
      <c r="H81" s="49"/>
      <c r="I81" s="84">
        <f>I53/('SRV_BY Techs'!$M10*SUMIFS(I$132:I$135,$C$132:$C$135,$C81)/8760)</f>
        <v>0</v>
      </c>
      <c r="J81" s="84">
        <f>J53/('SRV_BY Techs'!$M10*SUMIFS(J$132:J$135,$C$132:$C$135,$C81)/8760)</f>
        <v>3.7545577007304352</v>
      </c>
      <c r="K81" s="84">
        <f>K53/('SRV_BY Techs'!$M10*SUMIFS(K$132:K$135,$C$132:$C$135,$C81)/8760)</f>
        <v>0</v>
      </c>
      <c r="L81" s="84">
        <f>L53/('SRV_BY Techs'!$M10*SUMIFS(L$132:L$135,$C$132:$C$135,$C81)/8760)</f>
        <v>1.4742774426804131</v>
      </c>
      <c r="M81" s="84">
        <f>M53/('SRV_BY Techs'!$M10*SUMIFS(M$132:M$135,$C$132:$C$135,$C81)/8760)</f>
        <v>119.82814493585697</v>
      </c>
      <c r="N81" s="84">
        <f>N53/('SRV_BY Techs'!$M10*SUMIFS(N$132:N$135,$C$132:$C$135,$C81)/8760)</f>
        <v>167.27215518459943</v>
      </c>
      <c r="O81" s="84">
        <f>O53/('SRV_BY Techs'!$M10*SUMIFS(O$132:O$135,$C$132:$C$135,$C81)/8760)</f>
        <v>57.178424872800008</v>
      </c>
      <c r="P81" s="84">
        <f>P53/('SRV_BY Techs'!$M10*SUMIFS(P$132:P$135,$C$132:$C$135,$C81)/8760)</f>
        <v>10.24045942274617</v>
      </c>
      <c r="Q81" s="84">
        <f>Q53/('SRV_BY Techs'!$M10*SUMIFS(Q$132:Q$135,$C$132:$C$135,$C81)/8760)</f>
        <v>31.158271872000011</v>
      </c>
      <c r="R81" s="84">
        <f>R53/('SRV_BY Techs'!$M10*SUMIFS(R$132:R$135,$C$132:$C$135,$C81)/8760)</f>
        <v>174.73098471907696</v>
      </c>
      <c r="S81" s="84">
        <f>S53/('SRV_BY Techs'!$M10*SUMIFS(S$132:S$135,$C$132:$C$135,$C81)/8760)</f>
        <v>1.1906388442349307</v>
      </c>
      <c r="T81" s="84">
        <f>T53/('SRV_BY Techs'!$M10*SUMIFS(T$132:T$135,$C$132:$C$135,$C81)/8760)</f>
        <v>0</v>
      </c>
      <c r="U81" s="84">
        <f>U53/('SRV_BY Techs'!$M10*SUMIFS(U$132:U$135,$C$132:$C$135,$C81)/8760)</f>
        <v>19.542037949746483</v>
      </c>
      <c r="V81" s="84">
        <f>V53/('SRV_BY Techs'!$M10*SUMIFS(V$132:V$135,$C$132:$C$135,$C81)/8760)</f>
        <v>141.03373211899026</v>
      </c>
      <c r="W81" s="84">
        <f>W53/('SRV_BY Techs'!$M10*SUMIFS(W$132:W$135,$C$132:$C$135,$C81)/8760)</f>
        <v>52.423385963365405</v>
      </c>
      <c r="X81" s="84">
        <f>X53/('SRV_BY Techs'!$M10*SUMIFS(X$132:X$135,$C$132:$C$135,$C81)/8760)</f>
        <v>396.22133451020989</v>
      </c>
      <c r="Y81" s="84">
        <f>Y53/('SRV_BY Techs'!$M10*SUMIFS(Y$132:Y$135,$C$132:$C$135,$C81)/8760)</f>
        <v>268.88291033759998</v>
      </c>
      <c r="Z81" s="84">
        <f>Z53/('SRV_BY Techs'!$M10*SUMIFS(Z$132:Z$135,$C$132:$C$135,$C81)/8760)</f>
        <v>325.77588470316522</v>
      </c>
      <c r="AA81" s="84">
        <f>AA53/('SRV_BY Techs'!$M10*SUMIFS(AA$132:AA$135,$C$132:$C$135,$C81)/8760)</f>
        <v>150.67861064763156</v>
      </c>
      <c r="AB81" s="84">
        <f>AB53/('SRV_BY Techs'!$M10*SUMIFS(AB$132:AB$135,$C$132:$C$135,$C81)/8760)</f>
        <v>185.95874151359996</v>
      </c>
      <c r="AC81" s="84">
        <f>AC53/('SRV_BY Techs'!$M10*SUMIFS(AC$132:AC$135,$C$132:$C$135,$C81)/8760)</f>
        <v>90.044998089810235</v>
      </c>
      <c r="AD81" s="84">
        <f>AD53/('SRV_BY Techs'!$M10*SUMIFS(AD$132:AD$135,$C$132:$C$135,$C81)/8760)</f>
        <v>25.334057896361976</v>
      </c>
      <c r="AE81" s="84">
        <f>AE53/('SRV_BY Techs'!$M10*SUMIFS(AE$132:AE$135,$C$132:$C$135,$C81)/8760)</f>
        <v>135.89993840796799</v>
      </c>
      <c r="AF81" s="84">
        <f>AF53/('SRV_BY Techs'!$M10*SUMIFS(AF$132:AF$135,$C$132:$C$135,$C81)/8760)</f>
        <v>11.468873331911112</v>
      </c>
      <c r="AG81" s="84">
        <f>AG53/('SRV_BY Techs'!$M10*SUMIFS(AG$132:AG$135,$C$132:$C$135,$C81)/8760)</f>
        <v>0</v>
      </c>
      <c r="AH81" s="84">
        <f>AH53/('SRV_BY Techs'!$M10*SUMIFS(AH$132:AH$135,$C$132:$C$135,$C81)/8760)</f>
        <v>61.785089546966866</v>
      </c>
      <c r="AI81" s="84">
        <f>AI53/('SRV_BY Techs'!$M10*SUMIFS(AI$132:AI$135,$C$132:$C$135,$C81)/8760)</f>
        <v>88.319828218177648</v>
      </c>
      <c r="AJ81" s="84">
        <f>AJ53/('SRV_BY Techs'!$M10*SUMIFS(AJ$132:AJ$135,$C$132:$C$135,$C81)/8760)</f>
        <v>1922.670981862565</v>
      </c>
    </row>
    <row r="82" spans="1:36" s="88" customFormat="1" x14ac:dyDescent="0.3">
      <c r="A82" s="505" t="str">
        <f>'SRV_BY Techs'!$L$91</f>
        <v>PRC_RESID</v>
      </c>
      <c r="B82" s="49" t="str">
        <f t="shared" si="40"/>
        <v>Thermal uses</v>
      </c>
      <c r="C82" s="49" t="str">
        <f t="shared" si="40"/>
        <v>S-TH</v>
      </c>
      <c r="D82" s="49" t="str">
        <f t="shared" si="40"/>
        <v>Geothermal</v>
      </c>
      <c r="E82" s="49" t="str">
        <f t="shared" si="40"/>
        <v>SRVGEO</v>
      </c>
      <c r="F82" s="49" t="s">
        <v>181</v>
      </c>
      <c r="G82" s="49"/>
      <c r="H82" s="49"/>
      <c r="I82" s="84">
        <f>I54/('SRV_BY Techs'!$M11*SUMIFS(I$132:I$135,$C$132:$C$135,$C82)/8760)</f>
        <v>0</v>
      </c>
      <c r="J82" s="84">
        <f>J54/('SRV_BY Techs'!$M11*SUMIFS(J$132:J$135,$C$132:$C$135,$C82)/8760)</f>
        <v>0</v>
      </c>
      <c r="K82" s="84">
        <f>K54/('SRV_BY Techs'!$M11*SUMIFS(K$132:K$135,$C$132:$C$135,$C82)/8760)</f>
        <v>0</v>
      </c>
      <c r="L82" s="84">
        <f>L54/('SRV_BY Techs'!$M11*SUMIFS(L$132:L$135,$C$132:$C$135,$C82)/8760)</f>
        <v>0</v>
      </c>
      <c r="M82" s="84">
        <f>M54/('SRV_BY Techs'!$M11*SUMIFS(M$132:M$135,$C$132:$C$135,$C82)/8760)</f>
        <v>17.939998349381018</v>
      </c>
      <c r="N82" s="84">
        <f>N54/('SRV_BY Techs'!$M11*SUMIFS(N$132:N$135,$C$132:$C$135,$C82)/8760)</f>
        <v>0.73496801152737756</v>
      </c>
      <c r="O82" s="84">
        <f>O54/('SRV_BY Techs'!$M11*SUMIFS(O$132:O$135,$C$132:$C$135,$C82)/8760)</f>
        <v>0</v>
      </c>
      <c r="P82" s="84">
        <f>P54/('SRV_BY Techs'!$M11*SUMIFS(P$132:P$135,$C$132:$C$135,$C82)/8760)</f>
        <v>0</v>
      </c>
      <c r="Q82" s="84">
        <f>Q54/('SRV_BY Techs'!$M11*SUMIFS(Q$132:Q$135,$C$132:$C$135,$C82)/8760)</f>
        <v>0</v>
      </c>
      <c r="R82" s="84">
        <f>R54/('SRV_BY Techs'!$M11*SUMIFS(R$132:R$135,$C$132:$C$135,$C82)/8760)</f>
        <v>0</v>
      </c>
      <c r="S82" s="84">
        <f>S54/('SRV_BY Techs'!$M11*SUMIFS(S$132:S$135,$C$132:$C$135,$C82)/8760)</f>
        <v>0</v>
      </c>
      <c r="T82" s="84">
        <f>T54/('SRV_BY Techs'!$M11*SUMIFS(T$132:T$135,$C$132:$C$135,$C82)/8760)</f>
        <v>0</v>
      </c>
      <c r="U82" s="84">
        <f>U54/('SRV_BY Techs'!$M11*SUMIFS(U$132:U$135,$C$132:$C$135,$C82)/8760)</f>
        <v>0.1544957746478873</v>
      </c>
      <c r="V82" s="84">
        <f>V54/('SRV_BY Techs'!$M11*SUMIFS(V$132:V$135,$C$132:$C$135,$C82)/8760)</f>
        <v>0.58106661585365871</v>
      </c>
      <c r="W82" s="84">
        <f>W54/('SRV_BY Techs'!$M11*SUMIFS(W$132:W$135,$C$132:$C$135,$C82)/8760)</f>
        <v>4.3254576395242443</v>
      </c>
      <c r="X82" s="84">
        <f>X54/('SRV_BY Techs'!$M11*SUMIFS(X$132:X$135,$C$132:$C$135,$C82)/8760)</f>
        <v>11.733250462737457</v>
      </c>
      <c r="Y82" s="84">
        <f>Y54/('SRV_BY Techs'!$M11*SUMIFS(Y$132:Y$135,$C$132:$C$135,$C82)/8760)</f>
        <v>5.0507999999999997</v>
      </c>
      <c r="Z82" s="84">
        <f>Z54/('SRV_BY Techs'!$M11*SUMIFS(Z$132:Z$135,$C$132:$C$135,$C82)/8760)</f>
        <v>0</v>
      </c>
      <c r="AA82" s="84">
        <f>AA54/('SRV_BY Techs'!$M11*SUMIFS(AA$132:AA$135,$C$132:$C$135,$C82)/8760)</f>
        <v>0</v>
      </c>
      <c r="AB82" s="84">
        <f>AB54/('SRV_BY Techs'!$M11*SUMIFS(AB$132:AB$135,$C$132:$C$135,$C82)/8760)</f>
        <v>6.9710493647912877</v>
      </c>
      <c r="AC82" s="84">
        <f>AC54/('SRV_BY Techs'!$M11*SUMIFS(AC$132:AC$135,$C$132:$C$135,$C82)/8760)</f>
        <v>1.3611416058394157</v>
      </c>
      <c r="AD82" s="84">
        <f>AD54/('SRV_BY Techs'!$M11*SUMIFS(AD$132:AD$135,$C$132:$C$135,$C82)/8760)</f>
        <v>0</v>
      </c>
      <c r="AE82" s="84">
        <f>AE54/('SRV_BY Techs'!$M11*SUMIFS(AE$132:AE$135,$C$132:$C$135,$C82)/8760)</f>
        <v>0</v>
      </c>
      <c r="AF82" s="84">
        <f>AF54/('SRV_BY Techs'!$M11*SUMIFS(AF$132:AF$135,$C$132:$C$135,$C82)/8760)</f>
        <v>0</v>
      </c>
      <c r="AG82" s="84">
        <f>AG54/('SRV_BY Techs'!$M11*SUMIFS(AG$132:AG$135,$C$132:$C$135,$C82)/8760)</f>
        <v>0</v>
      </c>
      <c r="AH82" s="84">
        <f>AH54/('SRV_BY Techs'!$M11*SUMIFS(AH$132:AH$135,$C$132:$C$135,$C82)/8760)</f>
        <v>0</v>
      </c>
      <c r="AI82" s="84">
        <f>AI54/('SRV_BY Techs'!$M11*SUMIFS(AI$132:AI$135,$C$132:$C$135,$C82)/8760)</f>
        <v>16.969781948424071</v>
      </c>
      <c r="AJ82" s="84">
        <f>AJ54/('SRV_BY Techs'!$M11*SUMIFS(AJ$132:AJ$135,$C$132:$C$135,$C82)/8760)</f>
        <v>0</v>
      </c>
    </row>
    <row r="83" spans="1:36" s="88" customFormat="1" x14ac:dyDescent="0.3">
      <c r="A83" s="505" t="str">
        <f>'SRV_BY Techs'!$L$91</f>
        <v>PRC_RESID</v>
      </c>
      <c r="B83" s="49" t="str">
        <f t="shared" si="40"/>
        <v>Thermal uses</v>
      </c>
      <c r="C83" s="49" t="str">
        <f t="shared" si="40"/>
        <v>S-TH</v>
      </c>
      <c r="D83" s="49" t="str">
        <f t="shared" si="40"/>
        <v>Heat</v>
      </c>
      <c r="E83" s="49" t="str">
        <f t="shared" si="40"/>
        <v>SRVHET</v>
      </c>
      <c r="F83" s="49" t="s">
        <v>181</v>
      </c>
      <c r="G83" s="49"/>
      <c r="H83" s="49"/>
      <c r="I83" s="84">
        <f>I55/('SRV_BY Techs'!$M12*SUMIFS(I$132:I$135,$C$132:$C$135,$C83)/8760)</f>
        <v>0</v>
      </c>
      <c r="J83" s="84">
        <f>J55/('SRV_BY Techs'!$M12*SUMIFS(J$132:J$135,$C$132:$C$135,$C83)/8760)</f>
        <v>0</v>
      </c>
      <c r="K83" s="84">
        <f>K55/('SRV_BY Techs'!$M12*SUMIFS(K$132:K$135,$C$132:$C$135,$C83)/8760)</f>
        <v>0</v>
      </c>
      <c r="L83" s="84">
        <f>L55/('SRV_BY Techs'!$M12*SUMIFS(L$132:L$135,$C$132:$C$135,$C83)/8760)</f>
        <v>0</v>
      </c>
      <c r="M83" s="84">
        <f>M55/('SRV_BY Techs'!$M12*SUMIFS(M$132:M$135,$C$132:$C$135,$C83)/8760)</f>
        <v>0</v>
      </c>
      <c r="N83" s="84">
        <f>N55/('SRV_BY Techs'!$M12*SUMIFS(N$132:N$135,$C$132:$C$135,$C83)/8760)</f>
        <v>43.578996344685969</v>
      </c>
      <c r="O83" s="84">
        <f>O55/('SRV_BY Techs'!$M12*SUMIFS(O$132:O$135,$C$132:$C$135,$C83)/8760)</f>
        <v>2.4274223728294606</v>
      </c>
      <c r="P83" s="84">
        <f>P55/('SRV_BY Techs'!$M12*SUMIFS(P$132:P$135,$C$132:$C$135,$C83)/8760)</f>
        <v>0</v>
      </c>
      <c r="Q83" s="84">
        <f>Q55/('SRV_BY Techs'!$M12*SUMIFS(Q$132:Q$135,$C$132:$C$135,$C83)/8760)</f>
        <v>0</v>
      </c>
      <c r="R83" s="84">
        <f>R55/('SRV_BY Techs'!$M12*SUMIFS(R$132:R$135,$C$132:$C$135,$C83)/8760)</f>
        <v>7.1115860099072822E-2</v>
      </c>
      <c r="S83" s="84">
        <f>S55/('SRV_BY Techs'!$M12*SUMIFS(S$132:S$135,$C$132:$C$135,$C83)/8760)</f>
        <v>0</v>
      </c>
      <c r="T83" s="84">
        <f>T55/('SRV_BY Techs'!$M12*SUMIFS(T$132:T$135,$C$132:$C$135,$C83)/8760)</f>
        <v>0</v>
      </c>
      <c r="U83" s="84">
        <f>U55/('SRV_BY Techs'!$M12*SUMIFS(U$132:U$135,$C$132:$C$135,$C83)/8760)</f>
        <v>21.777299055799045</v>
      </c>
      <c r="V83" s="84">
        <f>V55/('SRV_BY Techs'!$M12*SUMIFS(V$132:V$135,$C$132:$C$135,$C83)/8760)</f>
        <v>19.324062449400557</v>
      </c>
      <c r="W83" s="84">
        <f>W55/('SRV_BY Techs'!$M12*SUMIFS(W$132:W$135,$C$132:$C$135,$C83)/8760)</f>
        <v>21.468032550962093</v>
      </c>
      <c r="X83" s="84">
        <f>X55/('SRV_BY Techs'!$M12*SUMIFS(X$132:X$135,$C$132:$C$135,$C83)/8760)</f>
        <v>25.182742984726431</v>
      </c>
      <c r="Y83" s="84">
        <f>Y55/('SRV_BY Techs'!$M12*SUMIFS(Y$132:Y$135,$C$132:$C$135,$C83)/8760)</f>
        <v>83.349824019394049</v>
      </c>
      <c r="Z83" s="84">
        <f>Z55/('SRV_BY Techs'!$M12*SUMIFS(Z$132:Z$135,$C$132:$C$135,$C83)/8760)</f>
        <v>0</v>
      </c>
      <c r="AA83" s="84">
        <f>AA55/('SRV_BY Techs'!$M12*SUMIFS(AA$132:AA$135,$C$132:$C$135,$C83)/8760)</f>
        <v>0</v>
      </c>
      <c r="AB83" s="84">
        <f>AB55/('SRV_BY Techs'!$M12*SUMIFS(AB$132:AB$135,$C$132:$C$135,$C83)/8760)</f>
        <v>14.371505244952715</v>
      </c>
      <c r="AC83" s="84">
        <f>AC55/('SRV_BY Techs'!$M12*SUMIFS(AC$132:AC$135,$C$132:$C$135,$C83)/8760)</f>
        <v>7.5062395681013153E-2</v>
      </c>
      <c r="AD83" s="84">
        <f>AD55/('SRV_BY Techs'!$M12*SUMIFS(AD$132:AD$135,$C$132:$C$135,$C83)/8760)</f>
        <v>0</v>
      </c>
      <c r="AE83" s="84">
        <f>AE55/('SRV_BY Techs'!$M12*SUMIFS(AE$132:AE$135,$C$132:$C$135,$C83)/8760)</f>
        <v>0</v>
      </c>
      <c r="AF83" s="84">
        <f>AF55/('SRV_BY Techs'!$M12*SUMIFS(AF$132:AF$135,$C$132:$C$135,$C83)/8760)</f>
        <v>0</v>
      </c>
      <c r="AG83" s="84">
        <f>AG55/('SRV_BY Techs'!$M12*SUMIFS(AG$132:AG$135,$C$132:$C$135,$C83)/8760)</f>
        <v>0</v>
      </c>
      <c r="AH83" s="84">
        <f>AH55/('SRV_BY Techs'!$M12*SUMIFS(AH$132:AH$135,$C$132:$C$135,$C83)/8760)</f>
        <v>181.76284004818325</v>
      </c>
      <c r="AI83" s="84">
        <f>AI55/('SRV_BY Techs'!$M12*SUMIFS(AI$132:AI$135,$C$132:$C$135,$C83)/8760)</f>
        <v>7.0202159330291991</v>
      </c>
      <c r="AJ83" s="84">
        <f>AJ55/('SRV_BY Techs'!$M12*SUMIFS(AJ$132:AJ$135,$C$132:$C$135,$C83)/8760)</f>
        <v>24.886699933882291</v>
      </c>
    </row>
    <row r="84" spans="1:36" s="88" customFormat="1" x14ac:dyDescent="0.3">
      <c r="A84" s="505" t="str">
        <f>'SRV_BY Techs'!$L$91</f>
        <v>PRC_RESID</v>
      </c>
      <c r="B84" s="49" t="str">
        <f t="shared" si="40"/>
        <v>Thermal uses</v>
      </c>
      <c r="C84" s="49" t="str">
        <f t="shared" si="40"/>
        <v>S-TH</v>
      </c>
      <c r="D84" s="49" t="str">
        <f t="shared" si="40"/>
        <v>LPG</v>
      </c>
      <c r="E84" s="49" t="str">
        <f t="shared" si="40"/>
        <v>SRVLPG</v>
      </c>
      <c r="F84" s="49" t="s">
        <v>181</v>
      </c>
      <c r="G84" s="49"/>
      <c r="H84" s="49"/>
      <c r="I84" s="84">
        <f>I56/('SRV_BY Techs'!$M13*SUMIFS(I$132:I$135,$C$132:$C$135,$C84)/8760)</f>
        <v>19.471635857142861</v>
      </c>
      <c r="J84" s="84">
        <f>J56/('SRV_BY Techs'!$M13*SUMIFS(J$132:J$135,$C$132:$C$135,$C84)/8760)</f>
        <v>2.4806819304347831</v>
      </c>
      <c r="K84" s="84">
        <f>K56/('SRV_BY Techs'!$M13*SUMIFS(K$132:K$135,$C$132:$C$135,$C84)/8760)</f>
        <v>61.682617674418623</v>
      </c>
      <c r="L84" s="84">
        <f>L56/('SRV_BY Techs'!$M13*SUMIFS(L$132:L$135,$C$132:$C$135,$C84)/8760)</f>
        <v>2.1527761778350518</v>
      </c>
      <c r="M84" s="84">
        <f>M56/('SRV_BY Techs'!$M13*SUMIFS(M$132:M$135,$C$132:$C$135,$C84)/8760)</f>
        <v>2.1635125006877578</v>
      </c>
      <c r="N84" s="84">
        <f>N56/('SRV_BY Techs'!$M13*SUMIFS(N$132:N$135,$C$132:$C$135,$C84)/8760)</f>
        <v>0.84501674564369844</v>
      </c>
      <c r="O84" s="84">
        <f>O56/('SRV_BY Techs'!$M13*SUMIFS(O$132:O$135,$C$132:$C$135,$C84)/8760)</f>
        <v>274.01404387500003</v>
      </c>
      <c r="P84" s="84">
        <f>P56/('SRV_BY Techs'!$M13*SUMIFS(P$132:P$135,$C$132:$C$135,$C84)/8760)</f>
        <v>20.029534957410565</v>
      </c>
      <c r="Q84" s="84">
        <f>Q56/('SRV_BY Techs'!$M13*SUMIFS(Q$132:Q$135,$C$132:$C$135,$C84)/8760)</f>
        <v>0</v>
      </c>
      <c r="R84" s="84">
        <f>R56/('SRV_BY Techs'!$M13*SUMIFS(R$132:R$135,$C$132:$C$135,$C84)/8760)</f>
        <v>2.9689337586206905</v>
      </c>
      <c r="S84" s="84">
        <f>S56/('SRV_BY Techs'!$M13*SUMIFS(S$132:S$135,$C$132:$C$135,$C84)/8760)</f>
        <v>0.41476757689335392</v>
      </c>
      <c r="T84" s="84">
        <f>T56/('SRV_BY Techs'!$M13*SUMIFS(T$132:T$135,$C$132:$C$135,$C84)/8760)</f>
        <v>0</v>
      </c>
      <c r="U84" s="84">
        <f>U56/('SRV_BY Techs'!$M13*SUMIFS(U$132:U$135,$C$132:$C$135,$C84)/8760)</f>
        <v>1.2677151113769407</v>
      </c>
      <c r="V84" s="84">
        <f>V56/('SRV_BY Techs'!$M13*SUMIFS(V$132:V$135,$C$132:$C$135,$C84)/8760)</f>
        <v>4.0013299218749996</v>
      </c>
      <c r="W84" s="84">
        <f>W56/('SRV_BY Techs'!$M13*SUMIFS(W$132:W$135,$C$132:$C$135,$C84)/8760)</f>
        <v>1.4332032653760547</v>
      </c>
      <c r="X84" s="84">
        <f>X56/('SRV_BY Techs'!$M13*SUMIFS(X$132:X$135,$C$132:$C$135,$C84)/8760)</f>
        <v>13.743068285435944</v>
      </c>
      <c r="Y84" s="84">
        <f>Y56/('SRV_BY Techs'!$M13*SUMIFS(Y$132:Y$135,$C$132:$C$135,$C84)/8760)</f>
        <v>3.5166300000000001</v>
      </c>
      <c r="Z84" s="84">
        <f>Z56/('SRV_BY Techs'!$M13*SUMIFS(Z$132:Z$135,$C$132:$C$135,$C84)/8760)</f>
        <v>898.87347860869579</v>
      </c>
      <c r="AA84" s="84">
        <f>AA56/('SRV_BY Techs'!$M13*SUMIFS(AA$132:AA$135,$C$132:$C$135,$C84)/8760)</f>
        <v>0</v>
      </c>
      <c r="AB84" s="84">
        <f>AB56/('SRV_BY Techs'!$M13*SUMIFS(AB$132:AB$135,$C$132:$C$135,$C84)/8760)</f>
        <v>26.509895390199631</v>
      </c>
      <c r="AC84" s="84">
        <f>AC56/('SRV_BY Techs'!$M13*SUMIFS(AC$132:AC$135,$C$132:$C$135,$C84)/8760)</f>
        <v>9.7992409635036495</v>
      </c>
      <c r="AD84" s="84">
        <f>AD56/('SRV_BY Techs'!$M13*SUMIFS(AD$132:AD$135,$C$132:$C$135,$C84)/8760)</f>
        <v>3.0780888492628375</v>
      </c>
      <c r="AE84" s="84">
        <f>AE56/('SRV_BY Techs'!$M13*SUMIFS(AE$132:AE$135,$C$132:$C$135,$C84)/8760)</f>
        <v>0.32424568775020024</v>
      </c>
      <c r="AF84" s="84">
        <f>AF56/('SRV_BY Techs'!$M13*SUMIFS(AF$132:AF$135,$C$132:$C$135,$C84)/8760)</f>
        <v>17.745434585185187</v>
      </c>
      <c r="AG84" s="84">
        <f>AG56/('SRV_BY Techs'!$M13*SUMIFS(AG$132:AG$135,$C$132:$C$135,$C84)/8760)</f>
        <v>0</v>
      </c>
      <c r="AH84" s="84">
        <f>AH56/('SRV_BY Techs'!$M13*SUMIFS(AH$132:AH$135,$C$132:$C$135,$C84)/8760)</f>
        <v>0.22737560122564571</v>
      </c>
      <c r="AI84" s="84">
        <f>AI56/('SRV_BY Techs'!$M13*SUMIFS(AI$132:AI$135,$C$132:$C$135,$C84)/8760)</f>
        <v>23.381556110315188</v>
      </c>
      <c r="AJ84" s="84">
        <f>AJ56/('SRV_BY Techs'!$M13*SUMIFS(AJ$132:AJ$135,$C$132:$C$135,$C84)/8760)</f>
        <v>31.291021030163414</v>
      </c>
    </row>
    <row r="85" spans="1:36" s="88" customFormat="1" x14ac:dyDescent="0.3">
      <c r="A85" s="505" t="str">
        <f>'SRV_BY Techs'!$L$91</f>
        <v>PRC_RESID</v>
      </c>
      <c r="B85" s="49" t="str">
        <f t="shared" si="40"/>
        <v>Thermal uses</v>
      </c>
      <c r="C85" s="49" t="str">
        <f t="shared" si="40"/>
        <v>S-TH</v>
      </c>
      <c r="D85" s="49" t="str">
        <f t="shared" si="40"/>
        <v>Oil, Liquid biofuels</v>
      </c>
      <c r="E85" s="49" t="str">
        <f t="shared" si="40"/>
        <v>SRVOIL, SRVBLQ</v>
      </c>
      <c r="F85" s="49" t="s">
        <v>181</v>
      </c>
      <c r="G85" s="49"/>
      <c r="H85" s="49"/>
      <c r="I85" s="84">
        <f>I57/('SRV_BY Techs'!$M14*SUMIFS(I$132:I$135,$C$132:$C$135,$C85)/8760)</f>
        <v>180.90909571428571</v>
      </c>
      <c r="J85" s="84">
        <f>J57/('SRV_BY Techs'!$M14*SUMIFS(J$132:J$135,$C$132:$C$135,$C85)/8760)</f>
        <v>6.1942418840579716</v>
      </c>
      <c r="K85" s="84">
        <f>K57/('SRV_BY Techs'!$M14*SUMIFS(K$132:K$135,$C$132:$C$135,$C85)/8760)</f>
        <v>25.756361860465113</v>
      </c>
      <c r="L85" s="84">
        <f>L57/('SRV_BY Techs'!$M14*SUMIFS(L$132:L$135,$C$132:$C$135,$C85)/8760)</f>
        <v>107.88382538659796</v>
      </c>
      <c r="M85" s="84">
        <f>M57/('SRV_BY Techs'!$M14*SUMIFS(M$132:M$135,$C$132:$C$135,$C85)/8760)</f>
        <v>52.32738416781293</v>
      </c>
      <c r="N85" s="84">
        <f>N57/('SRV_BY Techs'!$M14*SUMIFS(N$132:N$135,$C$132:$C$135,$C85)/8760)</f>
        <v>12.224473994956773</v>
      </c>
      <c r="O85" s="84">
        <f>O57/('SRV_BY Techs'!$M14*SUMIFS(O$132:O$135,$C$132:$C$135,$C85)/8760)</f>
        <v>199.53546112499998</v>
      </c>
      <c r="P85" s="84">
        <f>P57/('SRV_BY Techs'!$M14*SUMIFS(P$132:P$135,$C$132:$C$135,$C85)/8760)</f>
        <v>4.2512657580919933E-2</v>
      </c>
      <c r="Q85" s="84">
        <f>Q57/('SRV_BY Techs'!$M14*SUMIFS(Q$132:Q$135,$C$132:$C$135,$C85)/8760)</f>
        <v>16.224755625000004</v>
      </c>
      <c r="R85" s="84">
        <f>R57/('SRV_BY Techs'!$M14*SUMIFS(R$132:R$135,$C$132:$C$135,$C85)/8760)</f>
        <v>5.7906133620689655</v>
      </c>
      <c r="S85" s="84">
        <f>S57/('SRV_BY Techs'!$M14*SUMIFS(S$132:S$135,$C$132:$C$135,$C85)/8760)</f>
        <v>4.2339995865533231</v>
      </c>
      <c r="T85" s="84">
        <f>T57/('SRV_BY Techs'!$M14*SUMIFS(T$132:T$135,$C$132:$C$135,$C85)/8760)</f>
        <v>0</v>
      </c>
      <c r="U85" s="84">
        <f>U57/('SRV_BY Techs'!$M14*SUMIFS(U$132:U$135,$C$132:$C$135,$C85)/8760)</f>
        <v>5.0188303521126763</v>
      </c>
      <c r="V85" s="84">
        <f>V57/('SRV_BY Techs'!$M14*SUMIFS(V$132:V$135,$C$132:$C$135,$C85)/8760)</f>
        <v>52.279726955030497</v>
      </c>
      <c r="W85" s="84">
        <f>W57/('SRV_BY Techs'!$M14*SUMIFS(W$132:W$135,$C$132:$C$135,$C85)/8760)</f>
        <v>5.4778425178408048</v>
      </c>
      <c r="X85" s="84">
        <f>X57/('SRV_BY Techs'!$M14*SUMIFS(X$132:X$135,$C$132:$C$135,$C85)/8760)</f>
        <v>83.695361105698979</v>
      </c>
      <c r="Y85" s="84">
        <f>Y57/('SRV_BY Techs'!$M14*SUMIFS(Y$132:Y$135,$C$132:$C$135,$C85)/8760)</f>
        <v>83.484960000000001</v>
      </c>
      <c r="Z85" s="84">
        <f>Z57/('SRV_BY Techs'!$M14*SUMIFS(Z$132:Z$135,$C$132:$C$135,$C85)/8760)</f>
        <v>4137.1295617826081</v>
      </c>
      <c r="AA85" s="84">
        <f>AA57/('SRV_BY Techs'!$M14*SUMIFS(AA$132:AA$135,$C$132:$C$135,$C85)/8760)</f>
        <v>7.448561891447369</v>
      </c>
      <c r="AB85" s="84">
        <f>AB57/('SRV_BY Techs'!$M14*SUMIFS(AB$132:AB$135,$C$132:$C$135,$C85)/8760)</f>
        <v>291.61388154264966</v>
      </c>
      <c r="AC85" s="84">
        <f>AC57/('SRV_BY Techs'!$M14*SUMIFS(AC$132:AC$135,$C$132:$C$135,$C85)/8760)</f>
        <v>69.304793430656929</v>
      </c>
      <c r="AD85" s="84">
        <f>AD57/('SRV_BY Techs'!$M14*SUMIFS(AD$132:AD$135,$C$132:$C$135,$C85)/8760)</f>
        <v>4.4500451347229291</v>
      </c>
      <c r="AE85" s="84">
        <f>AE57/('SRV_BY Techs'!$M14*SUMIFS(AE$132:AE$135,$C$132:$C$135,$C85)/8760)</f>
        <v>13.391879702161727</v>
      </c>
      <c r="AF85" s="84">
        <f>AF57/('SRV_BY Techs'!$M14*SUMIFS(AF$132:AF$135,$C$132:$C$135,$C85)/8760)</f>
        <v>1.6243444148148145</v>
      </c>
      <c r="AG85" s="84">
        <f>AG57/('SRV_BY Techs'!$M14*SUMIFS(AG$132:AG$135,$C$132:$C$135,$C85)/8760)</f>
        <v>1.051215</v>
      </c>
      <c r="AH85" s="84">
        <f>AH57/('SRV_BY Techs'!$M14*SUMIFS(AH$132:AH$135,$C$132:$C$135,$C85)/8760)</f>
        <v>15.221375203252036</v>
      </c>
      <c r="AI85" s="84">
        <f>AI57/('SRV_BY Techs'!$M14*SUMIFS(AI$132:AI$135,$C$132:$C$135,$C85)/8760)</f>
        <v>14.481849699140405</v>
      </c>
      <c r="AJ85" s="84">
        <f>AJ57/('SRV_BY Techs'!$M14*SUMIFS(AJ$132:AJ$135,$C$132:$C$135,$C85)/8760)</f>
        <v>190.09609695709415</v>
      </c>
    </row>
    <row r="86" spans="1:36" s="88" customFormat="1" x14ac:dyDescent="0.3">
      <c r="A86" s="505" t="str">
        <f>'SRV_BY Techs'!$L$91</f>
        <v>PRC_RESID</v>
      </c>
      <c r="B86" s="51" t="str">
        <f t="shared" si="40"/>
        <v>Thermal uses</v>
      </c>
      <c r="C86" s="51" t="str">
        <f t="shared" si="40"/>
        <v>S-TH</v>
      </c>
      <c r="D86" s="51" t="str">
        <f t="shared" si="40"/>
        <v>Solar</v>
      </c>
      <c r="E86" s="51" t="str">
        <f t="shared" si="40"/>
        <v>SRVSOL</v>
      </c>
      <c r="F86" s="51" t="s">
        <v>181</v>
      </c>
      <c r="G86" s="51"/>
      <c r="H86" s="51"/>
      <c r="I86" s="115">
        <f>I58/('SRV_BY Techs'!$M15*SUMIFS(I$132:I$135,$C$132:$C$135,$C86)/8760)</f>
        <v>0</v>
      </c>
      <c r="J86" s="115">
        <f>J58/('SRV_BY Techs'!$M15*SUMIFS(J$132:J$135,$C$132:$C$135,$C86)/8760)</f>
        <v>0.16338985507246376</v>
      </c>
      <c r="K86" s="115">
        <f>K58/('SRV_BY Techs'!$M15*SUMIFS(K$132:K$135,$C$132:$C$135,$C86)/8760)</f>
        <v>0</v>
      </c>
      <c r="L86" s="115">
        <f>L58/('SRV_BY Techs'!$M15*SUMIFS(L$132:L$135,$C$132:$C$135,$C86)/8760)</f>
        <v>0</v>
      </c>
      <c r="M86" s="115">
        <f>M58/('SRV_BY Techs'!$M15*SUMIFS(M$132:M$135,$C$132:$C$135,$C86)/8760)</f>
        <v>0.9870268225584593</v>
      </c>
      <c r="N86" s="115">
        <f>N58/('SRV_BY Techs'!$M15*SUMIFS(N$132:N$135,$C$132:$C$135,$C86)/8760)</f>
        <v>0.1673874279538905</v>
      </c>
      <c r="O86" s="115">
        <f>O58/('SRV_BY Techs'!$M15*SUMIFS(O$132:O$135,$C$132:$C$135,$C86)/8760)</f>
        <v>10.140796874999999</v>
      </c>
      <c r="P86" s="115">
        <f>P58/('SRV_BY Techs'!$M15*SUMIFS(P$132:P$135,$C$132:$C$135,$C86)/8760)</f>
        <v>0</v>
      </c>
      <c r="Q86" s="115">
        <f>Q58/('SRV_BY Techs'!$M15*SUMIFS(Q$132:Q$135,$C$132:$C$135,$C86)/8760)</f>
        <v>0</v>
      </c>
      <c r="R86" s="115">
        <f>R58/('SRV_BY Techs'!$M15*SUMIFS(R$132:R$135,$C$132:$C$135,$C86)/8760)</f>
        <v>0</v>
      </c>
      <c r="S86" s="115">
        <f>S58/('SRV_BY Techs'!$M15*SUMIFS(S$132:S$135,$C$132:$C$135,$C86)/8760)</f>
        <v>0</v>
      </c>
      <c r="T86" s="115">
        <f>T58/('SRV_BY Techs'!$M15*SUMIFS(T$132:T$135,$C$132:$C$135,$C86)/8760)</f>
        <v>0</v>
      </c>
      <c r="U86" s="115">
        <f>U58/('SRV_BY Techs'!$M15*SUMIFS(U$132:U$135,$C$132:$C$135,$C86)/8760)</f>
        <v>9.8510563380281704E-2</v>
      </c>
      <c r="V86" s="115">
        <f>V58/('SRV_BY Techs'!$M15*SUMIFS(V$132:V$135,$C$132:$C$135,$C86)/8760)</f>
        <v>0.64853258384146351</v>
      </c>
      <c r="W86" s="115">
        <f>W58/('SRV_BY Techs'!$M15*SUMIFS(W$132:W$135,$C$132:$C$135,$C86)/8760)</f>
        <v>0.35794583714547112</v>
      </c>
      <c r="X86" s="115">
        <f>X58/('SRV_BY Techs'!$M15*SUMIFS(X$132:X$135,$C$132:$C$135,$C86)/8760)</f>
        <v>5.2406025328787136</v>
      </c>
      <c r="Y86" s="115">
        <f>Y58/('SRV_BY Techs'!$M15*SUMIFS(Y$132:Y$135,$C$132:$C$135,$C86)/8760)</f>
        <v>2.1385000000000001</v>
      </c>
      <c r="Z86" s="115">
        <f>Z58/('SRV_BY Techs'!$M15*SUMIFS(Z$132:Z$135,$C$132:$C$135,$C86)/8760)</f>
        <v>0</v>
      </c>
      <c r="AA86" s="115">
        <f>AA58/('SRV_BY Techs'!$M15*SUMIFS(AA$132:AA$135,$C$132:$C$135,$C86)/8760)</f>
        <v>0</v>
      </c>
      <c r="AB86" s="115">
        <f>AB58/('SRV_BY Techs'!$M15*SUMIFS(AB$132:AB$135,$C$132:$C$135,$C86)/8760)</f>
        <v>0.70598971566848145</v>
      </c>
      <c r="AC86" s="115">
        <f>AC58/('SRV_BY Techs'!$M15*SUMIFS(AC$132:AC$135,$C$132:$C$135,$C86)/8760)</f>
        <v>2.1277104622871041</v>
      </c>
      <c r="AD86" s="115">
        <f>AD58/('SRV_BY Techs'!$M15*SUMIFS(AD$132:AD$135,$C$132:$C$135,$C86)/8760)</f>
        <v>1.9998357905439754</v>
      </c>
      <c r="AE86" s="115">
        <f>AE58/('SRV_BY Techs'!$M15*SUMIFS(AE$132:AE$135,$C$132:$C$135,$C86)/8760)</f>
        <v>0</v>
      </c>
      <c r="AF86" s="115">
        <f>AF58/('SRV_BY Techs'!$M15*SUMIFS(AF$132:AF$135,$C$132:$C$135,$C86)/8760)</f>
        <v>19.46694444444444</v>
      </c>
      <c r="AG86" s="115">
        <f>AG58/('SRV_BY Techs'!$M15*SUMIFS(AG$132:AG$135,$C$132:$C$135,$C86)/8760)</f>
        <v>0</v>
      </c>
      <c r="AH86" s="115">
        <f>AH58/('SRV_BY Techs'!$M15*SUMIFS(AH$132:AH$135,$C$132:$C$135,$C86)/8760)</f>
        <v>0</v>
      </c>
      <c r="AI86" s="115">
        <f>AI58/('SRV_BY Techs'!$M15*SUMIFS(AI$132:AI$135,$C$132:$C$135,$C86)/8760)</f>
        <v>0.66935052531041084</v>
      </c>
      <c r="AJ86" s="115">
        <f>AJ58/('SRV_BY Techs'!$M15*SUMIFS(AJ$132:AJ$135,$C$132:$C$135,$C86)/8760)</f>
        <v>49.030475287601199</v>
      </c>
    </row>
    <row r="87" spans="1:36" s="88" customFormat="1" x14ac:dyDescent="0.3">
      <c r="A87" s="505" t="str">
        <f>'SRV_BY Techs'!$L$91</f>
        <v>PRC_RESID</v>
      </c>
      <c r="B87" s="49" t="str">
        <f t="shared" si="40"/>
        <v>Air conditioning</v>
      </c>
      <c r="C87" s="49" t="str">
        <f t="shared" si="40"/>
        <v>S-AC</v>
      </c>
      <c r="D87" s="49" t="str">
        <f t="shared" si="40"/>
        <v>Natural gas, Biogas</v>
      </c>
      <c r="E87" s="49" t="str">
        <f t="shared" si="40"/>
        <v>SRVGAS, SRVBGS</v>
      </c>
      <c r="F87" s="49" t="s">
        <v>181</v>
      </c>
      <c r="G87" s="49"/>
      <c r="H87" s="49"/>
      <c r="I87" s="84">
        <f>I59/('SRV_BY Techs'!$M16*SUMIFS(I$132:I$135,$C$132:$C$135,$C87)/8760)</f>
        <v>0</v>
      </c>
      <c r="J87" s="84">
        <f>J59/('SRV_BY Techs'!$M16*SUMIFS(J$132:J$135,$C$132:$C$135,$C87)/8760)</f>
        <v>0</v>
      </c>
      <c r="K87" s="84">
        <f>K59/('SRV_BY Techs'!$M16*SUMIFS(K$132:K$135,$C$132:$C$135,$C87)/8760)</f>
        <v>0</v>
      </c>
      <c r="L87" s="84">
        <f>L59/('SRV_BY Techs'!$M16*SUMIFS(L$132:L$135,$C$132:$C$135,$C87)/8760)</f>
        <v>0</v>
      </c>
      <c r="M87" s="84">
        <f>M59/('SRV_BY Techs'!$M16*SUMIFS(M$132:M$135,$C$132:$C$135,$C87)/8760)</f>
        <v>0</v>
      </c>
      <c r="N87" s="84">
        <f>N59/('SRV_BY Techs'!$M16*SUMIFS(N$132:N$135,$C$132:$C$135,$C87)/8760)</f>
        <v>0.58300557760141103</v>
      </c>
      <c r="O87" s="84">
        <f>O59/('SRV_BY Techs'!$M16*SUMIFS(O$132:O$135,$C$132:$C$135,$C87)/8760)</f>
        <v>4.2318104288499034E-3</v>
      </c>
      <c r="P87" s="84">
        <f>P59/('SRV_BY Techs'!$M16*SUMIFS(P$132:P$135,$C$132:$C$135,$C87)/8760)</f>
        <v>5.2773099902737259E-3</v>
      </c>
      <c r="Q87" s="84">
        <f>Q59/('SRV_BY Techs'!$M16*SUMIFS(Q$132:Q$135,$C$132:$C$135,$C87)/8760)</f>
        <v>0</v>
      </c>
      <c r="R87" s="84">
        <f>R59/('SRV_BY Techs'!$M16*SUMIFS(R$132:R$135,$C$132:$C$135,$C87)/8760)</f>
        <v>0</v>
      </c>
      <c r="S87" s="84">
        <f>S59/('SRV_BY Techs'!$M16*SUMIFS(S$132:S$135,$C$132:$C$135,$C87)/8760)</f>
        <v>0</v>
      </c>
      <c r="T87" s="84">
        <f>T59/('SRV_BY Techs'!$M16*SUMIFS(T$132:T$135,$C$132:$C$135,$C87)/8760)</f>
        <v>0</v>
      </c>
      <c r="U87" s="84">
        <f>U59/('SRV_BY Techs'!$M16*SUMIFS(U$132:U$135,$C$132:$C$135,$C87)/8760)</f>
        <v>0.12448431899641577</v>
      </c>
      <c r="V87" s="84">
        <f>V59/('SRV_BY Techs'!$M16*SUMIFS(V$132:V$135,$C$132:$C$135,$C87)/8760)</f>
        <v>1.8280166666666664</v>
      </c>
      <c r="W87" s="84">
        <f>W59/('SRV_BY Techs'!$M16*SUMIFS(W$132:W$135,$C$132:$C$135,$C87)/8760)</f>
        <v>0.55332932576539384</v>
      </c>
      <c r="X87" s="84">
        <f>X59/('SRV_BY Techs'!$M16*SUMIFS(X$132:X$135,$C$132:$C$135,$C87)/8760)</f>
        <v>0.66748953269675915</v>
      </c>
      <c r="Y87" s="84">
        <f>Y59/('SRV_BY Techs'!$M16*SUMIFS(Y$132:Y$135,$C$132:$C$135,$C87)/8760)</f>
        <v>1.9347641203703703</v>
      </c>
      <c r="Z87" s="84">
        <f>Z59/('SRV_BY Techs'!$M16*SUMIFS(Z$132:Z$135,$C$132:$C$135,$C87)/8760)</f>
        <v>6.304219297079288E-3</v>
      </c>
      <c r="AA87" s="84">
        <f>AA59/('SRV_BY Techs'!$M16*SUMIFS(AA$132:AA$135,$C$132:$C$135,$C87)/8760)</f>
        <v>0</v>
      </c>
      <c r="AB87" s="84">
        <f>AB59/('SRV_BY Techs'!$M16*SUMIFS(AB$132:AB$135,$C$132:$C$135,$C87)/8760)</f>
        <v>3.1134602040816328</v>
      </c>
      <c r="AC87" s="84">
        <f>AC59/('SRV_BY Techs'!$M16*SUMIFS(AC$132:AC$135,$C$132:$C$135,$C87)/8760)</f>
        <v>0</v>
      </c>
      <c r="AD87" s="84">
        <f>AD59/('SRV_BY Techs'!$M16*SUMIFS(AD$132:AD$135,$C$132:$C$135,$C87)/8760)</f>
        <v>0.16129558823529411</v>
      </c>
      <c r="AE87" s="84">
        <f>AE59/('SRV_BY Techs'!$M16*SUMIFS(AE$132:AE$135,$C$132:$C$135,$C87)/8760)</f>
        <v>0.20576491592166885</v>
      </c>
      <c r="AF87" s="84">
        <f>AF59/('SRV_BY Techs'!$M16*SUMIFS(AF$132:AF$135,$C$132:$C$135,$C87)/8760)</f>
        <v>0</v>
      </c>
      <c r="AG87" s="84">
        <f>AG59/('SRV_BY Techs'!$M16*SUMIFS(AG$132:AG$135,$C$132:$C$135,$C87)/8760)</f>
        <v>0</v>
      </c>
      <c r="AH87" s="84">
        <f>AH59/('SRV_BY Techs'!$M16*SUMIFS(AH$132:AH$135,$C$132:$C$135,$C87)/8760)</f>
        <v>0.80492906533142594</v>
      </c>
      <c r="AI87" s="84">
        <f>AI59/('SRV_BY Techs'!$M16*SUMIFS(AI$132:AI$135,$C$132:$C$135,$C87)/8760)</f>
        <v>1.3998696491228069</v>
      </c>
      <c r="AJ87" s="84">
        <f>AJ59/('SRV_BY Techs'!$M16*SUMIFS(AJ$132:AJ$135,$C$132:$C$135,$C87)/8760)</f>
        <v>2.3319292575986359</v>
      </c>
    </row>
    <row r="88" spans="1:36" s="88" customFormat="1" x14ac:dyDescent="0.3">
      <c r="A88" s="505" t="str">
        <f>'SRV_BY Techs'!$L$91</f>
        <v>PRC_RESID</v>
      </c>
      <c r="B88" s="51" t="str">
        <f t="shared" si="40"/>
        <v>Air conditioning</v>
      </c>
      <c r="C88" s="51" t="str">
        <f t="shared" si="40"/>
        <v>S-AC</v>
      </c>
      <c r="D88" s="51" t="str">
        <f t="shared" si="40"/>
        <v>Electricity</v>
      </c>
      <c r="E88" s="51" t="str">
        <f t="shared" si="40"/>
        <v>SRVELC</v>
      </c>
      <c r="F88" s="51" t="s">
        <v>181</v>
      </c>
      <c r="G88" s="51"/>
      <c r="H88" s="51"/>
      <c r="I88" s="115">
        <f>I60/('SRV_BY Techs'!$M17*SUMIFS(I$132:I$135,$C$132:$C$135,$C88)/8760)</f>
        <v>0.10354445493016075</v>
      </c>
      <c r="J88" s="115">
        <f>J60/('SRV_BY Techs'!$M17*SUMIFS(J$132:J$135,$C$132:$C$135,$C88)/8760)</f>
        <v>0.72155042872444808</v>
      </c>
      <c r="K88" s="115">
        <f>K60/('SRV_BY Techs'!$M17*SUMIFS(K$132:K$135,$C$132:$C$135,$C88)/8760)</f>
        <v>0.10867943807243183</v>
      </c>
      <c r="L88" s="115">
        <f>L60/('SRV_BY Techs'!$M17*SUMIFS(L$132:L$135,$C$132:$C$135,$C88)/8760)</f>
        <v>0.49247585876090993</v>
      </c>
      <c r="M88" s="115">
        <f>M60/('SRV_BY Techs'!$M17*SUMIFS(M$132:M$135,$C$132:$C$135,$C88)/8760)</f>
        <v>4.7858592168556271</v>
      </c>
      <c r="N88" s="115">
        <f>N60/('SRV_BY Techs'!$M17*SUMIFS(N$132:N$135,$C$132:$C$135,$C88)/8760)</f>
        <v>0.33219491636830245</v>
      </c>
      <c r="O88" s="115">
        <f>O60/('SRV_BY Techs'!$M17*SUMIFS(O$132:O$135,$C$132:$C$135,$C88)/8760)</f>
        <v>5.6842657873040618</v>
      </c>
      <c r="P88" s="115">
        <f>P60/('SRV_BY Techs'!$M17*SUMIFS(P$132:P$135,$C$132:$C$135,$C88)/8760)</f>
        <v>0.99849172987891244</v>
      </c>
      <c r="Q88" s="115">
        <f>Q60/('SRV_BY Techs'!$M17*SUMIFS(Q$132:Q$135,$C$132:$C$135,$C88)/8760)</f>
        <v>4.3158766972342217</v>
      </c>
      <c r="R88" s="115">
        <f>R60/('SRV_BY Techs'!$M17*SUMIFS(R$132:R$135,$C$132:$C$135,$C88)/8760)</f>
        <v>60.627747330902693</v>
      </c>
      <c r="S88" s="115">
        <f>S60/('SRV_BY Techs'!$M17*SUMIFS(S$132:S$135,$C$132:$C$135,$C88)/8760)</f>
        <v>2.54443589499183</v>
      </c>
      <c r="T88" s="115">
        <f>T60/('SRV_BY Techs'!$M17*SUMIFS(T$132:T$135,$C$132:$C$135,$C88)/8760)</f>
        <v>0.69571507281506895</v>
      </c>
      <c r="U88" s="115">
        <f>U60/('SRV_BY Techs'!$M17*SUMIFS(U$132:U$135,$C$132:$C$135,$C88)/8760)</f>
        <v>0.84734991358472544</v>
      </c>
      <c r="V88" s="115">
        <f>V60/('SRV_BY Techs'!$M17*SUMIFS(V$132:V$135,$C$132:$C$135,$C88)/8760)</f>
        <v>126.95801503288041</v>
      </c>
      <c r="W88" s="115">
        <f>W60/('SRV_BY Techs'!$M17*SUMIFS(W$132:W$135,$C$132:$C$135,$C88)/8760)</f>
        <v>2.1833536144781442</v>
      </c>
      <c r="X88" s="115">
        <f>X60/('SRV_BY Techs'!$M17*SUMIFS(X$132:X$135,$C$132:$C$135,$C88)/8760)</f>
        <v>53.172561289323291</v>
      </c>
      <c r="Y88" s="115">
        <f>Y60/('SRV_BY Techs'!$M17*SUMIFS(Y$132:Y$135,$C$132:$C$135,$C88)/8760)</f>
        <v>124.31301617197012</v>
      </c>
      <c r="Z88" s="115">
        <f>Z60/('SRV_BY Techs'!$M17*SUMIFS(Z$132:Z$135,$C$132:$C$135,$C88)/8760)</f>
        <v>3.4331936771376634</v>
      </c>
      <c r="AA88" s="115">
        <f>AA60/('SRV_BY Techs'!$M17*SUMIFS(AA$132:AA$135,$C$132:$C$135,$C88)/8760)</f>
        <v>1.1618868603945509</v>
      </c>
      <c r="AB88" s="115">
        <f>AB60/('SRV_BY Techs'!$M17*SUMIFS(AB$132:AB$135,$C$132:$C$135,$C88)/8760)</f>
        <v>45.524537785036571</v>
      </c>
      <c r="AC88" s="115">
        <f>AC60/('SRV_BY Techs'!$M17*SUMIFS(AC$132:AC$135,$C$132:$C$135,$C88)/8760)</f>
        <v>4.2904612541915998</v>
      </c>
      <c r="AD88" s="115">
        <f>AD60/('SRV_BY Techs'!$M17*SUMIFS(AD$132:AD$135,$C$132:$C$135,$C88)/8760)</f>
        <v>7.9171493007321185</v>
      </c>
      <c r="AE88" s="115">
        <f>AE60/('SRV_BY Techs'!$M17*SUMIFS(AE$132:AE$135,$C$132:$C$135,$C88)/8760)</f>
        <v>6.4177230846955675</v>
      </c>
      <c r="AF88" s="115">
        <f>AF60/('SRV_BY Techs'!$M17*SUMIFS(AF$132:AF$135,$C$132:$C$135,$C88)/8760)</f>
        <v>1.7589998244142517</v>
      </c>
      <c r="AG88" s="115">
        <f>AG60/('SRV_BY Techs'!$M17*SUMIFS(AG$132:AG$135,$C$132:$C$135,$C88)/8760)</f>
        <v>5.1988699850129098E-2</v>
      </c>
      <c r="AH88" s="115">
        <f>AH60/('SRV_BY Techs'!$M17*SUMIFS(AH$132:AH$135,$C$132:$C$135,$C88)/8760)</f>
        <v>3.9625620223757805</v>
      </c>
      <c r="AI88" s="115">
        <f>AI60/('SRV_BY Techs'!$M17*SUMIFS(AI$132:AI$135,$C$132:$C$135,$C88)/8760)</f>
        <v>31.205044273234595</v>
      </c>
      <c r="AJ88" s="115">
        <f>AJ60/('SRV_BY Techs'!$M17*SUMIFS(AJ$132:AJ$135,$C$132:$C$135,$C88)/8760)</f>
        <v>234.20413510921708</v>
      </c>
    </row>
    <row r="89" spans="1:36" s="88" customFormat="1" x14ac:dyDescent="0.3">
      <c r="A89" s="505" t="str">
        <f>'SRV_BY Techs'!$L$91</f>
        <v>PRC_RESID</v>
      </c>
      <c r="B89" s="49" t="str">
        <f t="shared" si="40"/>
        <v>Cooking</v>
      </c>
      <c r="C89" s="49" t="str">
        <f t="shared" si="40"/>
        <v>S-CK</v>
      </c>
      <c r="D89" s="49" t="str">
        <f t="shared" si="40"/>
        <v>Biomass</v>
      </c>
      <c r="E89" s="49" t="str">
        <f t="shared" si="40"/>
        <v>SRVBIO</v>
      </c>
      <c r="F89" s="49" t="s">
        <v>181</v>
      </c>
      <c r="G89" s="49"/>
      <c r="H89" s="49"/>
      <c r="I89" s="84">
        <f>I61/('SRV_BY Techs'!$M18*SUMIFS(I$132:I$135,$C$132:$C$135,$C89)/8760)</f>
        <v>20.995131164383558</v>
      </c>
      <c r="J89" s="84">
        <f>J61/('SRV_BY Techs'!$M18*SUMIFS(J$132:J$135,$C$132:$C$135,$C89)/8760)</f>
        <v>4.0168860730593607</v>
      </c>
      <c r="K89" s="84">
        <f>K61/('SRV_BY Techs'!$M18*SUMIFS(K$132:K$135,$C$132:$C$135,$C89)/8760)</f>
        <v>13.568132496194822</v>
      </c>
      <c r="L89" s="84">
        <f>L61/('SRV_BY Techs'!$M18*SUMIFS(L$132:L$135,$C$132:$C$135,$C89)/8760)</f>
        <v>0.63332207001522067</v>
      </c>
      <c r="M89" s="84">
        <f>M61/('SRV_BY Techs'!$M18*SUMIFS(M$132:M$135,$C$132:$C$135,$C89)/8760)</f>
        <v>0</v>
      </c>
      <c r="N89" s="84">
        <f>N61/('SRV_BY Techs'!$M18*SUMIFS(N$132:N$135,$C$132:$C$135,$C89)/8760)</f>
        <v>0</v>
      </c>
      <c r="O89" s="84">
        <f>O61/('SRV_BY Techs'!$M18*SUMIFS(O$132:O$135,$C$132:$C$135,$C89)/8760)</f>
        <v>1.7257442922374426</v>
      </c>
      <c r="P89" s="84">
        <f>P61/('SRV_BY Techs'!$M18*SUMIFS(P$132:P$135,$C$132:$C$135,$C89)/8760)</f>
        <v>1.068207572298326</v>
      </c>
      <c r="Q89" s="84">
        <f>Q61/('SRV_BY Techs'!$M18*SUMIFS(Q$132:Q$135,$C$132:$C$135,$C89)/8760)</f>
        <v>0.42790083713850835</v>
      </c>
      <c r="R89" s="84">
        <f>R61/('SRV_BY Techs'!$M18*SUMIFS(R$132:R$135,$C$132:$C$135,$C89)/8760)</f>
        <v>0</v>
      </c>
      <c r="S89" s="84">
        <f>S61/('SRV_BY Techs'!$M18*SUMIFS(S$132:S$135,$C$132:$C$135,$C89)/8760)</f>
        <v>7.7843835616438345E-2</v>
      </c>
      <c r="T89" s="84">
        <f>T61/('SRV_BY Techs'!$M18*SUMIFS(T$132:T$135,$C$132:$C$135,$C89)/8760)</f>
        <v>1.7742508181126331</v>
      </c>
      <c r="U89" s="84">
        <f>U61/('SRV_BY Techs'!$M18*SUMIFS(U$132:U$135,$C$132:$C$135,$C89)/8760)</f>
        <v>0</v>
      </c>
      <c r="V89" s="84">
        <f>V61/('SRV_BY Techs'!$M18*SUMIFS(V$132:V$135,$C$132:$C$135,$C89)/8760)</f>
        <v>0.58194101978691015</v>
      </c>
      <c r="W89" s="84">
        <f>W61/('SRV_BY Techs'!$M18*SUMIFS(W$132:W$135,$C$132:$C$135,$C89)/8760)</f>
        <v>0</v>
      </c>
      <c r="X89" s="84">
        <f>X61/('SRV_BY Techs'!$M18*SUMIFS(X$132:X$135,$C$132:$C$135,$C89)/8760)</f>
        <v>0.83352625570776262</v>
      </c>
      <c r="Y89" s="84">
        <f>Y61/('SRV_BY Techs'!$M18*SUMIFS(Y$132:Y$135,$C$132:$C$135,$C89)/8760)</f>
        <v>3.0147668188736683</v>
      </c>
      <c r="Z89" s="84">
        <f>Z61/('SRV_BY Techs'!$M18*SUMIFS(Z$132:Z$135,$C$132:$C$135,$C89)/8760)</f>
        <v>4.8778533105022834</v>
      </c>
      <c r="AA89" s="84">
        <f>AA61/('SRV_BY Techs'!$M18*SUMIFS(AA$132:AA$135,$C$132:$C$135,$C89)/8760)</f>
        <v>13.18347823439878</v>
      </c>
      <c r="AB89" s="84">
        <f>AB61/('SRV_BY Techs'!$M18*SUMIFS(AB$132:AB$135,$C$132:$C$135,$C89)/8760)</f>
        <v>0</v>
      </c>
      <c r="AC89" s="84">
        <f>AC61/('SRV_BY Techs'!$M18*SUMIFS(AC$132:AC$135,$C$132:$C$135,$C89)/8760)</f>
        <v>3.4236872146118724</v>
      </c>
      <c r="AD89" s="84">
        <f>AD61/('SRV_BY Techs'!$M18*SUMIFS(AD$132:AD$135,$C$132:$C$135,$C89)/8760)</f>
        <v>0</v>
      </c>
      <c r="AE89" s="84">
        <f>AE61/('SRV_BY Techs'!$M18*SUMIFS(AE$132:AE$135,$C$132:$C$135,$C89)/8760)</f>
        <v>0</v>
      </c>
      <c r="AF89" s="84">
        <f>AF61/('SRV_BY Techs'!$M18*SUMIFS(AF$132:AF$135,$C$132:$C$135,$C89)/8760)</f>
        <v>0</v>
      </c>
      <c r="AG89" s="84">
        <f>AG61/('SRV_BY Techs'!$M18*SUMIFS(AG$132:AG$135,$C$132:$C$135,$C89)/8760)</f>
        <v>13.87710525114155</v>
      </c>
      <c r="AH89" s="84">
        <f>AH61/('SRV_BY Techs'!$M18*SUMIFS(AH$132:AH$135,$C$132:$C$135,$C89)/8760)</f>
        <v>0</v>
      </c>
      <c r="AI89" s="84">
        <f>AI61/('SRV_BY Techs'!$M18*SUMIFS(AI$132:AI$135,$C$132:$C$135,$C89)/8760)</f>
        <v>0.89676579147640778</v>
      </c>
      <c r="AJ89" s="84">
        <f>AJ61/('SRV_BY Techs'!$M18*SUMIFS(AJ$132:AJ$135,$C$132:$C$135,$C89)/8760)</f>
        <v>0</v>
      </c>
    </row>
    <row r="90" spans="1:36" s="88" customFormat="1" x14ac:dyDescent="0.3">
      <c r="A90" s="505" t="str">
        <f>'SRV_BY Techs'!$L$91</f>
        <v>PRC_RESID</v>
      </c>
      <c r="B90" s="49" t="str">
        <f t="shared" si="40"/>
        <v>Cooking</v>
      </c>
      <c r="C90" s="49" t="str">
        <f t="shared" si="40"/>
        <v>S-CK</v>
      </c>
      <c r="D90" s="49" t="str">
        <f t="shared" si="40"/>
        <v>Coal</v>
      </c>
      <c r="E90" s="49" t="str">
        <f t="shared" si="40"/>
        <v>SRVCOA</v>
      </c>
      <c r="F90" s="49" t="s">
        <v>181</v>
      </c>
      <c r="G90" s="49"/>
      <c r="H90" s="49"/>
      <c r="I90" s="84">
        <f>I62/('SRV_BY Techs'!$M19*SUMIFS(I$132:I$135,$C$132:$C$135,$C90)/8760)</f>
        <v>0</v>
      </c>
      <c r="J90" s="84">
        <f>J62/('SRV_BY Techs'!$M19*SUMIFS(J$132:J$135,$C$132:$C$135,$C90)/8760)</f>
        <v>0</v>
      </c>
      <c r="K90" s="84">
        <f>K62/('SRV_BY Techs'!$M19*SUMIFS(K$132:K$135,$C$132:$C$135,$C90)/8760)</f>
        <v>0</v>
      </c>
      <c r="L90" s="84">
        <f>L62/('SRV_BY Techs'!$M19*SUMIFS(L$132:L$135,$C$132:$C$135,$C90)/8760)</f>
        <v>6.6441155251141559</v>
      </c>
      <c r="M90" s="84">
        <f>M62/('SRV_BY Techs'!$M19*SUMIFS(M$132:M$135,$C$132:$C$135,$C90)/8760)</f>
        <v>0</v>
      </c>
      <c r="N90" s="84">
        <f>N62/('SRV_BY Techs'!$M19*SUMIFS(N$132:N$135,$C$132:$C$135,$C90)/8760)</f>
        <v>0</v>
      </c>
      <c r="O90" s="84">
        <f>O62/('SRV_BY Techs'!$M19*SUMIFS(O$132:O$135,$C$132:$C$135,$C90)/8760)</f>
        <v>1.421044710806697</v>
      </c>
      <c r="P90" s="84">
        <f>P62/('SRV_BY Techs'!$M19*SUMIFS(P$132:P$135,$C$132:$C$135,$C90)/8760)</f>
        <v>0</v>
      </c>
      <c r="Q90" s="84">
        <f>Q62/('SRV_BY Techs'!$M19*SUMIFS(Q$132:Q$135,$C$132:$C$135,$C90)/8760)</f>
        <v>0</v>
      </c>
      <c r="R90" s="84">
        <f>R62/('SRV_BY Techs'!$M19*SUMIFS(R$132:R$135,$C$132:$C$135,$C90)/8760)</f>
        <v>0</v>
      </c>
      <c r="S90" s="84">
        <f>S62/('SRV_BY Techs'!$M19*SUMIFS(S$132:S$135,$C$132:$C$135,$C90)/8760)</f>
        <v>0</v>
      </c>
      <c r="T90" s="84">
        <f>T62/('SRV_BY Techs'!$M19*SUMIFS(T$132:T$135,$C$132:$C$135,$C90)/8760)</f>
        <v>1.4650292237442921</v>
      </c>
      <c r="U90" s="84">
        <f>U62/('SRV_BY Techs'!$M19*SUMIFS(U$132:U$135,$C$132:$C$135,$C90)/8760)</f>
        <v>0</v>
      </c>
      <c r="V90" s="84">
        <f>V62/('SRV_BY Techs'!$M19*SUMIFS(V$132:V$135,$C$132:$C$135,$C90)/8760)</f>
        <v>0</v>
      </c>
      <c r="W90" s="84">
        <f>W62/('SRV_BY Techs'!$M19*SUMIFS(W$132:W$135,$C$132:$C$135,$C90)/8760)</f>
        <v>0</v>
      </c>
      <c r="X90" s="84">
        <f>X62/('SRV_BY Techs'!$M19*SUMIFS(X$132:X$135,$C$132:$C$135,$C90)/8760)</f>
        <v>0</v>
      </c>
      <c r="Y90" s="84">
        <f>Y62/('SRV_BY Techs'!$M19*SUMIFS(Y$132:Y$135,$C$132:$C$135,$C90)/8760)</f>
        <v>0</v>
      </c>
      <c r="Z90" s="84">
        <f>Z62/('SRV_BY Techs'!$M19*SUMIFS(Z$132:Z$135,$C$132:$C$135,$C90)/8760)</f>
        <v>2.8429474885844748</v>
      </c>
      <c r="AA90" s="84">
        <f>AA62/('SRV_BY Techs'!$M19*SUMIFS(AA$132:AA$135,$C$132:$C$135,$C90)/8760)</f>
        <v>0</v>
      </c>
      <c r="AB90" s="84">
        <f>AB62/('SRV_BY Techs'!$M19*SUMIFS(AB$132:AB$135,$C$132:$C$135,$C90)/8760)</f>
        <v>0.2031971232876712</v>
      </c>
      <c r="AC90" s="84">
        <f>AC62/('SRV_BY Techs'!$M19*SUMIFS(AC$132:AC$135,$C$132:$C$135,$C90)/8760)</f>
        <v>0</v>
      </c>
      <c r="AD90" s="84">
        <f>AD62/('SRV_BY Techs'!$M19*SUMIFS(AD$132:AD$135,$C$132:$C$135,$C90)/8760)</f>
        <v>0</v>
      </c>
      <c r="AE90" s="84">
        <f>AE62/('SRV_BY Techs'!$M19*SUMIFS(AE$132:AE$135,$C$132:$C$135,$C90)/8760)</f>
        <v>0</v>
      </c>
      <c r="AF90" s="84">
        <f>AF62/('SRV_BY Techs'!$M19*SUMIFS(AF$132:AF$135,$C$132:$C$135,$C90)/8760)</f>
        <v>0</v>
      </c>
      <c r="AG90" s="84">
        <f>AG62/('SRV_BY Techs'!$M19*SUMIFS(AG$132:AG$135,$C$132:$C$135,$C90)/8760)</f>
        <v>0</v>
      </c>
      <c r="AH90" s="84">
        <f>AH62/('SRV_BY Techs'!$M19*SUMIFS(AH$132:AH$135,$C$132:$C$135,$C90)/8760)</f>
        <v>0</v>
      </c>
      <c r="AI90" s="84">
        <f>AI62/('SRV_BY Techs'!$M19*SUMIFS(AI$132:AI$135,$C$132:$C$135,$C90)/8760)</f>
        <v>0</v>
      </c>
      <c r="AJ90" s="84">
        <f>AJ62/('SRV_BY Techs'!$M19*SUMIFS(AJ$132:AJ$135,$C$132:$C$135,$C90)/8760)</f>
        <v>0</v>
      </c>
    </row>
    <row r="91" spans="1:36" s="88" customFormat="1" x14ac:dyDescent="0.3">
      <c r="A91" s="505" t="str">
        <f>'SRV_BY Techs'!$L$91</f>
        <v>PRC_RESID</v>
      </c>
      <c r="B91" s="49" t="str">
        <f t="shared" si="40"/>
        <v>Cooking</v>
      </c>
      <c r="C91" s="49" t="str">
        <f t="shared" si="40"/>
        <v>S-CK</v>
      </c>
      <c r="D91" s="49" t="str">
        <f t="shared" si="40"/>
        <v>Electricity</v>
      </c>
      <c r="E91" s="49" t="str">
        <f t="shared" si="40"/>
        <v>SRVELC</v>
      </c>
      <c r="F91" s="49" t="s">
        <v>181</v>
      </c>
      <c r="G91" s="49"/>
      <c r="H91" s="49"/>
      <c r="I91" s="84">
        <f>I63/('SRV_BY Techs'!$M20*SUMIFS(I$132:I$135,$C$132:$C$135,$C91)/8760)</f>
        <v>0.51546898782343997</v>
      </c>
      <c r="J91" s="84">
        <f>J63/('SRV_BY Techs'!$M20*SUMIFS(J$132:J$135,$C$132:$C$135,$C91)/8760)</f>
        <v>2.8486444063926943</v>
      </c>
      <c r="K91" s="84">
        <f>K63/('SRV_BY Techs'!$M20*SUMIFS(K$132:K$135,$C$132:$C$135,$C91)/8760)</f>
        <v>0.66209094368340948</v>
      </c>
      <c r="L91" s="84">
        <f>L63/('SRV_BY Techs'!$M20*SUMIFS(L$132:L$135,$C$132:$C$135,$C91)/8760)</f>
        <v>1.7354297945205481</v>
      </c>
      <c r="M91" s="84">
        <f>M63/('SRV_BY Techs'!$M20*SUMIFS(M$132:M$135,$C$132:$C$135,$C91)/8760)</f>
        <v>4.3734225646879761</v>
      </c>
      <c r="N91" s="84">
        <f>N63/('SRV_BY Techs'!$M20*SUMIFS(N$132:N$135,$C$132:$C$135,$C91)/8760)</f>
        <v>0.89998675799086747</v>
      </c>
      <c r="O91" s="84">
        <f>O63/('SRV_BY Techs'!$M20*SUMIFS(O$132:O$135,$C$132:$C$135,$C91)/8760)</f>
        <v>1.4290492770167427</v>
      </c>
      <c r="P91" s="84">
        <f>P63/('SRV_BY Techs'!$M20*SUMIFS(P$132:P$135,$C$132:$C$135,$C91)/8760)</f>
        <v>0.33015867579908681</v>
      </c>
      <c r="Q91" s="84">
        <f>Q63/('SRV_BY Techs'!$M20*SUMIFS(Q$132:Q$135,$C$132:$C$135,$C91)/8760)</f>
        <v>3.0526886605783869</v>
      </c>
      <c r="R91" s="84">
        <f>R63/('SRV_BY Techs'!$M20*SUMIFS(R$132:R$135,$C$132:$C$135,$C91)/8760)</f>
        <v>6.5514207001522067</v>
      </c>
      <c r="S91" s="84">
        <f>S63/('SRV_BY Techs'!$M20*SUMIFS(S$132:S$135,$C$132:$C$135,$C91)/8760)</f>
        <v>0.26556986301369861</v>
      </c>
      <c r="T91" s="84">
        <f>T63/('SRV_BY Techs'!$M20*SUMIFS(T$132:T$135,$C$132:$C$135,$C91)/8760)</f>
        <v>1.6226413622526636</v>
      </c>
      <c r="U91" s="84">
        <f>U63/('SRV_BY Techs'!$M20*SUMIFS(U$132:U$135,$C$132:$C$135,$C91)/8760)</f>
        <v>1.4120077625570777</v>
      </c>
      <c r="V91" s="84">
        <f>V63/('SRV_BY Techs'!$M20*SUMIFS(V$132:V$135,$C$132:$C$135,$C91)/8760)</f>
        <v>5.8235986301369858</v>
      </c>
      <c r="W91" s="84">
        <f>W63/('SRV_BY Techs'!$M20*SUMIFS(W$132:W$135,$C$132:$C$135,$C91)/8760)</f>
        <v>3.790872716894977</v>
      </c>
      <c r="X91" s="84">
        <f>X63/('SRV_BY Techs'!$M20*SUMIFS(X$132:X$135,$C$132:$C$135,$C91)/8760)</f>
        <v>14.63423896499239</v>
      </c>
      <c r="Y91" s="84">
        <f>Y63/('SRV_BY Techs'!$M20*SUMIFS(Y$132:Y$135,$C$132:$C$135,$C91)/8760)</f>
        <v>11.760935616438356</v>
      </c>
      <c r="Z91" s="84">
        <f>Z63/('SRV_BY Techs'!$M20*SUMIFS(Z$132:Z$135,$C$132:$C$135,$C91)/8760)</f>
        <v>1.1863166666666667</v>
      </c>
      <c r="AA91" s="84">
        <f>AA63/('SRV_BY Techs'!$M20*SUMIFS(AA$132:AA$135,$C$132:$C$135,$C91)/8760)</f>
        <v>3.372641666666667</v>
      </c>
      <c r="AB91" s="84">
        <f>AB63/('SRV_BY Techs'!$M20*SUMIFS(AB$132:AB$135,$C$132:$C$135,$C91)/8760)</f>
        <v>0</v>
      </c>
      <c r="AC91" s="84">
        <f>AC63/('SRV_BY Techs'!$M20*SUMIFS(AC$132:AC$135,$C$132:$C$135,$C91)/8760)</f>
        <v>2.5023400304414003</v>
      </c>
      <c r="AD91" s="84">
        <f>AD63/('SRV_BY Techs'!$M20*SUMIFS(AD$132:AD$135,$C$132:$C$135,$C91)/8760)</f>
        <v>3.3280373287671234</v>
      </c>
      <c r="AE91" s="84">
        <f>AE63/('SRV_BY Techs'!$M20*SUMIFS(AE$132:AE$135,$C$132:$C$135,$C91)/8760)</f>
        <v>7.2031767123287667</v>
      </c>
      <c r="AF91" s="84">
        <f>AF63/('SRV_BY Techs'!$M20*SUMIFS(AF$132:AF$135,$C$132:$C$135,$C91)/8760)</f>
        <v>0.62153280060882798</v>
      </c>
      <c r="AG91" s="84">
        <f>AG63/('SRV_BY Techs'!$M20*SUMIFS(AG$132:AG$135,$C$132:$C$135,$C91)/8760)</f>
        <v>0.40009531963470318</v>
      </c>
      <c r="AH91" s="84">
        <f>AH63/('SRV_BY Techs'!$M20*SUMIFS(AH$132:AH$135,$C$132:$C$135,$C91)/8760)</f>
        <v>4.9630036529680357</v>
      </c>
      <c r="AI91" s="84">
        <f>AI63/('SRV_BY Techs'!$M20*SUMIFS(AI$132:AI$135,$C$132:$C$135,$C91)/8760)</f>
        <v>1.7705920091324201</v>
      </c>
      <c r="AJ91" s="84">
        <f>AJ63/('SRV_BY Techs'!$M20*SUMIFS(AJ$132:AJ$135,$C$132:$C$135,$C91)/8760)</f>
        <v>15.224712665225864</v>
      </c>
    </row>
    <row r="92" spans="1:36" s="88" customFormat="1" x14ac:dyDescent="0.3">
      <c r="A92" s="505" t="str">
        <f>'SRV_BY Techs'!$L$91</f>
        <v>PRC_RESID</v>
      </c>
      <c r="B92" s="49" t="str">
        <f t="shared" si="40"/>
        <v>Cooking</v>
      </c>
      <c r="C92" s="49" t="str">
        <f t="shared" si="40"/>
        <v>S-CK</v>
      </c>
      <c r="D92" s="49" t="str">
        <f t="shared" si="40"/>
        <v>Natural gas, Biogas</v>
      </c>
      <c r="E92" s="49" t="str">
        <f t="shared" si="40"/>
        <v>SRVGAS, SRVBGS</v>
      </c>
      <c r="F92" s="49" t="s">
        <v>181</v>
      </c>
      <c r="G92" s="49"/>
      <c r="H92" s="49"/>
      <c r="I92" s="84">
        <f>I64/('SRV_BY Techs'!$M21*SUMIFS(I$132:I$135,$C$132:$C$135,$C92)/8760)</f>
        <v>0</v>
      </c>
      <c r="J92" s="84">
        <f>J64/('SRV_BY Techs'!$M21*SUMIFS(J$132:J$135,$C$132:$C$135,$C92)/8760)</f>
        <v>0.92339269406392677</v>
      </c>
      <c r="K92" s="84">
        <f>K64/('SRV_BY Techs'!$M21*SUMIFS(K$132:K$135,$C$132:$C$135,$C92)/8760)</f>
        <v>0</v>
      </c>
      <c r="L92" s="84">
        <f>L64/('SRV_BY Techs'!$M21*SUMIFS(L$132:L$135,$C$132:$C$135,$C92)/8760)</f>
        <v>0.13592465753424657</v>
      </c>
      <c r="M92" s="84">
        <f>M64/('SRV_BY Techs'!$M21*SUMIFS(M$132:M$135,$C$132:$C$135,$C92)/8760)</f>
        <v>0.98573744292237431</v>
      </c>
      <c r="N92" s="84">
        <f>N64/('SRV_BY Techs'!$M21*SUMIFS(N$132:N$135,$C$132:$C$135,$C92)/8760)</f>
        <v>11.230969406392694</v>
      </c>
      <c r="O92" s="84">
        <f>O64/('SRV_BY Techs'!$M21*SUMIFS(O$132:O$135,$C$132:$C$135,$C92)/8760)</f>
        <v>0.38819634703196343</v>
      </c>
      <c r="P92" s="84">
        <f>P64/('SRV_BY Techs'!$M21*SUMIFS(P$132:P$135,$C$132:$C$135,$C92)/8760)</f>
        <v>0.63770958904109587</v>
      </c>
      <c r="Q92" s="84">
        <f>Q64/('SRV_BY Techs'!$M21*SUMIFS(Q$132:Q$135,$C$132:$C$135,$C92)/8760)</f>
        <v>0.65154337899543369</v>
      </c>
      <c r="R92" s="84">
        <f>R64/('SRV_BY Techs'!$M21*SUMIFS(R$132:R$135,$C$132:$C$135,$C92)/8760)</f>
        <v>9.470744292237443</v>
      </c>
      <c r="S92" s="84">
        <f>S64/('SRV_BY Techs'!$M21*SUMIFS(S$132:S$135,$C$132:$C$135,$C92)/8760)</f>
        <v>0.7322031963470319</v>
      </c>
      <c r="T92" s="84">
        <f>T64/('SRV_BY Techs'!$M21*SUMIFS(T$132:T$135,$C$132:$C$135,$C92)/8760)</f>
        <v>0</v>
      </c>
      <c r="U92" s="84">
        <f>U64/('SRV_BY Techs'!$M21*SUMIFS(U$132:U$135,$C$132:$C$135,$C92)/8760)</f>
        <v>1.4766563926940639</v>
      </c>
      <c r="V92" s="84">
        <f>V64/('SRV_BY Techs'!$M21*SUMIFS(V$132:V$135,$C$132:$C$135,$C92)/8760)</f>
        <v>9.4828073059360722</v>
      </c>
      <c r="W92" s="84">
        <f>W64/('SRV_BY Techs'!$M21*SUMIFS(W$132:W$135,$C$132:$C$135,$C92)/8760)</f>
        <v>6.9344605022831045</v>
      </c>
      <c r="X92" s="84">
        <f>X64/('SRV_BY Techs'!$M21*SUMIFS(X$132:X$135,$C$132:$C$135,$C92)/8760)</f>
        <v>20.845494178082191</v>
      </c>
      <c r="Y92" s="84">
        <f>Y64/('SRV_BY Techs'!$M21*SUMIFS(Y$132:Y$135,$C$132:$C$135,$C92)/8760)</f>
        <v>21.00081906392694</v>
      </c>
      <c r="Z92" s="84">
        <f>Z64/('SRV_BY Techs'!$M21*SUMIFS(Z$132:Z$135,$C$132:$C$135,$C92)/8760)</f>
        <v>0.79485159817351581</v>
      </c>
      <c r="AA92" s="84">
        <f>AA64/('SRV_BY Techs'!$M21*SUMIFS(AA$132:AA$135,$C$132:$C$135,$C92)/8760)</f>
        <v>10.884600456621003</v>
      </c>
      <c r="AB92" s="84">
        <f>AB64/('SRV_BY Techs'!$M21*SUMIFS(AB$132:AB$135,$C$132:$C$135,$C92)/8760)</f>
        <v>26.393576712328763</v>
      </c>
      <c r="AC92" s="84">
        <f>AC64/('SRV_BY Techs'!$M21*SUMIFS(AC$132:AC$135,$C$132:$C$135,$C92)/8760)</f>
        <v>8.794045662100455</v>
      </c>
      <c r="AD92" s="84">
        <f>AD64/('SRV_BY Techs'!$M21*SUMIFS(AD$132:AD$135,$C$132:$C$135,$C92)/8760)</f>
        <v>20.045492465753426</v>
      </c>
      <c r="AE92" s="84">
        <f>AE64/('SRV_BY Techs'!$M21*SUMIFS(AE$132:AE$135,$C$132:$C$135,$C92)/8760)</f>
        <v>68.279339269406393</v>
      </c>
      <c r="AF92" s="84">
        <f>AF64/('SRV_BY Techs'!$M21*SUMIFS(AF$132:AF$135,$C$132:$C$135,$C92)/8760)</f>
        <v>1.1037305936073056</v>
      </c>
      <c r="AG92" s="84">
        <f>AG64/('SRV_BY Techs'!$M21*SUMIFS(AG$132:AG$135,$C$132:$C$135,$C92)/8760)</f>
        <v>0</v>
      </c>
      <c r="AH92" s="84">
        <f>AH64/('SRV_BY Techs'!$M21*SUMIFS(AH$132:AH$135,$C$132:$C$135,$C92)/8760)</f>
        <v>7.1684874429223733</v>
      </c>
      <c r="AI92" s="84">
        <f>AI64/('SRV_BY Techs'!$M21*SUMIFS(AI$132:AI$135,$C$132:$C$135,$C92)/8760)</f>
        <v>6.7341198630136985</v>
      </c>
      <c r="AJ92" s="84">
        <f>AJ64/('SRV_BY Techs'!$M21*SUMIFS(AJ$132:AJ$135,$C$132:$C$135,$C92)/8760)</f>
        <v>46.79682465230028</v>
      </c>
    </row>
    <row r="93" spans="1:36" s="88" customFormat="1" x14ac:dyDescent="0.3">
      <c r="A93" s="505" t="str">
        <f>'SRV_BY Techs'!$L$91</f>
        <v>PRC_RESID</v>
      </c>
      <c r="B93" s="49" t="str">
        <f t="shared" si="40"/>
        <v>Cooking</v>
      </c>
      <c r="C93" s="49" t="str">
        <f t="shared" si="40"/>
        <v>S-CK</v>
      </c>
      <c r="D93" s="49" t="str">
        <f t="shared" si="40"/>
        <v>LPG</v>
      </c>
      <c r="E93" s="49" t="str">
        <f t="shared" si="40"/>
        <v>SRVLPG</v>
      </c>
      <c r="F93" s="49" t="s">
        <v>181</v>
      </c>
      <c r="G93" s="49"/>
      <c r="H93" s="49"/>
      <c r="I93" s="84">
        <f>I65/('SRV_BY Techs'!$M22*SUMIFS(I$132:I$135,$C$132:$C$135,$C93)/8760)</f>
        <v>0.92266286149162846</v>
      </c>
      <c r="J93" s="84">
        <f>J65/('SRV_BY Techs'!$M22*SUMIFS(J$132:J$135,$C$132:$C$135,$C93)/8760)</f>
        <v>1.1586779299847791</v>
      </c>
      <c r="K93" s="84">
        <f>K65/('SRV_BY Techs'!$M22*SUMIFS(K$132:K$135,$C$132:$C$135,$C93)/8760)</f>
        <v>1.1969680365296802</v>
      </c>
      <c r="L93" s="84">
        <f>L65/('SRV_BY Techs'!$M22*SUMIFS(L$132:L$135,$C$132:$C$135,$C93)/8760)</f>
        <v>0.37694840182648398</v>
      </c>
      <c r="M93" s="84">
        <f>M65/('SRV_BY Techs'!$M22*SUMIFS(M$132:M$135,$C$132:$C$135,$C93)/8760)</f>
        <v>0.20280426179604263</v>
      </c>
      <c r="N93" s="84">
        <f>N65/('SRV_BY Techs'!$M22*SUMIFS(N$132:N$135,$C$132:$C$135,$C93)/8760)</f>
        <v>3.5163790590608097E-2</v>
      </c>
      <c r="O93" s="84">
        <f>O65/('SRV_BY Techs'!$M22*SUMIFS(O$132:O$135,$C$132:$C$135,$C93)/8760)</f>
        <v>7.9141467275494666</v>
      </c>
      <c r="P93" s="84">
        <f>P65/('SRV_BY Techs'!$M22*SUMIFS(P$132:P$135,$C$132:$C$135,$C93)/8760)</f>
        <v>5.3059147640791462</v>
      </c>
      <c r="Q93" s="84">
        <f>Q65/('SRV_BY Techs'!$M22*SUMIFS(Q$132:Q$135,$C$132:$C$135,$C93)/8760)</f>
        <v>0</v>
      </c>
      <c r="R93" s="84">
        <f>R65/('SRV_BY Techs'!$M22*SUMIFS(R$132:R$135,$C$132:$C$135,$C93)/8760)</f>
        <v>6.061420395738204</v>
      </c>
      <c r="S93" s="84">
        <f>S65/('SRV_BY Techs'!$M22*SUMIFS(S$132:S$135,$C$132:$C$135,$C93)/8760)</f>
        <v>1.8684698630136984</v>
      </c>
      <c r="T93" s="84">
        <f>T65/('SRV_BY Techs'!$M22*SUMIFS(T$132:T$135,$C$132:$C$135,$C93)/8760)</f>
        <v>0</v>
      </c>
      <c r="U93" s="84">
        <f>U65/('SRV_BY Techs'!$M22*SUMIFS(U$132:U$135,$C$132:$C$135,$C93)/8760)</f>
        <v>5.9366794551421569E-2</v>
      </c>
      <c r="V93" s="84">
        <f>V65/('SRV_BY Techs'!$M22*SUMIFS(V$132:V$135,$C$132:$C$135,$C93)/8760)</f>
        <v>2.0306856925418568</v>
      </c>
      <c r="W93" s="84">
        <f>W65/('SRV_BY Techs'!$M22*SUMIFS(W$132:W$135,$C$132:$C$135,$C93)/8760)</f>
        <v>0.11741102058039433</v>
      </c>
      <c r="X93" s="84">
        <f>X65/('SRV_BY Techs'!$M22*SUMIFS(X$132:X$135,$C$132:$C$135,$C93)/8760)</f>
        <v>5.4569147640791469</v>
      </c>
      <c r="Y93" s="84">
        <f>Y65/('SRV_BY Techs'!$M22*SUMIFS(Y$132:Y$135,$C$132:$C$135,$C93)/8760)</f>
        <v>2.0724003044140029</v>
      </c>
      <c r="Z93" s="84">
        <f>Z65/('SRV_BY Techs'!$M22*SUMIFS(Z$132:Z$135,$C$132:$C$135,$C93)/8760)</f>
        <v>9.329915372907152</v>
      </c>
      <c r="AA93" s="84">
        <f>AA65/('SRV_BY Techs'!$M22*SUMIFS(AA$132:AA$135,$C$132:$C$135,$C93)/8760)</f>
        <v>0</v>
      </c>
      <c r="AB93" s="84">
        <f>AB65/('SRV_BY Techs'!$M22*SUMIFS(AB$132:AB$135,$C$132:$C$135,$C93)/8760)</f>
        <v>0</v>
      </c>
      <c r="AC93" s="84">
        <f>AC65/('SRV_BY Techs'!$M22*SUMIFS(AC$132:AC$135,$C$132:$C$135,$C93)/8760)</f>
        <v>7.0105369863013696</v>
      </c>
      <c r="AD93" s="84">
        <f>AD65/('SRV_BY Techs'!$M22*SUMIFS(AD$132:AD$135,$C$132:$C$135,$C93)/8760)</f>
        <v>6.6357145357686447</v>
      </c>
      <c r="AE93" s="84">
        <f>AE65/('SRV_BY Techs'!$M22*SUMIFS(AE$132:AE$135,$C$132:$C$135,$C93)/8760)</f>
        <v>0.44385266362252657</v>
      </c>
      <c r="AF93" s="84">
        <f>AF65/('SRV_BY Techs'!$M22*SUMIFS(AF$132:AF$135,$C$132:$C$135,$C93)/8760)</f>
        <v>12.510039726027397</v>
      </c>
      <c r="AG93" s="84">
        <f>AG65/('SRV_BY Techs'!$M22*SUMIFS(AG$132:AG$135,$C$132:$C$135,$C93)/8760)</f>
        <v>0</v>
      </c>
      <c r="AH93" s="84">
        <f>AH65/('SRV_BY Techs'!$M22*SUMIFS(AH$132:AH$135,$C$132:$C$135,$C93)/8760)</f>
        <v>1.6350253358773582E-2</v>
      </c>
      <c r="AI93" s="84">
        <f>AI65/('SRV_BY Techs'!$M22*SUMIFS(AI$132:AI$135,$C$132:$C$135,$C93)/8760)</f>
        <v>0.49839193302891921</v>
      </c>
      <c r="AJ93" s="84">
        <f>AJ65/('SRV_BY Techs'!$M22*SUMIFS(AJ$132:AJ$135,$C$132:$C$135,$C93)/8760)</f>
        <v>1.10088950597987</v>
      </c>
    </row>
    <row r="94" spans="1:36" s="88" customFormat="1" x14ac:dyDescent="0.3">
      <c r="A94" s="505" t="str">
        <f>'SRV_BY Techs'!$L$91</f>
        <v>PRC_RESID</v>
      </c>
      <c r="B94" s="49" t="str">
        <f t="shared" si="40"/>
        <v>Cooking</v>
      </c>
      <c r="C94" s="49" t="str">
        <f t="shared" si="40"/>
        <v>S-CK</v>
      </c>
      <c r="D94" s="49" t="str">
        <f t="shared" si="40"/>
        <v>Oil, Liquid biofuels</v>
      </c>
      <c r="E94" s="49" t="str">
        <f t="shared" si="40"/>
        <v>SRVOIL, SRVBLQ</v>
      </c>
      <c r="F94" s="49" t="s">
        <v>181</v>
      </c>
      <c r="G94" s="49"/>
      <c r="H94" s="49"/>
      <c r="I94" s="84">
        <f>I66/('SRV_BY Techs'!$M23*SUMIFS(I$132:I$135,$C$132:$C$135,$C94)/8760)</f>
        <v>0</v>
      </c>
      <c r="J94" s="84">
        <f>J66/('SRV_BY Techs'!$M23*SUMIFS(J$132:J$135,$C$132:$C$135,$C94)/8760)</f>
        <v>0</v>
      </c>
      <c r="K94" s="84">
        <f>K66/('SRV_BY Techs'!$M23*SUMIFS(K$132:K$135,$C$132:$C$135,$C94)/8760)</f>
        <v>0</v>
      </c>
      <c r="L94" s="84">
        <f>L66/('SRV_BY Techs'!$M23*SUMIFS(L$132:L$135,$C$132:$C$135,$C94)/8760)</f>
        <v>0</v>
      </c>
      <c r="M94" s="84">
        <f>M66/('SRV_BY Techs'!$M23*SUMIFS(M$132:M$135,$C$132:$C$135,$C94)/8760)</f>
        <v>0</v>
      </c>
      <c r="N94" s="84">
        <f>N66/('SRV_BY Techs'!$M23*SUMIFS(N$132:N$135,$C$132:$C$135,$C94)/8760)</f>
        <v>0</v>
      </c>
      <c r="O94" s="84">
        <f>O66/('SRV_BY Techs'!$M23*SUMIFS(O$132:O$135,$C$132:$C$135,$C94)/8760)</f>
        <v>1.0585168949771688</v>
      </c>
      <c r="P94" s="84">
        <f>P66/('SRV_BY Techs'!$M23*SUMIFS(P$132:P$135,$C$132:$C$135,$C94)/8760)</f>
        <v>2.0684931506849309E-3</v>
      </c>
      <c r="Q94" s="84">
        <f>Q66/('SRV_BY Techs'!$M23*SUMIFS(Q$132:Q$135,$C$132:$C$135,$C94)/8760)</f>
        <v>0.27614383561643835</v>
      </c>
      <c r="R94" s="84">
        <f>R66/('SRV_BY Techs'!$M23*SUMIFS(R$132:R$135,$C$132:$C$135,$C94)/8760)</f>
        <v>0</v>
      </c>
      <c r="S94" s="84">
        <f>S66/('SRV_BY Techs'!$M23*SUMIFS(S$132:S$135,$C$132:$C$135,$C94)/8760)</f>
        <v>2.1192861491628614</v>
      </c>
      <c r="T94" s="84">
        <f>T66/('SRV_BY Techs'!$M23*SUMIFS(T$132:T$135,$C$132:$C$135,$C94)/8760)</f>
        <v>0</v>
      </c>
      <c r="U94" s="84">
        <f>U66/('SRV_BY Techs'!$M23*SUMIFS(U$132:U$135,$C$132:$C$135,$C94)/8760)</f>
        <v>0</v>
      </c>
      <c r="V94" s="84">
        <f>V66/('SRV_BY Techs'!$M23*SUMIFS(V$132:V$135,$C$132:$C$135,$C94)/8760)</f>
        <v>0</v>
      </c>
      <c r="W94" s="84">
        <f>W66/('SRV_BY Techs'!$M23*SUMIFS(W$132:W$135,$C$132:$C$135,$C94)/8760)</f>
        <v>0</v>
      </c>
      <c r="X94" s="84">
        <f>X66/('SRV_BY Techs'!$M23*SUMIFS(X$132:X$135,$C$132:$C$135,$C94)/8760)</f>
        <v>0</v>
      </c>
      <c r="Y94" s="84">
        <f>Y66/('SRV_BY Techs'!$M23*SUMIFS(Y$132:Y$135,$C$132:$C$135,$C94)/8760)</f>
        <v>0</v>
      </c>
      <c r="Z94" s="84">
        <f>Z66/('SRV_BY Techs'!$M23*SUMIFS(Z$132:Z$135,$C$132:$C$135,$C94)/8760)</f>
        <v>7.8872333333333327</v>
      </c>
      <c r="AA94" s="84">
        <f>AA66/('SRV_BY Techs'!$M23*SUMIFS(AA$132:AA$135,$C$132:$C$135,$C94)/8760)</f>
        <v>0.43794596651445966</v>
      </c>
      <c r="AB94" s="84">
        <f>AB66/('SRV_BY Techs'!$M23*SUMIFS(AB$132:AB$135,$C$132:$C$135,$C94)/8760)</f>
        <v>0</v>
      </c>
      <c r="AC94" s="84">
        <f>AC66/('SRV_BY Techs'!$M23*SUMIFS(AC$132:AC$135,$C$132:$C$135,$C94)/8760)</f>
        <v>5.5090867579908673</v>
      </c>
      <c r="AD94" s="84">
        <f>AD66/('SRV_BY Techs'!$M23*SUMIFS(AD$132:AD$135,$C$132:$C$135,$C94)/8760)</f>
        <v>2.5394200913242009</v>
      </c>
      <c r="AE94" s="84">
        <f>AE66/('SRV_BY Techs'!$M23*SUMIFS(AE$132:AE$135,$C$132:$C$135,$C94)/8760)</f>
        <v>4.8525470319634687</v>
      </c>
      <c r="AF94" s="84">
        <f>AF66/('SRV_BY Techs'!$M23*SUMIFS(AF$132:AF$135,$C$132:$C$135,$C94)/8760)</f>
        <v>0.19085296803652965</v>
      </c>
      <c r="AG94" s="84">
        <f>AG66/('SRV_BY Techs'!$M23*SUMIFS(AG$132:AG$135,$C$132:$C$135,$C94)/8760)</f>
        <v>0</v>
      </c>
      <c r="AH94" s="84">
        <f>AH66/('SRV_BY Techs'!$M23*SUMIFS(AH$132:AH$135,$C$132:$C$135,$C94)/8760)</f>
        <v>0</v>
      </c>
      <c r="AI94" s="84">
        <f>AI66/('SRV_BY Techs'!$M23*SUMIFS(AI$132:AI$135,$C$132:$C$135,$C94)/8760)</f>
        <v>0</v>
      </c>
      <c r="AJ94" s="84">
        <f>AJ66/('SRV_BY Techs'!$M23*SUMIFS(AJ$132:AJ$135,$C$132:$C$135,$C94)/8760)</f>
        <v>0</v>
      </c>
    </row>
    <row r="95" spans="1:36" s="88" customFormat="1" x14ac:dyDescent="0.3">
      <c r="A95" s="505" t="str">
        <f>'SRV_BY Techs'!$L$91</f>
        <v>PRC_RESID</v>
      </c>
      <c r="B95" s="49" t="str">
        <f t="shared" si="40"/>
        <v>Cooking</v>
      </c>
      <c r="C95" s="49" t="str">
        <f t="shared" si="40"/>
        <v>S-CK</v>
      </c>
      <c r="D95" s="49" t="str">
        <f t="shared" si="40"/>
        <v>Solar</v>
      </c>
      <c r="E95" s="49" t="str">
        <f t="shared" si="40"/>
        <v>SRVSOL</v>
      </c>
      <c r="F95" s="49" t="s">
        <v>181</v>
      </c>
      <c r="G95" s="49"/>
      <c r="H95" s="49"/>
      <c r="I95" s="84">
        <f>I67/('SRV_BY Techs'!$M24*SUMIFS(I$132:I$135,$C$132:$C$135,$C95)/8760)</f>
        <v>0</v>
      </c>
      <c r="J95" s="84">
        <f>J67/('SRV_BY Techs'!$M24*SUMIFS(J$132:J$135,$C$132:$C$135,$C95)/8760)</f>
        <v>0</v>
      </c>
      <c r="K95" s="84">
        <f>K67/('SRV_BY Techs'!$M24*SUMIFS(K$132:K$135,$C$132:$C$135,$C95)/8760)</f>
        <v>0</v>
      </c>
      <c r="L95" s="84">
        <f>L67/('SRV_BY Techs'!$M24*SUMIFS(L$132:L$135,$C$132:$C$135,$C95)/8760)</f>
        <v>0</v>
      </c>
      <c r="M95" s="84">
        <f>M67/('SRV_BY Techs'!$M24*SUMIFS(M$132:M$135,$C$132:$C$135,$C95)/8760)</f>
        <v>0</v>
      </c>
      <c r="N95" s="84">
        <f>N67/('SRV_BY Techs'!$M24*SUMIFS(N$132:N$135,$C$132:$C$135,$C95)/8760)</f>
        <v>0</v>
      </c>
      <c r="O95" s="84">
        <f>O67/('SRV_BY Techs'!$M24*SUMIFS(O$132:O$135,$C$132:$C$135,$C95)/8760)</f>
        <v>0</v>
      </c>
      <c r="P95" s="84">
        <f>P67/('SRV_BY Techs'!$M24*SUMIFS(P$132:P$135,$C$132:$C$135,$C95)/8760)</f>
        <v>0</v>
      </c>
      <c r="Q95" s="84">
        <f>Q67/('SRV_BY Techs'!$M24*SUMIFS(Q$132:Q$135,$C$132:$C$135,$C95)/8760)</f>
        <v>0</v>
      </c>
      <c r="R95" s="84">
        <f>R67/('SRV_BY Techs'!$M24*SUMIFS(R$132:R$135,$C$132:$C$135,$C95)/8760)</f>
        <v>0</v>
      </c>
      <c r="S95" s="84">
        <f>S67/('SRV_BY Techs'!$M24*SUMIFS(S$132:S$135,$C$132:$C$135,$C95)/8760)</f>
        <v>0</v>
      </c>
      <c r="T95" s="84">
        <f>T67/('SRV_BY Techs'!$M24*SUMIFS(T$132:T$135,$C$132:$C$135,$C95)/8760)</f>
        <v>0</v>
      </c>
      <c r="U95" s="84">
        <f>U67/('SRV_BY Techs'!$M24*SUMIFS(U$132:U$135,$C$132:$C$135,$C95)/8760)</f>
        <v>0</v>
      </c>
      <c r="V95" s="84">
        <f>V67/('SRV_BY Techs'!$M24*SUMIFS(V$132:V$135,$C$132:$C$135,$C95)/8760)</f>
        <v>0</v>
      </c>
      <c r="W95" s="84">
        <f>W67/('SRV_BY Techs'!$M24*SUMIFS(W$132:W$135,$C$132:$C$135,$C95)/8760)</f>
        <v>0</v>
      </c>
      <c r="X95" s="84">
        <f>X67/('SRV_BY Techs'!$M24*SUMIFS(X$132:X$135,$C$132:$C$135,$C95)/8760)</f>
        <v>0</v>
      </c>
      <c r="Y95" s="84">
        <f>Y67/('SRV_BY Techs'!$M24*SUMIFS(Y$132:Y$135,$C$132:$C$135,$C95)/8760)</f>
        <v>0</v>
      </c>
      <c r="Z95" s="84">
        <f>Z67/('SRV_BY Techs'!$M24*SUMIFS(Z$132:Z$135,$C$132:$C$135,$C95)/8760)</f>
        <v>0</v>
      </c>
      <c r="AA95" s="84">
        <f>AA67/('SRV_BY Techs'!$M24*SUMIFS(AA$132:AA$135,$C$132:$C$135,$C95)/8760)</f>
        <v>0</v>
      </c>
      <c r="AB95" s="84">
        <f>AB67/('SRV_BY Techs'!$M24*SUMIFS(AB$132:AB$135,$C$132:$C$135,$C95)/8760)</f>
        <v>0</v>
      </c>
      <c r="AC95" s="84">
        <f>AC67/('SRV_BY Techs'!$M24*SUMIFS(AC$132:AC$135,$C$132:$C$135,$C95)/8760)</f>
        <v>0</v>
      </c>
      <c r="AD95" s="84">
        <f>AD67/('SRV_BY Techs'!$M24*SUMIFS(AD$132:AD$135,$C$132:$C$135,$C95)/8760)</f>
        <v>0</v>
      </c>
      <c r="AE95" s="84">
        <f>AE67/('SRV_BY Techs'!$M24*SUMIFS(AE$132:AE$135,$C$132:$C$135,$C95)/8760)</f>
        <v>0</v>
      </c>
      <c r="AF95" s="84">
        <f>AF67/('SRV_BY Techs'!$M24*SUMIFS(AF$132:AF$135,$C$132:$C$135,$C95)/8760)</f>
        <v>0</v>
      </c>
      <c r="AG95" s="84">
        <f>AG67/('SRV_BY Techs'!$M24*SUMIFS(AG$132:AG$135,$C$132:$C$135,$C95)/8760)</f>
        <v>0</v>
      </c>
      <c r="AH95" s="84">
        <f>AH67/('SRV_BY Techs'!$M24*SUMIFS(AH$132:AH$135,$C$132:$C$135,$C95)/8760)</f>
        <v>0</v>
      </c>
      <c r="AI95" s="84">
        <f>AI67/('SRV_BY Techs'!$M24*SUMIFS(AI$132:AI$135,$C$132:$C$135,$C95)/8760)</f>
        <v>0</v>
      </c>
      <c r="AJ95" s="84">
        <f>AJ67/('SRV_BY Techs'!$M24*SUMIFS(AJ$132:AJ$135,$C$132:$C$135,$C95)/8760)</f>
        <v>0</v>
      </c>
    </row>
    <row r="96" spans="1:36" s="88" customFormat="1" x14ac:dyDescent="0.3">
      <c r="A96" s="505" t="str">
        <f>'SRV_BY Techs'!$L$91</f>
        <v>PRC_RESID</v>
      </c>
      <c r="B96" s="68" t="str">
        <f t="shared" si="40"/>
        <v>Lighting</v>
      </c>
      <c r="C96" s="68" t="str">
        <f t="shared" si="40"/>
        <v>S-LIG</v>
      </c>
      <c r="D96" s="68" t="str">
        <f t="shared" si="40"/>
        <v>Electricity</v>
      </c>
      <c r="E96" s="68" t="str">
        <f t="shared" si="40"/>
        <v>SRVELC</v>
      </c>
      <c r="F96" s="548" t="s">
        <v>662</v>
      </c>
      <c r="G96" s="548"/>
      <c r="H96" s="68"/>
      <c r="I96" s="113">
        <f>I68/('SRV_BY Techs'!$M25)</f>
        <v>128.79131264896495</v>
      </c>
      <c r="J96" s="113">
        <f>J68/('SRV_BY Techs'!$M25)</f>
        <v>711.74146463901684</v>
      </c>
      <c r="K96" s="113">
        <f>K68/('SRV_BY Techs'!$M25)</f>
        <v>165.42520257142166</v>
      </c>
      <c r="L96" s="113">
        <f>L68/('SRV_BY Techs'!$M25)</f>
        <v>433.60180054708098</v>
      </c>
      <c r="M96" s="113">
        <f>M68/('SRV_BY Techs'!$M25)</f>
        <v>788.18049888439623</v>
      </c>
      <c r="N96" s="113">
        <f>N68/('SRV_BY Techs'!$M25)</f>
        <v>367.17177633729091</v>
      </c>
      <c r="O96" s="113">
        <f>O68/('SRV_BY Techs'!$M25)</f>
        <v>1530.4166553002135</v>
      </c>
      <c r="P96" s="113">
        <f>P68/('SRV_BY Techs'!$M25)</f>
        <v>353.57796575748597</v>
      </c>
      <c r="Q96" s="113">
        <f>Q68/('SRV_BY Techs'!$M25)</f>
        <v>698.07281266165546</v>
      </c>
      <c r="R96" s="113">
        <f>R68/('SRV_BY Techs'!$M25)</f>
        <v>1904.3796341311697</v>
      </c>
      <c r="S96" s="113">
        <f>S68/('SRV_BY Techs'!$M25)</f>
        <v>60.729121716925519</v>
      </c>
      <c r="T96" s="113">
        <f>T68/('SRV_BY Techs'!$M25)</f>
        <v>595.79687750077528</v>
      </c>
      <c r="U96" s="113">
        <f>U68/('SRV_BY Techs'!$M25)</f>
        <v>576.06336290715376</v>
      </c>
      <c r="V96" s="113">
        <f>V68/('SRV_BY Techs'!$M25)</f>
        <v>1737.3626685472263</v>
      </c>
      <c r="W96" s="113">
        <f>W68/('SRV_BY Techs'!$M25)</f>
        <v>1546.5799435073743</v>
      </c>
      <c r="X96" s="113">
        <f>X68/('SRV_BY Techs'!$M25)</f>
        <v>4365.8538431552106</v>
      </c>
      <c r="Y96" s="113">
        <f>Y68/('SRV_BY Techs'!$M25)</f>
        <v>3508.6570666884754</v>
      </c>
      <c r="Z96" s="113">
        <f>Z68/('SRV_BY Techs'!$M25)</f>
        <v>1270.4661863844374</v>
      </c>
      <c r="AA96" s="113">
        <f>AA68/('SRV_BY Techs'!$M25)</f>
        <v>1375.9522800797999</v>
      </c>
      <c r="AB96" s="113">
        <f>AB68/('SRV_BY Techs'!$M25)</f>
        <v>4193.1520175476871</v>
      </c>
      <c r="AC96" s="113">
        <f>AC68/('SRV_BY Techs'!$M25)</f>
        <v>572.22197790557379</v>
      </c>
      <c r="AD96" s="113">
        <f>AD68/('SRV_BY Techs'!$M25)</f>
        <v>1221.9793571222447</v>
      </c>
      <c r="AE96" s="113">
        <f>AE68/('SRV_BY Techs'!$M25)</f>
        <v>2644.8421032074766</v>
      </c>
      <c r="AF96" s="113">
        <f>AF68/('SRV_BY Techs'!$M25)</f>
        <v>128.59277543359383</v>
      </c>
      <c r="AG96" s="113">
        <f>AG68/('SRV_BY Techs'!$M25)</f>
        <v>99.964891424487476</v>
      </c>
      <c r="AH96" s="113">
        <f>AH68/('SRV_BY Techs'!$M25)</f>
        <v>2024.7796437547463</v>
      </c>
      <c r="AI96" s="113">
        <f>AI68/('SRV_BY Techs'!$M25)</f>
        <v>2492.1304180242646</v>
      </c>
      <c r="AJ96" s="113">
        <f>AJ68/('SRV_BY Techs'!$M25)</f>
        <v>17884.000404104754</v>
      </c>
    </row>
    <row r="97" spans="1:36" s="88" customFormat="1" x14ac:dyDescent="0.3">
      <c r="A97" s="505" t="str">
        <f>'SRV_BY Techs'!$L$91</f>
        <v>PRC_RESID</v>
      </c>
      <c r="B97" s="51" t="str">
        <f t="shared" si="40"/>
        <v>Street lighting</v>
      </c>
      <c r="C97" s="51" t="str">
        <f t="shared" si="40"/>
        <v>S-SLIG</v>
      </c>
      <c r="D97" s="51" t="str">
        <f t="shared" si="40"/>
        <v>Electricity</v>
      </c>
      <c r="E97" s="51" t="str">
        <f t="shared" si="40"/>
        <v>SRVELC</v>
      </c>
      <c r="F97" s="548" t="s">
        <v>662</v>
      </c>
      <c r="G97" s="607"/>
      <c r="H97" s="51"/>
      <c r="I97" s="115">
        <f>I69/('SRV_BY Techs'!$M26)</f>
        <v>129.41050165208497</v>
      </c>
      <c r="J97" s="115">
        <f>J69/('SRV_BY Techs'!$M26)</f>
        <v>715.16329860362748</v>
      </c>
      <c r="K97" s="115">
        <f>K69/('SRV_BY Techs'!$M26)</f>
        <v>166.22051604532271</v>
      </c>
      <c r="L97" s="115">
        <f>L69/('SRV_BY Techs'!$M26)</f>
        <v>435.68642458817266</v>
      </c>
      <c r="M97" s="115">
        <f>M69/('SRV_BY Techs'!$M26)</f>
        <v>640.52136744782581</v>
      </c>
      <c r="N97" s="115">
        <f>N69/('SRV_BY Techs'!$M26)</f>
        <v>286.17503578483564</v>
      </c>
      <c r="O97" s="115">
        <f>O69/('SRV_BY Techs'!$M26)</f>
        <v>1192.8123818915822</v>
      </c>
      <c r="P97" s="115">
        <f>P69/('SRV_BY Techs'!$M26)</f>
        <v>275.5799697153937</v>
      </c>
      <c r="Q97" s="115">
        <f>Q69/('SRV_BY Techs'!$M26)</f>
        <v>2792.2912506466223</v>
      </c>
      <c r="R97" s="115">
        <f>R69/('SRV_BY Techs'!$M26)</f>
        <v>1484.2805059307316</v>
      </c>
      <c r="S97" s="115">
        <f>S69/('SRV_BY Techs'!$M26)</f>
        <v>242.9164868677021</v>
      </c>
      <c r="T97" s="115">
        <f>T69/('SRV_BY Techs'!$M26)</f>
        <v>464.36628228922228</v>
      </c>
      <c r="U97" s="115">
        <f>U69/('SRV_BY Techs'!$M26)</f>
        <v>448.98590828192795</v>
      </c>
      <c r="V97" s="115">
        <f>V69/('SRV_BY Techs'!$M26)</f>
        <v>1354.1068673699256</v>
      </c>
      <c r="W97" s="115">
        <f>W69/('SRV_BY Techs'!$M26)</f>
        <v>1205.4101082942659</v>
      </c>
      <c r="X97" s="115">
        <f>X69/('SRV_BY Techs'!$M26)</f>
        <v>3402.7625768506332</v>
      </c>
      <c r="Y97" s="115">
        <f>Y69/('SRV_BY Techs'!$M26)</f>
        <v>2734.6602498496909</v>
      </c>
      <c r="Z97" s="115">
        <f>Z69/('SRV_BY Techs'!$M26)</f>
        <v>990.20602830322787</v>
      </c>
      <c r="AA97" s="115">
        <f>AA69/('SRV_BY Techs'!$M26)</f>
        <v>1072.4222785259631</v>
      </c>
      <c r="AB97" s="115">
        <f>AB69/('SRV_BY Techs'!$M26)</f>
        <v>3268.1581374344119</v>
      </c>
      <c r="AC97" s="115">
        <f>AC69/('SRV_BY Techs'!$M26)</f>
        <v>2288.8879116222952</v>
      </c>
      <c r="AD97" s="115">
        <f>AD69/('SRV_BY Techs'!$M26)</f>
        <v>952.41521486539227</v>
      </c>
      <c r="AE97" s="115">
        <f>AE69/('SRV_BY Techs'!$M26)</f>
        <v>2061.3996834967725</v>
      </c>
      <c r="AF97" s="115">
        <f>AF69/('SRV_BY Techs'!$M26)</f>
        <v>514.37110173437532</v>
      </c>
      <c r="AG97" s="115">
        <f>AG69/('SRV_BY Techs'!$M26)</f>
        <v>100.44549186402827</v>
      </c>
      <c r="AH97" s="115">
        <f>AH69/('SRV_BY Techs'!$M26)</f>
        <v>1578.1207171970514</v>
      </c>
      <c r="AI97" s="115">
        <f>AI69/('SRV_BY Techs'!$M26)</f>
        <v>1942.3756332061475</v>
      </c>
      <c r="AJ97" s="115">
        <f>AJ69/('SRV_BY Techs'!$M26)</f>
        <v>13938.855831117156</v>
      </c>
    </row>
    <row r="98" spans="1:36" s="88" customFormat="1" x14ac:dyDescent="0.3">
      <c r="A98" s="505" t="str">
        <f>'SRV_BY Techs'!$L$91</f>
        <v>PRC_RESID</v>
      </c>
      <c r="B98" s="114" t="str">
        <f t="shared" si="40"/>
        <v>Electric Appliances</v>
      </c>
      <c r="C98" s="114" t="str">
        <f t="shared" si="40"/>
        <v>S-EAP</v>
      </c>
      <c r="D98" s="114" t="str">
        <f t="shared" si="40"/>
        <v>Electricity</v>
      </c>
      <c r="E98" s="114" t="str">
        <f t="shared" si="40"/>
        <v>SRVELC</v>
      </c>
      <c r="F98" s="51" t="s">
        <v>181</v>
      </c>
      <c r="G98" s="51"/>
      <c r="H98" s="114"/>
      <c r="I98" s="115">
        <f>I70/('SRV_BY Techs'!$M27*SUMIFS(I$132:I$135,$C$132:$C$135,$C98)/8760)</f>
        <v>1.8319978632478633</v>
      </c>
      <c r="J98" s="115">
        <f>J70/('SRV_BY Techs'!$M27*SUMIFS(J$132:J$135,$C$132:$C$135,$C98)/8760)</f>
        <v>10.124198717948717</v>
      </c>
      <c r="K98" s="115">
        <f>K70/('SRV_BY Techs'!$M27*SUMIFS(K$132:K$135,$C$132:$C$135,$C98)/8760)</f>
        <v>2.3530982905982905</v>
      </c>
      <c r="L98" s="115">
        <f>L70/('SRV_BY Techs'!$M27*SUMIFS(L$132:L$135,$C$132:$C$135,$C98)/8760)</f>
        <v>6.1677884615384615</v>
      </c>
      <c r="M98" s="115">
        <f>M70/('SRV_BY Techs'!$M27*SUMIFS(M$132:M$135,$C$132:$C$135,$C98)/8760)</f>
        <v>17.486237980769229</v>
      </c>
      <c r="N98" s="115">
        <f>N70/('SRV_BY Techs'!$M27*SUMIFS(N$132:N$135,$C$132:$C$135,$C98)/8760)</f>
        <v>4.7978846153846151</v>
      </c>
      <c r="O98" s="115">
        <f>O70/('SRV_BY Techs'!$M27*SUMIFS(O$132:O$135,$C$132:$C$135,$C98)/8760)</f>
        <v>26.664222756410258</v>
      </c>
      <c r="P98" s="115">
        <f>P70/('SRV_BY Techs'!$M27*SUMIFS(P$132:P$135,$C$132:$C$135,$C98)/8760)</f>
        <v>6.1603365384615385</v>
      </c>
      <c r="Q98" s="115">
        <f>Q70/('SRV_BY Techs'!$M27*SUMIFS(Q$132:Q$135,$C$132:$C$135,$C98)/8760)</f>
        <v>29.835795940170939</v>
      </c>
      <c r="R98" s="115">
        <f>R70/('SRV_BY Techs'!$M27*SUMIFS(R$132:R$135,$C$132:$C$135,$C98)/8760)</f>
        <v>14.552510683760683</v>
      </c>
      <c r="S98" s="115">
        <f>S70/('SRV_BY Techs'!$M27*SUMIFS(S$132:S$135,$C$132:$C$135,$C98)/8760)</f>
        <v>2.5955769230769228</v>
      </c>
      <c r="T98" s="115">
        <f>T70/('SRV_BY Techs'!$M27*SUMIFS(T$132:T$135,$C$132:$C$135,$C98)/8760)</f>
        <v>4.0368536324786319</v>
      </c>
      <c r="U98" s="115">
        <f>U70/('SRV_BY Techs'!$M27*SUMIFS(U$132:U$135,$C$132:$C$135,$C98)/8760)</f>
        <v>7.527499999999999</v>
      </c>
      <c r="V98" s="115">
        <f>V70/('SRV_BY Techs'!$M27*SUMIFS(V$132:V$135,$C$132:$C$135,$C98)/8760)</f>
        <v>16.8165625</v>
      </c>
      <c r="W98" s="115">
        <f>W70/('SRV_BY Techs'!$M27*SUMIFS(W$132:W$135,$C$132:$C$135,$C98)/8760)</f>
        <v>20.209374999999998</v>
      </c>
      <c r="X98" s="115">
        <f>X70/('SRV_BY Techs'!$M27*SUMIFS(X$132:X$135,$C$132:$C$135,$C98)/8760)</f>
        <v>42.25868055555555</v>
      </c>
      <c r="Y98" s="115">
        <f>Y70/('SRV_BY Techs'!$M27*SUMIFS(Y$132:Y$135,$C$132:$C$135,$C98)/8760)</f>
        <v>33.961562499999999</v>
      </c>
      <c r="Z98" s="115">
        <f>Z70/('SRV_BY Techs'!$M27*SUMIFS(Z$132:Z$135,$C$132:$C$135,$C98)/8760)</f>
        <v>22.135144230769232</v>
      </c>
      <c r="AA98" s="115">
        <f>AA70/('SRV_BY Techs'!$M27*SUMIFS(AA$132:AA$135,$C$132:$C$135,$C98)/8760)</f>
        <v>24.472450587606836</v>
      </c>
      <c r="AB98" s="115">
        <f>AB70/('SRV_BY Techs'!$M27*SUMIFS(AB$132:AB$135,$C$132:$C$135,$C98)/8760)</f>
        <v>51.748472222222212</v>
      </c>
      <c r="AC98" s="115">
        <f>AC70/('SRV_BY Techs'!$M27*SUMIFS(AC$132:AC$135,$C$132:$C$135,$C98)/8760)</f>
        <v>24.456901709401706</v>
      </c>
      <c r="AD98" s="115">
        <f>AD70/('SRV_BY Techs'!$M27*SUMIFS(AD$132:AD$135,$C$132:$C$135,$C98)/8760)</f>
        <v>20.206133814102564</v>
      </c>
      <c r="AE98" s="115">
        <f>AE70/('SRV_BY Techs'!$M27*SUMIFS(AE$132:AE$135,$C$132:$C$135,$C98)/8760)</f>
        <v>43.733990384615382</v>
      </c>
      <c r="AF98" s="115">
        <f>AF70/('SRV_BY Techs'!$M27*SUMIFS(AF$132:AF$135,$C$132:$C$135,$C98)/8760)</f>
        <v>5.5223824786324789</v>
      </c>
      <c r="AG98" s="115">
        <f>AG70/('SRV_BY Techs'!$M27*SUMIFS(AG$132:AG$135,$C$132:$C$135,$C98)/8760)</f>
        <v>1.4219551282051281</v>
      </c>
      <c r="AH98" s="115">
        <f>AH70/('SRV_BY Techs'!$M27*SUMIFS(AH$132:AH$135,$C$132:$C$135,$C98)/8760)</f>
        <v>26.45807692307692</v>
      </c>
      <c r="AI98" s="115">
        <f>AI70/('SRV_BY Techs'!$M27*SUMIFS(AI$132:AI$135,$C$132:$C$135,$C98)/8760)</f>
        <v>25.17102564102564</v>
      </c>
      <c r="AJ98" s="115">
        <f>AJ70/('SRV_BY Techs'!$M27*SUMIFS(AJ$132:AJ$135,$C$132:$C$135,$C98)/8760)</f>
        <v>131.31304379969589</v>
      </c>
    </row>
    <row r="99" spans="1:36" s="88" customFormat="1" x14ac:dyDescent="0.3">
      <c r="A99" s="505" t="str">
        <f>'SRV_BY Techs'!L113</f>
        <v>PRC_RESID</v>
      </c>
      <c r="B99" s="68" t="str">
        <f>B71</f>
        <v>Other uses</v>
      </c>
      <c r="C99" s="68" t="str">
        <f>C71</f>
        <v>S-OTH</v>
      </c>
      <c r="D99" s="68"/>
      <c r="E99" s="68"/>
      <c r="F99" s="68" t="s">
        <v>188</v>
      </c>
      <c r="G99" s="68"/>
      <c r="H99" s="68"/>
      <c r="I99" s="113">
        <f>I71/('SRV_BY Techs'!$M28)</f>
        <v>0</v>
      </c>
      <c r="J99" s="113">
        <f>J71/('SRV_BY Techs'!$M28)</f>
        <v>0</v>
      </c>
      <c r="K99" s="113">
        <f>K71/('SRV_BY Techs'!$M28)</f>
        <v>0</v>
      </c>
      <c r="L99" s="113">
        <f>L71/('SRV_BY Techs'!$M28)</f>
        <v>0</v>
      </c>
      <c r="M99" s="113">
        <f>M71/('SRV_BY Techs'!$M28)</f>
        <v>0</v>
      </c>
      <c r="N99" s="113">
        <f>N71/('SRV_BY Techs'!$M28)</f>
        <v>0</v>
      </c>
      <c r="O99" s="113">
        <f>O71/('SRV_BY Techs'!$M28)</f>
        <v>0</v>
      </c>
      <c r="P99" s="113">
        <f>P71/('SRV_BY Techs'!$M28)</f>
        <v>0</v>
      </c>
      <c r="Q99" s="113">
        <f>Q71/('SRV_BY Techs'!$M28)</f>
        <v>0</v>
      </c>
      <c r="R99" s="113">
        <f>R71/('SRV_BY Techs'!$M28)</f>
        <v>56.872200000000007</v>
      </c>
      <c r="S99" s="113">
        <f>S71/('SRV_BY Techs'!$M28)</f>
        <v>0</v>
      </c>
      <c r="T99" s="113">
        <f>T71/('SRV_BY Techs'!$M28)</f>
        <v>0</v>
      </c>
      <c r="U99" s="113">
        <f>U71/('SRV_BY Techs'!$M28)</f>
        <v>0</v>
      </c>
      <c r="V99" s="113">
        <f>V71/('SRV_BY Techs'!$M28)</f>
        <v>0</v>
      </c>
      <c r="W99" s="113">
        <f>W71/('SRV_BY Techs'!$M28)</f>
        <v>0</v>
      </c>
      <c r="X99" s="113">
        <f>X71/('SRV_BY Techs'!$M28)</f>
        <v>0</v>
      </c>
      <c r="Y99" s="113">
        <f>Y71/('SRV_BY Techs'!$M28)</f>
        <v>0</v>
      </c>
      <c r="Z99" s="113">
        <f>Z71/('SRV_BY Techs'!$M28)</f>
        <v>0</v>
      </c>
      <c r="AA99" s="113">
        <f>AA71/('SRV_BY Techs'!$M28)</f>
        <v>0</v>
      </c>
      <c r="AB99" s="113">
        <f>AB71/('SRV_BY Techs'!$M28)</f>
        <v>79.77788000000001</v>
      </c>
      <c r="AC99" s="113">
        <f>AC71/('SRV_BY Techs'!$M28)</f>
        <v>0</v>
      </c>
      <c r="AD99" s="113">
        <f>AD71/('SRV_BY Techs'!$M28)</f>
        <v>0</v>
      </c>
      <c r="AE99" s="113">
        <f>AE71/('SRV_BY Techs'!$M28)</f>
        <v>0</v>
      </c>
      <c r="AF99" s="113">
        <f>AF71/('SRV_BY Techs'!$M28)</f>
        <v>0</v>
      </c>
      <c r="AG99" s="113">
        <f>AG71/('SRV_BY Techs'!$M28)</f>
        <v>0</v>
      </c>
      <c r="AH99" s="113">
        <f>AH71/('SRV_BY Techs'!$M28)</f>
        <v>0</v>
      </c>
      <c r="AI99" s="113">
        <f>AI71/('SRV_BY Techs'!$M28)</f>
        <v>0</v>
      </c>
      <c r="AJ99" s="113">
        <f>AJ71/('SRV_BY Techs'!$M28)</f>
        <v>761.53464617891655</v>
      </c>
    </row>
    <row r="100" spans="1:36" s="88" customFormat="1" x14ac:dyDescent="0.3">
      <c r="A100" s="506"/>
      <c r="B100" s="103"/>
      <c r="C100" s="103"/>
      <c r="D100" s="103"/>
      <c r="E100" s="103"/>
      <c r="F100" s="103"/>
      <c r="G100" s="103"/>
      <c r="H100" s="302"/>
      <c r="I100" s="302"/>
      <c r="J100" s="302"/>
      <c r="K100" s="302"/>
      <c r="L100" s="302"/>
      <c r="M100" s="302"/>
      <c r="N100" s="302"/>
      <c r="O100" s="302"/>
      <c r="P100" s="302"/>
      <c r="Q100" s="302"/>
      <c r="R100" s="302"/>
      <c r="S100" s="302"/>
      <c r="T100" s="302"/>
      <c r="U100" s="302"/>
      <c r="V100" s="302"/>
      <c r="W100" s="302"/>
      <c r="X100" s="302"/>
      <c r="Y100" s="302"/>
      <c r="Z100" s="302"/>
      <c r="AA100" s="302"/>
      <c r="AB100" s="302"/>
      <c r="AC100" s="302"/>
      <c r="AD100" s="302"/>
      <c r="AE100" s="103"/>
      <c r="AF100" s="103"/>
    </row>
    <row r="101" spans="1:36" ht="18" x14ac:dyDescent="0.3">
      <c r="A101" s="505"/>
      <c r="B101" s="40" t="s">
        <v>437</v>
      </c>
      <c r="C101" s="40" t="s">
        <v>428</v>
      </c>
      <c r="D101" s="49"/>
      <c r="E101" s="49"/>
      <c r="F101" s="49"/>
      <c r="G101" s="49"/>
      <c r="H101" s="49"/>
      <c r="I101" s="52"/>
      <c r="J101" s="52"/>
      <c r="K101" s="52"/>
      <c r="L101" s="52"/>
      <c r="M101" s="52"/>
      <c r="N101" s="52"/>
      <c r="O101" s="52"/>
      <c r="P101" s="52"/>
      <c r="Q101" s="52"/>
      <c r="R101" s="52"/>
      <c r="S101" s="52"/>
      <c r="T101" s="52"/>
      <c r="U101" s="52"/>
      <c r="V101" s="52"/>
      <c r="W101" s="52"/>
      <c r="X101" s="52"/>
      <c r="Y101" s="52"/>
      <c r="Z101" s="52"/>
      <c r="AA101" s="52"/>
      <c r="AB101" s="52"/>
      <c r="AC101" s="52"/>
      <c r="AD101" s="52"/>
      <c r="AE101" s="52"/>
    </row>
    <row r="102" spans="1:36" x14ac:dyDescent="0.3">
      <c r="A102" s="499"/>
      <c r="B102" s="61" t="s">
        <v>98</v>
      </c>
      <c r="C102" s="61"/>
      <c r="D102" s="64" t="s">
        <v>99</v>
      </c>
      <c r="E102" s="64"/>
      <c r="F102" s="61" t="s">
        <v>49</v>
      </c>
      <c r="G102" s="61"/>
      <c r="H102" s="61" t="s">
        <v>428</v>
      </c>
      <c r="I102" s="7"/>
      <c r="J102" s="7"/>
      <c r="K102" s="7"/>
      <c r="L102" s="7"/>
      <c r="M102" s="7"/>
      <c r="N102" s="7"/>
      <c r="O102" s="7"/>
      <c r="P102" s="7"/>
      <c r="Q102" s="7"/>
      <c r="R102" s="7"/>
      <c r="S102" s="7"/>
      <c r="T102" s="7"/>
      <c r="U102" s="7"/>
      <c r="V102" s="7"/>
      <c r="W102" s="7"/>
      <c r="X102" s="7"/>
      <c r="Y102" s="7"/>
      <c r="Z102" s="7"/>
      <c r="AA102" s="7"/>
      <c r="AB102" s="7"/>
      <c r="AC102" s="7"/>
      <c r="AD102" s="7"/>
      <c r="AE102" s="7"/>
    </row>
    <row r="103" spans="1:36" s="88" customFormat="1" ht="16.2" thickBot="1" x14ac:dyDescent="0.35">
      <c r="A103" s="499"/>
      <c r="B103" s="65" t="s">
        <v>30</v>
      </c>
      <c r="C103" s="65" t="s">
        <v>35</v>
      </c>
      <c r="D103" s="65" t="s">
        <v>30</v>
      </c>
      <c r="E103" s="65" t="s">
        <v>35</v>
      </c>
      <c r="F103" s="65"/>
      <c r="G103" s="65"/>
      <c r="H103" s="65"/>
      <c r="I103" s="53"/>
      <c r="J103" s="53"/>
      <c r="K103" s="53"/>
      <c r="L103" s="53"/>
      <c r="M103" s="53"/>
      <c r="N103" s="53"/>
      <c r="O103" s="53"/>
      <c r="P103" s="53"/>
      <c r="Q103" s="53"/>
      <c r="R103" s="53"/>
      <c r="S103" s="53"/>
      <c r="T103" s="53"/>
      <c r="U103" s="53"/>
      <c r="V103" s="53"/>
      <c r="W103" s="53"/>
      <c r="X103" s="53"/>
      <c r="Y103" s="53"/>
      <c r="Z103" s="53"/>
      <c r="AA103" s="53"/>
      <c r="AB103" s="53"/>
      <c r="AC103" s="53"/>
      <c r="AD103" s="53"/>
      <c r="AE103" s="53"/>
    </row>
    <row r="104" spans="1:36" s="88" customFormat="1" x14ac:dyDescent="0.3">
      <c r="A104" s="496" t="str">
        <f>'SRV_BY Techs'!$N$4</f>
        <v>NCAP_TLIFE</v>
      </c>
      <c r="B104" s="49" t="str">
        <f t="shared" ref="B104:E125" si="41">B77</f>
        <v>Thermal uses</v>
      </c>
      <c r="C104" s="49" t="str">
        <f t="shared" si="41"/>
        <v>S-TH</v>
      </c>
      <c r="D104" s="49" t="str">
        <f t="shared" si="41"/>
        <v>Biomass, Waste</v>
      </c>
      <c r="E104" s="49" t="str">
        <f t="shared" si="41"/>
        <v>SRVBIO, SRVWAS</v>
      </c>
      <c r="F104" s="49" t="s">
        <v>167</v>
      </c>
      <c r="G104" s="49"/>
      <c r="H104" s="177">
        <v>15</v>
      </c>
      <c r="I104" s="53"/>
      <c r="J104" s="53"/>
      <c r="K104" s="53"/>
      <c r="L104" s="53"/>
      <c r="M104" s="53"/>
      <c r="N104" s="53"/>
      <c r="O104" s="53"/>
      <c r="P104" s="53"/>
      <c r="Q104" s="53"/>
      <c r="R104" s="53"/>
      <c r="S104" s="53"/>
      <c r="T104" s="53"/>
      <c r="U104" s="53"/>
      <c r="V104" s="53"/>
      <c r="W104" s="53"/>
      <c r="X104" s="53"/>
      <c r="Y104" s="53"/>
      <c r="Z104" s="53"/>
      <c r="AA104" s="53"/>
      <c r="AB104" s="53"/>
      <c r="AC104" s="53"/>
      <c r="AD104" s="53"/>
      <c r="AE104" s="53"/>
    </row>
    <row r="105" spans="1:36" s="88" customFormat="1" x14ac:dyDescent="0.3">
      <c r="A105" s="496" t="str">
        <f>'SRV_BY Techs'!$N$4</f>
        <v>NCAP_TLIFE</v>
      </c>
      <c r="B105" s="49" t="str">
        <f t="shared" si="41"/>
        <v>Thermal uses</v>
      </c>
      <c r="C105" s="49" t="str">
        <f t="shared" si="41"/>
        <v>S-TH</v>
      </c>
      <c r="D105" s="49" t="str">
        <f t="shared" si="41"/>
        <v>Coal</v>
      </c>
      <c r="E105" s="49" t="str">
        <f t="shared" si="41"/>
        <v>SRVCOA</v>
      </c>
      <c r="F105" s="49" t="s">
        <v>167</v>
      </c>
      <c r="G105" s="49"/>
      <c r="H105" s="177">
        <v>25</v>
      </c>
      <c r="I105" s="53"/>
      <c r="J105" s="53"/>
      <c r="K105" s="53"/>
      <c r="L105" s="53"/>
      <c r="M105" s="53"/>
      <c r="N105" s="53"/>
      <c r="O105" s="53"/>
      <c r="P105" s="53"/>
      <c r="Q105" s="53"/>
      <c r="R105" s="53"/>
      <c r="S105" s="53"/>
      <c r="T105" s="53"/>
      <c r="U105" s="53"/>
      <c r="V105" s="53"/>
      <c r="W105" s="53"/>
      <c r="X105" s="53"/>
      <c r="Y105" s="53"/>
      <c r="Z105" s="53"/>
      <c r="AA105" s="53"/>
      <c r="AB105" s="53"/>
      <c r="AC105" s="53"/>
      <c r="AD105" s="53"/>
      <c r="AE105" s="53"/>
    </row>
    <row r="106" spans="1:36" s="88" customFormat="1" x14ac:dyDescent="0.3">
      <c r="A106" s="496" t="str">
        <f>'SRV_BY Techs'!$N$4</f>
        <v>NCAP_TLIFE</v>
      </c>
      <c r="B106" s="49" t="str">
        <f t="shared" si="41"/>
        <v>Thermal uses</v>
      </c>
      <c r="C106" s="49" t="str">
        <f t="shared" si="41"/>
        <v>S-TH</v>
      </c>
      <c r="D106" s="49" t="str">
        <f t="shared" si="41"/>
        <v>Electricity</v>
      </c>
      <c r="E106" s="49" t="str">
        <f t="shared" si="41"/>
        <v>SRVELC</v>
      </c>
      <c r="F106" s="49" t="s">
        <v>167</v>
      </c>
      <c r="G106" s="49"/>
      <c r="H106" s="177">
        <v>15</v>
      </c>
      <c r="I106" s="53"/>
      <c r="J106" s="53"/>
      <c r="K106" s="53"/>
      <c r="L106" s="53"/>
      <c r="M106" s="53"/>
      <c r="N106" s="53"/>
      <c r="O106" s="53"/>
      <c r="P106" s="53"/>
      <c r="Q106" s="53"/>
      <c r="R106" s="53"/>
      <c r="S106" s="53"/>
      <c r="T106" s="53"/>
      <c r="U106" s="53"/>
      <c r="V106" s="53"/>
      <c r="W106" s="53"/>
      <c r="X106" s="53"/>
      <c r="Y106" s="53"/>
      <c r="Z106" s="53"/>
      <c r="AA106" s="53"/>
      <c r="AB106" s="53"/>
      <c r="AC106" s="53"/>
      <c r="AD106" s="53"/>
      <c r="AE106" s="53"/>
    </row>
    <row r="107" spans="1:36" ht="14.25" customHeight="1" x14ac:dyDescent="0.3">
      <c r="A107" s="496" t="str">
        <f>'SRV_BY Techs'!$N$4</f>
        <v>NCAP_TLIFE</v>
      </c>
      <c r="B107" s="49" t="str">
        <f t="shared" si="41"/>
        <v>Thermal uses</v>
      </c>
      <c r="C107" s="49" t="str">
        <f t="shared" si="41"/>
        <v>S-TH</v>
      </c>
      <c r="D107" s="49" t="str">
        <f t="shared" si="41"/>
        <v>Electricity (Heat Pump)</v>
      </c>
      <c r="E107" s="49" t="str">
        <f t="shared" si="41"/>
        <v>SRVELC</v>
      </c>
      <c r="F107" s="49" t="s">
        <v>167</v>
      </c>
      <c r="G107" s="49"/>
      <c r="H107" s="177">
        <v>15</v>
      </c>
      <c r="I107" s="81"/>
      <c r="J107" s="81"/>
      <c r="K107" s="81"/>
      <c r="L107" s="81"/>
      <c r="M107" s="81"/>
      <c r="N107" s="81"/>
      <c r="O107" s="81"/>
      <c r="P107" s="81"/>
      <c r="Q107" s="81"/>
      <c r="R107" s="81"/>
      <c r="S107" s="81"/>
      <c r="T107" s="81"/>
      <c r="U107" s="81"/>
      <c r="V107" s="81"/>
      <c r="W107" s="81"/>
      <c r="X107" s="81"/>
      <c r="Y107" s="81"/>
      <c r="Z107" s="81"/>
      <c r="AA107" s="81"/>
      <c r="AB107" s="81"/>
      <c r="AC107" s="81"/>
      <c r="AD107" s="81"/>
      <c r="AE107" s="81"/>
    </row>
    <row r="108" spans="1:36" ht="14.25" customHeight="1" x14ac:dyDescent="0.3">
      <c r="A108" s="496" t="str">
        <f>'SRV_BY Techs'!$N$4</f>
        <v>NCAP_TLIFE</v>
      </c>
      <c r="B108" s="49" t="str">
        <f t="shared" si="41"/>
        <v>Thermal uses</v>
      </c>
      <c r="C108" s="49" t="str">
        <f t="shared" si="41"/>
        <v>S-TH</v>
      </c>
      <c r="D108" s="49" t="str">
        <f t="shared" si="41"/>
        <v>Natural gas, Biogas</v>
      </c>
      <c r="E108" s="49" t="str">
        <f t="shared" si="41"/>
        <v>SRVGAS, SRVBGS</v>
      </c>
      <c r="F108" s="49" t="s">
        <v>167</v>
      </c>
      <c r="G108" s="49"/>
      <c r="H108" s="177">
        <v>15</v>
      </c>
      <c r="I108" s="81"/>
      <c r="J108" s="81"/>
      <c r="K108" s="81"/>
      <c r="L108" s="81"/>
      <c r="M108" s="81"/>
      <c r="N108" s="81"/>
      <c r="O108" s="81"/>
      <c r="P108" s="81"/>
      <c r="Q108" s="81"/>
      <c r="R108" s="81"/>
      <c r="S108" s="81"/>
      <c r="T108" s="81"/>
      <c r="U108" s="81"/>
      <c r="V108" s="81"/>
      <c r="W108" s="81"/>
      <c r="X108" s="81"/>
      <c r="Y108" s="81"/>
      <c r="Z108" s="81"/>
      <c r="AA108" s="81"/>
      <c r="AB108" s="81"/>
      <c r="AC108" s="81"/>
      <c r="AD108" s="81"/>
      <c r="AE108" s="81"/>
    </row>
    <row r="109" spans="1:36" ht="14.25" customHeight="1" x14ac:dyDescent="0.3">
      <c r="A109" s="496" t="str">
        <f>'SRV_BY Techs'!$N$4</f>
        <v>NCAP_TLIFE</v>
      </c>
      <c r="B109" s="49" t="str">
        <f t="shared" si="41"/>
        <v>Thermal uses</v>
      </c>
      <c r="C109" s="49" t="str">
        <f t="shared" si="41"/>
        <v>S-TH</v>
      </c>
      <c r="D109" s="49" t="str">
        <f t="shared" si="41"/>
        <v>Geothermal</v>
      </c>
      <c r="E109" s="49" t="str">
        <f t="shared" si="41"/>
        <v>SRVGEO</v>
      </c>
      <c r="F109" s="49" t="s">
        <v>167</v>
      </c>
      <c r="G109" s="49"/>
      <c r="H109" s="177">
        <v>15</v>
      </c>
      <c r="I109" s="81"/>
      <c r="J109" s="81"/>
      <c r="K109" s="81"/>
      <c r="L109" s="81"/>
      <c r="M109" s="81"/>
      <c r="N109" s="81"/>
      <c r="O109" s="81"/>
      <c r="P109" s="81"/>
      <c r="Q109" s="81"/>
      <c r="R109" s="81"/>
      <c r="S109" s="81"/>
      <c r="T109" s="81"/>
      <c r="U109" s="81"/>
      <c r="V109" s="81"/>
      <c r="W109" s="81"/>
      <c r="X109" s="81"/>
      <c r="Y109" s="81"/>
      <c r="Z109" s="81"/>
      <c r="AA109" s="81"/>
      <c r="AB109" s="81"/>
      <c r="AC109" s="81"/>
      <c r="AD109" s="81"/>
      <c r="AE109" s="81"/>
    </row>
    <row r="110" spans="1:36" x14ac:dyDescent="0.3">
      <c r="A110" s="496" t="str">
        <f>'SRV_BY Techs'!$N$4</f>
        <v>NCAP_TLIFE</v>
      </c>
      <c r="B110" s="49" t="str">
        <f t="shared" si="41"/>
        <v>Thermal uses</v>
      </c>
      <c r="C110" s="49" t="str">
        <f t="shared" si="41"/>
        <v>S-TH</v>
      </c>
      <c r="D110" s="49" t="str">
        <f t="shared" si="41"/>
        <v>Heat</v>
      </c>
      <c r="E110" s="49" t="str">
        <f t="shared" si="41"/>
        <v>SRVHET</v>
      </c>
      <c r="F110" s="49" t="s">
        <v>167</v>
      </c>
      <c r="G110" s="49"/>
      <c r="H110" s="177">
        <v>20</v>
      </c>
      <c r="I110" s="81"/>
      <c r="J110" s="81"/>
      <c r="K110" s="81"/>
      <c r="L110" s="81"/>
      <c r="M110" s="81"/>
      <c r="N110" s="81"/>
      <c r="O110" s="81"/>
      <c r="P110" s="81"/>
      <c r="Q110" s="81"/>
      <c r="R110" s="81"/>
      <c r="S110" s="81"/>
      <c r="T110" s="81"/>
      <c r="U110" s="81"/>
      <c r="V110" s="81"/>
      <c r="W110" s="81"/>
      <c r="X110" s="81"/>
      <c r="Y110" s="81"/>
      <c r="Z110" s="81"/>
      <c r="AA110" s="81"/>
      <c r="AB110" s="81"/>
      <c r="AC110" s="81"/>
      <c r="AD110" s="81"/>
      <c r="AE110" s="81"/>
    </row>
    <row r="111" spans="1:36" x14ac:dyDescent="0.3">
      <c r="A111" s="496" t="str">
        <f>'SRV_BY Techs'!$N$4</f>
        <v>NCAP_TLIFE</v>
      </c>
      <c r="B111" s="49" t="str">
        <f t="shared" si="41"/>
        <v>Thermal uses</v>
      </c>
      <c r="C111" s="49" t="str">
        <f t="shared" si="41"/>
        <v>S-TH</v>
      </c>
      <c r="D111" s="49" t="str">
        <f t="shared" si="41"/>
        <v>LPG</v>
      </c>
      <c r="E111" s="49" t="str">
        <f t="shared" si="41"/>
        <v>SRVLPG</v>
      </c>
      <c r="F111" s="49" t="s">
        <v>167</v>
      </c>
      <c r="G111" s="49"/>
      <c r="H111" s="177">
        <v>17</v>
      </c>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row>
    <row r="112" spans="1:36" x14ac:dyDescent="0.3">
      <c r="A112" s="496" t="str">
        <f>'SRV_BY Techs'!$N$4</f>
        <v>NCAP_TLIFE</v>
      </c>
      <c r="B112" s="49" t="str">
        <f t="shared" si="41"/>
        <v>Thermal uses</v>
      </c>
      <c r="C112" s="49" t="str">
        <f t="shared" si="41"/>
        <v>S-TH</v>
      </c>
      <c r="D112" s="49" t="str">
        <f t="shared" si="41"/>
        <v>Oil, Liquid biofuels</v>
      </c>
      <c r="E112" s="49" t="str">
        <f t="shared" si="41"/>
        <v>SRVOIL, SRVBLQ</v>
      </c>
      <c r="F112" s="49" t="s">
        <v>167</v>
      </c>
      <c r="G112" s="49"/>
      <c r="H112" s="177">
        <v>17</v>
      </c>
      <c r="I112" s="81"/>
      <c r="J112" s="81"/>
      <c r="K112" s="81"/>
      <c r="L112" s="81"/>
      <c r="M112" s="81"/>
      <c r="N112" s="81"/>
      <c r="O112" s="81"/>
      <c r="P112" s="81"/>
      <c r="Q112" s="81"/>
      <c r="R112" s="81"/>
      <c r="S112" s="81"/>
      <c r="T112" s="81"/>
      <c r="U112" s="81"/>
      <c r="V112" s="81"/>
      <c r="W112" s="81"/>
      <c r="X112" s="81"/>
      <c r="Y112" s="81"/>
      <c r="Z112" s="81"/>
      <c r="AA112" s="81"/>
      <c r="AB112" s="81"/>
      <c r="AC112" s="81"/>
      <c r="AD112" s="81"/>
      <c r="AE112" s="81"/>
    </row>
    <row r="113" spans="1:31" x14ac:dyDescent="0.3">
      <c r="A113" s="496" t="str">
        <f>'SRV_BY Techs'!$N$4</f>
        <v>NCAP_TLIFE</v>
      </c>
      <c r="B113" s="51" t="str">
        <f t="shared" si="41"/>
        <v>Thermal uses</v>
      </c>
      <c r="C113" s="51" t="str">
        <f t="shared" si="41"/>
        <v>S-TH</v>
      </c>
      <c r="D113" s="51" t="str">
        <f t="shared" si="41"/>
        <v>Solar</v>
      </c>
      <c r="E113" s="51" t="str">
        <f t="shared" si="41"/>
        <v>SRVSOL</v>
      </c>
      <c r="F113" s="51" t="s">
        <v>167</v>
      </c>
      <c r="G113" s="51"/>
      <c r="H113" s="178">
        <v>15</v>
      </c>
      <c r="I113" s="81"/>
      <c r="J113" s="81"/>
      <c r="K113" s="81"/>
      <c r="L113" s="81"/>
      <c r="M113" s="81"/>
      <c r="N113" s="81"/>
      <c r="O113" s="81"/>
      <c r="P113" s="81"/>
      <c r="Q113" s="81"/>
      <c r="R113" s="81"/>
      <c r="S113" s="81"/>
      <c r="T113" s="81"/>
      <c r="U113" s="81"/>
      <c r="V113" s="81"/>
      <c r="W113" s="81"/>
      <c r="X113" s="81"/>
      <c r="Y113" s="81"/>
      <c r="Z113" s="81"/>
      <c r="AA113" s="81"/>
      <c r="AB113" s="81"/>
      <c r="AC113" s="81"/>
      <c r="AD113" s="81"/>
      <c r="AE113" s="81"/>
    </row>
    <row r="114" spans="1:31" x14ac:dyDescent="0.3">
      <c r="A114" s="496" t="str">
        <f>'SRV_BY Techs'!$N$4</f>
        <v>NCAP_TLIFE</v>
      </c>
      <c r="B114" s="49" t="str">
        <f t="shared" si="41"/>
        <v>Air conditioning</v>
      </c>
      <c r="C114" s="49" t="str">
        <f t="shared" si="41"/>
        <v>S-AC</v>
      </c>
      <c r="D114" s="49" t="str">
        <f t="shared" si="41"/>
        <v>Natural gas, Biogas</v>
      </c>
      <c r="E114" s="49" t="str">
        <f t="shared" si="41"/>
        <v>SRVGAS, SRVBGS</v>
      </c>
      <c r="F114" s="49" t="s">
        <v>167</v>
      </c>
      <c r="G114" s="49"/>
      <c r="H114" s="177">
        <v>14</v>
      </c>
      <c r="I114" s="81"/>
      <c r="J114" s="81"/>
      <c r="K114" s="81"/>
      <c r="L114" s="81"/>
      <c r="M114" s="81"/>
      <c r="N114" s="81"/>
      <c r="O114" s="81"/>
      <c r="P114" s="81"/>
      <c r="Q114" s="81"/>
      <c r="R114" s="81"/>
      <c r="S114" s="81"/>
      <c r="T114" s="81"/>
      <c r="U114" s="81"/>
      <c r="V114" s="81"/>
      <c r="W114" s="81"/>
      <c r="X114" s="81"/>
      <c r="Y114" s="81"/>
      <c r="Z114" s="81"/>
      <c r="AA114" s="81"/>
      <c r="AB114" s="81"/>
      <c r="AC114" s="81"/>
      <c r="AD114" s="81"/>
      <c r="AE114" s="81"/>
    </row>
    <row r="115" spans="1:31" x14ac:dyDescent="0.3">
      <c r="A115" s="496" t="str">
        <f>'SRV_BY Techs'!$N$4</f>
        <v>NCAP_TLIFE</v>
      </c>
      <c r="B115" s="51" t="str">
        <f t="shared" si="41"/>
        <v>Air conditioning</v>
      </c>
      <c r="C115" s="51" t="str">
        <f t="shared" si="41"/>
        <v>S-AC</v>
      </c>
      <c r="D115" s="51" t="str">
        <f t="shared" si="41"/>
        <v>Electricity</v>
      </c>
      <c r="E115" s="51" t="str">
        <f t="shared" si="41"/>
        <v>SRVELC</v>
      </c>
      <c r="F115" s="51" t="s">
        <v>167</v>
      </c>
      <c r="G115" s="51"/>
      <c r="H115" s="178">
        <f>'S3'!F36</f>
        <v>14</v>
      </c>
      <c r="I115" s="81"/>
      <c r="J115" s="81"/>
      <c r="K115" s="81"/>
      <c r="L115" s="81"/>
      <c r="M115" s="81"/>
      <c r="N115" s="81"/>
      <c r="O115" s="81"/>
      <c r="P115" s="81"/>
      <c r="Q115" s="81"/>
      <c r="R115" s="81"/>
      <c r="S115" s="81"/>
      <c r="T115" s="81"/>
      <c r="U115" s="81"/>
      <c r="V115" s="81"/>
      <c r="W115" s="81"/>
      <c r="X115" s="81"/>
      <c r="Y115" s="81"/>
      <c r="Z115" s="81"/>
      <c r="AA115" s="81"/>
      <c r="AB115" s="81"/>
      <c r="AC115" s="81"/>
      <c r="AD115" s="81"/>
      <c r="AE115" s="81"/>
    </row>
    <row r="116" spans="1:31" x14ac:dyDescent="0.3">
      <c r="A116" s="496" t="str">
        <f>'SRV_BY Techs'!$N$4</f>
        <v>NCAP_TLIFE</v>
      </c>
      <c r="B116" s="49" t="str">
        <f t="shared" si="41"/>
        <v>Cooking</v>
      </c>
      <c r="C116" s="49" t="str">
        <f t="shared" si="41"/>
        <v>S-CK</v>
      </c>
      <c r="D116" s="49" t="str">
        <f t="shared" si="41"/>
        <v>Biomass</v>
      </c>
      <c r="E116" s="49" t="str">
        <f t="shared" si="41"/>
        <v>SRVBIO</v>
      </c>
      <c r="F116" s="49" t="s">
        <v>167</v>
      </c>
      <c r="G116" s="49"/>
      <c r="H116" s="177">
        <v>3</v>
      </c>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row>
    <row r="117" spans="1:31" x14ac:dyDescent="0.3">
      <c r="A117" s="496" t="str">
        <f>'SRV_BY Techs'!$N$4</f>
        <v>NCAP_TLIFE</v>
      </c>
      <c r="B117" s="49" t="str">
        <f t="shared" si="41"/>
        <v>Cooking</v>
      </c>
      <c r="C117" s="49" t="str">
        <f t="shared" si="41"/>
        <v>S-CK</v>
      </c>
      <c r="D117" s="49" t="str">
        <f t="shared" si="41"/>
        <v>Coal</v>
      </c>
      <c r="E117" s="49" t="str">
        <f t="shared" si="41"/>
        <v>SRVCOA</v>
      </c>
      <c r="F117" s="49" t="s">
        <v>167</v>
      </c>
      <c r="G117" s="49"/>
      <c r="H117" s="177">
        <v>3</v>
      </c>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row>
    <row r="118" spans="1:31" s="271" customFormat="1" x14ac:dyDescent="0.3">
      <c r="A118" s="496" t="str">
        <f>'SRV_BY Techs'!$N$4</f>
        <v>NCAP_TLIFE</v>
      </c>
      <c r="B118" s="49" t="str">
        <f t="shared" si="41"/>
        <v>Cooking</v>
      </c>
      <c r="C118" s="49" t="str">
        <f t="shared" si="41"/>
        <v>S-CK</v>
      </c>
      <c r="D118" s="49" t="str">
        <f t="shared" si="41"/>
        <v>Electricity</v>
      </c>
      <c r="E118" s="49" t="str">
        <f t="shared" si="41"/>
        <v>SRVELC</v>
      </c>
      <c r="F118" s="49" t="s">
        <v>167</v>
      </c>
      <c r="G118" s="49"/>
      <c r="H118" s="177">
        <v>12</v>
      </c>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row>
    <row r="119" spans="1:31" s="271" customFormat="1" x14ac:dyDescent="0.3">
      <c r="A119" s="496" t="str">
        <f>'SRV_BY Techs'!$N$4</f>
        <v>NCAP_TLIFE</v>
      </c>
      <c r="B119" s="49" t="str">
        <f t="shared" si="41"/>
        <v>Cooking</v>
      </c>
      <c r="C119" s="49" t="str">
        <f t="shared" si="41"/>
        <v>S-CK</v>
      </c>
      <c r="D119" s="49" t="str">
        <f t="shared" si="41"/>
        <v>Natural gas, Biogas</v>
      </c>
      <c r="E119" s="49" t="str">
        <f t="shared" si="41"/>
        <v>SRVGAS, SRVBGS</v>
      </c>
      <c r="F119" s="49" t="s">
        <v>167</v>
      </c>
      <c r="G119" s="49"/>
      <c r="H119" s="177">
        <v>12</v>
      </c>
      <c r="I119" s="81"/>
      <c r="J119" s="81"/>
      <c r="K119" s="81"/>
      <c r="L119" s="81"/>
      <c r="M119" s="81"/>
      <c r="N119" s="81"/>
      <c r="O119" s="81"/>
      <c r="P119" s="81"/>
      <c r="Q119" s="81"/>
      <c r="R119" s="81"/>
      <c r="S119" s="81"/>
      <c r="T119" s="81"/>
      <c r="U119" s="81"/>
      <c r="V119" s="81"/>
      <c r="W119" s="81"/>
      <c r="X119" s="81"/>
      <c r="Y119" s="81"/>
      <c r="Z119" s="81"/>
      <c r="AA119" s="81"/>
      <c r="AB119" s="81"/>
      <c r="AC119" s="81"/>
      <c r="AD119" s="81"/>
      <c r="AE119" s="81"/>
    </row>
    <row r="120" spans="1:31" s="271" customFormat="1" x14ac:dyDescent="0.3">
      <c r="A120" s="496" t="str">
        <f>'SRV_BY Techs'!$N$4</f>
        <v>NCAP_TLIFE</v>
      </c>
      <c r="B120" s="49" t="str">
        <f t="shared" si="41"/>
        <v>Cooking</v>
      </c>
      <c r="C120" s="49" t="str">
        <f t="shared" si="41"/>
        <v>S-CK</v>
      </c>
      <c r="D120" s="49" t="str">
        <f t="shared" si="41"/>
        <v>LPG</v>
      </c>
      <c r="E120" s="49" t="str">
        <f t="shared" si="41"/>
        <v>SRVLPG</v>
      </c>
      <c r="F120" s="49" t="s">
        <v>167</v>
      </c>
      <c r="G120" s="49"/>
      <c r="H120" s="177">
        <v>20</v>
      </c>
      <c r="I120" s="81"/>
      <c r="J120" s="81"/>
      <c r="K120" s="81"/>
      <c r="L120" s="81"/>
      <c r="M120" s="81"/>
      <c r="N120" s="81"/>
      <c r="O120" s="81"/>
      <c r="P120" s="81"/>
      <c r="Q120" s="81"/>
      <c r="R120" s="81"/>
      <c r="S120" s="81"/>
      <c r="T120" s="81"/>
      <c r="U120" s="81"/>
      <c r="V120" s="81"/>
      <c r="W120" s="81"/>
      <c r="X120" s="81"/>
      <c r="Y120" s="81"/>
      <c r="Z120" s="81"/>
      <c r="AA120" s="81"/>
      <c r="AB120" s="81"/>
      <c r="AC120" s="81"/>
      <c r="AD120" s="81"/>
      <c r="AE120" s="81"/>
    </row>
    <row r="121" spans="1:31" s="271" customFormat="1" x14ac:dyDescent="0.3">
      <c r="A121" s="496" t="str">
        <f>'SRV_BY Techs'!$N$4</f>
        <v>NCAP_TLIFE</v>
      </c>
      <c r="B121" s="49" t="str">
        <f t="shared" si="41"/>
        <v>Cooking</v>
      </c>
      <c r="C121" s="49" t="str">
        <f t="shared" si="41"/>
        <v>S-CK</v>
      </c>
      <c r="D121" s="49" t="str">
        <f t="shared" si="41"/>
        <v>Oil, Liquid biofuels</v>
      </c>
      <c r="E121" s="49" t="str">
        <f t="shared" si="41"/>
        <v>SRVOIL, SRVBLQ</v>
      </c>
      <c r="F121" s="49" t="s">
        <v>167</v>
      </c>
      <c r="G121" s="49"/>
      <c r="H121" s="177">
        <v>20</v>
      </c>
      <c r="I121" s="81"/>
      <c r="J121" s="81"/>
      <c r="K121" s="81"/>
      <c r="L121" s="81"/>
      <c r="M121" s="81"/>
      <c r="N121" s="81"/>
      <c r="O121" s="81"/>
      <c r="P121" s="81"/>
      <c r="Q121" s="81"/>
      <c r="R121" s="81"/>
      <c r="S121" s="81"/>
      <c r="T121" s="81"/>
      <c r="U121" s="81"/>
      <c r="V121" s="81"/>
      <c r="W121" s="81"/>
      <c r="X121" s="81"/>
      <c r="Y121" s="81"/>
      <c r="Z121" s="81"/>
      <c r="AA121" s="81"/>
      <c r="AB121" s="81"/>
      <c r="AC121" s="81"/>
      <c r="AD121" s="81"/>
      <c r="AE121" s="81"/>
    </row>
    <row r="122" spans="1:31" s="271" customFormat="1" x14ac:dyDescent="0.3">
      <c r="A122" s="496" t="str">
        <f>'SRV_BY Techs'!$N$4</f>
        <v>NCAP_TLIFE</v>
      </c>
      <c r="B122" s="49" t="str">
        <f t="shared" si="41"/>
        <v>Cooking</v>
      </c>
      <c r="C122" s="49" t="str">
        <f t="shared" si="41"/>
        <v>S-CK</v>
      </c>
      <c r="D122" s="49" t="str">
        <f t="shared" si="41"/>
        <v>Solar</v>
      </c>
      <c r="E122" s="49" t="str">
        <f t="shared" si="41"/>
        <v>SRVSOL</v>
      </c>
      <c r="F122" s="49" t="s">
        <v>167</v>
      </c>
      <c r="G122" s="49"/>
      <c r="H122" s="178">
        <v>12</v>
      </c>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row>
    <row r="123" spans="1:31" x14ac:dyDescent="0.3">
      <c r="A123" s="496" t="str">
        <f>'SRV_BY Techs'!$N$4</f>
        <v>NCAP_TLIFE</v>
      </c>
      <c r="B123" s="68" t="str">
        <f t="shared" si="41"/>
        <v>Lighting</v>
      </c>
      <c r="C123" s="68" t="str">
        <f t="shared" si="41"/>
        <v>S-LIG</v>
      </c>
      <c r="D123" s="68" t="str">
        <f t="shared" si="41"/>
        <v>Electricity</v>
      </c>
      <c r="E123" s="68" t="str">
        <f t="shared" si="41"/>
        <v>SRVELC</v>
      </c>
      <c r="F123" s="68" t="s">
        <v>167</v>
      </c>
      <c r="G123" s="68"/>
      <c r="H123" s="652">
        <f>ROUND('S3'!E79*10^3/8760,2)</f>
        <v>5.71</v>
      </c>
      <c r="I123" s="81"/>
      <c r="J123" s="81"/>
      <c r="K123" s="81"/>
      <c r="L123" s="81"/>
      <c r="M123" s="81"/>
      <c r="N123" s="81"/>
      <c r="O123" s="81"/>
      <c r="P123" s="81"/>
      <c r="Q123" s="81"/>
      <c r="R123" s="81"/>
      <c r="S123" s="81"/>
      <c r="T123" s="81"/>
      <c r="U123" s="81"/>
      <c r="V123" s="81"/>
      <c r="W123" s="81"/>
      <c r="X123" s="81"/>
      <c r="Y123" s="81"/>
      <c r="Z123" s="81"/>
      <c r="AA123" s="81"/>
      <c r="AB123" s="81"/>
      <c r="AC123" s="81"/>
      <c r="AD123" s="81"/>
      <c r="AE123" s="81"/>
    </row>
    <row r="124" spans="1:31" customFormat="1" ht="15.6" x14ac:dyDescent="0.3">
      <c r="A124" s="496" t="str">
        <f>'SRV_BY Techs'!$N$4</f>
        <v>NCAP_TLIFE</v>
      </c>
      <c r="B124" s="51" t="str">
        <f t="shared" si="41"/>
        <v>Street lighting</v>
      </c>
      <c r="C124" s="51" t="str">
        <f t="shared" si="41"/>
        <v>S-SLIG</v>
      </c>
      <c r="D124" s="51" t="str">
        <f t="shared" si="41"/>
        <v>Electricity</v>
      </c>
      <c r="E124" s="51" t="str">
        <f t="shared" si="41"/>
        <v>SRVELC</v>
      </c>
      <c r="F124" s="51" t="s">
        <v>167</v>
      </c>
      <c r="G124" s="51"/>
      <c r="H124" s="404">
        <f>'S3'!E81*10^3/8760</f>
        <v>9.1324200913242013</v>
      </c>
      <c r="I124" s="81"/>
      <c r="J124" s="81"/>
      <c r="K124" s="81"/>
      <c r="L124" s="81"/>
      <c r="M124" s="81"/>
      <c r="N124" s="81"/>
      <c r="O124" s="81"/>
      <c r="P124" s="81"/>
      <c r="Q124" s="81"/>
      <c r="R124" s="81"/>
      <c r="S124" s="81"/>
      <c r="T124" s="81"/>
      <c r="U124" s="81"/>
      <c r="V124" s="81"/>
      <c r="W124" s="81"/>
      <c r="X124" s="81"/>
      <c r="Y124" s="81"/>
      <c r="Z124" s="81"/>
      <c r="AA124" s="81"/>
      <c r="AB124" s="81"/>
      <c r="AC124" s="81"/>
      <c r="AD124" s="81"/>
      <c r="AE124" s="81"/>
    </row>
    <row r="125" spans="1:31" x14ac:dyDescent="0.3">
      <c r="A125" s="496" t="str">
        <f>'SRV_BY Techs'!$N$4</f>
        <v>NCAP_TLIFE</v>
      </c>
      <c r="B125" s="114" t="str">
        <f t="shared" si="41"/>
        <v>Electric Appliances</v>
      </c>
      <c r="C125" s="114" t="str">
        <f t="shared" si="41"/>
        <v>S-EAP</v>
      </c>
      <c r="D125" s="114" t="str">
        <f t="shared" si="41"/>
        <v>Electricity</v>
      </c>
      <c r="E125" s="114" t="str">
        <f t="shared" si="41"/>
        <v>SRVELC</v>
      </c>
      <c r="F125" s="114" t="s">
        <v>167</v>
      </c>
      <c r="G125" s="114"/>
      <c r="H125" s="404">
        <v>7</v>
      </c>
      <c r="I125" s="81"/>
      <c r="J125" s="81"/>
      <c r="K125" s="81"/>
      <c r="L125" s="81"/>
      <c r="M125" s="81"/>
      <c r="N125" s="81"/>
      <c r="O125" s="81"/>
      <c r="P125" s="81"/>
      <c r="Q125" s="81"/>
      <c r="R125" s="81"/>
      <c r="S125" s="81"/>
      <c r="T125" s="81"/>
      <c r="U125" s="81"/>
      <c r="V125" s="81"/>
      <c r="W125" s="81"/>
      <c r="X125" s="81"/>
      <c r="Y125" s="81"/>
      <c r="Z125" s="81"/>
      <c r="AA125" s="81"/>
      <c r="AB125" s="81"/>
      <c r="AC125" s="81"/>
      <c r="AD125" s="81"/>
      <c r="AE125" s="81"/>
    </row>
    <row r="126" spans="1:31" x14ac:dyDescent="0.3">
      <c r="A126" s="496" t="str">
        <f>'SRV_BY Techs'!$N$4</f>
        <v>NCAP_TLIFE</v>
      </c>
      <c r="B126" s="68" t="str">
        <f>Legend!A$51</f>
        <v>Other uses</v>
      </c>
      <c r="C126" s="68" t="str">
        <f>LEFT(Legend!$C$4)&amp;"-"&amp;Legend!B$51</f>
        <v>S-OTH</v>
      </c>
      <c r="D126" s="68"/>
      <c r="E126" s="68"/>
      <c r="F126" s="68" t="s">
        <v>167</v>
      </c>
      <c r="G126" s="68"/>
      <c r="H126" s="179">
        <v>20</v>
      </c>
      <c r="I126" s="81"/>
      <c r="J126" s="81"/>
      <c r="K126" s="81"/>
      <c r="L126" s="81"/>
      <c r="M126" s="81"/>
      <c r="N126" s="81"/>
      <c r="O126" s="81"/>
      <c r="P126" s="81"/>
      <c r="Q126" s="81"/>
      <c r="R126" s="81"/>
      <c r="S126" s="81"/>
      <c r="T126" s="81"/>
      <c r="U126" s="81"/>
      <c r="V126" s="81"/>
      <c r="W126" s="81"/>
      <c r="X126" s="81"/>
      <c r="Y126" s="81"/>
      <c r="Z126" s="81"/>
      <c r="AA126" s="81"/>
      <c r="AB126" s="81"/>
      <c r="AC126" s="81"/>
      <c r="AD126" s="81"/>
      <c r="AE126" s="81"/>
    </row>
    <row r="128" spans="1:31" x14ac:dyDescent="0.3">
      <c r="B128" s="49"/>
      <c r="C128" s="49"/>
      <c r="D128" s="49"/>
      <c r="E128" s="49"/>
      <c r="F128" s="88"/>
      <c r="G128" s="88"/>
      <c r="H128" s="88"/>
    </row>
    <row r="129" spans="1:36" ht="18" x14ac:dyDescent="0.3">
      <c r="B129" s="40" t="s">
        <v>361</v>
      </c>
      <c r="C129" s="40" t="s">
        <v>169</v>
      </c>
      <c r="D129" s="49"/>
      <c r="E129" s="49"/>
      <c r="F129" s="49"/>
      <c r="G129" s="49"/>
      <c r="H129" s="49"/>
      <c r="I129" s="182"/>
      <c r="J129" s="182"/>
      <c r="K129" s="182"/>
      <c r="L129" s="182"/>
      <c r="M129" s="182"/>
      <c r="N129" s="182"/>
      <c r="O129" s="266"/>
      <c r="P129" s="182"/>
      <c r="Q129" s="182"/>
      <c r="R129" s="182"/>
      <c r="S129" s="182"/>
      <c r="T129" s="182"/>
      <c r="U129" s="182"/>
      <c r="V129" s="182"/>
      <c r="W129" s="182"/>
      <c r="X129" s="182"/>
      <c r="Y129" s="182"/>
      <c r="Z129" s="182"/>
      <c r="AA129" s="182"/>
      <c r="AB129" s="182"/>
      <c r="AC129" s="182"/>
      <c r="AD129" s="182"/>
      <c r="AE129" s="182"/>
    </row>
    <row r="130" spans="1:36" x14ac:dyDescent="0.3">
      <c r="B130" s="61" t="s">
        <v>98</v>
      </c>
      <c r="C130" s="61"/>
      <c r="D130" s="64"/>
      <c r="E130" s="64"/>
      <c r="F130" s="61" t="s">
        <v>49</v>
      </c>
      <c r="G130" s="61"/>
      <c r="H130" s="61" t="s">
        <v>325</v>
      </c>
      <c r="I130" s="62" t="s">
        <v>457</v>
      </c>
      <c r="J130" s="62" t="s">
        <v>458</v>
      </c>
      <c r="K130" s="62" t="s">
        <v>460</v>
      </c>
      <c r="L130" s="62" t="s">
        <v>459</v>
      </c>
      <c r="M130" s="62" t="s">
        <v>461</v>
      </c>
      <c r="N130" s="62" t="s">
        <v>463</v>
      </c>
      <c r="O130" s="62" t="s">
        <v>464</v>
      </c>
      <c r="P130" s="62" t="s">
        <v>465</v>
      </c>
      <c r="Q130" s="62" t="s">
        <v>1</v>
      </c>
      <c r="R130" s="62" t="s">
        <v>2</v>
      </c>
      <c r="S130" s="62" t="s">
        <v>707</v>
      </c>
      <c r="T130" s="62" t="s">
        <v>3</v>
      </c>
      <c r="U130" s="62" t="s">
        <v>467</v>
      </c>
      <c r="V130" s="62" t="s">
        <v>468</v>
      </c>
      <c r="W130" s="62" t="s">
        <v>469</v>
      </c>
      <c r="X130" s="62" t="s">
        <v>708</v>
      </c>
      <c r="Y130" s="62" t="s">
        <v>470</v>
      </c>
      <c r="Z130" s="62" t="s">
        <v>5</v>
      </c>
      <c r="AA130" s="62" t="s">
        <v>6</v>
      </c>
      <c r="AB130" s="62" t="s">
        <v>7</v>
      </c>
      <c r="AC130" s="62" t="s">
        <v>8</v>
      </c>
      <c r="AD130" s="62" t="s">
        <v>709</v>
      </c>
      <c r="AE130" s="62" t="s">
        <v>9</v>
      </c>
      <c r="AF130" s="62" t="s">
        <v>10</v>
      </c>
      <c r="AG130" s="62" t="s">
        <v>710</v>
      </c>
      <c r="AH130" s="62" t="s">
        <v>11</v>
      </c>
      <c r="AI130" s="62" t="s">
        <v>711</v>
      </c>
      <c r="AJ130" s="62" t="s">
        <v>13</v>
      </c>
    </row>
    <row r="131" spans="1:36" s="563" customFormat="1" ht="15" thickBot="1" x14ac:dyDescent="0.35">
      <c r="A131" s="572"/>
      <c r="B131" s="571" t="s">
        <v>30</v>
      </c>
      <c r="C131" s="571" t="s">
        <v>35</v>
      </c>
      <c r="D131" s="571"/>
      <c r="E131" s="571"/>
      <c r="F131" s="571"/>
      <c r="G131" s="571"/>
      <c r="H131" s="571"/>
      <c r="I131" s="571" t="s">
        <v>477</v>
      </c>
      <c r="J131" s="571" t="s">
        <v>478</v>
      </c>
      <c r="K131" s="571" t="s">
        <v>480</v>
      </c>
      <c r="L131" s="571" t="s">
        <v>479</v>
      </c>
      <c r="M131" s="571" t="s">
        <v>481</v>
      </c>
      <c r="N131" s="571" t="s">
        <v>482</v>
      </c>
      <c r="O131" s="571" t="s">
        <v>483</v>
      </c>
      <c r="P131" s="571" t="s">
        <v>484</v>
      </c>
      <c r="Q131" s="571" t="s">
        <v>90</v>
      </c>
      <c r="R131" s="571" t="s">
        <v>91</v>
      </c>
      <c r="S131" s="571" t="s">
        <v>715</v>
      </c>
      <c r="T131" s="571" t="s">
        <v>716</v>
      </c>
      <c r="U131" s="571" t="s">
        <v>485</v>
      </c>
      <c r="V131" s="571" t="s">
        <v>486</v>
      </c>
      <c r="W131" s="571" t="s">
        <v>487</v>
      </c>
      <c r="X131" s="571" t="s">
        <v>717</v>
      </c>
      <c r="Y131" s="571" t="s">
        <v>488</v>
      </c>
      <c r="Z131" s="571" t="s">
        <v>718</v>
      </c>
      <c r="AA131" s="571" t="s">
        <v>92</v>
      </c>
      <c r="AB131" s="571" t="s">
        <v>93</v>
      </c>
      <c r="AC131" s="571" t="s">
        <v>94</v>
      </c>
      <c r="AD131" s="571" t="s">
        <v>719</v>
      </c>
      <c r="AE131" s="571" t="s">
        <v>720</v>
      </c>
      <c r="AF131" s="571" t="s">
        <v>95</v>
      </c>
      <c r="AG131" s="571" t="s">
        <v>721</v>
      </c>
      <c r="AH131" s="571" t="s">
        <v>722</v>
      </c>
      <c r="AI131" s="571" t="s">
        <v>723</v>
      </c>
      <c r="AJ131" s="571" t="s">
        <v>489</v>
      </c>
    </row>
    <row r="132" spans="1:36" x14ac:dyDescent="0.3">
      <c r="A132" s="511" t="str">
        <f>'SRV_BY Techs'!$L$70</f>
        <v>NCAP_AFA</v>
      </c>
      <c r="B132" s="49" t="str">
        <f>Legend!A$45</f>
        <v>Thermal uses</v>
      </c>
      <c r="C132" s="49" t="str">
        <f>LEFT(Legend!$C$4)&amp;"-"&amp;Legend!B$45</f>
        <v>S-TH</v>
      </c>
      <c r="D132" s="49"/>
      <c r="E132" s="49"/>
      <c r="F132" s="446" t="s">
        <v>447</v>
      </c>
      <c r="G132" s="446"/>
      <c r="H132" s="526">
        <v>500</v>
      </c>
      <c r="I132" s="84">
        <f>($H132*I7/$Y$7)</f>
        <v>17.230062356416148</v>
      </c>
      <c r="J132" s="84">
        <f t="shared" ref="J132:AJ132" si="42">($H132*J7/$Y$7)</f>
        <v>169.83918608467346</v>
      </c>
      <c r="K132" s="84">
        <f t="shared" si="42"/>
        <v>7.0561207745323271</v>
      </c>
      <c r="L132" s="84">
        <f t="shared" si="42"/>
        <v>63.669182802756808</v>
      </c>
      <c r="M132" s="84">
        <f t="shared" si="42"/>
        <v>119.29766983918609</v>
      </c>
      <c r="N132" s="84">
        <f t="shared" si="42"/>
        <v>455.53002953724973</v>
      </c>
      <c r="O132" s="84">
        <f t="shared" si="42"/>
        <v>10.502133245815557</v>
      </c>
      <c r="P132" s="84">
        <f t="shared" si="42"/>
        <v>96.324253363964559</v>
      </c>
      <c r="Q132" s="84">
        <f t="shared" si="42"/>
        <v>14.440433212996389</v>
      </c>
      <c r="R132" s="84">
        <f t="shared" si="42"/>
        <v>742.36954381358714</v>
      </c>
      <c r="S132" s="84">
        <f t="shared" si="42"/>
        <v>424.68001312766654</v>
      </c>
      <c r="T132" s="84">
        <f t="shared" si="42"/>
        <v>356.25205119789956</v>
      </c>
      <c r="U132" s="84">
        <f t="shared" si="42"/>
        <v>512.63537906137185</v>
      </c>
      <c r="V132" s="84">
        <f t="shared" si="42"/>
        <v>430.58746307843779</v>
      </c>
      <c r="W132" s="84">
        <f t="shared" si="42"/>
        <v>896.78372169346903</v>
      </c>
      <c r="X132" s="84">
        <f t="shared" si="42"/>
        <v>336.88874302592717</v>
      </c>
      <c r="Y132" s="84">
        <f t="shared" si="42"/>
        <v>500</v>
      </c>
      <c r="Z132" s="84">
        <f t="shared" si="42"/>
        <v>3.7742041352149656</v>
      </c>
      <c r="AA132" s="84">
        <f t="shared" si="42"/>
        <v>49.885132917623892</v>
      </c>
      <c r="AB132" s="84">
        <f t="shared" si="42"/>
        <v>271.25041023957994</v>
      </c>
      <c r="AC132" s="84">
        <f t="shared" si="42"/>
        <v>67.443386937971781</v>
      </c>
      <c r="AD132" s="84">
        <f t="shared" si="42"/>
        <v>322.77650147686251</v>
      </c>
      <c r="AE132" s="84">
        <f t="shared" si="42"/>
        <v>204.95569412536921</v>
      </c>
      <c r="AF132" s="84">
        <f t="shared" si="42"/>
        <v>66.458811946176567</v>
      </c>
      <c r="AG132" s="84">
        <f t="shared" si="42"/>
        <v>8.5329832622251391</v>
      </c>
      <c r="AH132" s="84">
        <f t="shared" si="42"/>
        <v>787.16770594026912</v>
      </c>
      <c r="AI132" s="84">
        <f t="shared" si="42"/>
        <v>343.61667213652771</v>
      </c>
      <c r="AJ132" s="84">
        <f t="shared" si="42"/>
        <v>385.13291762389235</v>
      </c>
    </row>
    <row r="133" spans="1:36" ht="15" customHeight="1" x14ac:dyDescent="0.3">
      <c r="A133" s="511" t="str">
        <f>'SRV_BY Techs'!$L$70</f>
        <v>NCAP_AFA</v>
      </c>
      <c r="B133" s="49" t="str">
        <f>Legend!A$46</f>
        <v>Air conditioning</v>
      </c>
      <c r="C133" s="49" t="str">
        <f>LEFT(Legend!$C$4)&amp;"-"&amp;Legend!B$46</f>
        <v>S-AC</v>
      </c>
      <c r="D133" s="49"/>
      <c r="E133" s="49"/>
      <c r="F133" s="88" t="s">
        <v>170</v>
      </c>
      <c r="G133" s="88"/>
      <c r="H133" s="526">
        <v>600</v>
      </c>
      <c r="I133" s="527">
        <f>$H133*I6/$Y$6</f>
        <v>7577.272727272727</v>
      </c>
      <c r="J133" s="527">
        <f t="shared" ref="J133:AJ133" si="43">$H133*J6/$Y$6</f>
        <v>6009.090909090909</v>
      </c>
      <c r="K133" s="527">
        <f t="shared" si="43"/>
        <v>9272.7272727272721</v>
      </c>
      <c r="L133" s="527">
        <f t="shared" si="43"/>
        <v>5363.636363636364</v>
      </c>
      <c r="M133" s="527">
        <f t="shared" si="43"/>
        <v>2781.818181818182</v>
      </c>
      <c r="N133" s="527">
        <f t="shared" si="43"/>
        <v>2290.909090909091</v>
      </c>
      <c r="O133" s="527">
        <f t="shared" si="43"/>
        <v>8290.9090909090901</v>
      </c>
      <c r="P133" s="527">
        <f t="shared" si="43"/>
        <v>10904.545454545454</v>
      </c>
      <c r="Q133" s="527">
        <f t="shared" si="43"/>
        <v>7177.272727272727</v>
      </c>
      <c r="R133" s="527">
        <f t="shared" si="43"/>
        <v>890.90909090909088</v>
      </c>
      <c r="S133" s="527">
        <f t="shared" si="43"/>
        <v>1059.090909090909</v>
      </c>
      <c r="T133" s="527">
        <f t="shared" si="43"/>
        <v>3550</v>
      </c>
      <c r="U133" s="527">
        <f t="shared" si="43"/>
        <v>1409.090909090909</v>
      </c>
      <c r="V133" s="527">
        <f t="shared" si="43"/>
        <v>290.90909090909093</v>
      </c>
      <c r="W133" s="527">
        <f t="shared" si="43"/>
        <v>1468.1818181818182</v>
      </c>
      <c r="X133" s="527">
        <f t="shared" si="43"/>
        <v>1745.4545454545455</v>
      </c>
      <c r="Y133" s="527">
        <f t="shared" si="43"/>
        <v>600</v>
      </c>
      <c r="Z133" s="527">
        <f t="shared" si="43"/>
        <v>11395.454545454546</v>
      </c>
      <c r="AA133" s="527">
        <f t="shared" si="43"/>
        <v>12272.727272727272</v>
      </c>
      <c r="AB133" s="527">
        <f t="shared" si="43"/>
        <v>2672.7272727272725</v>
      </c>
      <c r="AC133" s="527">
        <f t="shared" si="43"/>
        <v>5918.181818181818</v>
      </c>
      <c r="AD133" s="527">
        <f t="shared" si="43"/>
        <v>3554.5454545454545</v>
      </c>
      <c r="AE133" s="527">
        <f t="shared" si="43"/>
        <v>9490.9090909090901</v>
      </c>
      <c r="AF133" s="527">
        <f t="shared" si="43"/>
        <v>4481.818181818182</v>
      </c>
      <c r="AG133" s="527">
        <f t="shared" si="43"/>
        <v>11713.636363636364</v>
      </c>
      <c r="AH133" s="527">
        <f t="shared" si="43"/>
        <v>1059.090909090909</v>
      </c>
      <c r="AI133" s="527">
        <f t="shared" si="43"/>
        <v>2159.090909090909</v>
      </c>
      <c r="AJ133" s="527">
        <f t="shared" si="43"/>
        <v>3313.6363636363635</v>
      </c>
    </row>
    <row r="134" spans="1:36" x14ac:dyDescent="0.3">
      <c r="A134" s="511" t="str">
        <f>'SRV_BY Techs'!$L$70</f>
        <v>NCAP_AFA</v>
      </c>
      <c r="B134" s="49" t="str">
        <f>Legend!A$47</f>
        <v>Cooking</v>
      </c>
      <c r="C134" s="49" t="str">
        <f>LEFT(Legend!$C$4)&amp;"-"&amp;Legend!B$47</f>
        <v>S-CK</v>
      </c>
      <c r="D134" s="49"/>
      <c r="E134" s="49"/>
      <c r="F134" s="88" t="s">
        <v>170</v>
      </c>
      <c r="G134" s="88"/>
      <c r="H134" s="526">
        <f>2*365</f>
        <v>730</v>
      </c>
      <c r="I134" s="527">
        <f t="shared" ref="I134:AJ134" si="44">$H134*I137</f>
        <v>730</v>
      </c>
      <c r="J134" s="527">
        <f t="shared" si="44"/>
        <v>730</v>
      </c>
      <c r="K134" s="527">
        <f t="shared" si="44"/>
        <v>730</v>
      </c>
      <c r="L134" s="527">
        <f t="shared" si="44"/>
        <v>730</v>
      </c>
      <c r="M134" s="527">
        <f t="shared" si="44"/>
        <v>730</v>
      </c>
      <c r="N134" s="527">
        <f t="shared" si="44"/>
        <v>730</v>
      </c>
      <c r="O134" s="527">
        <f t="shared" si="44"/>
        <v>730</v>
      </c>
      <c r="P134" s="527">
        <f t="shared" si="44"/>
        <v>730</v>
      </c>
      <c r="Q134" s="527">
        <f t="shared" si="44"/>
        <v>730</v>
      </c>
      <c r="R134" s="527">
        <f t="shared" si="44"/>
        <v>730</v>
      </c>
      <c r="S134" s="527">
        <f t="shared" si="44"/>
        <v>730</v>
      </c>
      <c r="T134" s="527">
        <f t="shared" si="44"/>
        <v>730</v>
      </c>
      <c r="U134" s="527">
        <f t="shared" si="44"/>
        <v>730</v>
      </c>
      <c r="V134" s="527">
        <f t="shared" si="44"/>
        <v>730</v>
      </c>
      <c r="W134" s="527">
        <f t="shared" si="44"/>
        <v>730</v>
      </c>
      <c r="X134" s="527">
        <f t="shared" si="44"/>
        <v>730</v>
      </c>
      <c r="Y134" s="527">
        <f t="shared" si="44"/>
        <v>730</v>
      </c>
      <c r="Z134" s="527">
        <f t="shared" si="44"/>
        <v>730</v>
      </c>
      <c r="AA134" s="527">
        <f t="shared" si="44"/>
        <v>730</v>
      </c>
      <c r="AB134" s="527">
        <f t="shared" si="44"/>
        <v>730</v>
      </c>
      <c r="AC134" s="527">
        <f t="shared" si="44"/>
        <v>730</v>
      </c>
      <c r="AD134" s="527">
        <f t="shared" si="44"/>
        <v>730</v>
      </c>
      <c r="AE134" s="527">
        <f t="shared" si="44"/>
        <v>730</v>
      </c>
      <c r="AF134" s="527">
        <f t="shared" si="44"/>
        <v>730</v>
      </c>
      <c r="AG134" s="527">
        <f t="shared" si="44"/>
        <v>730</v>
      </c>
      <c r="AH134" s="527">
        <f t="shared" si="44"/>
        <v>730</v>
      </c>
      <c r="AI134" s="527">
        <f t="shared" si="44"/>
        <v>730</v>
      </c>
      <c r="AJ134" s="527">
        <f t="shared" si="44"/>
        <v>730</v>
      </c>
    </row>
    <row r="135" spans="1:36" x14ac:dyDescent="0.3">
      <c r="A135" s="511" t="str">
        <f>'SRV_BY Techs'!$L$70</f>
        <v>NCAP_AFA</v>
      </c>
      <c r="B135" s="114" t="str">
        <f>Legend!A$50</f>
        <v>Electric Appliances</v>
      </c>
      <c r="C135" s="114" t="str">
        <f>LEFT(Legend!$C$4)&amp;"-"&amp;Legend!B$50</f>
        <v>S-EAP</v>
      </c>
      <c r="D135" s="114"/>
      <c r="E135" s="114"/>
      <c r="F135" s="90" t="s">
        <v>170</v>
      </c>
      <c r="G135" s="90"/>
      <c r="H135" s="528">
        <f>260*8</f>
        <v>2080</v>
      </c>
      <c r="I135" s="529">
        <f t="shared" ref="I135:AJ135" si="45">$H135*I138</f>
        <v>2080</v>
      </c>
      <c r="J135" s="529">
        <f t="shared" si="45"/>
        <v>2080</v>
      </c>
      <c r="K135" s="529">
        <f t="shared" si="45"/>
        <v>2080</v>
      </c>
      <c r="L135" s="529">
        <f t="shared" si="45"/>
        <v>2080</v>
      </c>
      <c r="M135" s="529">
        <f t="shared" si="45"/>
        <v>2080</v>
      </c>
      <c r="N135" s="529">
        <f t="shared" si="45"/>
        <v>2080</v>
      </c>
      <c r="O135" s="529">
        <f t="shared" si="45"/>
        <v>2080</v>
      </c>
      <c r="P135" s="529">
        <f t="shared" si="45"/>
        <v>2080</v>
      </c>
      <c r="Q135" s="529">
        <f t="shared" si="45"/>
        <v>2080</v>
      </c>
      <c r="R135" s="529">
        <f t="shared" si="45"/>
        <v>2080</v>
      </c>
      <c r="S135" s="529">
        <f t="shared" si="45"/>
        <v>2080</v>
      </c>
      <c r="T135" s="529">
        <f t="shared" si="45"/>
        <v>2080</v>
      </c>
      <c r="U135" s="529">
        <f t="shared" si="45"/>
        <v>2080</v>
      </c>
      <c r="V135" s="529">
        <f t="shared" si="45"/>
        <v>2080</v>
      </c>
      <c r="W135" s="529">
        <f t="shared" si="45"/>
        <v>2080</v>
      </c>
      <c r="X135" s="529">
        <f t="shared" si="45"/>
        <v>2080</v>
      </c>
      <c r="Y135" s="529">
        <f t="shared" si="45"/>
        <v>2080</v>
      </c>
      <c r="Z135" s="529">
        <f t="shared" si="45"/>
        <v>2080</v>
      </c>
      <c r="AA135" s="529">
        <f t="shared" si="45"/>
        <v>2080</v>
      </c>
      <c r="AB135" s="529">
        <f t="shared" si="45"/>
        <v>2080</v>
      </c>
      <c r="AC135" s="529">
        <f t="shared" si="45"/>
        <v>2080</v>
      </c>
      <c r="AD135" s="529">
        <f t="shared" si="45"/>
        <v>2080</v>
      </c>
      <c r="AE135" s="529">
        <f t="shared" si="45"/>
        <v>2080</v>
      </c>
      <c r="AF135" s="529">
        <f t="shared" si="45"/>
        <v>2080</v>
      </c>
      <c r="AG135" s="529">
        <f t="shared" si="45"/>
        <v>2080</v>
      </c>
      <c r="AH135" s="529">
        <f t="shared" si="45"/>
        <v>2080</v>
      </c>
      <c r="AI135" s="529">
        <f t="shared" si="45"/>
        <v>2080</v>
      </c>
      <c r="AJ135" s="529">
        <f t="shared" si="45"/>
        <v>2080</v>
      </c>
    </row>
    <row r="136" spans="1:36" x14ac:dyDescent="0.3">
      <c r="A136" s="512"/>
      <c r="B136" s="271"/>
      <c r="C136" s="66"/>
      <c r="D136" s="267" t="s">
        <v>438</v>
      </c>
      <c r="E136" s="66" t="str">
        <f>Legend!A$45&amp;" - % Water heating"</f>
        <v>Thermal uses - % Water heating</v>
      </c>
      <c r="F136" s="267"/>
      <c r="G136" s="267"/>
      <c r="H136" s="271"/>
      <c r="I136" s="301">
        <v>0.57673205534168093</v>
      </c>
      <c r="J136" s="301">
        <v>0.57673205534168093</v>
      </c>
      <c r="K136" s="301">
        <v>0.57673205534168093</v>
      </c>
      <c r="L136" s="301">
        <v>0.57673205534168093</v>
      </c>
      <c r="M136" s="301">
        <v>0.45317165524208675</v>
      </c>
      <c r="N136" s="301">
        <v>0.35723552760620686</v>
      </c>
      <c r="O136" s="301">
        <v>0.21738679545290532</v>
      </c>
      <c r="P136" s="301">
        <v>0.21738679545290532</v>
      </c>
      <c r="Q136" s="301">
        <v>1</v>
      </c>
      <c r="R136" s="301">
        <v>0.151459680203574</v>
      </c>
      <c r="S136" s="301">
        <v>1</v>
      </c>
      <c r="T136" s="301">
        <v>0.46676637162166007</v>
      </c>
      <c r="U136" s="301">
        <v>0.37318444695630837</v>
      </c>
      <c r="V136" s="301">
        <v>0.36933057686734583</v>
      </c>
      <c r="W136" s="301">
        <v>0.36933057686734583</v>
      </c>
      <c r="X136" s="301">
        <v>0.37318444695630837</v>
      </c>
      <c r="Y136" s="301">
        <v>0.36933057686734583</v>
      </c>
      <c r="Z136" s="301">
        <v>1</v>
      </c>
      <c r="AA136" s="301">
        <v>1</v>
      </c>
      <c r="AB136" s="301">
        <v>0.67325267100864572</v>
      </c>
      <c r="AC136" s="301">
        <v>0.56000000000000005</v>
      </c>
      <c r="AD136" s="301">
        <v>1</v>
      </c>
      <c r="AE136" s="301">
        <v>1</v>
      </c>
      <c r="AF136" s="301">
        <v>0.56000000000000005</v>
      </c>
      <c r="AG136" s="301">
        <v>1</v>
      </c>
      <c r="AH136" s="301">
        <v>0.14975153550407025</v>
      </c>
      <c r="AI136" s="301">
        <v>0.21738679545290532</v>
      </c>
      <c r="AJ136" s="301">
        <v>0.46676637162166007</v>
      </c>
    </row>
    <row r="137" spans="1:36" x14ac:dyDescent="0.3">
      <c r="A137" s="512"/>
      <c r="B137" s="271"/>
      <c r="C137" s="66"/>
      <c r="D137" s="267" t="s">
        <v>438</v>
      </c>
      <c r="E137" s="66" t="str">
        <f>Legend!A$47</f>
        <v>Cooking</v>
      </c>
      <c r="F137" s="267"/>
      <c r="G137" s="267"/>
      <c r="H137" s="271"/>
      <c r="I137" s="277">
        <v>1</v>
      </c>
      <c r="J137" s="277">
        <v>1</v>
      </c>
      <c r="K137" s="277">
        <v>1</v>
      </c>
      <c r="L137" s="277">
        <v>1</v>
      </c>
      <c r="M137" s="277">
        <v>1</v>
      </c>
      <c r="N137" s="277">
        <v>1</v>
      </c>
      <c r="O137" s="277">
        <v>1</v>
      </c>
      <c r="P137" s="277">
        <v>1</v>
      </c>
      <c r="Q137" s="277">
        <v>1</v>
      </c>
      <c r="R137" s="277">
        <v>1</v>
      </c>
      <c r="S137" s="277">
        <v>1</v>
      </c>
      <c r="T137" s="277">
        <v>1</v>
      </c>
      <c r="U137" s="277">
        <v>1</v>
      </c>
      <c r="V137" s="277">
        <v>1</v>
      </c>
      <c r="W137" s="277">
        <v>1</v>
      </c>
      <c r="X137" s="277">
        <v>1</v>
      </c>
      <c r="Y137" s="277">
        <v>1</v>
      </c>
      <c r="Z137" s="277">
        <v>1</v>
      </c>
      <c r="AA137" s="277">
        <v>1</v>
      </c>
      <c r="AB137" s="277">
        <v>1</v>
      </c>
      <c r="AC137" s="277">
        <v>1</v>
      </c>
      <c r="AD137" s="277">
        <v>1</v>
      </c>
      <c r="AE137" s="277">
        <v>1</v>
      </c>
      <c r="AF137" s="277">
        <v>1</v>
      </c>
      <c r="AG137" s="277">
        <v>1</v>
      </c>
      <c r="AH137" s="277">
        <v>1</v>
      </c>
      <c r="AI137" s="277">
        <v>1</v>
      </c>
      <c r="AJ137" s="277">
        <v>1</v>
      </c>
    </row>
    <row r="138" spans="1:36" x14ac:dyDescent="0.3">
      <c r="A138" s="512"/>
      <c r="B138" s="271"/>
      <c r="C138" s="269"/>
      <c r="D138" s="267" t="s">
        <v>438</v>
      </c>
      <c r="E138" s="269" t="str">
        <f>Legend!A$50</f>
        <v>Electric Appliances</v>
      </c>
      <c r="F138" s="267"/>
      <c r="G138" s="267"/>
      <c r="H138" s="271"/>
      <c r="I138" s="277">
        <v>1</v>
      </c>
      <c r="J138" s="277">
        <v>1</v>
      </c>
      <c r="K138" s="277">
        <v>1</v>
      </c>
      <c r="L138" s="277">
        <v>1</v>
      </c>
      <c r="M138" s="277">
        <v>1</v>
      </c>
      <c r="N138" s="277">
        <v>1</v>
      </c>
      <c r="O138" s="277">
        <v>1</v>
      </c>
      <c r="P138" s="277">
        <v>1</v>
      </c>
      <c r="Q138" s="277">
        <v>1</v>
      </c>
      <c r="R138" s="277">
        <v>1</v>
      </c>
      <c r="S138" s="277">
        <v>1</v>
      </c>
      <c r="T138" s="277">
        <v>1</v>
      </c>
      <c r="U138" s="277">
        <v>1</v>
      </c>
      <c r="V138" s="277">
        <v>1</v>
      </c>
      <c r="W138" s="277">
        <v>1</v>
      </c>
      <c r="X138" s="277">
        <v>1</v>
      </c>
      <c r="Y138" s="277">
        <v>1</v>
      </c>
      <c r="Z138" s="277">
        <v>1</v>
      </c>
      <c r="AA138" s="277">
        <v>1</v>
      </c>
      <c r="AB138" s="277">
        <v>1</v>
      </c>
      <c r="AC138" s="277">
        <v>1</v>
      </c>
      <c r="AD138" s="277">
        <v>1</v>
      </c>
      <c r="AE138" s="277">
        <v>1</v>
      </c>
      <c r="AF138" s="277">
        <v>1</v>
      </c>
      <c r="AG138" s="277">
        <v>1</v>
      </c>
      <c r="AH138" s="277">
        <v>1</v>
      </c>
      <c r="AI138" s="277">
        <v>1</v>
      </c>
      <c r="AJ138" s="277">
        <v>1</v>
      </c>
    </row>
    <row r="139" spans="1:36" x14ac:dyDescent="0.3">
      <c r="A139" s="512"/>
      <c r="B139" s="276"/>
      <c r="C139" s="270"/>
      <c r="D139" s="268" t="s">
        <v>438</v>
      </c>
      <c r="E139" s="270" t="str">
        <f>Legend!A$51</f>
        <v>Other uses</v>
      </c>
      <c r="F139" s="268"/>
      <c r="G139" s="268"/>
      <c r="H139" s="276"/>
      <c r="I139" s="278">
        <v>1</v>
      </c>
      <c r="J139" s="278">
        <v>1</v>
      </c>
      <c r="K139" s="278">
        <v>1</v>
      </c>
      <c r="L139" s="278">
        <v>1</v>
      </c>
      <c r="M139" s="278">
        <v>1</v>
      </c>
      <c r="N139" s="278">
        <v>1</v>
      </c>
      <c r="O139" s="278">
        <v>1</v>
      </c>
      <c r="P139" s="278">
        <v>1</v>
      </c>
      <c r="Q139" s="278">
        <v>1</v>
      </c>
      <c r="R139" s="278">
        <v>1</v>
      </c>
      <c r="S139" s="278">
        <v>1</v>
      </c>
      <c r="T139" s="278">
        <v>1</v>
      </c>
      <c r="U139" s="278">
        <v>1</v>
      </c>
      <c r="V139" s="278">
        <v>1</v>
      </c>
      <c r="W139" s="278">
        <v>1</v>
      </c>
      <c r="X139" s="278">
        <v>1</v>
      </c>
      <c r="Y139" s="278">
        <v>1</v>
      </c>
      <c r="Z139" s="278">
        <v>1</v>
      </c>
      <c r="AA139" s="278">
        <v>1</v>
      </c>
      <c r="AB139" s="278">
        <v>1</v>
      </c>
      <c r="AC139" s="278">
        <v>1</v>
      </c>
      <c r="AD139" s="278">
        <v>1</v>
      </c>
      <c r="AE139" s="278">
        <v>1</v>
      </c>
      <c r="AF139" s="278">
        <v>1</v>
      </c>
      <c r="AG139" s="278">
        <v>1</v>
      </c>
      <c r="AH139" s="278">
        <v>1</v>
      </c>
      <c r="AI139" s="278">
        <v>1</v>
      </c>
      <c r="AJ139" s="278">
        <v>1</v>
      </c>
    </row>
    <row r="141" spans="1:36" ht="15.6" x14ac:dyDescent="0.3">
      <c r="A141" s="500"/>
      <c r="B141"/>
      <c r="C141"/>
      <c r="D141"/>
      <c r="E141"/>
      <c r="F141"/>
      <c r="G141"/>
      <c r="H141"/>
      <c r="I141"/>
      <c r="J141"/>
      <c r="K141"/>
      <c r="L141"/>
      <c r="M141"/>
      <c r="N141"/>
      <c r="O141"/>
      <c r="P141"/>
      <c r="Q141"/>
      <c r="R141"/>
      <c r="S141"/>
      <c r="T141"/>
      <c r="U141"/>
      <c r="V141"/>
      <c r="W141"/>
      <c r="X141"/>
      <c r="Y141"/>
      <c r="Z141"/>
      <c r="AA141"/>
      <c r="AB141"/>
      <c r="AC141"/>
      <c r="AD141"/>
      <c r="AE141"/>
    </row>
    <row r="142" spans="1:36" ht="18" x14ac:dyDescent="0.3">
      <c r="B142" s="40" t="s">
        <v>362</v>
      </c>
      <c r="C142" s="40" t="s">
        <v>367</v>
      </c>
      <c r="D142" s="449"/>
      <c r="E142" s="449"/>
      <c r="F142" s="449"/>
      <c r="G142" s="449"/>
      <c r="H142" s="449"/>
      <c r="I142" s="449"/>
      <c r="J142" s="449"/>
      <c r="K142" s="449"/>
      <c r="L142" s="449"/>
      <c r="M142" s="449"/>
      <c r="N142" s="449"/>
      <c r="O142" s="449"/>
      <c r="P142" s="449"/>
      <c r="Q142" s="449"/>
      <c r="R142" s="449"/>
      <c r="S142" s="449"/>
      <c r="T142" s="449"/>
      <c r="U142" s="449"/>
      <c r="V142" s="449"/>
      <c r="W142" s="449"/>
      <c r="X142" s="449"/>
      <c r="Y142" s="449"/>
      <c r="Z142" s="449"/>
      <c r="AA142" s="449"/>
      <c r="AB142" s="449"/>
      <c r="AC142" s="449"/>
      <c r="AD142" s="449"/>
      <c r="AE142" s="449"/>
      <c r="AF142" s="449"/>
      <c r="AG142" s="449"/>
      <c r="AH142" s="449"/>
      <c r="AI142" s="449"/>
      <c r="AJ142" s="449"/>
    </row>
    <row r="143" spans="1:36" x14ac:dyDescent="0.3">
      <c r="B143" s="64" t="s">
        <v>99</v>
      </c>
      <c r="C143" s="64"/>
      <c r="D143" s="64"/>
      <c r="E143" s="64"/>
      <c r="F143" s="61" t="s">
        <v>49</v>
      </c>
      <c r="G143" s="61"/>
      <c r="H143" s="450"/>
      <c r="I143" s="62" t="s">
        <v>457</v>
      </c>
      <c r="J143" s="62" t="s">
        <v>458</v>
      </c>
      <c r="K143" s="62" t="s">
        <v>460</v>
      </c>
      <c r="L143" s="62" t="s">
        <v>459</v>
      </c>
      <c r="M143" s="62" t="s">
        <v>461</v>
      </c>
      <c r="N143" s="62" t="s">
        <v>463</v>
      </c>
      <c r="O143" s="62" t="s">
        <v>464</v>
      </c>
      <c r="P143" s="62" t="s">
        <v>465</v>
      </c>
      <c r="Q143" s="62" t="s">
        <v>1</v>
      </c>
      <c r="R143" s="62" t="s">
        <v>2</v>
      </c>
      <c r="S143" s="62" t="s">
        <v>707</v>
      </c>
      <c r="T143" s="62" t="s">
        <v>3</v>
      </c>
      <c r="U143" s="62" t="s">
        <v>467</v>
      </c>
      <c r="V143" s="62" t="s">
        <v>468</v>
      </c>
      <c r="W143" s="62" t="s">
        <v>469</v>
      </c>
      <c r="X143" s="62" t="s">
        <v>708</v>
      </c>
      <c r="Y143" s="62" t="s">
        <v>470</v>
      </c>
      <c r="Z143" s="62" t="s">
        <v>5</v>
      </c>
      <c r="AA143" s="62" t="s">
        <v>6</v>
      </c>
      <c r="AB143" s="62" t="s">
        <v>7</v>
      </c>
      <c r="AC143" s="62" t="s">
        <v>8</v>
      </c>
      <c r="AD143" s="62" t="s">
        <v>709</v>
      </c>
      <c r="AE143" s="62" t="s">
        <v>9</v>
      </c>
      <c r="AF143" s="62" t="s">
        <v>10</v>
      </c>
      <c r="AG143" s="62" t="s">
        <v>710</v>
      </c>
      <c r="AH143" s="62" t="s">
        <v>11</v>
      </c>
      <c r="AI143" s="62" t="s">
        <v>711</v>
      </c>
      <c r="AJ143" s="62" t="s">
        <v>13</v>
      </c>
    </row>
    <row r="144" spans="1:36" s="563" customFormat="1" ht="15" thickBot="1" x14ac:dyDescent="0.35">
      <c r="A144" s="572"/>
      <c r="B144" s="571" t="s">
        <v>30</v>
      </c>
      <c r="C144" s="571" t="s">
        <v>35</v>
      </c>
      <c r="D144" s="571"/>
      <c r="E144" s="571"/>
      <c r="F144" s="571"/>
      <c r="G144" s="571"/>
      <c r="H144" s="571"/>
      <c r="I144" s="571" t="s">
        <v>477</v>
      </c>
      <c r="J144" s="571" t="s">
        <v>478</v>
      </c>
      <c r="K144" s="571" t="s">
        <v>480</v>
      </c>
      <c r="L144" s="571" t="s">
        <v>479</v>
      </c>
      <c r="M144" s="571" t="s">
        <v>481</v>
      </c>
      <c r="N144" s="571" t="s">
        <v>482</v>
      </c>
      <c r="O144" s="571" t="s">
        <v>483</v>
      </c>
      <c r="P144" s="571" t="s">
        <v>484</v>
      </c>
      <c r="Q144" s="571" t="s">
        <v>90</v>
      </c>
      <c r="R144" s="571" t="s">
        <v>91</v>
      </c>
      <c r="S144" s="571" t="s">
        <v>715</v>
      </c>
      <c r="T144" s="571" t="s">
        <v>716</v>
      </c>
      <c r="U144" s="571" t="s">
        <v>485</v>
      </c>
      <c r="V144" s="571" t="s">
        <v>486</v>
      </c>
      <c r="W144" s="571" t="s">
        <v>487</v>
      </c>
      <c r="X144" s="571" t="s">
        <v>717</v>
      </c>
      <c r="Y144" s="571" t="s">
        <v>488</v>
      </c>
      <c r="Z144" s="571" t="s">
        <v>718</v>
      </c>
      <c r="AA144" s="571" t="s">
        <v>92</v>
      </c>
      <c r="AB144" s="571" t="s">
        <v>93</v>
      </c>
      <c r="AC144" s="571" t="s">
        <v>94</v>
      </c>
      <c r="AD144" s="571" t="s">
        <v>719</v>
      </c>
      <c r="AE144" s="571" t="s">
        <v>720</v>
      </c>
      <c r="AF144" s="571" t="s">
        <v>95</v>
      </c>
      <c r="AG144" s="571" t="s">
        <v>721</v>
      </c>
      <c r="AH144" s="571" t="s">
        <v>722</v>
      </c>
      <c r="AI144" s="571" t="s">
        <v>723</v>
      </c>
      <c r="AJ144" s="571" t="s">
        <v>489</v>
      </c>
    </row>
    <row r="145" spans="2:36" x14ac:dyDescent="0.3">
      <c r="B145" s="49" t="str">
        <f>Legend!A$60&amp;"/"&amp;Legend!A$68</f>
        <v>Biogas/Natural gas</v>
      </c>
      <c r="C145" s="49" t="str">
        <f>Legend!B$60&amp;"/"&amp;Legend!B$68</f>
        <v>SRVBGS/SRVGAS</v>
      </c>
      <c r="F145" s="473" t="s">
        <v>154</v>
      </c>
      <c r="G145" s="473"/>
      <c r="H145" s="449"/>
      <c r="I145" s="279">
        <f>IFERROR(SUMIFS('Key inputs_EB'!H$96:H$143,'Key inputs_EB'!$E$96:$E$143,Legend!$B$60)/(SUMIFS('Key inputs_EB'!H$96:H$143,'Key inputs_EB'!$E$96:$E$143,Legend!$B$60)+SUMIFS('Key inputs_EB'!H$96:H$143,'Key inputs_EB'!$E$96:$E$143,Legend!$B$68)),0)</f>
        <v>0</v>
      </c>
      <c r="J145" s="279">
        <f>IFERROR(SUMIFS('Key inputs_EB'!I$96:I$143,'Key inputs_EB'!$E$96:$E$143,Legend!$B$60)/(SUMIFS('Key inputs_EB'!I$96:I$143,'Key inputs_EB'!$E$96:$E$143,Legend!$B$60)+SUMIFS('Key inputs_EB'!I$96:I$143,'Key inputs_EB'!$E$96:$E$143,Legend!$B$68)),0)</f>
        <v>0</v>
      </c>
      <c r="K145" s="279">
        <f>IFERROR(SUMIFS('Key inputs_EB'!J$96:J$143,'Key inputs_EB'!$E$96:$E$143,Legend!$B$60)/(SUMIFS('Key inputs_EB'!J$96:J$143,'Key inputs_EB'!$E$96:$E$143,Legend!$B$60)+SUMIFS('Key inputs_EB'!J$96:J$143,'Key inputs_EB'!$E$96:$E$143,Legend!$B$68)),0)</f>
        <v>0</v>
      </c>
      <c r="L145" s="279">
        <f>IFERROR(SUMIFS('Key inputs_EB'!K$96:K$143,'Key inputs_EB'!$E$96:$E$143,Legend!$B$60)/(SUMIFS('Key inputs_EB'!K$96:K$143,'Key inputs_EB'!$E$96:$E$143,Legend!$B$60)+SUMIFS('Key inputs_EB'!K$96:K$143,'Key inputs_EB'!$E$96:$E$143,Legend!$B$68)),0)</f>
        <v>0</v>
      </c>
      <c r="M145" s="279">
        <f>IFERROR(SUMIFS('Key inputs_EB'!L$96:L$143,'Key inputs_EB'!$E$96:$E$143,Legend!$B$60)/(SUMIFS('Key inputs_EB'!L$96:L$143,'Key inputs_EB'!$E$96:$E$143,Legend!$B$60)+SUMIFS('Key inputs_EB'!L$96:L$143,'Key inputs_EB'!$E$96:$E$143,Legend!$B$68)),0)</f>
        <v>9.6467193047876897E-3</v>
      </c>
      <c r="N145" s="279">
        <f>IFERROR(SUMIFS('Key inputs_EB'!M$96:M$143,'Key inputs_EB'!$E$96:$E$143,Legend!$B$60)/(SUMIFS('Key inputs_EB'!M$96:M$143,'Key inputs_EB'!$E$96:$E$143,Legend!$B$60)+SUMIFS('Key inputs_EB'!M$96:M$143,'Key inputs_EB'!$E$96:$E$143,Legend!$B$68)),0)</f>
        <v>0</v>
      </c>
      <c r="O145" s="279">
        <f>IFERROR(SUMIFS('Key inputs_EB'!N$96:N$143,'Key inputs_EB'!$E$96:$E$143,Legend!$B$60)/(SUMIFS('Key inputs_EB'!N$96:N$143,'Key inputs_EB'!$E$96:$E$143,Legend!$B$60)+SUMIFS('Key inputs_EB'!N$96:N$143,'Key inputs_EB'!$E$96:$E$143,Legend!$B$68)),0)</f>
        <v>0</v>
      </c>
      <c r="P145" s="279">
        <f>IFERROR(SUMIFS('Key inputs_EB'!O$96:O$143,'Key inputs_EB'!$E$96:$E$143,Legend!$B$60)/(SUMIFS('Key inputs_EB'!O$96:O$143,'Key inputs_EB'!$E$96:$E$143,Legend!$B$60)+SUMIFS('Key inputs_EB'!O$96:O$143,'Key inputs_EB'!$E$96:$E$143,Legend!$B$68)),0)</f>
        <v>1.5037593984962407E-3</v>
      </c>
      <c r="Q145" s="279">
        <f>IFERROR(SUMIFS('Key inputs_EB'!P$96:P$143,'Key inputs_EB'!$E$96:$E$143,Legend!$B$60)/(SUMIFS('Key inputs_EB'!P$96:P$143,'Key inputs_EB'!$E$96:$E$143,Legend!$B$60)+SUMIFS('Key inputs_EB'!P$96:P$143,'Key inputs_EB'!$E$96:$E$143,Legend!$B$68)),0)</f>
        <v>0</v>
      </c>
      <c r="R145" s="279">
        <f>IFERROR(SUMIFS('Key inputs_EB'!Q$96:Q$143,'Key inputs_EB'!$E$96:$E$143,Legend!$B$60)/(SUMIFS('Key inputs_EB'!Q$96:Q$143,'Key inputs_EB'!$E$96:$E$143,Legend!$B$60)+SUMIFS('Key inputs_EB'!Q$96:Q$143,'Key inputs_EB'!$E$96:$E$143,Legend!$B$68)),0)</f>
        <v>1.0766151758865201E-3</v>
      </c>
      <c r="S145" s="279">
        <f>IFERROR(SUMIFS('Key inputs_EB'!R$96:R$143,'Key inputs_EB'!$E$96:$E$143,Legend!$B$60)/(SUMIFS('Key inputs_EB'!R$96:R$143,'Key inputs_EB'!$E$96:$E$143,Legend!$B$60)+SUMIFS('Key inputs_EB'!R$96:R$143,'Key inputs_EB'!$E$96:$E$143,Legend!$B$68)),0)</f>
        <v>5.3628724216959509E-2</v>
      </c>
      <c r="T145" s="279">
        <f>IFERROR(SUMIFS('Key inputs_EB'!S$96:S$143,'Key inputs_EB'!$E$96:$E$143,Legend!$B$60)/(SUMIFS('Key inputs_EB'!S$96:S$143,'Key inputs_EB'!$E$96:$E$143,Legend!$B$60)+SUMIFS('Key inputs_EB'!S$96:S$143,'Key inputs_EB'!$E$96:$E$143,Legend!$B$68)),0)</f>
        <v>0</v>
      </c>
      <c r="U145" s="279">
        <f>IFERROR(SUMIFS('Key inputs_EB'!T$96:T$143,'Key inputs_EB'!$E$96:$E$143,Legend!$B$60)/(SUMIFS('Key inputs_EB'!T$96:T$143,'Key inputs_EB'!$E$96:$E$143,Legend!$B$60)+SUMIFS('Key inputs_EB'!T$96:T$143,'Key inputs_EB'!$E$96:$E$143,Legend!$B$68)),0)</f>
        <v>1.0693647562054003E-3</v>
      </c>
      <c r="V145" s="279">
        <f>IFERROR(SUMIFS('Key inputs_EB'!U$96:U$143,'Key inputs_EB'!$E$96:$E$143,Legend!$B$60)/(SUMIFS('Key inputs_EB'!U$96:U$143,'Key inputs_EB'!$E$96:$E$143,Legend!$B$60)+SUMIFS('Key inputs_EB'!U$96:U$143,'Key inputs_EB'!$E$96:$E$143,Legend!$B$68)),0)</f>
        <v>7.0661847996116292E-3</v>
      </c>
      <c r="W145" s="279">
        <f>IFERROR(SUMIFS('Key inputs_EB'!V$96:V$143,'Key inputs_EB'!$E$96:$E$143,Legend!$B$60)/(SUMIFS('Key inputs_EB'!V$96:V$143,'Key inputs_EB'!$E$96:$E$143,Legend!$B$60)+SUMIFS('Key inputs_EB'!V$96:V$143,'Key inputs_EB'!$E$96:$E$143,Legend!$B$68)),0)</f>
        <v>1.4149992550329102E-2</v>
      </c>
      <c r="X145" s="279">
        <f>IFERROR(SUMIFS('Key inputs_EB'!W$96:W$143,'Key inputs_EB'!$E$96:$E$143,Legend!$B$60)/(SUMIFS('Key inputs_EB'!W$96:W$143,'Key inputs_EB'!$E$96:$E$143,Legend!$B$60)+SUMIFS('Key inputs_EB'!W$96:W$143,'Key inputs_EB'!$E$96:$E$143,Legend!$B$68)),0)</f>
        <v>1.0317516311399728E-2</v>
      </c>
      <c r="Y145" s="279">
        <f>IFERROR(SUMIFS('Key inputs_EB'!X$96:X$143,'Key inputs_EB'!$E$96:$E$143,Legend!$B$60)/(SUMIFS('Key inputs_EB'!X$96:X$143,'Key inputs_EB'!$E$96:$E$143,Legend!$B$60)+SUMIFS('Key inputs_EB'!X$96:X$143,'Key inputs_EB'!$E$96:$E$143,Legend!$B$68)),0)</f>
        <v>2.0930983337444909E-2</v>
      </c>
      <c r="Z145" s="279">
        <f>IFERROR(SUMIFS('Key inputs_EB'!Y$96:Y$143,'Key inputs_EB'!$E$96:$E$143,Legend!$B$60)/(SUMIFS('Key inputs_EB'!Y$96:Y$143,'Key inputs_EB'!$E$96:$E$143,Legend!$B$60)+SUMIFS('Key inputs_EB'!Y$96:Y$143,'Key inputs_EB'!$E$96:$E$143,Legend!$B$68)),0)</f>
        <v>0</v>
      </c>
      <c r="AA145" s="279">
        <f>IFERROR(SUMIFS('Key inputs_EB'!Z$96:Z$143,'Key inputs_EB'!$E$96:$E$143,Legend!$B$60)/(SUMIFS('Key inputs_EB'!Z$96:Z$143,'Key inputs_EB'!$E$96:$E$143,Legend!$B$60)+SUMIFS('Key inputs_EB'!Z$96:Z$143,'Key inputs_EB'!$E$96:$E$143,Legend!$B$68)),0)</f>
        <v>0</v>
      </c>
      <c r="AB145" s="279">
        <f>IFERROR(SUMIFS('Key inputs_EB'!AA$96:AA$143,'Key inputs_EB'!$E$96:$E$143,Legend!$B$60)/(SUMIFS('Key inputs_EB'!AA$96:AA$143,'Key inputs_EB'!$E$96:$E$143,Legend!$B$60)+SUMIFS('Key inputs_EB'!AA$96:AA$143,'Key inputs_EB'!$E$96:$E$143,Legend!$B$68)),0)</f>
        <v>0</v>
      </c>
      <c r="AC145" s="279">
        <f>IFERROR(SUMIFS('Key inputs_EB'!AB$96:AB$143,'Key inputs_EB'!$E$96:$E$143,Legend!$B$60)/(SUMIFS('Key inputs_EB'!AB$96:AB$143,'Key inputs_EB'!$E$96:$E$143,Legend!$B$60)+SUMIFS('Key inputs_EB'!AB$96:AB$143,'Key inputs_EB'!$E$96:$E$143,Legend!$B$68)),0)</f>
        <v>0</v>
      </c>
      <c r="AD145" s="279">
        <f>IFERROR(SUMIFS('Key inputs_EB'!AC$96:AC$143,'Key inputs_EB'!$E$96:$E$143,Legend!$B$60)/(SUMIFS('Key inputs_EB'!AC$96:AC$143,'Key inputs_EB'!$E$96:$E$143,Legend!$B$60)+SUMIFS('Key inputs_EB'!AC$96:AC$143,'Key inputs_EB'!$E$96:$E$143,Legend!$B$68)),0)</f>
        <v>0</v>
      </c>
      <c r="AE145" s="279">
        <f>IFERROR(SUMIFS('Key inputs_EB'!AD$96:AD$143,'Key inputs_EB'!$E$96:$E$143,Legend!$B$60)/(SUMIFS('Key inputs_EB'!AD$96:AD$143,'Key inputs_EB'!$E$96:$E$143,Legend!$B$60)+SUMIFS('Key inputs_EB'!AD$96:AD$143,'Key inputs_EB'!$E$96:$E$143,Legend!$B$68)),0)</f>
        <v>0</v>
      </c>
      <c r="AF145" s="279">
        <f>IFERROR(SUMIFS('Key inputs_EB'!AE$96:AE$143,'Key inputs_EB'!$E$96:$E$143,Legend!$B$60)/(SUMIFS('Key inputs_EB'!AE$96:AE$143,'Key inputs_EB'!$E$96:$E$143,Legend!$B$60)+SUMIFS('Key inputs_EB'!AE$96:AE$143,'Key inputs_EB'!$E$96:$E$143,Legend!$B$68)),0)</f>
        <v>0</v>
      </c>
      <c r="AG145" s="279">
        <f>IFERROR(SUMIFS('Key inputs_EB'!AF$96:AF$143,'Key inputs_EB'!$E$96:$E$143,Legend!$B$60)/(SUMIFS('Key inputs_EB'!AF$96:AF$143,'Key inputs_EB'!$E$96:$E$143,Legend!$B$60)+SUMIFS('Key inputs_EB'!AF$96:AF$143,'Key inputs_EB'!$E$96:$E$143,Legend!$B$68)),0)</f>
        <v>0</v>
      </c>
      <c r="AH145" s="279">
        <f>IFERROR(SUMIFS('Key inputs_EB'!AG$96:AG$143,'Key inputs_EB'!$E$96:$E$143,Legend!$B$60)/(SUMIFS('Key inputs_EB'!AG$96:AG$143,'Key inputs_EB'!$E$96:$E$143,Legend!$B$60)+SUMIFS('Key inputs_EB'!AG$96:AG$143,'Key inputs_EB'!$E$96:$E$143,Legend!$B$68)),0)</f>
        <v>0</v>
      </c>
      <c r="AI145" s="279">
        <f>IFERROR(SUMIFS('Key inputs_EB'!AH$96:AH$143,'Key inputs_EB'!$E$96:$E$143,Legend!$B$60)/(SUMIFS('Key inputs_EB'!AH$96:AH$143,'Key inputs_EB'!$E$96:$E$143,Legend!$B$60)+SUMIFS('Key inputs_EB'!AH$96:AH$143,'Key inputs_EB'!$E$96:$E$143,Legend!$B$68)),0)</f>
        <v>5.6844506219038459E-3</v>
      </c>
      <c r="AJ145" s="279">
        <f>IFERROR(SUMIFS('Key inputs_EB'!AI$96:AI$143,'Key inputs_EB'!$E$96:$E$143,Legend!$B$60)/(SUMIFS('Key inputs_EB'!AI$96:AI$143,'Key inputs_EB'!$E$96:$E$143,Legend!$B$60)+SUMIFS('Key inputs_EB'!AI$96:AI$143,'Key inputs_EB'!$E$96:$E$143,Legend!$B$68)),0)</f>
        <v>6.6155224054639838E-4</v>
      </c>
    </row>
    <row r="146" spans="2:36" x14ac:dyDescent="0.3">
      <c r="B146" s="51" t="str">
        <f>Legend!A$66&amp;"/"&amp;Legend!A$62</f>
        <v>Liquid biofuels/Oil</v>
      </c>
      <c r="C146" s="51" t="str">
        <f>Legend!B$66&amp;"/"&amp;Legend!B$62</f>
        <v>SRVBLQ/SRVOIL</v>
      </c>
      <c r="D146" s="92"/>
      <c r="E146" s="92"/>
      <c r="F146" s="474" t="s">
        <v>154</v>
      </c>
      <c r="G146" s="474"/>
      <c r="H146" s="451"/>
      <c r="I146" s="280">
        <f>IFERROR(SUMIFS('Key inputs_EB'!H$96:H$143,'Key inputs_EB'!$E$96:$E$143,Legend!$B$66)/(SUMIFS('Key inputs_EB'!H$96:H$143,'Key inputs_EB'!$E$96:$E$143,Legend!$B$66)+SUMIFS('Key inputs_EB'!H$96:H$143,'Key inputs_EB'!$E$96:$E$143,Legend!$B$62)),0)</f>
        <v>0</v>
      </c>
      <c r="J146" s="280">
        <f>IFERROR(SUMIFS('Key inputs_EB'!I$96:I$143,'Key inputs_EB'!$E$96:$E$143,Legend!$B$66)/(SUMIFS('Key inputs_EB'!I$96:I$143,'Key inputs_EB'!$E$96:$E$143,Legend!$B$66)+SUMIFS('Key inputs_EB'!I$96:I$143,'Key inputs_EB'!$E$96:$E$143,Legend!$B$62)),0)</f>
        <v>0</v>
      </c>
      <c r="K146" s="280">
        <f>IFERROR(SUMIFS('Key inputs_EB'!J$96:J$143,'Key inputs_EB'!$E$96:$E$143,Legend!$B$66)/(SUMIFS('Key inputs_EB'!J$96:J$143,'Key inputs_EB'!$E$96:$E$143,Legend!$B$66)+SUMIFS('Key inputs_EB'!J$96:J$143,'Key inputs_EB'!$E$96:$E$143,Legend!$B$62)),0)</f>
        <v>0</v>
      </c>
      <c r="L146" s="280">
        <f>IFERROR(SUMIFS('Key inputs_EB'!K$96:K$143,'Key inputs_EB'!$E$96:$E$143,Legend!$B$66)/(SUMIFS('Key inputs_EB'!K$96:K$143,'Key inputs_EB'!$E$96:$E$143,Legend!$B$66)+SUMIFS('Key inputs_EB'!K$96:K$143,'Key inputs_EB'!$E$96:$E$143,Legend!$B$62)),0)</f>
        <v>0</v>
      </c>
      <c r="M146" s="280">
        <f>IFERROR(SUMIFS('Key inputs_EB'!L$96:L$143,'Key inputs_EB'!$E$96:$E$143,Legend!$B$66)/(SUMIFS('Key inputs_EB'!L$96:L$143,'Key inputs_EB'!$E$96:$E$143,Legend!$B$66)+SUMIFS('Key inputs_EB'!L$96:L$143,'Key inputs_EB'!$E$96:$E$143,Legend!$B$62)),0)</f>
        <v>0</v>
      </c>
      <c r="N146" s="280">
        <f>IFERROR(SUMIFS('Key inputs_EB'!M$96:M$143,'Key inputs_EB'!$E$96:$E$143,Legend!$B$66)/(SUMIFS('Key inputs_EB'!M$96:M$143,'Key inputs_EB'!$E$96:$E$143,Legend!$B$66)+SUMIFS('Key inputs_EB'!M$96:M$143,'Key inputs_EB'!$E$96:$E$143,Legend!$B$62)),0)</f>
        <v>0</v>
      </c>
      <c r="O146" s="280">
        <f>IFERROR(SUMIFS('Key inputs_EB'!N$96:N$143,'Key inputs_EB'!$E$96:$E$143,Legend!$B$66)/(SUMIFS('Key inputs_EB'!N$96:N$143,'Key inputs_EB'!$E$96:$E$143,Legend!$B$66)+SUMIFS('Key inputs_EB'!N$96:N$143,'Key inputs_EB'!$E$96:$E$143,Legend!$B$62)),0)</f>
        <v>0</v>
      </c>
      <c r="P146" s="280">
        <f>IFERROR(SUMIFS('Key inputs_EB'!O$96:O$143,'Key inputs_EB'!$E$96:$E$143,Legend!$B$66)/(SUMIFS('Key inputs_EB'!O$96:O$143,'Key inputs_EB'!$E$96:$E$143,Legend!$B$66)+SUMIFS('Key inputs_EB'!O$96:O$143,'Key inputs_EB'!$E$96:$E$143,Legend!$B$62)),0)</f>
        <v>0</v>
      </c>
      <c r="Q146" s="280">
        <f>IFERROR(SUMIFS('Key inputs_EB'!P$96:P$143,'Key inputs_EB'!$E$96:$E$143,Legend!$B$66)/(SUMIFS('Key inputs_EB'!P$96:P$143,'Key inputs_EB'!$E$96:$E$143,Legend!$B$66)+SUMIFS('Key inputs_EB'!P$96:P$143,'Key inputs_EB'!$E$96:$E$143,Legend!$B$62)),0)</f>
        <v>6.408655846858094E-2</v>
      </c>
      <c r="R146" s="280">
        <f>IFERROR(SUMIFS('Key inputs_EB'!Q$96:Q$143,'Key inputs_EB'!$E$96:$E$143,Legend!$B$66)/(SUMIFS('Key inputs_EB'!Q$96:Q$143,'Key inputs_EB'!$E$96:$E$143,Legend!$B$66)+SUMIFS('Key inputs_EB'!Q$96:Q$143,'Key inputs_EB'!$E$96:$E$143,Legend!$B$62)),0)</f>
        <v>0</v>
      </c>
      <c r="S146" s="280">
        <f>IFERROR(SUMIFS('Key inputs_EB'!R$96:R$143,'Key inputs_EB'!$E$96:$E$143,Legend!$B$66)/(SUMIFS('Key inputs_EB'!R$96:R$143,'Key inputs_EB'!$E$96:$E$143,Legend!$B$66)+SUMIFS('Key inputs_EB'!R$96:R$143,'Key inputs_EB'!$E$96:$E$143,Legend!$B$62)),0)</f>
        <v>0</v>
      </c>
      <c r="T146" s="280">
        <f>IFERROR(SUMIFS('Key inputs_EB'!S$96:S$143,'Key inputs_EB'!$E$96:$E$143,Legend!$B$66)/(SUMIFS('Key inputs_EB'!S$96:S$143,'Key inputs_EB'!$E$96:$E$143,Legend!$B$66)+SUMIFS('Key inputs_EB'!S$96:S$143,'Key inputs_EB'!$E$96:$E$143,Legend!$B$62)),0)</f>
        <v>0</v>
      </c>
      <c r="U146" s="280">
        <f>IFERROR(SUMIFS('Key inputs_EB'!T$96:T$143,'Key inputs_EB'!$E$96:$E$143,Legend!$B$66)/(SUMIFS('Key inputs_EB'!T$96:T$143,'Key inputs_EB'!$E$96:$E$143,Legend!$B$66)+SUMIFS('Key inputs_EB'!T$96:T$143,'Key inputs_EB'!$E$96:$E$143,Legend!$B$62)),0)</f>
        <v>0</v>
      </c>
      <c r="V146" s="280">
        <f>IFERROR(SUMIFS('Key inputs_EB'!U$96:U$143,'Key inputs_EB'!$E$96:$E$143,Legend!$B$66)/(SUMIFS('Key inputs_EB'!U$96:U$143,'Key inputs_EB'!$E$96:$E$143,Legend!$B$66)+SUMIFS('Key inputs_EB'!U$96:U$143,'Key inputs_EB'!$E$96:$E$143,Legend!$B$62)),0)</f>
        <v>8.6624336241023549E-6</v>
      </c>
      <c r="W146" s="280">
        <f>IFERROR(SUMIFS('Key inputs_EB'!V$96:V$143,'Key inputs_EB'!$E$96:$E$143,Legend!$B$66)/(SUMIFS('Key inputs_EB'!V$96:V$143,'Key inputs_EB'!$E$96:$E$143,Legend!$B$66)+SUMIFS('Key inputs_EB'!V$96:V$143,'Key inputs_EB'!$E$96:$E$143,Legend!$B$62)),0)</f>
        <v>1.2305493807557954E-3</v>
      </c>
      <c r="X146" s="280">
        <f>IFERROR(SUMIFS('Key inputs_EB'!W$96:W$143,'Key inputs_EB'!$E$96:$E$143,Legend!$B$66)/(SUMIFS('Key inputs_EB'!W$96:W$143,'Key inputs_EB'!$E$96:$E$143,Legend!$B$66)+SUMIFS('Key inputs_EB'!W$96:W$143,'Key inputs_EB'!$E$96:$E$143,Legend!$B$62)),0)</f>
        <v>8.9283861820948166E-3</v>
      </c>
      <c r="Y146" s="280">
        <f>IFERROR(SUMIFS('Key inputs_EB'!X$96:X$143,'Key inputs_EB'!$E$96:$E$143,Legend!$B$66)/(SUMIFS('Key inputs_EB'!X$96:X$143,'Key inputs_EB'!$E$96:$E$143,Legend!$B$66)+SUMIFS('Key inputs_EB'!X$96:X$143,'Key inputs_EB'!$E$96:$E$143,Legend!$B$62)),0)</f>
        <v>1.329976081919426E-2</v>
      </c>
      <c r="Z146" s="280">
        <f>IFERROR(SUMIFS('Key inputs_EB'!Y$96:Y$143,'Key inputs_EB'!$E$96:$E$143,Legend!$B$66)/(SUMIFS('Key inputs_EB'!Y$96:Y$143,'Key inputs_EB'!$E$96:$E$143,Legend!$B$66)+SUMIFS('Key inputs_EB'!Y$96:Y$143,'Key inputs_EB'!$E$96:$E$143,Legend!$B$62)),0)</f>
        <v>2.7274873023227352E-2</v>
      </c>
      <c r="AA146" s="280">
        <f>IFERROR(SUMIFS('Key inputs_EB'!Z$96:Z$143,'Key inputs_EB'!$E$96:$E$143,Legend!$B$66)/(SUMIFS('Key inputs_EB'!Z$96:Z$143,'Key inputs_EB'!$E$96:$E$143,Legend!$B$66)+SUMIFS('Key inputs_EB'!Z$96:Z$143,'Key inputs_EB'!$E$96:$E$143,Legend!$B$62)),0)</f>
        <v>0</v>
      </c>
      <c r="AB146" s="280">
        <f>IFERROR(SUMIFS('Key inputs_EB'!AA$96:AA$143,'Key inputs_EB'!$E$96:$E$143,Legend!$B$66)/(SUMIFS('Key inputs_EB'!AA$96:AA$143,'Key inputs_EB'!$E$96:$E$143,Legend!$B$66)+SUMIFS('Key inputs_EB'!AA$96:AA$143,'Key inputs_EB'!$E$96:$E$143,Legend!$B$62)),0)</f>
        <v>0</v>
      </c>
      <c r="AC146" s="280">
        <f>IFERROR(SUMIFS('Key inputs_EB'!AB$96:AB$143,'Key inputs_EB'!$E$96:$E$143,Legend!$B$66)/(SUMIFS('Key inputs_EB'!AB$96:AB$143,'Key inputs_EB'!$E$96:$E$143,Legend!$B$66)+SUMIFS('Key inputs_EB'!AB$96:AB$143,'Key inputs_EB'!$E$96:$E$143,Legend!$B$62)),0)</f>
        <v>6.1743846474760118E-3</v>
      </c>
      <c r="AD146" s="280">
        <f>IFERROR(SUMIFS('Key inputs_EB'!AC$96:AC$143,'Key inputs_EB'!$E$96:$E$143,Legend!$B$66)/(SUMIFS('Key inputs_EB'!AC$96:AC$143,'Key inputs_EB'!$E$96:$E$143,Legend!$B$66)+SUMIFS('Key inputs_EB'!AC$96:AC$143,'Key inputs_EB'!$E$96:$E$143,Legend!$B$62)),0)</f>
        <v>0</v>
      </c>
      <c r="AE146" s="280">
        <f>IFERROR(SUMIFS('Key inputs_EB'!AD$96:AD$143,'Key inputs_EB'!$E$96:$E$143,Legend!$B$66)/(SUMIFS('Key inputs_EB'!AD$96:AD$143,'Key inputs_EB'!$E$96:$E$143,Legend!$B$66)+SUMIFS('Key inputs_EB'!AD$96:AD$143,'Key inputs_EB'!$E$96:$E$143,Legend!$B$62)),0)</f>
        <v>0</v>
      </c>
      <c r="AF146" s="280">
        <f>IFERROR(SUMIFS('Key inputs_EB'!AE$96:AE$143,'Key inputs_EB'!$E$96:$E$143,Legend!$B$66)/(SUMIFS('Key inputs_EB'!AE$96:AE$143,'Key inputs_EB'!$E$96:$E$143,Legend!$B$66)+SUMIFS('Key inputs_EB'!AE$96:AE$143,'Key inputs_EB'!$E$96:$E$143,Legend!$B$62)),0)</f>
        <v>0</v>
      </c>
      <c r="AG146" s="280">
        <f>IFERROR(SUMIFS('Key inputs_EB'!AF$96:AF$143,'Key inputs_EB'!$E$96:$E$143,Legend!$B$66)/(SUMIFS('Key inputs_EB'!AF$96:AF$143,'Key inputs_EB'!$E$96:$E$143,Legend!$B$66)+SUMIFS('Key inputs_EB'!AF$96:AF$143,'Key inputs_EB'!$E$96:$E$143,Legend!$B$62)),0)</f>
        <v>0</v>
      </c>
      <c r="AH146" s="280">
        <f>IFERROR(SUMIFS('Key inputs_EB'!AG$96:AG$143,'Key inputs_EB'!$E$96:$E$143,Legend!$B$66)/(SUMIFS('Key inputs_EB'!AG$96:AG$143,'Key inputs_EB'!$E$96:$E$143,Legend!$B$66)+SUMIFS('Key inputs_EB'!AG$96:AG$143,'Key inputs_EB'!$E$96:$E$143,Legend!$B$62)),0)</f>
        <v>0</v>
      </c>
      <c r="AI146" s="280">
        <f>IFERROR(SUMIFS('Key inputs_EB'!AH$96:AH$143,'Key inputs_EB'!$E$96:$E$143,Legend!$B$66)/(SUMIFS('Key inputs_EB'!AH$96:AH$143,'Key inputs_EB'!$E$96:$E$143,Legend!$B$66)+SUMIFS('Key inputs_EB'!AH$96:AH$143,'Key inputs_EB'!$E$96:$E$143,Legend!$B$62)),0)</f>
        <v>0</v>
      </c>
      <c r="AJ146" s="280">
        <f>IFERROR(SUMIFS('Key inputs_EB'!AI$96:AI$143,'Key inputs_EB'!$E$96:$E$143,Legend!$B$66)/(SUMIFS('Key inputs_EB'!AI$96:AI$143,'Key inputs_EB'!$E$96:$E$143,Legend!$B$66)+SUMIFS('Key inputs_EB'!AI$96:AI$143,'Key inputs_EB'!$E$96:$E$143,Legend!$B$62)),0)</f>
        <v>1.6365829673500833E-2</v>
      </c>
    </row>
    <row r="147" spans="2:36" x14ac:dyDescent="0.3">
      <c r="B147" s="68" t="str">
        <f>Legend!A$71&amp;"/"&amp;Legend!A$70</f>
        <v>Waste/Biomass</v>
      </c>
      <c r="C147" s="68" t="str">
        <f>Legend!B$71&amp;"/"&amp;Legend!B$70</f>
        <v>SRVWAS/SRVBIO</v>
      </c>
      <c r="D147" s="78"/>
      <c r="E147" s="78"/>
      <c r="F147" s="472" t="s">
        <v>154</v>
      </c>
      <c r="G147" s="472"/>
      <c r="H147" s="78"/>
      <c r="I147" s="280">
        <f>IFERROR(SUMIFS('Key inputs_EB'!H$96:H$143,'Key inputs_EB'!$E$96:$E$143,Legend!$B$71,'Key inputs_EB'!$C$96:$C$143,"S-TH")/(SUMIFS('Key inputs_EB'!H$96:H$143,'Key inputs_EB'!$E$96:$E$143,Legend!$B$71,'Key inputs_EB'!$C$96:$C$143,"S-TH")+SUMIFS('Key inputs_EB'!H$96:H$143,'Key inputs_EB'!$E$96:$E$143,Legend!$B$70,'Key inputs_EB'!$C$96:$C$143,"S-TH")),0)</f>
        <v>0</v>
      </c>
      <c r="J147" s="280">
        <f>IFERROR(SUMIFS('Key inputs_EB'!I$96:I$143,'Key inputs_EB'!$E$96:$E$143,Legend!$B$71,'Key inputs_EB'!$C$96:$C$143,"S-TH")/(SUMIFS('Key inputs_EB'!I$96:I$143,'Key inputs_EB'!$E$96:$E$143,Legend!$B$71,'Key inputs_EB'!$C$96:$C$143,"S-TH")+SUMIFS('Key inputs_EB'!I$96:I$143,'Key inputs_EB'!$E$96:$E$143,Legend!$B$70,'Key inputs_EB'!$C$96:$C$143,"S-TH")),0)</f>
        <v>0</v>
      </c>
      <c r="K147" s="280">
        <f>IFERROR(SUMIFS('Key inputs_EB'!J$96:J$143,'Key inputs_EB'!$E$96:$E$143,Legend!$B$71,'Key inputs_EB'!$C$96:$C$143,"S-TH")/(SUMIFS('Key inputs_EB'!J$96:J$143,'Key inputs_EB'!$E$96:$E$143,Legend!$B$71,'Key inputs_EB'!$C$96:$C$143,"S-TH")+SUMIFS('Key inputs_EB'!J$96:J$143,'Key inputs_EB'!$E$96:$E$143,Legend!$B$70,'Key inputs_EB'!$C$96:$C$143,"S-TH")),0)</f>
        <v>0</v>
      </c>
      <c r="L147" s="280">
        <f>IFERROR(SUMIFS('Key inputs_EB'!K$96:K$143,'Key inputs_EB'!$E$96:$E$143,Legend!$B$71,'Key inputs_EB'!$C$96:$C$143,"S-TH")/(SUMIFS('Key inputs_EB'!K$96:K$143,'Key inputs_EB'!$E$96:$E$143,Legend!$B$71,'Key inputs_EB'!$C$96:$C$143,"S-TH")+SUMIFS('Key inputs_EB'!K$96:K$143,'Key inputs_EB'!$E$96:$E$143,Legend!$B$70,'Key inputs_EB'!$C$96:$C$143,"S-TH")),0)</f>
        <v>0</v>
      </c>
      <c r="M147" s="280">
        <f>IFERROR(SUMIFS('Key inputs_EB'!L$96:L$143,'Key inputs_EB'!$E$96:$E$143,Legend!$B$71,'Key inputs_EB'!$C$96:$C$143,"S-TH")/(SUMIFS('Key inputs_EB'!L$96:L$143,'Key inputs_EB'!$E$96:$E$143,Legend!$B$71,'Key inputs_EB'!$C$96:$C$143,"S-TH")+SUMIFS('Key inputs_EB'!L$96:L$143,'Key inputs_EB'!$E$96:$E$143,Legend!$B$70,'Key inputs_EB'!$C$96:$C$143,"S-TH")),0)</f>
        <v>0</v>
      </c>
      <c r="N147" s="280">
        <f>IFERROR(SUMIFS('Key inputs_EB'!M$96:M$143,'Key inputs_EB'!$E$96:$E$143,Legend!$B$71,'Key inputs_EB'!$C$96:$C$143,"S-TH")/(SUMIFS('Key inputs_EB'!M$96:M$143,'Key inputs_EB'!$E$96:$E$143,Legend!$B$71,'Key inputs_EB'!$C$96:$C$143,"S-TH")+SUMIFS('Key inputs_EB'!M$96:M$143,'Key inputs_EB'!$E$96:$E$143,Legend!$B$70,'Key inputs_EB'!$C$96:$C$143,"S-TH")),0)</f>
        <v>0</v>
      </c>
      <c r="O147" s="280">
        <f>IFERROR(SUMIFS('Key inputs_EB'!N$96:N$143,'Key inputs_EB'!$E$96:$E$143,Legend!$B$71,'Key inputs_EB'!$C$96:$C$143,"S-TH")/(SUMIFS('Key inputs_EB'!N$96:N$143,'Key inputs_EB'!$E$96:$E$143,Legend!$B$71,'Key inputs_EB'!$C$96:$C$143,"S-TH")+SUMIFS('Key inputs_EB'!N$96:N$143,'Key inputs_EB'!$E$96:$E$143,Legend!$B$70,'Key inputs_EB'!$C$96:$C$143,"S-TH")),0)</f>
        <v>0</v>
      </c>
      <c r="P147" s="280">
        <f>IFERROR(SUMIFS('Key inputs_EB'!O$96:O$143,'Key inputs_EB'!$E$96:$E$143,Legend!$B$71,'Key inputs_EB'!$C$96:$C$143,"S-TH")/(SUMIFS('Key inputs_EB'!O$96:O$143,'Key inputs_EB'!$E$96:$E$143,Legend!$B$71,'Key inputs_EB'!$C$96:$C$143,"S-TH")+SUMIFS('Key inputs_EB'!O$96:O$143,'Key inputs_EB'!$E$96:$E$143,Legend!$B$70,'Key inputs_EB'!$C$96:$C$143,"S-TH")),0)</f>
        <v>0</v>
      </c>
      <c r="Q147" s="280">
        <f>IFERROR(SUMIFS('Key inputs_EB'!P$96:P$143,'Key inputs_EB'!$E$96:$E$143,Legend!$B$71,'Key inputs_EB'!$C$96:$C$143,"S-TH")/(SUMIFS('Key inputs_EB'!P$96:P$143,'Key inputs_EB'!$E$96:$E$143,Legend!$B$71,'Key inputs_EB'!$C$96:$C$143,"S-TH")+SUMIFS('Key inputs_EB'!P$96:P$143,'Key inputs_EB'!$E$96:$E$143,Legend!$B$70,'Key inputs_EB'!$C$96:$C$143,"S-TH")),0)</f>
        <v>0</v>
      </c>
      <c r="R147" s="280">
        <f>IFERROR(SUMIFS('Key inputs_EB'!Q$96:Q$143,'Key inputs_EB'!$E$96:$E$143,Legend!$B$71,'Key inputs_EB'!$C$96:$C$143,"S-TH")/(SUMIFS('Key inputs_EB'!Q$96:Q$143,'Key inputs_EB'!$E$96:$E$143,Legend!$B$71,'Key inputs_EB'!$C$96:$C$143,"S-TH")+SUMIFS('Key inputs_EB'!Q$96:Q$143,'Key inputs_EB'!$E$96:$E$143,Legend!$B$70,'Key inputs_EB'!$C$96:$C$143,"S-TH")),0)</f>
        <v>0</v>
      </c>
      <c r="S147" s="280">
        <f>IFERROR(SUMIFS('Key inputs_EB'!R$96:R$143,'Key inputs_EB'!$E$96:$E$143,Legend!$B$71,'Key inputs_EB'!$C$96:$C$143,"S-TH")/(SUMIFS('Key inputs_EB'!R$96:R$143,'Key inputs_EB'!$E$96:$E$143,Legend!$B$71,'Key inputs_EB'!$C$96:$C$143,"S-TH")+SUMIFS('Key inputs_EB'!R$96:R$143,'Key inputs_EB'!$E$96:$E$143,Legend!$B$70,'Key inputs_EB'!$C$96:$C$143,"S-TH")),0)</f>
        <v>0</v>
      </c>
      <c r="T147" s="280">
        <f>IFERROR(SUMIFS('Key inputs_EB'!S$96:S$143,'Key inputs_EB'!$E$96:$E$143,Legend!$B$71,'Key inputs_EB'!$C$96:$C$143,"S-TH")/(SUMIFS('Key inputs_EB'!S$96:S$143,'Key inputs_EB'!$E$96:$E$143,Legend!$B$71,'Key inputs_EB'!$C$96:$C$143,"S-TH")+SUMIFS('Key inputs_EB'!S$96:S$143,'Key inputs_EB'!$E$96:$E$143,Legend!$B$70,'Key inputs_EB'!$C$96:$C$143,"S-TH")),0)</f>
        <v>0</v>
      </c>
      <c r="U147" s="280">
        <f>IFERROR(SUMIFS('Key inputs_EB'!T$96:T$143,'Key inputs_EB'!$E$96:$E$143,Legend!$B$71,'Key inputs_EB'!$C$96:$C$143,"S-TH")/(SUMIFS('Key inputs_EB'!T$96:T$143,'Key inputs_EB'!$E$96:$E$143,Legend!$B$71,'Key inputs_EB'!$C$96:$C$143,"S-TH")+SUMIFS('Key inputs_EB'!T$96:T$143,'Key inputs_EB'!$E$96:$E$143,Legend!$B$70,'Key inputs_EB'!$C$96:$C$143,"S-TH")),0)</f>
        <v>0</v>
      </c>
      <c r="V147" s="280">
        <f>IFERROR(SUMIFS('Key inputs_EB'!U$96:U$143,'Key inputs_EB'!$E$96:$E$143,Legend!$B$71,'Key inputs_EB'!$C$96:$C$143,"S-TH")/(SUMIFS('Key inputs_EB'!U$96:U$143,'Key inputs_EB'!$E$96:$E$143,Legend!$B$71,'Key inputs_EB'!$C$96:$C$143,"S-TH")+SUMIFS('Key inputs_EB'!U$96:U$143,'Key inputs_EB'!$E$96:$E$143,Legend!$B$70,'Key inputs_EB'!$C$96:$C$143,"S-TH")),0)</f>
        <v>0.26166240269990743</v>
      </c>
      <c r="W147" s="280">
        <f>IFERROR(SUMIFS('Key inputs_EB'!V$96:V$143,'Key inputs_EB'!$E$96:$E$143,Legend!$B$71,'Key inputs_EB'!$C$96:$C$143,"S-TH")/(SUMIFS('Key inputs_EB'!V$96:V$143,'Key inputs_EB'!$E$96:$E$143,Legend!$B$71,'Key inputs_EB'!$C$96:$C$143,"S-TH")+SUMIFS('Key inputs_EB'!V$96:V$143,'Key inputs_EB'!$E$96:$E$143,Legend!$B$70,'Key inputs_EB'!$C$96:$C$143,"S-TH")),0)</f>
        <v>9.2936935650808392E-2</v>
      </c>
      <c r="X147" s="280">
        <f>IFERROR(SUMIFS('Key inputs_EB'!W$96:W$143,'Key inputs_EB'!$E$96:$E$143,Legend!$B$71,'Key inputs_EB'!$C$96:$C$143,"S-TH")/(SUMIFS('Key inputs_EB'!W$96:W$143,'Key inputs_EB'!$E$96:$E$143,Legend!$B$71,'Key inputs_EB'!$C$96:$C$143,"S-TH")+SUMIFS('Key inputs_EB'!W$96:W$143,'Key inputs_EB'!$E$96:$E$143,Legend!$B$70,'Key inputs_EB'!$C$96:$C$143,"S-TH")),0)</f>
        <v>0.17327659574468085</v>
      </c>
      <c r="Y147" s="280">
        <f>IFERROR(SUMIFS('Key inputs_EB'!X$96:X$143,'Key inputs_EB'!$E$96:$E$143,Legend!$B$71,'Key inputs_EB'!$C$96:$C$143,"S-TH")/(SUMIFS('Key inputs_EB'!X$96:X$143,'Key inputs_EB'!$E$96:$E$143,Legend!$B$71,'Key inputs_EB'!$C$96:$C$143,"S-TH")+SUMIFS('Key inputs_EB'!X$96:X$143,'Key inputs_EB'!$E$96:$E$143,Legend!$B$70,'Key inputs_EB'!$C$96:$C$143,"S-TH")),0)</f>
        <v>4.7897262742568815E-2</v>
      </c>
      <c r="Z147" s="280">
        <f>IFERROR(SUMIFS('Key inputs_EB'!Y$96:Y$143,'Key inputs_EB'!$E$96:$E$143,Legend!$B$71,'Key inputs_EB'!$C$96:$C$143,"S-TH")/(SUMIFS('Key inputs_EB'!Y$96:Y$143,'Key inputs_EB'!$E$96:$E$143,Legend!$B$71,'Key inputs_EB'!$C$96:$C$143,"S-TH")+SUMIFS('Key inputs_EB'!Y$96:Y$143,'Key inputs_EB'!$E$96:$E$143,Legend!$B$70,'Key inputs_EB'!$C$96:$C$143,"S-TH")),0)</f>
        <v>0</v>
      </c>
      <c r="AA147" s="280">
        <f>IFERROR(SUMIFS('Key inputs_EB'!Z$96:Z$143,'Key inputs_EB'!$E$96:$E$143,Legend!$B$71,'Key inputs_EB'!$C$96:$C$143,"S-TH")/(SUMIFS('Key inputs_EB'!Z$96:Z$143,'Key inputs_EB'!$E$96:$E$143,Legend!$B$71,'Key inputs_EB'!$C$96:$C$143,"S-TH")+SUMIFS('Key inputs_EB'!Z$96:Z$143,'Key inputs_EB'!$E$96:$E$143,Legend!$B$70,'Key inputs_EB'!$C$96:$C$143,"S-TH")),0)</f>
        <v>0</v>
      </c>
      <c r="AB147" s="280">
        <f>IFERROR(SUMIFS('Key inputs_EB'!AA$96:AA$143,'Key inputs_EB'!$E$96:$E$143,Legend!$B$71,'Key inputs_EB'!$C$96:$C$143,"S-TH")/(SUMIFS('Key inputs_EB'!AA$96:AA$143,'Key inputs_EB'!$E$96:$E$143,Legend!$B$71,'Key inputs_EB'!$C$96:$C$143,"S-TH")+SUMIFS('Key inputs_EB'!AA$96:AA$143,'Key inputs_EB'!$E$96:$E$143,Legend!$B$70,'Key inputs_EB'!$C$96:$C$143,"S-TH")),0)</f>
        <v>0.13095516837683352</v>
      </c>
      <c r="AC147" s="280">
        <f>IFERROR(SUMIFS('Key inputs_EB'!AB$96:AB$143,'Key inputs_EB'!$E$96:$E$143,Legend!$B$71,'Key inputs_EB'!$C$96:$C$143,"S-TH")/(SUMIFS('Key inputs_EB'!AB$96:AB$143,'Key inputs_EB'!$E$96:$E$143,Legend!$B$71,'Key inputs_EB'!$C$96:$C$143,"S-TH")+SUMIFS('Key inputs_EB'!AB$96:AB$143,'Key inputs_EB'!$E$96:$E$143,Legend!$B$70,'Key inputs_EB'!$C$96:$C$143,"S-TH")),0)</f>
        <v>0</v>
      </c>
      <c r="AD147" s="280">
        <f>IFERROR(SUMIFS('Key inputs_EB'!AC$96:AC$143,'Key inputs_EB'!$E$96:$E$143,Legend!$B$71,'Key inputs_EB'!$C$96:$C$143,"S-TH")/(SUMIFS('Key inputs_EB'!AC$96:AC$143,'Key inputs_EB'!$E$96:$E$143,Legend!$B$71,'Key inputs_EB'!$C$96:$C$143,"S-TH")+SUMIFS('Key inputs_EB'!AC$96:AC$143,'Key inputs_EB'!$E$96:$E$143,Legend!$B$70,'Key inputs_EB'!$C$96:$C$143,"S-TH")),0)</f>
        <v>0</v>
      </c>
      <c r="AE147" s="280">
        <f>IFERROR(SUMIFS('Key inputs_EB'!AD$96:AD$143,'Key inputs_EB'!$E$96:$E$143,Legend!$B$71,'Key inputs_EB'!$C$96:$C$143,"S-TH")/(SUMIFS('Key inputs_EB'!AD$96:AD$143,'Key inputs_EB'!$E$96:$E$143,Legend!$B$71,'Key inputs_EB'!$C$96:$C$143,"S-TH")+SUMIFS('Key inputs_EB'!AD$96:AD$143,'Key inputs_EB'!$E$96:$E$143,Legend!$B$70,'Key inputs_EB'!$C$96:$C$143,"S-TH")),0)</f>
        <v>0</v>
      </c>
      <c r="AF147" s="280">
        <f>IFERROR(SUMIFS('Key inputs_EB'!AE$96:AE$143,'Key inputs_EB'!$E$96:$E$143,Legend!$B$71,'Key inputs_EB'!$C$96:$C$143,"S-TH")/(SUMIFS('Key inputs_EB'!AE$96:AE$143,'Key inputs_EB'!$E$96:$E$143,Legend!$B$71,'Key inputs_EB'!$C$96:$C$143,"S-TH")+SUMIFS('Key inputs_EB'!AE$96:AE$143,'Key inputs_EB'!$E$96:$E$143,Legend!$B$70,'Key inputs_EB'!$C$96:$C$143,"S-TH")),0)</f>
        <v>0</v>
      </c>
      <c r="AG147" s="280">
        <f>IFERROR(SUMIFS('Key inputs_EB'!AF$96:AF$143,'Key inputs_EB'!$E$96:$E$143,Legend!$B$71,'Key inputs_EB'!$C$96:$C$143,"S-TH")/(SUMIFS('Key inputs_EB'!AF$96:AF$143,'Key inputs_EB'!$E$96:$E$143,Legend!$B$71,'Key inputs_EB'!$C$96:$C$143,"S-TH")+SUMIFS('Key inputs_EB'!AF$96:AF$143,'Key inputs_EB'!$E$96:$E$143,Legend!$B$70,'Key inputs_EB'!$C$96:$C$143,"S-TH")),0)</f>
        <v>0</v>
      </c>
      <c r="AH147" s="280">
        <f>IFERROR(SUMIFS('Key inputs_EB'!AG$96:AG$143,'Key inputs_EB'!$E$96:$E$143,Legend!$B$71,'Key inputs_EB'!$C$96:$C$143,"S-TH")/(SUMIFS('Key inputs_EB'!AG$96:AG$143,'Key inputs_EB'!$E$96:$E$143,Legend!$B$71,'Key inputs_EB'!$C$96:$C$143,"S-TH")+SUMIFS('Key inputs_EB'!AG$96:AG$143,'Key inputs_EB'!$E$96:$E$143,Legend!$B$70,'Key inputs_EB'!$C$96:$C$143,"S-TH")),0)</f>
        <v>6.163113028616686E-2</v>
      </c>
      <c r="AI147" s="280">
        <f>IFERROR(SUMIFS('Key inputs_EB'!AH$96:AH$143,'Key inputs_EB'!$E$96:$E$143,Legend!$B$71,'Key inputs_EB'!$C$96:$C$143,"S-TH")/(SUMIFS('Key inputs_EB'!AH$96:AH$143,'Key inputs_EB'!$E$96:$E$143,Legend!$B$71,'Key inputs_EB'!$C$96:$C$143,"S-TH")+SUMIFS('Key inputs_EB'!AH$96:AH$143,'Key inputs_EB'!$E$96:$E$143,Legend!$B$70,'Key inputs_EB'!$C$96:$C$143,"S-TH")),0)</f>
        <v>0.90012709880259556</v>
      </c>
      <c r="AJ147" s="280">
        <f>IFERROR(SUMIFS('Key inputs_EB'!AI$96:AI$143,'Key inputs_EB'!$E$96:$E$143,Legend!$B$71,'Key inputs_EB'!$C$96:$C$143,"S-TH")/(SUMIFS('Key inputs_EB'!AI$96:AI$143,'Key inputs_EB'!$E$96:$E$143,Legend!$B$71,'Key inputs_EB'!$C$96:$C$143,"S-TH")+SUMIFS('Key inputs_EB'!AI$96:AI$143,'Key inputs_EB'!$E$96:$E$143,Legend!$B$70,'Key inputs_EB'!$C$96:$C$143,"S-TH")),0)</f>
        <v>0.10216314829293718</v>
      </c>
    </row>
  </sheetData>
  <phoneticPr fontId="93"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57400-DACD-423A-B8B5-583E1C74668D}">
  <sheetPr>
    <tabColor theme="4" tint="0.39997558519241921"/>
  </sheetPr>
  <dimension ref="A1:AL146"/>
  <sheetViews>
    <sheetView showGridLines="0" topLeftCell="N1" zoomScale="85" zoomScaleNormal="85" workbookViewId="0">
      <pane ySplit="1" topLeftCell="A117" activePane="bottomLeft" state="frozen"/>
      <selection pane="bottomLeft" activeCell="AK83" sqref="AK83"/>
    </sheetView>
  </sheetViews>
  <sheetFormatPr defaultColWidth="8.3984375" defaultRowHeight="14.4" x14ac:dyDescent="0.3"/>
  <cols>
    <col min="1" max="1" width="14.3984375" style="203" customWidth="1"/>
    <col min="2" max="2" width="17.19921875" style="203" customWidth="1"/>
    <col min="3" max="3" width="19.19921875" style="201" bestFit="1" customWidth="1"/>
    <col min="4" max="4" width="13.8984375" style="201" bestFit="1" customWidth="1"/>
    <col min="5" max="5" width="20.09765625" style="201" customWidth="1"/>
    <col min="6" max="9" width="12" style="201" customWidth="1"/>
    <col min="10" max="10" width="12.19921875" style="201" bestFit="1" customWidth="1"/>
    <col min="11" max="11" width="8.5" style="201" customWidth="1"/>
    <col min="12" max="33" width="8.5" style="203" customWidth="1"/>
    <col min="34" max="16384" width="8.3984375" style="203"/>
  </cols>
  <sheetData>
    <row r="1" spans="1:38" ht="23.4" x14ac:dyDescent="0.3">
      <c r="A1" s="59" t="s">
        <v>442</v>
      </c>
      <c r="B1" s="200"/>
      <c r="G1" s="202"/>
      <c r="H1" s="202"/>
      <c r="I1" s="202"/>
      <c r="J1" s="202"/>
    </row>
    <row r="2" spans="1:38" ht="15.6" x14ac:dyDescent="0.3">
      <c r="B2" s="204"/>
      <c r="G2" s="205"/>
      <c r="H2" s="205"/>
      <c r="I2" s="205"/>
      <c r="J2" s="205"/>
    </row>
    <row r="3" spans="1:38" ht="18" x14ac:dyDescent="0.3">
      <c r="A3" s="40" t="s">
        <v>366</v>
      </c>
      <c r="B3" s="40" t="s">
        <v>443</v>
      </c>
    </row>
    <row r="4" spans="1:38" customFormat="1" ht="15.6" x14ac:dyDescent="0.3">
      <c r="A4" s="623" t="s">
        <v>705</v>
      </c>
      <c r="B4" s="623" t="s">
        <v>706</v>
      </c>
      <c r="C4" s="623"/>
      <c r="D4" s="623"/>
      <c r="E4" s="623"/>
      <c r="F4" s="623"/>
      <c r="G4" s="623"/>
      <c r="H4" s="623"/>
      <c r="I4" s="234"/>
      <c r="J4" s="234"/>
      <c r="K4" s="234"/>
      <c r="L4" s="230"/>
      <c r="M4" s="230"/>
      <c r="N4" s="230"/>
      <c r="O4" s="230"/>
      <c r="P4" s="230"/>
      <c r="Q4" s="230"/>
      <c r="R4" s="230"/>
      <c r="S4" s="230"/>
      <c r="T4" s="230"/>
      <c r="U4" s="234"/>
      <c r="V4" s="230"/>
      <c r="W4" s="230"/>
      <c r="X4" s="230"/>
      <c r="Y4" s="230"/>
      <c r="Z4" s="230"/>
      <c r="AA4" s="230"/>
      <c r="AB4" s="230"/>
      <c r="AC4" s="230"/>
      <c r="AD4" s="230"/>
      <c r="AE4" s="230"/>
      <c r="AF4" s="230"/>
      <c r="AG4" s="230"/>
      <c r="AH4" s="230"/>
      <c r="AI4" s="230"/>
      <c r="AJ4" s="230"/>
      <c r="AK4" s="230"/>
      <c r="AL4" s="230"/>
    </row>
    <row r="5" spans="1:38" x14ac:dyDescent="0.3">
      <c r="A5" s="239" t="s">
        <v>98</v>
      </c>
      <c r="B5" s="239"/>
      <c r="C5" s="238" t="s">
        <v>99</v>
      </c>
      <c r="D5" s="238"/>
      <c r="E5" s="238"/>
      <c r="F5" s="217" t="s">
        <v>380</v>
      </c>
      <c r="G5" s="217" t="s">
        <v>413</v>
      </c>
      <c r="H5" s="217" t="s">
        <v>104</v>
      </c>
      <c r="I5" s="220" t="s">
        <v>171</v>
      </c>
      <c r="U5" s="201"/>
    </row>
    <row r="6" spans="1:38" ht="28.8" x14ac:dyDescent="0.3">
      <c r="C6" s="203"/>
      <c r="D6" s="203"/>
      <c r="E6" s="203"/>
      <c r="F6" s="203"/>
      <c r="G6" s="203"/>
      <c r="H6" s="203"/>
      <c r="I6" s="281" t="s">
        <v>325</v>
      </c>
      <c r="J6" s="217" t="s">
        <v>426</v>
      </c>
      <c r="K6" s="62" t="s">
        <v>457</v>
      </c>
      <c r="L6" s="62" t="s">
        <v>458</v>
      </c>
      <c r="M6" s="62" t="s">
        <v>460</v>
      </c>
      <c r="N6" s="62" t="s">
        <v>459</v>
      </c>
      <c r="O6" s="62" t="s">
        <v>461</v>
      </c>
      <c r="P6" s="62" t="s">
        <v>463</v>
      </c>
      <c r="Q6" s="62" t="s">
        <v>464</v>
      </c>
      <c r="R6" s="62" t="s">
        <v>465</v>
      </c>
      <c r="S6" s="62" t="s">
        <v>1</v>
      </c>
      <c r="T6" s="62" t="s">
        <v>2</v>
      </c>
      <c r="U6" s="62" t="s">
        <v>707</v>
      </c>
      <c r="V6" s="62" t="s">
        <v>3</v>
      </c>
      <c r="W6" s="62" t="s">
        <v>467</v>
      </c>
      <c r="X6" s="62" t="s">
        <v>468</v>
      </c>
      <c r="Y6" s="62" t="s">
        <v>469</v>
      </c>
      <c r="Z6" s="62" t="s">
        <v>708</v>
      </c>
      <c r="AA6" s="62" t="s">
        <v>470</v>
      </c>
      <c r="AB6" s="62" t="s">
        <v>5</v>
      </c>
      <c r="AC6" s="62" t="s">
        <v>6</v>
      </c>
      <c r="AD6" s="62" t="s">
        <v>7</v>
      </c>
      <c r="AE6" s="62" t="s">
        <v>8</v>
      </c>
      <c r="AF6" s="62" t="s">
        <v>709</v>
      </c>
      <c r="AG6" s="62" t="s">
        <v>9</v>
      </c>
      <c r="AH6" s="62" t="s">
        <v>10</v>
      </c>
      <c r="AI6" s="62" t="s">
        <v>710</v>
      </c>
      <c r="AJ6" s="62" t="s">
        <v>11</v>
      </c>
      <c r="AK6" s="62" t="s">
        <v>711</v>
      </c>
      <c r="AL6" s="62" t="s">
        <v>13</v>
      </c>
    </row>
    <row r="7" spans="1:38" ht="16.2" thickBot="1" x14ac:dyDescent="0.35">
      <c r="A7" s="210" t="s">
        <v>30</v>
      </c>
      <c r="B7" s="210" t="s">
        <v>35</v>
      </c>
      <c r="C7" s="210" t="s">
        <v>30</v>
      </c>
      <c r="D7" s="210" t="s">
        <v>35</v>
      </c>
      <c r="E7" s="210" t="s">
        <v>202</v>
      </c>
      <c r="F7" s="246"/>
      <c r="G7" s="246"/>
      <c r="H7" s="246"/>
      <c r="I7" s="210" t="s">
        <v>410</v>
      </c>
      <c r="J7" s="210"/>
      <c r="K7" s="65" t="s">
        <v>477</v>
      </c>
      <c r="L7" s="65" t="s">
        <v>478</v>
      </c>
      <c r="M7" s="65" t="s">
        <v>480</v>
      </c>
      <c r="N7" s="65" t="s">
        <v>479</v>
      </c>
      <c r="O7" s="65" t="s">
        <v>481</v>
      </c>
      <c r="P7" s="65" t="s">
        <v>482</v>
      </c>
      <c r="Q7" s="65" t="s">
        <v>483</v>
      </c>
      <c r="R7" s="65" t="s">
        <v>484</v>
      </c>
      <c r="S7" s="65" t="s">
        <v>90</v>
      </c>
      <c r="T7" s="65" t="s">
        <v>91</v>
      </c>
      <c r="U7" s="65" t="s">
        <v>715</v>
      </c>
      <c r="V7" s="65" t="s">
        <v>716</v>
      </c>
      <c r="W7" s="65" t="s">
        <v>485</v>
      </c>
      <c r="X7" s="65" t="s">
        <v>486</v>
      </c>
      <c r="Y7" s="65" t="s">
        <v>487</v>
      </c>
      <c r="Z7" s="65" t="s">
        <v>717</v>
      </c>
      <c r="AA7" s="65" t="s">
        <v>488</v>
      </c>
      <c r="AB7" s="65" t="s">
        <v>718</v>
      </c>
      <c r="AC7" s="65" t="s">
        <v>92</v>
      </c>
      <c r="AD7" s="65" t="s">
        <v>93</v>
      </c>
      <c r="AE7" s="65" t="s">
        <v>94</v>
      </c>
      <c r="AF7" s="65" t="s">
        <v>719</v>
      </c>
      <c r="AG7" s="65" t="s">
        <v>720</v>
      </c>
      <c r="AH7" s="65" t="s">
        <v>95</v>
      </c>
      <c r="AI7" s="65" t="s">
        <v>721</v>
      </c>
      <c r="AJ7" s="65" t="s">
        <v>722</v>
      </c>
      <c r="AK7" s="65" t="s">
        <v>769</v>
      </c>
      <c r="AL7" s="65" t="s">
        <v>489</v>
      </c>
    </row>
    <row r="8" spans="1:38" x14ac:dyDescent="0.3">
      <c r="A8" s="203" t="str">
        <f>Legend!$A$45</f>
        <v>Thermal uses</v>
      </c>
      <c r="B8" s="201" t="str">
        <f>'SRV_New Techs'!K$6</f>
        <v>S-TH-HPA_ELC01</v>
      </c>
      <c r="C8" s="201" t="str">
        <f>'SRV_New Techs'!C$6</f>
        <v>Electricity</v>
      </c>
      <c r="D8" s="201" t="str">
        <f>'SRV_New Techs'!D$6</f>
        <v>SRVELC</v>
      </c>
      <c r="E8" s="201" t="str">
        <f>'SRV_New Techs'!F$6</f>
        <v>Heat Pump Air (Ord.)</v>
      </c>
      <c r="F8" s="227">
        <v>2020</v>
      </c>
      <c r="G8" s="248">
        <v>15</v>
      </c>
      <c r="H8" s="211">
        <v>2020</v>
      </c>
      <c r="I8" s="417">
        <f>'Key Inputs_BY Techs'!H17</f>
        <v>2.38</v>
      </c>
      <c r="J8" s="98">
        <f>1</f>
        <v>1</v>
      </c>
      <c r="K8" s="417">
        <f>$I8*'Key Inputs_BY Techs'!I$38</f>
        <v>2.6656</v>
      </c>
      <c r="L8" s="417">
        <f>$I8*'Key Inputs_BY Techs'!J$38</f>
        <v>2.6656</v>
      </c>
      <c r="M8" s="417">
        <f>$I8*'Key Inputs_BY Techs'!K$38</f>
        <v>2.6656</v>
      </c>
      <c r="N8" s="417">
        <f>$I8*'Key Inputs_BY Techs'!L$38</f>
        <v>2.6656</v>
      </c>
      <c r="O8" s="417">
        <f>$I8*'Key Inputs_BY Techs'!M$38</f>
        <v>2.38</v>
      </c>
      <c r="P8" s="417">
        <f>$I8*'Key Inputs_BY Techs'!N$38</f>
        <v>1.9753999999999998</v>
      </c>
      <c r="Q8" s="417">
        <f>$I8*'Key Inputs_BY Techs'!O$38</f>
        <v>1.9753999999999998</v>
      </c>
      <c r="R8" s="417">
        <f>$I8*'Key Inputs_BY Techs'!P$38</f>
        <v>2.38</v>
      </c>
      <c r="S8" s="417">
        <f>$I8*'Key Inputs_BY Techs'!Q$38</f>
        <v>2.6656</v>
      </c>
      <c r="T8" s="417">
        <f>$I8*'Key Inputs_BY Techs'!R$38</f>
        <v>2.38</v>
      </c>
      <c r="U8" s="417">
        <f>$I8*'Key Inputs_BY Techs'!S$38</f>
        <v>2.6656</v>
      </c>
      <c r="V8" s="417">
        <f>$I8*'Key Inputs_BY Techs'!T$38</f>
        <v>1.9753999999999998</v>
      </c>
      <c r="W8" s="417">
        <f>$I8*'Key Inputs_BY Techs'!U$38</f>
        <v>2.6656</v>
      </c>
      <c r="X8" s="417">
        <f>$I8*'Key Inputs_BY Techs'!V$38</f>
        <v>2.6656</v>
      </c>
      <c r="Y8" s="417">
        <f>$I8*'Key Inputs_BY Techs'!W$38</f>
        <v>2.6656</v>
      </c>
      <c r="Z8" s="417">
        <f>$I8*'Key Inputs_BY Techs'!X$38</f>
        <v>1.9753999999999998</v>
      </c>
      <c r="AA8" s="417">
        <f>$I8*'Key Inputs_BY Techs'!Y$38</f>
        <v>1.9753999999999998</v>
      </c>
      <c r="AB8" s="417">
        <f>$I8*'Key Inputs_BY Techs'!Z$38</f>
        <v>1.9753999999999998</v>
      </c>
      <c r="AC8" s="417">
        <f>$I8*'Key Inputs_BY Techs'!AA$38</f>
        <v>2.38</v>
      </c>
      <c r="AD8" s="417">
        <f>$I8*'Key Inputs_BY Techs'!AB$38</f>
        <v>2.38</v>
      </c>
      <c r="AE8" s="417">
        <f>$I8*'Key Inputs_BY Techs'!AC$38</f>
        <v>2.6656</v>
      </c>
      <c r="AF8" s="417">
        <f>$I8*'Key Inputs_BY Techs'!AD$38</f>
        <v>2.6656</v>
      </c>
      <c r="AG8" s="417">
        <f>$I8*'Key Inputs_BY Techs'!AE$38</f>
        <v>2.6656</v>
      </c>
      <c r="AH8" s="417">
        <f>$I8*'Key Inputs_BY Techs'!AF$38</f>
        <v>2.6656</v>
      </c>
      <c r="AI8" s="417">
        <f>$I8*'Key Inputs_BY Techs'!AG$38</f>
        <v>2.6656</v>
      </c>
      <c r="AJ8" s="417">
        <f>$I8*'Key Inputs_BY Techs'!AH$38</f>
        <v>2.6656</v>
      </c>
      <c r="AK8" s="417">
        <f>$I8*'Key Inputs_BY Techs'!AI$38</f>
        <v>1.9753999999999998</v>
      </c>
      <c r="AL8" s="417">
        <f>$I8*'Key Inputs_BY Techs'!AJ$38</f>
        <v>1.9753999999999998</v>
      </c>
    </row>
    <row r="9" spans="1:38" x14ac:dyDescent="0.3">
      <c r="A9" s="203" t="str">
        <f>Legend!$A$45</f>
        <v>Thermal uses</v>
      </c>
      <c r="B9" s="201" t="str">
        <f>'SRV_New Techs'!K$7</f>
        <v>S-TH-HPA_ELC02</v>
      </c>
      <c r="C9" s="201" t="str">
        <f>'SRV_New Techs'!C$6</f>
        <v>Electricity</v>
      </c>
      <c r="D9" s="201" t="str">
        <f>'SRV_New Techs'!D$7</f>
        <v>SRVELC</v>
      </c>
      <c r="E9" s="201" t="str">
        <f>'SRV_New Techs'!F$7</f>
        <v>Heat Pump Air (Imp.)</v>
      </c>
      <c r="F9" s="227">
        <v>2025</v>
      </c>
      <c r="G9" s="227">
        <v>15</v>
      </c>
      <c r="H9" s="211">
        <v>2025</v>
      </c>
      <c r="I9" s="417">
        <f>I8*J9</f>
        <v>2.38</v>
      </c>
      <c r="J9" s="98">
        <v>1</v>
      </c>
      <c r="K9" s="417">
        <f>$I9*'Key Inputs_BY Techs'!I$38</f>
        <v>2.6656</v>
      </c>
      <c r="L9" s="417">
        <f>$I9*'Key Inputs_BY Techs'!J$38</f>
        <v>2.6656</v>
      </c>
      <c r="M9" s="417">
        <f>$I9*'Key Inputs_BY Techs'!K$38</f>
        <v>2.6656</v>
      </c>
      <c r="N9" s="417">
        <f>$I9*'Key Inputs_BY Techs'!L$38</f>
        <v>2.6656</v>
      </c>
      <c r="O9" s="417">
        <f>$I9*'Key Inputs_BY Techs'!M$38</f>
        <v>2.38</v>
      </c>
      <c r="P9" s="417">
        <f>$I9*'Key Inputs_BY Techs'!N$38</f>
        <v>1.9753999999999998</v>
      </c>
      <c r="Q9" s="417">
        <f>$I9*'Key Inputs_BY Techs'!O$38</f>
        <v>1.9753999999999998</v>
      </c>
      <c r="R9" s="417">
        <f>$I9*'Key Inputs_BY Techs'!P$38</f>
        <v>2.38</v>
      </c>
      <c r="S9" s="417">
        <f>$I9*'Key Inputs_BY Techs'!Q$38</f>
        <v>2.6656</v>
      </c>
      <c r="T9" s="417">
        <f>$I9*'Key Inputs_BY Techs'!R$38</f>
        <v>2.38</v>
      </c>
      <c r="U9" s="417">
        <f>$I9*'Key Inputs_BY Techs'!S$38</f>
        <v>2.6656</v>
      </c>
      <c r="V9" s="417">
        <f>$I9*'Key Inputs_BY Techs'!T$38</f>
        <v>1.9753999999999998</v>
      </c>
      <c r="W9" s="417">
        <f>$I9*'Key Inputs_BY Techs'!U$38</f>
        <v>2.6656</v>
      </c>
      <c r="X9" s="417">
        <f>$I9*'Key Inputs_BY Techs'!V$38</f>
        <v>2.6656</v>
      </c>
      <c r="Y9" s="417">
        <f>$I9*'Key Inputs_BY Techs'!W$38</f>
        <v>2.6656</v>
      </c>
      <c r="Z9" s="417">
        <f>$I9*'Key Inputs_BY Techs'!X$38</f>
        <v>1.9753999999999998</v>
      </c>
      <c r="AA9" s="417">
        <f>$I9*'Key Inputs_BY Techs'!Y$38</f>
        <v>1.9753999999999998</v>
      </c>
      <c r="AB9" s="417">
        <f>$I9*'Key Inputs_BY Techs'!Z$38</f>
        <v>1.9753999999999998</v>
      </c>
      <c r="AC9" s="417">
        <f>$I9*'Key Inputs_BY Techs'!AA$38</f>
        <v>2.38</v>
      </c>
      <c r="AD9" s="417">
        <f>$I9*'Key Inputs_BY Techs'!AB$38</f>
        <v>2.38</v>
      </c>
      <c r="AE9" s="417">
        <f>$I9*'Key Inputs_BY Techs'!AC$38</f>
        <v>2.6656</v>
      </c>
      <c r="AF9" s="417">
        <f>$I9*'Key Inputs_BY Techs'!AD$38</f>
        <v>2.6656</v>
      </c>
      <c r="AG9" s="417">
        <f>$I9*'Key Inputs_BY Techs'!AE$38</f>
        <v>2.6656</v>
      </c>
      <c r="AH9" s="417">
        <f>$I9*'Key Inputs_BY Techs'!AF$38</f>
        <v>2.6656</v>
      </c>
      <c r="AI9" s="417">
        <f>$I9*'Key Inputs_BY Techs'!AG$38</f>
        <v>2.6656</v>
      </c>
      <c r="AJ9" s="417">
        <f>$I9*'Key Inputs_BY Techs'!AH$38</f>
        <v>2.6656</v>
      </c>
      <c r="AK9" s="417">
        <f>$I9*'Key Inputs_BY Techs'!AI$38</f>
        <v>1.9753999999999998</v>
      </c>
      <c r="AL9" s="417">
        <f>$I9*'Key Inputs_BY Techs'!AJ$38</f>
        <v>1.9753999999999998</v>
      </c>
    </row>
    <row r="10" spans="1:38" x14ac:dyDescent="0.3">
      <c r="C10" s="203"/>
      <c r="D10" s="203"/>
      <c r="E10" s="203"/>
      <c r="F10" s="309"/>
      <c r="G10" s="309"/>
      <c r="H10" s="211">
        <v>2030</v>
      </c>
      <c r="I10" s="417">
        <f>I8*J10</f>
        <v>2.9523405423228444</v>
      </c>
      <c r="J10" s="98">
        <f>'S2'!K17/$I$8</f>
        <v>1.24047921946338</v>
      </c>
      <c r="K10" s="417">
        <f>$I10*'Key Inputs_BY Techs'!I$38</f>
        <v>3.3066214074015861</v>
      </c>
      <c r="L10" s="417">
        <f>$I10*'Key Inputs_BY Techs'!J$38</f>
        <v>3.3066214074015861</v>
      </c>
      <c r="M10" s="417">
        <f>$I10*'Key Inputs_BY Techs'!K$38</f>
        <v>3.3066214074015861</v>
      </c>
      <c r="N10" s="417">
        <f>$I10*'Key Inputs_BY Techs'!L$38</f>
        <v>3.3066214074015861</v>
      </c>
      <c r="O10" s="417">
        <f>$I10*'Key Inputs_BY Techs'!M$38</f>
        <v>2.9523405423228444</v>
      </c>
      <c r="P10" s="417">
        <f>$I10*'Key Inputs_BY Techs'!N$38</f>
        <v>2.4504426501279606</v>
      </c>
      <c r="Q10" s="417">
        <f>$I10*'Key Inputs_BY Techs'!O$38</f>
        <v>2.4504426501279606</v>
      </c>
      <c r="R10" s="417">
        <f>$I10*'Key Inputs_BY Techs'!P$38</f>
        <v>2.9523405423228444</v>
      </c>
      <c r="S10" s="417">
        <f>$I10*'Key Inputs_BY Techs'!Q$38</f>
        <v>3.3066214074015861</v>
      </c>
      <c r="T10" s="417">
        <f>$I10*'Key Inputs_BY Techs'!R$38</f>
        <v>2.9523405423228444</v>
      </c>
      <c r="U10" s="417">
        <f>$I10*'Key Inputs_BY Techs'!S$38</f>
        <v>3.3066214074015861</v>
      </c>
      <c r="V10" s="417">
        <f>$I10*'Key Inputs_BY Techs'!T$38</f>
        <v>2.4504426501279606</v>
      </c>
      <c r="W10" s="417">
        <f>$I10*'Key Inputs_BY Techs'!U$38</f>
        <v>3.3066214074015861</v>
      </c>
      <c r="X10" s="417">
        <f>$I10*'Key Inputs_BY Techs'!V$38</f>
        <v>3.3066214074015861</v>
      </c>
      <c r="Y10" s="417">
        <f>$I10*'Key Inputs_BY Techs'!W$38</f>
        <v>3.3066214074015861</v>
      </c>
      <c r="Z10" s="417">
        <f>$I10*'Key Inputs_BY Techs'!X$38</f>
        <v>2.4504426501279606</v>
      </c>
      <c r="AA10" s="417">
        <f>$I10*'Key Inputs_BY Techs'!Y$38</f>
        <v>2.4504426501279606</v>
      </c>
      <c r="AB10" s="417">
        <f>$I10*'Key Inputs_BY Techs'!Z$38</f>
        <v>2.4504426501279606</v>
      </c>
      <c r="AC10" s="417">
        <f>$I10*'Key Inputs_BY Techs'!AA$38</f>
        <v>2.9523405423228444</v>
      </c>
      <c r="AD10" s="417">
        <f>$I10*'Key Inputs_BY Techs'!AB$38</f>
        <v>2.9523405423228444</v>
      </c>
      <c r="AE10" s="417">
        <f>$I10*'Key Inputs_BY Techs'!AC$38</f>
        <v>3.3066214074015861</v>
      </c>
      <c r="AF10" s="417">
        <f>$I10*'Key Inputs_BY Techs'!AD$38</f>
        <v>3.3066214074015861</v>
      </c>
      <c r="AG10" s="417">
        <f>$I10*'Key Inputs_BY Techs'!AE$38</f>
        <v>3.3066214074015861</v>
      </c>
      <c r="AH10" s="417">
        <f>$I10*'Key Inputs_BY Techs'!AF$38</f>
        <v>3.3066214074015861</v>
      </c>
      <c r="AI10" s="417">
        <f>$I10*'Key Inputs_BY Techs'!AG$38</f>
        <v>3.3066214074015861</v>
      </c>
      <c r="AJ10" s="417">
        <f>$I10*'Key Inputs_BY Techs'!AH$38</f>
        <v>3.3066214074015861</v>
      </c>
      <c r="AK10" s="417">
        <f>$I10*'Key Inputs_BY Techs'!AI$38</f>
        <v>2.4504426501279606</v>
      </c>
      <c r="AL10" s="417">
        <f>$I10*'Key Inputs_BY Techs'!AJ$38</f>
        <v>2.4504426501279606</v>
      </c>
    </row>
    <row r="11" spans="1:38" x14ac:dyDescent="0.3">
      <c r="B11" s="201"/>
      <c r="F11" s="227"/>
      <c r="G11" s="227"/>
      <c r="H11" s="211">
        <v>2050</v>
      </c>
      <c r="I11" s="417">
        <f>I8*J11</f>
        <v>3.7535333289011628</v>
      </c>
      <c r="J11" s="98">
        <f>'S2'!N17/$I$8</f>
        <v>1.5771148440761189</v>
      </c>
      <c r="K11" s="417">
        <f>$I11*'Key Inputs_BY Techs'!I$38</f>
        <v>4.2039573283693024</v>
      </c>
      <c r="L11" s="417">
        <f>$I11*'Key Inputs_BY Techs'!J$38</f>
        <v>4.2039573283693024</v>
      </c>
      <c r="M11" s="417">
        <f>$I11*'Key Inputs_BY Techs'!K$38</f>
        <v>4.2039573283693024</v>
      </c>
      <c r="N11" s="417">
        <f>$I11*'Key Inputs_BY Techs'!L$38</f>
        <v>4.2039573283693024</v>
      </c>
      <c r="O11" s="417">
        <f>$I11*'Key Inputs_BY Techs'!M$38</f>
        <v>3.7535333289011628</v>
      </c>
      <c r="P11" s="417">
        <f>$I11*'Key Inputs_BY Techs'!N$38</f>
        <v>3.1154326629879647</v>
      </c>
      <c r="Q11" s="417">
        <f>$I11*'Key Inputs_BY Techs'!O$38</f>
        <v>3.1154326629879647</v>
      </c>
      <c r="R11" s="417">
        <f>$I11*'Key Inputs_BY Techs'!P$38</f>
        <v>3.7535333289011628</v>
      </c>
      <c r="S11" s="417">
        <f>$I11*'Key Inputs_BY Techs'!Q$38</f>
        <v>4.2039573283693024</v>
      </c>
      <c r="T11" s="417">
        <f>$I11*'Key Inputs_BY Techs'!R$38</f>
        <v>3.7535333289011628</v>
      </c>
      <c r="U11" s="417">
        <f>$I11*'Key Inputs_BY Techs'!S$38</f>
        <v>4.2039573283693024</v>
      </c>
      <c r="V11" s="417">
        <f>$I11*'Key Inputs_BY Techs'!T$38</f>
        <v>3.1154326629879647</v>
      </c>
      <c r="W11" s="417">
        <f>$I11*'Key Inputs_BY Techs'!U$38</f>
        <v>4.2039573283693024</v>
      </c>
      <c r="X11" s="417">
        <f>$I11*'Key Inputs_BY Techs'!V$38</f>
        <v>4.2039573283693024</v>
      </c>
      <c r="Y11" s="417">
        <f>$I11*'Key Inputs_BY Techs'!W$38</f>
        <v>4.2039573283693024</v>
      </c>
      <c r="Z11" s="417">
        <f>$I11*'Key Inputs_BY Techs'!X$38</f>
        <v>3.1154326629879647</v>
      </c>
      <c r="AA11" s="417">
        <f>$I11*'Key Inputs_BY Techs'!Y$38</f>
        <v>3.1154326629879647</v>
      </c>
      <c r="AB11" s="417">
        <f>$I11*'Key Inputs_BY Techs'!Z$38</f>
        <v>3.1154326629879647</v>
      </c>
      <c r="AC11" s="417">
        <f>$I11*'Key Inputs_BY Techs'!AA$38</f>
        <v>3.7535333289011628</v>
      </c>
      <c r="AD11" s="417">
        <f>$I11*'Key Inputs_BY Techs'!AB$38</f>
        <v>3.7535333289011628</v>
      </c>
      <c r="AE11" s="417">
        <f>$I11*'Key Inputs_BY Techs'!AC$38</f>
        <v>4.2039573283693024</v>
      </c>
      <c r="AF11" s="417">
        <f>$I11*'Key Inputs_BY Techs'!AD$38</f>
        <v>4.2039573283693024</v>
      </c>
      <c r="AG11" s="417">
        <f>$I11*'Key Inputs_BY Techs'!AE$38</f>
        <v>4.2039573283693024</v>
      </c>
      <c r="AH11" s="417">
        <f>$I11*'Key Inputs_BY Techs'!AF$38</f>
        <v>4.2039573283693024</v>
      </c>
      <c r="AI11" s="417">
        <f>$I11*'Key Inputs_BY Techs'!AG$38</f>
        <v>4.2039573283693024</v>
      </c>
      <c r="AJ11" s="417">
        <f>$I11*'Key Inputs_BY Techs'!AH$38</f>
        <v>4.2039573283693024</v>
      </c>
      <c r="AK11" s="417">
        <f>$I11*'Key Inputs_BY Techs'!AI$38</f>
        <v>3.1154326629879647</v>
      </c>
      <c r="AL11" s="417">
        <f>$I11*'Key Inputs_BY Techs'!AJ$38</f>
        <v>3.1154326629879647</v>
      </c>
    </row>
    <row r="12" spans="1:38" x14ac:dyDescent="0.3">
      <c r="A12" s="203" t="str">
        <f>Legend!$A$45</f>
        <v>Thermal uses</v>
      </c>
      <c r="B12" s="201" t="str">
        <f>'SRV_New Techs'!K$8</f>
        <v>S-TH-HPA_ELC03</v>
      </c>
      <c r="C12" s="201" t="str">
        <f>'SRV_New Techs'!C$8</f>
        <v>Electricity</v>
      </c>
      <c r="D12" s="201" t="str">
        <f>'SRV_New Techs'!D$8</f>
        <v>SRVELC</v>
      </c>
      <c r="E12" s="201" t="str">
        <f>'SRV_New Techs'!F$8</f>
        <v>Heat Pump Air (Adv.)</v>
      </c>
      <c r="F12" s="227">
        <v>2030</v>
      </c>
      <c r="G12" s="227">
        <v>15</v>
      </c>
      <c r="H12" s="211">
        <v>2030</v>
      </c>
      <c r="I12" s="417">
        <f>I$8*J12</f>
        <v>3.2130025790520929</v>
      </c>
      <c r="J12" s="98">
        <f>'S2'!L17/$I$8</f>
        <v>1.3500010836353331</v>
      </c>
      <c r="K12" s="417">
        <f>$I12*'Key Inputs_BY Techs'!I$38</f>
        <v>3.5985628885383445</v>
      </c>
      <c r="L12" s="417">
        <f>$I12*'Key Inputs_BY Techs'!J$38</f>
        <v>3.5985628885383445</v>
      </c>
      <c r="M12" s="417">
        <f>$I12*'Key Inputs_BY Techs'!K$38</f>
        <v>3.5985628885383445</v>
      </c>
      <c r="N12" s="417">
        <f>$I12*'Key Inputs_BY Techs'!L$38</f>
        <v>3.5985628885383445</v>
      </c>
      <c r="O12" s="417">
        <f>$I12*'Key Inputs_BY Techs'!M$38</f>
        <v>3.2130025790520929</v>
      </c>
      <c r="P12" s="417">
        <f>$I12*'Key Inputs_BY Techs'!N$38</f>
        <v>2.6667921406132371</v>
      </c>
      <c r="Q12" s="417">
        <f>$I12*'Key Inputs_BY Techs'!O$38</f>
        <v>2.6667921406132371</v>
      </c>
      <c r="R12" s="417">
        <f>$I12*'Key Inputs_BY Techs'!P$38</f>
        <v>3.2130025790520929</v>
      </c>
      <c r="S12" s="417">
        <f>$I12*'Key Inputs_BY Techs'!Q$38</f>
        <v>3.5985628885383445</v>
      </c>
      <c r="T12" s="417">
        <f>$I12*'Key Inputs_BY Techs'!R$38</f>
        <v>3.2130025790520929</v>
      </c>
      <c r="U12" s="417">
        <f>$I12*'Key Inputs_BY Techs'!S$38</f>
        <v>3.5985628885383445</v>
      </c>
      <c r="V12" s="417">
        <f>$I12*'Key Inputs_BY Techs'!T$38</f>
        <v>2.6667921406132371</v>
      </c>
      <c r="W12" s="417">
        <f>$I12*'Key Inputs_BY Techs'!U$38</f>
        <v>3.5985628885383445</v>
      </c>
      <c r="X12" s="417">
        <f>$I12*'Key Inputs_BY Techs'!V$38</f>
        <v>3.5985628885383445</v>
      </c>
      <c r="Y12" s="417">
        <f>$I12*'Key Inputs_BY Techs'!W$38</f>
        <v>3.5985628885383445</v>
      </c>
      <c r="Z12" s="417">
        <f>$I12*'Key Inputs_BY Techs'!X$38</f>
        <v>2.6667921406132371</v>
      </c>
      <c r="AA12" s="417">
        <f>$I12*'Key Inputs_BY Techs'!Y$38</f>
        <v>2.6667921406132371</v>
      </c>
      <c r="AB12" s="417">
        <f>$I12*'Key Inputs_BY Techs'!Z$38</f>
        <v>2.6667921406132371</v>
      </c>
      <c r="AC12" s="417">
        <f>$I12*'Key Inputs_BY Techs'!AA$38</f>
        <v>3.2130025790520929</v>
      </c>
      <c r="AD12" s="417">
        <f>$I12*'Key Inputs_BY Techs'!AB$38</f>
        <v>3.2130025790520929</v>
      </c>
      <c r="AE12" s="417">
        <f>$I12*'Key Inputs_BY Techs'!AC$38</f>
        <v>3.5985628885383445</v>
      </c>
      <c r="AF12" s="417">
        <f>$I12*'Key Inputs_BY Techs'!AD$38</f>
        <v>3.5985628885383445</v>
      </c>
      <c r="AG12" s="417">
        <f>$I12*'Key Inputs_BY Techs'!AE$38</f>
        <v>3.5985628885383445</v>
      </c>
      <c r="AH12" s="417">
        <f>$I12*'Key Inputs_BY Techs'!AF$38</f>
        <v>3.5985628885383445</v>
      </c>
      <c r="AI12" s="417">
        <f>$I12*'Key Inputs_BY Techs'!AG$38</f>
        <v>3.5985628885383445</v>
      </c>
      <c r="AJ12" s="417">
        <f>$I12*'Key Inputs_BY Techs'!AH$38</f>
        <v>3.5985628885383445</v>
      </c>
      <c r="AK12" s="417">
        <f>$I12*'Key Inputs_BY Techs'!AI$38</f>
        <v>2.6667921406132371</v>
      </c>
      <c r="AL12" s="417">
        <f>$I12*'Key Inputs_BY Techs'!AJ$38</f>
        <v>2.6667921406132371</v>
      </c>
    </row>
    <row r="13" spans="1:38" x14ac:dyDescent="0.3">
      <c r="B13" s="201"/>
      <c r="F13" s="227"/>
      <c r="G13" s="227"/>
      <c r="H13" s="211">
        <v>2050</v>
      </c>
      <c r="I13" s="417">
        <f>I$8*J13</f>
        <v>4.3900974607031147</v>
      </c>
      <c r="J13" s="98">
        <f>'S2'!O17/$I$8</f>
        <v>1.8445787650013088</v>
      </c>
      <c r="K13" s="417">
        <f>$I13*'Key Inputs_BY Techs'!I$38</f>
        <v>4.9169091559874891</v>
      </c>
      <c r="L13" s="417">
        <f>$I13*'Key Inputs_BY Techs'!J$38</f>
        <v>4.9169091559874891</v>
      </c>
      <c r="M13" s="417">
        <f>$I13*'Key Inputs_BY Techs'!K$38</f>
        <v>4.9169091559874891</v>
      </c>
      <c r="N13" s="417">
        <f>$I13*'Key Inputs_BY Techs'!L$38</f>
        <v>4.9169091559874891</v>
      </c>
      <c r="O13" s="417">
        <f>$I13*'Key Inputs_BY Techs'!M$38</f>
        <v>4.3900974607031147</v>
      </c>
      <c r="P13" s="417">
        <f>$I13*'Key Inputs_BY Techs'!N$38</f>
        <v>3.6437808923835848</v>
      </c>
      <c r="Q13" s="417">
        <f>$I13*'Key Inputs_BY Techs'!O$38</f>
        <v>3.6437808923835848</v>
      </c>
      <c r="R13" s="417">
        <f>$I13*'Key Inputs_BY Techs'!P$38</f>
        <v>4.3900974607031147</v>
      </c>
      <c r="S13" s="417">
        <f>$I13*'Key Inputs_BY Techs'!Q$38</f>
        <v>4.9169091559874891</v>
      </c>
      <c r="T13" s="417">
        <f>$I13*'Key Inputs_BY Techs'!R$38</f>
        <v>4.3900974607031147</v>
      </c>
      <c r="U13" s="417">
        <f>$I13*'Key Inputs_BY Techs'!S$38</f>
        <v>4.9169091559874891</v>
      </c>
      <c r="V13" s="417">
        <f>$I13*'Key Inputs_BY Techs'!T$38</f>
        <v>3.6437808923835848</v>
      </c>
      <c r="W13" s="417">
        <f>$I13*'Key Inputs_BY Techs'!U$38</f>
        <v>4.9169091559874891</v>
      </c>
      <c r="X13" s="417">
        <f>$I13*'Key Inputs_BY Techs'!V$38</f>
        <v>4.9169091559874891</v>
      </c>
      <c r="Y13" s="417">
        <f>$I13*'Key Inputs_BY Techs'!W$38</f>
        <v>4.9169091559874891</v>
      </c>
      <c r="Z13" s="417">
        <f>$I13*'Key Inputs_BY Techs'!X$38</f>
        <v>3.6437808923835848</v>
      </c>
      <c r="AA13" s="417">
        <f>$I13*'Key Inputs_BY Techs'!Y$38</f>
        <v>3.6437808923835848</v>
      </c>
      <c r="AB13" s="417">
        <f>$I13*'Key Inputs_BY Techs'!Z$38</f>
        <v>3.6437808923835848</v>
      </c>
      <c r="AC13" s="417">
        <f>$I13*'Key Inputs_BY Techs'!AA$38</f>
        <v>4.3900974607031147</v>
      </c>
      <c r="AD13" s="417">
        <f>$I13*'Key Inputs_BY Techs'!AB$38</f>
        <v>4.3900974607031147</v>
      </c>
      <c r="AE13" s="417">
        <f>$I13*'Key Inputs_BY Techs'!AC$38</f>
        <v>4.9169091559874891</v>
      </c>
      <c r="AF13" s="417">
        <f>$I13*'Key Inputs_BY Techs'!AD$38</f>
        <v>4.9169091559874891</v>
      </c>
      <c r="AG13" s="417">
        <f>$I13*'Key Inputs_BY Techs'!AE$38</f>
        <v>4.9169091559874891</v>
      </c>
      <c r="AH13" s="417">
        <f>$I13*'Key Inputs_BY Techs'!AF$38</f>
        <v>4.9169091559874891</v>
      </c>
      <c r="AI13" s="417">
        <f>$I13*'Key Inputs_BY Techs'!AG$38</f>
        <v>4.9169091559874891</v>
      </c>
      <c r="AJ13" s="417">
        <f>$I13*'Key Inputs_BY Techs'!AH$38</f>
        <v>4.9169091559874891</v>
      </c>
      <c r="AK13" s="417">
        <f>$I13*'Key Inputs_BY Techs'!AI$38</f>
        <v>3.6437808923835848</v>
      </c>
      <c r="AL13" s="417">
        <f>$I13*'Key Inputs_BY Techs'!AJ$38</f>
        <v>3.6437808923835848</v>
      </c>
    </row>
    <row r="14" spans="1:38" x14ac:dyDescent="0.3">
      <c r="A14" s="203" t="str">
        <f>Legend!$A$45</f>
        <v>Thermal uses</v>
      </c>
      <c r="B14" s="201" t="str">
        <f>'SRV_New Techs'!K$9</f>
        <v>S-TH-HPA_ELC04</v>
      </c>
      <c r="C14" s="201" t="str">
        <f>'SRV_New Techs'!C$9</f>
        <v>Electricity</v>
      </c>
      <c r="D14" s="201" t="str">
        <f>'SRV_New Techs'!D$9</f>
        <v>SRVELC</v>
      </c>
      <c r="E14" s="201" t="str">
        <f>'SRV_New Techs'!F$9</f>
        <v>Heat Pump Wat. (Ord.)</v>
      </c>
      <c r="F14" s="227">
        <v>2020</v>
      </c>
      <c r="G14" s="227">
        <v>15</v>
      </c>
      <c r="H14" s="211">
        <v>2020</v>
      </c>
      <c r="I14" s="417">
        <f t="shared" ref="I14:I19" si="0">I$8*J14</f>
        <v>3.3</v>
      </c>
      <c r="J14" s="98">
        <f>'S2'!I20/$I$8</f>
        <v>1.3865546218487395</v>
      </c>
      <c r="K14" s="417">
        <f>$I14*'Key Inputs_BY Techs'!I$38</f>
        <v>3.6960000000000002</v>
      </c>
      <c r="L14" s="417">
        <f>$I14*'Key Inputs_BY Techs'!J$38</f>
        <v>3.6960000000000002</v>
      </c>
      <c r="M14" s="417">
        <f>$I14*'Key Inputs_BY Techs'!K$38</f>
        <v>3.6960000000000002</v>
      </c>
      <c r="N14" s="417">
        <f>$I14*'Key Inputs_BY Techs'!L$38</f>
        <v>3.6960000000000002</v>
      </c>
      <c r="O14" s="417">
        <f>$I14*'Key Inputs_BY Techs'!M$38</f>
        <v>3.3</v>
      </c>
      <c r="P14" s="417">
        <f>$I14*'Key Inputs_BY Techs'!N$38</f>
        <v>2.7389999999999999</v>
      </c>
      <c r="Q14" s="417">
        <f>$I14*'Key Inputs_BY Techs'!O$38</f>
        <v>2.7389999999999999</v>
      </c>
      <c r="R14" s="417">
        <f>$I14*'Key Inputs_BY Techs'!P$38</f>
        <v>3.3</v>
      </c>
      <c r="S14" s="417">
        <f>$I14*'Key Inputs_BY Techs'!Q$38</f>
        <v>3.6960000000000002</v>
      </c>
      <c r="T14" s="417">
        <f>$I14*'Key Inputs_BY Techs'!R$38</f>
        <v>3.3</v>
      </c>
      <c r="U14" s="417">
        <f>$I14*'Key Inputs_BY Techs'!S$38</f>
        <v>3.6960000000000002</v>
      </c>
      <c r="V14" s="417">
        <f>$I14*'Key Inputs_BY Techs'!T$38</f>
        <v>2.7389999999999999</v>
      </c>
      <c r="W14" s="417">
        <f>$I14*'Key Inputs_BY Techs'!U$38</f>
        <v>3.6960000000000002</v>
      </c>
      <c r="X14" s="417">
        <f>$I14*'Key Inputs_BY Techs'!V$38</f>
        <v>3.6960000000000002</v>
      </c>
      <c r="Y14" s="417">
        <f>$I14*'Key Inputs_BY Techs'!W$38</f>
        <v>3.6960000000000002</v>
      </c>
      <c r="Z14" s="417">
        <f>$I14*'Key Inputs_BY Techs'!X$38</f>
        <v>2.7389999999999999</v>
      </c>
      <c r="AA14" s="417">
        <f>$I14*'Key Inputs_BY Techs'!Y$38</f>
        <v>2.7389999999999999</v>
      </c>
      <c r="AB14" s="417">
        <f>$I14*'Key Inputs_BY Techs'!Z$38</f>
        <v>2.7389999999999999</v>
      </c>
      <c r="AC14" s="417">
        <f>$I14*'Key Inputs_BY Techs'!AA$38</f>
        <v>3.3</v>
      </c>
      <c r="AD14" s="417">
        <f>$I14*'Key Inputs_BY Techs'!AB$38</f>
        <v>3.3</v>
      </c>
      <c r="AE14" s="417">
        <f>$I14*'Key Inputs_BY Techs'!AC$38</f>
        <v>3.6960000000000002</v>
      </c>
      <c r="AF14" s="417">
        <f>$I14*'Key Inputs_BY Techs'!AD$38</f>
        <v>3.6960000000000002</v>
      </c>
      <c r="AG14" s="417">
        <f>$I14*'Key Inputs_BY Techs'!AE$38</f>
        <v>3.6960000000000002</v>
      </c>
      <c r="AH14" s="417">
        <f>$I14*'Key Inputs_BY Techs'!AF$38</f>
        <v>3.6960000000000002</v>
      </c>
      <c r="AI14" s="417">
        <f>$I14*'Key Inputs_BY Techs'!AG$38</f>
        <v>3.6960000000000002</v>
      </c>
      <c r="AJ14" s="417">
        <f>$I14*'Key Inputs_BY Techs'!AH$38</f>
        <v>3.6960000000000002</v>
      </c>
      <c r="AK14" s="417">
        <f>$I14*'Key Inputs_BY Techs'!AI$38</f>
        <v>2.7389999999999999</v>
      </c>
      <c r="AL14" s="417">
        <f>$I14*'Key Inputs_BY Techs'!AJ$38</f>
        <v>2.7389999999999999</v>
      </c>
    </row>
    <row r="15" spans="1:38" x14ac:dyDescent="0.3">
      <c r="A15" s="203" t="str">
        <f>Legend!$A$45</f>
        <v>Thermal uses</v>
      </c>
      <c r="B15" s="201" t="str">
        <f>'SRV_New Techs'!K$10</f>
        <v>S-TH-HPA_ELC05</v>
      </c>
      <c r="C15" s="201" t="str">
        <f>'SRV_New Techs'!C$10</f>
        <v>Electricity</v>
      </c>
      <c r="D15" s="201" t="str">
        <f>'SRV_New Techs'!D$10</f>
        <v>SRVELC</v>
      </c>
      <c r="E15" s="201" t="str">
        <f>'SRV_New Techs'!F$10</f>
        <v>Heat Pump Wat. (Imp.)</v>
      </c>
      <c r="F15" s="227">
        <v>2025</v>
      </c>
      <c r="G15" s="227">
        <v>15</v>
      </c>
      <c r="H15" s="211">
        <v>2025</v>
      </c>
      <c r="I15" s="417">
        <f t="shared" si="0"/>
        <v>3.3</v>
      </c>
      <c r="J15" s="98">
        <f>J14</f>
        <v>1.3865546218487395</v>
      </c>
      <c r="K15" s="417">
        <f>$I15*'Key Inputs_BY Techs'!I$38</f>
        <v>3.6960000000000002</v>
      </c>
      <c r="L15" s="417">
        <f>$I15*'Key Inputs_BY Techs'!J$38</f>
        <v>3.6960000000000002</v>
      </c>
      <c r="M15" s="417">
        <f>$I15*'Key Inputs_BY Techs'!K$38</f>
        <v>3.6960000000000002</v>
      </c>
      <c r="N15" s="417">
        <f>$I15*'Key Inputs_BY Techs'!L$38</f>
        <v>3.6960000000000002</v>
      </c>
      <c r="O15" s="417">
        <f>$I15*'Key Inputs_BY Techs'!M$38</f>
        <v>3.3</v>
      </c>
      <c r="P15" s="417">
        <f>$I15*'Key Inputs_BY Techs'!N$38</f>
        <v>2.7389999999999999</v>
      </c>
      <c r="Q15" s="417">
        <f>$I15*'Key Inputs_BY Techs'!O$38</f>
        <v>2.7389999999999999</v>
      </c>
      <c r="R15" s="417">
        <f>$I15*'Key Inputs_BY Techs'!P$38</f>
        <v>3.3</v>
      </c>
      <c r="S15" s="417">
        <f>$I15*'Key Inputs_BY Techs'!Q$38</f>
        <v>3.6960000000000002</v>
      </c>
      <c r="T15" s="417">
        <f>$I15*'Key Inputs_BY Techs'!R$38</f>
        <v>3.3</v>
      </c>
      <c r="U15" s="417">
        <f>$I15*'Key Inputs_BY Techs'!S$38</f>
        <v>3.6960000000000002</v>
      </c>
      <c r="V15" s="417">
        <f>$I15*'Key Inputs_BY Techs'!T$38</f>
        <v>2.7389999999999999</v>
      </c>
      <c r="W15" s="417">
        <f>$I15*'Key Inputs_BY Techs'!U$38</f>
        <v>3.6960000000000002</v>
      </c>
      <c r="X15" s="417">
        <f>$I15*'Key Inputs_BY Techs'!V$38</f>
        <v>3.6960000000000002</v>
      </c>
      <c r="Y15" s="417">
        <f>$I15*'Key Inputs_BY Techs'!W$38</f>
        <v>3.6960000000000002</v>
      </c>
      <c r="Z15" s="417">
        <f>$I15*'Key Inputs_BY Techs'!X$38</f>
        <v>2.7389999999999999</v>
      </c>
      <c r="AA15" s="417">
        <f>$I15*'Key Inputs_BY Techs'!Y$38</f>
        <v>2.7389999999999999</v>
      </c>
      <c r="AB15" s="417">
        <f>$I15*'Key Inputs_BY Techs'!Z$38</f>
        <v>2.7389999999999999</v>
      </c>
      <c r="AC15" s="417">
        <f>$I15*'Key Inputs_BY Techs'!AA$38</f>
        <v>3.3</v>
      </c>
      <c r="AD15" s="417">
        <f>$I15*'Key Inputs_BY Techs'!AB$38</f>
        <v>3.3</v>
      </c>
      <c r="AE15" s="417">
        <f>$I15*'Key Inputs_BY Techs'!AC$38</f>
        <v>3.6960000000000002</v>
      </c>
      <c r="AF15" s="417">
        <f>$I15*'Key Inputs_BY Techs'!AD$38</f>
        <v>3.6960000000000002</v>
      </c>
      <c r="AG15" s="417">
        <f>$I15*'Key Inputs_BY Techs'!AE$38</f>
        <v>3.6960000000000002</v>
      </c>
      <c r="AH15" s="417">
        <f>$I15*'Key Inputs_BY Techs'!AF$38</f>
        <v>3.6960000000000002</v>
      </c>
      <c r="AI15" s="417">
        <f>$I15*'Key Inputs_BY Techs'!AG$38</f>
        <v>3.6960000000000002</v>
      </c>
      <c r="AJ15" s="417">
        <f>$I15*'Key Inputs_BY Techs'!AH$38</f>
        <v>3.6960000000000002</v>
      </c>
      <c r="AK15" s="417">
        <f>$I15*'Key Inputs_BY Techs'!AI$38</f>
        <v>2.7389999999999999</v>
      </c>
      <c r="AL15" s="417">
        <f>$I15*'Key Inputs_BY Techs'!AJ$38</f>
        <v>2.7389999999999999</v>
      </c>
    </row>
    <row r="16" spans="1:38" x14ac:dyDescent="0.3">
      <c r="C16" s="203"/>
      <c r="D16" s="203"/>
      <c r="E16" s="203"/>
      <c r="F16" s="309"/>
      <c r="G16" s="309"/>
      <c r="H16" s="211">
        <v>2030</v>
      </c>
      <c r="I16" s="417">
        <f t="shared" si="0"/>
        <v>4.0970769230769237</v>
      </c>
      <c r="J16" s="98">
        <f>'S2'!K20/$I$8</f>
        <v>1.7214608920491277</v>
      </c>
      <c r="K16" s="417">
        <f>$I16*'Key Inputs_BY Techs'!I$38</f>
        <v>4.5887261538461548</v>
      </c>
      <c r="L16" s="417">
        <f>$I16*'Key Inputs_BY Techs'!J$38</f>
        <v>4.5887261538461548</v>
      </c>
      <c r="M16" s="417">
        <f>$I16*'Key Inputs_BY Techs'!K$38</f>
        <v>4.5887261538461548</v>
      </c>
      <c r="N16" s="417">
        <f>$I16*'Key Inputs_BY Techs'!L$38</f>
        <v>4.5887261538461548</v>
      </c>
      <c r="O16" s="417">
        <f>$I16*'Key Inputs_BY Techs'!M$38</f>
        <v>4.0970769230769237</v>
      </c>
      <c r="P16" s="417">
        <f>$I16*'Key Inputs_BY Techs'!N$38</f>
        <v>3.4005738461538466</v>
      </c>
      <c r="Q16" s="417">
        <f>$I16*'Key Inputs_BY Techs'!O$38</f>
        <v>3.4005738461538466</v>
      </c>
      <c r="R16" s="417">
        <f>$I16*'Key Inputs_BY Techs'!P$38</f>
        <v>4.0970769230769237</v>
      </c>
      <c r="S16" s="417">
        <f>$I16*'Key Inputs_BY Techs'!Q$38</f>
        <v>4.5887261538461548</v>
      </c>
      <c r="T16" s="417">
        <f>$I16*'Key Inputs_BY Techs'!R$38</f>
        <v>4.0970769230769237</v>
      </c>
      <c r="U16" s="417">
        <f>$I16*'Key Inputs_BY Techs'!S$38</f>
        <v>4.5887261538461548</v>
      </c>
      <c r="V16" s="417">
        <f>$I16*'Key Inputs_BY Techs'!T$38</f>
        <v>3.4005738461538466</v>
      </c>
      <c r="W16" s="417">
        <f>$I16*'Key Inputs_BY Techs'!U$38</f>
        <v>4.5887261538461548</v>
      </c>
      <c r="X16" s="417">
        <f>$I16*'Key Inputs_BY Techs'!V$38</f>
        <v>4.5887261538461548</v>
      </c>
      <c r="Y16" s="417">
        <f>$I16*'Key Inputs_BY Techs'!W$38</f>
        <v>4.5887261538461548</v>
      </c>
      <c r="Z16" s="417">
        <f>$I16*'Key Inputs_BY Techs'!X$38</f>
        <v>3.4005738461538466</v>
      </c>
      <c r="AA16" s="417">
        <f>$I16*'Key Inputs_BY Techs'!Y$38</f>
        <v>3.4005738461538466</v>
      </c>
      <c r="AB16" s="417">
        <f>$I16*'Key Inputs_BY Techs'!Z$38</f>
        <v>3.4005738461538466</v>
      </c>
      <c r="AC16" s="417">
        <f>$I16*'Key Inputs_BY Techs'!AA$38</f>
        <v>4.0970769230769237</v>
      </c>
      <c r="AD16" s="417">
        <f>$I16*'Key Inputs_BY Techs'!AB$38</f>
        <v>4.0970769230769237</v>
      </c>
      <c r="AE16" s="417">
        <f>$I16*'Key Inputs_BY Techs'!AC$38</f>
        <v>4.5887261538461548</v>
      </c>
      <c r="AF16" s="417">
        <f>$I16*'Key Inputs_BY Techs'!AD$38</f>
        <v>4.5887261538461548</v>
      </c>
      <c r="AG16" s="417">
        <f>$I16*'Key Inputs_BY Techs'!AE$38</f>
        <v>4.5887261538461548</v>
      </c>
      <c r="AH16" s="417">
        <f>$I16*'Key Inputs_BY Techs'!AF$38</f>
        <v>4.5887261538461548</v>
      </c>
      <c r="AI16" s="417">
        <f>$I16*'Key Inputs_BY Techs'!AG$38</f>
        <v>4.5887261538461548</v>
      </c>
      <c r="AJ16" s="417">
        <f>$I16*'Key Inputs_BY Techs'!AH$38</f>
        <v>4.5887261538461548</v>
      </c>
      <c r="AK16" s="417">
        <f>$I16*'Key Inputs_BY Techs'!AI$38</f>
        <v>3.4005738461538466</v>
      </c>
      <c r="AL16" s="417">
        <f>$I16*'Key Inputs_BY Techs'!AJ$38</f>
        <v>3.4005738461538466</v>
      </c>
    </row>
    <row r="17" spans="1:38" x14ac:dyDescent="0.3">
      <c r="B17" s="201"/>
      <c r="F17" s="227"/>
      <c r="G17" s="227"/>
      <c r="H17" s="211">
        <v>2050</v>
      </c>
      <c r="I17" s="417">
        <f t="shared" si="0"/>
        <v>4.9800000000000004</v>
      </c>
      <c r="J17" s="98">
        <f>'S2'!N20/$I$8</f>
        <v>2.0924369747899161</v>
      </c>
      <c r="K17" s="417">
        <f>$I17*'Key Inputs_BY Techs'!I$38</f>
        <v>5.5776000000000012</v>
      </c>
      <c r="L17" s="417">
        <f>$I17*'Key Inputs_BY Techs'!J$38</f>
        <v>5.5776000000000012</v>
      </c>
      <c r="M17" s="417">
        <f>$I17*'Key Inputs_BY Techs'!K$38</f>
        <v>5.5776000000000012</v>
      </c>
      <c r="N17" s="417">
        <f>$I17*'Key Inputs_BY Techs'!L$38</f>
        <v>5.5776000000000012</v>
      </c>
      <c r="O17" s="417">
        <f>$I17*'Key Inputs_BY Techs'!M$38</f>
        <v>4.9800000000000004</v>
      </c>
      <c r="P17" s="417">
        <f>$I17*'Key Inputs_BY Techs'!N$38</f>
        <v>4.1334</v>
      </c>
      <c r="Q17" s="417">
        <f>$I17*'Key Inputs_BY Techs'!O$38</f>
        <v>4.1334</v>
      </c>
      <c r="R17" s="417">
        <f>$I17*'Key Inputs_BY Techs'!P$38</f>
        <v>4.9800000000000004</v>
      </c>
      <c r="S17" s="417">
        <f>$I17*'Key Inputs_BY Techs'!Q$38</f>
        <v>5.5776000000000012</v>
      </c>
      <c r="T17" s="417">
        <f>$I17*'Key Inputs_BY Techs'!R$38</f>
        <v>4.9800000000000004</v>
      </c>
      <c r="U17" s="417">
        <f>$I17*'Key Inputs_BY Techs'!S$38</f>
        <v>5.5776000000000012</v>
      </c>
      <c r="V17" s="417">
        <f>$I17*'Key Inputs_BY Techs'!T$38</f>
        <v>4.1334</v>
      </c>
      <c r="W17" s="417">
        <f>$I17*'Key Inputs_BY Techs'!U$38</f>
        <v>5.5776000000000012</v>
      </c>
      <c r="X17" s="417">
        <f>$I17*'Key Inputs_BY Techs'!V$38</f>
        <v>5.5776000000000012</v>
      </c>
      <c r="Y17" s="417">
        <f>$I17*'Key Inputs_BY Techs'!W$38</f>
        <v>5.5776000000000012</v>
      </c>
      <c r="Z17" s="417">
        <f>$I17*'Key Inputs_BY Techs'!X$38</f>
        <v>4.1334</v>
      </c>
      <c r="AA17" s="417">
        <f>$I17*'Key Inputs_BY Techs'!Y$38</f>
        <v>4.1334</v>
      </c>
      <c r="AB17" s="417">
        <f>$I17*'Key Inputs_BY Techs'!Z$38</f>
        <v>4.1334</v>
      </c>
      <c r="AC17" s="417">
        <f>$I17*'Key Inputs_BY Techs'!AA$38</f>
        <v>4.9800000000000004</v>
      </c>
      <c r="AD17" s="417">
        <f>$I17*'Key Inputs_BY Techs'!AB$38</f>
        <v>4.9800000000000004</v>
      </c>
      <c r="AE17" s="417">
        <f>$I17*'Key Inputs_BY Techs'!AC$38</f>
        <v>5.5776000000000012</v>
      </c>
      <c r="AF17" s="417">
        <f>$I17*'Key Inputs_BY Techs'!AD$38</f>
        <v>5.5776000000000012</v>
      </c>
      <c r="AG17" s="417">
        <f>$I17*'Key Inputs_BY Techs'!AE$38</f>
        <v>5.5776000000000012</v>
      </c>
      <c r="AH17" s="417">
        <f>$I17*'Key Inputs_BY Techs'!AF$38</f>
        <v>5.5776000000000012</v>
      </c>
      <c r="AI17" s="417">
        <f>$I17*'Key Inputs_BY Techs'!AG$38</f>
        <v>5.5776000000000012</v>
      </c>
      <c r="AJ17" s="417">
        <f>$I17*'Key Inputs_BY Techs'!AH$38</f>
        <v>5.5776000000000012</v>
      </c>
      <c r="AK17" s="417">
        <f>$I17*'Key Inputs_BY Techs'!AI$38</f>
        <v>4.1334</v>
      </c>
      <c r="AL17" s="417">
        <f>$I17*'Key Inputs_BY Techs'!AJ$38</f>
        <v>4.1334</v>
      </c>
    </row>
    <row r="18" spans="1:38" x14ac:dyDescent="0.3">
      <c r="A18" s="203" t="str">
        <f>Legend!$A$45</f>
        <v>Thermal uses</v>
      </c>
      <c r="B18" s="201" t="str">
        <f>'SRV_New Techs'!K$11</f>
        <v>S-TH-HPA_ELC06</v>
      </c>
      <c r="C18" s="201" t="str">
        <f>'SRV_New Techs'!C$11</f>
        <v>Electricity</v>
      </c>
      <c r="D18" s="201" t="str">
        <f>'SRV_New Techs'!D$11</f>
        <v>SRVELC</v>
      </c>
      <c r="E18" s="201" t="str">
        <f>'SRV_New Techs'!F$11</f>
        <v>Heat Pump Wat. (Adv.)</v>
      </c>
      <c r="F18" s="227">
        <v>2030</v>
      </c>
      <c r="G18" s="227">
        <v>15</v>
      </c>
      <c r="H18" s="211">
        <v>2030</v>
      </c>
      <c r="I18" s="417">
        <f>I$8*J18</f>
        <v>4.5199999999999996</v>
      </c>
      <c r="J18" s="98">
        <f>'S2'!L20/$I$8</f>
        <v>1.8991596638655461</v>
      </c>
      <c r="K18" s="417">
        <f>$I18*'Key Inputs_BY Techs'!I$38</f>
        <v>5.0624000000000002</v>
      </c>
      <c r="L18" s="417">
        <f>$I18*'Key Inputs_BY Techs'!J$38</f>
        <v>5.0624000000000002</v>
      </c>
      <c r="M18" s="417">
        <f>$I18*'Key Inputs_BY Techs'!K$38</f>
        <v>5.0624000000000002</v>
      </c>
      <c r="N18" s="417">
        <f>$I18*'Key Inputs_BY Techs'!L$38</f>
        <v>5.0624000000000002</v>
      </c>
      <c r="O18" s="417">
        <f>$I18*'Key Inputs_BY Techs'!M$38</f>
        <v>4.5199999999999996</v>
      </c>
      <c r="P18" s="417">
        <f>$I18*'Key Inputs_BY Techs'!N$38</f>
        <v>3.7515999999999994</v>
      </c>
      <c r="Q18" s="417">
        <f>$I18*'Key Inputs_BY Techs'!O$38</f>
        <v>3.7515999999999994</v>
      </c>
      <c r="R18" s="417">
        <f>$I18*'Key Inputs_BY Techs'!P$38</f>
        <v>4.5199999999999996</v>
      </c>
      <c r="S18" s="417">
        <f>$I18*'Key Inputs_BY Techs'!Q$38</f>
        <v>5.0624000000000002</v>
      </c>
      <c r="T18" s="417">
        <f>$I18*'Key Inputs_BY Techs'!R$38</f>
        <v>4.5199999999999996</v>
      </c>
      <c r="U18" s="417">
        <f>$I18*'Key Inputs_BY Techs'!S$38</f>
        <v>5.0624000000000002</v>
      </c>
      <c r="V18" s="417">
        <f>$I18*'Key Inputs_BY Techs'!T$38</f>
        <v>3.7515999999999994</v>
      </c>
      <c r="W18" s="417">
        <f>$I18*'Key Inputs_BY Techs'!U$38</f>
        <v>5.0624000000000002</v>
      </c>
      <c r="X18" s="417">
        <f>$I18*'Key Inputs_BY Techs'!V$38</f>
        <v>5.0624000000000002</v>
      </c>
      <c r="Y18" s="417">
        <f>$I18*'Key Inputs_BY Techs'!W$38</f>
        <v>5.0624000000000002</v>
      </c>
      <c r="Z18" s="417">
        <f>$I18*'Key Inputs_BY Techs'!X$38</f>
        <v>3.7515999999999994</v>
      </c>
      <c r="AA18" s="417">
        <f>$I18*'Key Inputs_BY Techs'!Y$38</f>
        <v>3.7515999999999994</v>
      </c>
      <c r="AB18" s="417">
        <f>$I18*'Key Inputs_BY Techs'!Z$38</f>
        <v>3.7515999999999994</v>
      </c>
      <c r="AC18" s="417">
        <f>$I18*'Key Inputs_BY Techs'!AA$38</f>
        <v>4.5199999999999996</v>
      </c>
      <c r="AD18" s="417">
        <f>$I18*'Key Inputs_BY Techs'!AB$38</f>
        <v>4.5199999999999996</v>
      </c>
      <c r="AE18" s="417">
        <f>$I18*'Key Inputs_BY Techs'!AC$38</f>
        <v>5.0624000000000002</v>
      </c>
      <c r="AF18" s="417">
        <f>$I18*'Key Inputs_BY Techs'!AD$38</f>
        <v>5.0624000000000002</v>
      </c>
      <c r="AG18" s="417">
        <f>$I18*'Key Inputs_BY Techs'!AE$38</f>
        <v>5.0624000000000002</v>
      </c>
      <c r="AH18" s="417">
        <f>$I18*'Key Inputs_BY Techs'!AF$38</f>
        <v>5.0624000000000002</v>
      </c>
      <c r="AI18" s="417">
        <f>$I18*'Key Inputs_BY Techs'!AG$38</f>
        <v>5.0624000000000002</v>
      </c>
      <c r="AJ18" s="417">
        <f>$I18*'Key Inputs_BY Techs'!AH$38</f>
        <v>5.0624000000000002</v>
      </c>
      <c r="AK18" s="417">
        <f>$I18*'Key Inputs_BY Techs'!AI$38</f>
        <v>3.7515999999999994</v>
      </c>
      <c r="AL18" s="417">
        <f>$I18*'Key Inputs_BY Techs'!AJ$38</f>
        <v>3.7515999999999994</v>
      </c>
    </row>
    <row r="19" spans="1:38" x14ac:dyDescent="0.3">
      <c r="B19" s="201"/>
      <c r="F19" s="227"/>
      <c r="G19" s="227"/>
      <c r="H19" s="211">
        <v>2050</v>
      </c>
      <c r="I19" s="417">
        <f t="shared" si="0"/>
        <v>5.7290557761904788</v>
      </c>
      <c r="J19" s="98">
        <f>'S2'!O20/$I$8</f>
        <v>2.4071662925170081</v>
      </c>
      <c r="K19" s="417">
        <f>$I19*'Key Inputs_BY Techs'!I$38</f>
        <v>6.4165424693333373</v>
      </c>
      <c r="L19" s="417">
        <f>$I19*'Key Inputs_BY Techs'!J$38</f>
        <v>6.4165424693333373</v>
      </c>
      <c r="M19" s="417">
        <f>$I19*'Key Inputs_BY Techs'!K$38</f>
        <v>6.4165424693333373</v>
      </c>
      <c r="N19" s="417">
        <f>$I19*'Key Inputs_BY Techs'!L$38</f>
        <v>6.4165424693333373</v>
      </c>
      <c r="O19" s="417">
        <f>$I19*'Key Inputs_BY Techs'!M$38</f>
        <v>5.7290557761904788</v>
      </c>
      <c r="P19" s="417">
        <f>$I19*'Key Inputs_BY Techs'!N$38</f>
        <v>4.7551162942380971</v>
      </c>
      <c r="Q19" s="417">
        <f>$I19*'Key Inputs_BY Techs'!O$38</f>
        <v>4.7551162942380971</v>
      </c>
      <c r="R19" s="417">
        <f>$I19*'Key Inputs_BY Techs'!P$38</f>
        <v>5.7290557761904788</v>
      </c>
      <c r="S19" s="417">
        <f>$I19*'Key Inputs_BY Techs'!Q$38</f>
        <v>6.4165424693333373</v>
      </c>
      <c r="T19" s="417">
        <f>$I19*'Key Inputs_BY Techs'!R$38</f>
        <v>5.7290557761904788</v>
      </c>
      <c r="U19" s="417">
        <f>$I19*'Key Inputs_BY Techs'!S$38</f>
        <v>6.4165424693333373</v>
      </c>
      <c r="V19" s="417">
        <f>$I19*'Key Inputs_BY Techs'!T$38</f>
        <v>4.7551162942380971</v>
      </c>
      <c r="W19" s="417">
        <f>$I19*'Key Inputs_BY Techs'!U$38</f>
        <v>6.4165424693333373</v>
      </c>
      <c r="X19" s="417">
        <f>$I19*'Key Inputs_BY Techs'!V$38</f>
        <v>6.4165424693333373</v>
      </c>
      <c r="Y19" s="417">
        <f>$I19*'Key Inputs_BY Techs'!W$38</f>
        <v>6.4165424693333373</v>
      </c>
      <c r="Z19" s="417">
        <f>$I19*'Key Inputs_BY Techs'!X$38</f>
        <v>4.7551162942380971</v>
      </c>
      <c r="AA19" s="417">
        <f>$I19*'Key Inputs_BY Techs'!Y$38</f>
        <v>4.7551162942380971</v>
      </c>
      <c r="AB19" s="417">
        <f>$I19*'Key Inputs_BY Techs'!Z$38</f>
        <v>4.7551162942380971</v>
      </c>
      <c r="AC19" s="417">
        <f>$I19*'Key Inputs_BY Techs'!AA$38</f>
        <v>5.7290557761904788</v>
      </c>
      <c r="AD19" s="417">
        <f>$I19*'Key Inputs_BY Techs'!AB$38</f>
        <v>5.7290557761904788</v>
      </c>
      <c r="AE19" s="417">
        <f>$I19*'Key Inputs_BY Techs'!AC$38</f>
        <v>6.4165424693333373</v>
      </c>
      <c r="AF19" s="417">
        <f>$I19*'Key Inputs_BY Techs'!AD$38</f>
        <v>6.4165424693333373</v>
      </c>
      <c r="AG19" s="417">
        <f>$I19*'Key Inputs_BY Techs'!AE$38</f>
        <v>6.4165424693333373</v>
      </c>
      <c r="AH19" s="417">
        <f>$I19*'Key Inputs_BY Techs'!AF$38</f>
        <v>6.4165424693333373</v>
      </c>
      <c r="AI19" s="417">
        <f>$I19*'Key Inputs_BY Techs'!AG$38</f>
        <v>6.4165424693333373</v>
      </c>
      <c r="AJ19" s="417">
        <f>$I19*'Key Inputs_BY Techs'!AH$38</f>
        <v>6.4165424693333373</v>
      </c>
      <c r="AK19" s="417">
        <f>$I19*'Key Inputs_BY Techs'!AI$38</f>
        <v>4.7551162942380971</v>
      </c>
      <c r="AL19" s="417">
        <f>$I19*'Key Inputs_BY Techs'!AJ$38</f>
        <v>4.7551162942380971</v>
      </c>
    </row>
    <row r="20" spans="1:38" x14ac:dyDescent="0.3">
      <c r="A20" s="203" t="str">
        <f>Legend!$A$45</f>
        <v>Thermal uses</v>
      </c>
      <c r="B20" s="201" t="str">
        <f>'SRV_New Techs'!K$12</f>
        <v>S-TH-BLR_GAS01</v>
      </c>
      <c r="C20" s="201" t="str">
        <f>'SRV_New Techs'!C$12</f>
        <v>Natural gas, Biogas</v>
      </c>
      <c r="D20" s="201" t="str">
        <f>'SRV_New Techs'!D$12</f>
        <v>SRVGAS, SRVBGS, SRVH2G, SRVH2B, SRVEFUM</v>
      </c>
      <c r="E20" s="201" t="str">
        <f>'SRV_New Techs'!F$12</f>
        <v>Boiler (Ord.)</v>
      </c>
      <c r="F20" s="227">
        <v>2020</v>
      </c>
      <c r="G20" s="305">
        <v>15</v>
      </c>
      <c r="H20" s="411">
        <v>2020</v>
      </c>
      <c r="I20" s="417">
        <f>'Key Inputs_BY Techs'!H18</f>
        <v>1.0300800000000001</v>
      </c>
      <c r="J20" s="98">
        <f>1</f>
        <v>1</v>
      </c>
      <c r="K20" s="417">
        <f>$I20*'Key Inputs_BY Techs'!I$38</f>
        <v>1.1536896000000003</v>
      </c>
      <c r="L20" s="417">
        <f>$I20*'Key Inputs_BY Techs'!J$38</f>
        <v>1.1536896000000003</v>
      </c>
      <c r="M20" s="417">
        <f>$I20*'Key Inputs_BY Techs'!K$38</f>
        <v>1.1536896000000003</v>
      </c>
      <c r="N20" s="417">
        <f>$I20*'Key Inputs_BY Techs'!L$38</f>
        <v>1.1536896000000003</v>
      </c>
      <c r="O20" s="417">
        <f>$I20*'Key Inputs_BY Techs'!M$38</f>
        <v>1.0300800000000001</v>
      </c>
      <c r="P20" s="417">
        <f>$I20*'Key Inputs_BY Techs'!N$38</f>
        <v>0.85496640000000002</v>
      </c>
      <c r="Q20" s="417">
        <f>$I20*'Key Inputs_BY Techs'!O$38</f>
        <v>0.85496640000000002</v>
      </c>
      <c r="R20" s="417">
        <f>$I20*'Key Inputs_BY Techs'!P$38</f>
        <v>1.0300800000000001</v>
      </c>
      <c r="S20" s="417">
        <f>$I20*'Key Inputs_BY Techs'!Q$38</f>
        <v>1.1536896000000003</v>
      </c>
      <c r="T20" s="417">
        <f>$I20*'Key Inputs_BY Techs'!R$38</f>
        <v>1.0300800000000001</v>
      </c>
      <c r="U20" s="417">
        <f>$I20*'Key Inputs_BY Techs'!S$38</f>
        <v>1.1536896000000003</v>
      </c>
      <c r="V20" s="417">
        <f>$I20*'Key Inputs_BY Techs'!T$38</f>
        <v>0.85496640000000002</v>
      </c>
      <c r="W20" s="417">
        <f>$I20*'Key Inputs_BY Techs'!U$38</f>
        <v>1.1536896000000003</v>
      </c>
      <c r="X20" s="417">
        <f>$I20*'Key Inputs_BY Techs'!V$38</f>
        <v>1.1536896000000003</v>
      </c>
      <c r="Y20" s="417">
        <f>$I20*'Key Inputs_BY Techs'!W$38</f>
        <v>1.1536896000000003</v>
      </c>
      <c r="Z20" s="417">
        <f>$I20*'Key Inputs_BY Techs'!X$38</f>
        <v>0.85496640000000002</v>
      </c>
      <c r="AA20" s="417">
        <f>$I20*'Key Inputs_BY Techs'!Y$38</f>
        <v>0.85496640000000002</v>
      </c>
      <c r="AB20" s="417">
        <f>$I20*'Key Inputs_BY Techs'!Z$38</f>
        <v>0.85496640000000002</v>
      </c>
      <c r="AC20" s="417">
        <f>$I20*'Key Inputs_BY Techs'!AA$38</f>
        <v>1.0300800000000001</v>
      </c>
      <c r="AD20" s="417">
        <f>$I20*'Key Inputs_BY Techs'!AB$38</f>
        <v>1.0300800000000001</v>
      </c>
      <c r="AE20" s="417">
        <f>$I20*'Key Inputs_BY Techs'!AC$38</f>
        <v>1.1536896000000003</v>
      </c>
      <c r="AF20" s="417">
        <f>$I20*'Key Inputs_BY Techs'!AD$38</f>
        <v>1.1536896000000003</v>
      </c>
      <c r="AG20" s="417">
        <f>$I20*'Key Inputs_BY Techs'!AE$38</f>
        <v>1.1536896000000003</v>
      </c>
      <c r="AH20" s="417">
        <f>$I20*'Key Inputs_BY Techs'!AF$38</f>
        <v>1.1536896000000003</v>
      </c>
      <c r="AI20" s="417">
        <f>$I20*'Key Inputs_BY Techs'!AG$38</f>
        <v>1.1536896000000003</v>
      </c>
      <c r="AJ20" s="417">
        <f>$I20*'Key Inputs_BY Techs'!AH$38</f>
        <v>1.1536896000000003</v>
      </c>
      <c r="AK20" s="417">
        <f>$I20*'Key Inputs_BY Techs'!AI$38</f>
        <v>0.85496640000000002</v>
      </c>
      <c r="AL20" s="417">
        <f>$I20*'Key Inputs_BY Techs'!AJ$38</f>
        <v>0.85496640000000002</v>
      </c>
    </row>
    <row r="21" spans="1:38" x14ac:dyDescent="0.3">
      <c r="A21" s="203" t="str">
        <f>Legend!$A$45</f>
        <v>Thermal uses</v>
      </c>
      <c r="B21" s="201" t="str">
        <f>'SRV_New Techs'!K$13</f>
        <v>S-TH-BLR_GAS02</v>
      </c>
      <c r="C21" s="201" t="str">
        <f>'SRV_New Techs'!C$13</f>
        <v>Natural gas, Biogas</v>
      </c>
      <c r="D21" s="201" t="str">
        <f>'SRV_New Techs'!D$13</f>
        <v>SRVGAS, SRVBGS, SRVH2G, SRVH2B, SRVEFUM</v>
      </c>
      <c r="E21" s="201" t="str">
        <f>'SRV_New Techs'!F$13</f>
        <v>Boiler cond. (Ord.)</v>
      </c>
      <c r="F21" s="227">
        <v>2020</v>
      </c>
      <c r="G21" s="410">
        <v>15</v>
      </c>
      <c r="H21" s="411">
        <v>2020</v>
      </c>
      <c r="I21" s="417">
        <f>I20*J21</f>
        <v>1.0734999999999999</v>
      </c>
      <c r="J21" s="98">
        <f>'S2'!I14/$I$20</f>
        <v>1.0421520658589623</v>
      </c>
      <c r="K21" s="417">
        <f>$I21*'Key Inputs_BY Techs'!I$38</f>
        <v>1.2023200000000001</v>
      </c>
      <c r="L21" s="417">
        <f>$I21*'Key Inputs_BY Techs'!J$38</f>
        <v>1.2023200000000001</v>
      </c>
      <c r="M21" s="417">
        <f>$I21*'Key Inputs_BY Techs'!K$38</f>
        <v>1.2023200000000001</v>
      </c>
      <c r="N21" s="417">
        <f>$I21*'Key Inputs_BY Techs'!L$38</f>
        <v>1.2023200000000001</v>
      </c>
      <c r="O21" s="417">
        <f>$I21*'Key Inputs_BY Techs'!M$38</f>
        <v>1.0734999999999999</v>
      </c>
      <c r="P21" s="417">
        <f>$I21*'Key Inputs_BY Techs'!N$38</f>
        <v>0.89100499999999982</v>
      </c>
      <c r="Q21" s="417">
        <f>$I21*'Key Inputs_BY Techs'!O$38</f>
        <v>0.89100499999999982</v>
      </c>
      <c r="R21" s="417">
        <f>$I21*'Key Inputs_BY Techs'!P$38</f>
        <v>1.0734999999999999</v>
      </c>
      <c r="S21" s="417">
        <f>$I21*'Key Inputs_BY Techs'!Q$38</f>
        <v>1.2023200000000001</v>
      </c>
      <c r="T21" s="417">
        <f>$I21*'Key Inputs_BY Techs'!R$38</f>
        <v>1.0734999999999999</v>
      </c>
      <c r="U21" s="417">
        <f>$I21*'Key Inputs_BY Techs'!S$38</f>
        <v>1.2023200000000001</v>
      </c>
      <c r="V21" s="417">
        <f>$I21*'Key Inputs_BY Techs'!T$38</f>
        <v>0.89100499999999982</v>
      </c>
      <c r="W21" s="417">
        <f>$I21*'Key Inputs_BY Techs'!U$38</f>
        <v>1.2023200000000001</v>
      </c>
      <c r="X21" s="417">
        <f>$I21*'Key Inputs_BY Techs'!V$38</f>
        <v>1.2023200000000001</v>
      </c>
      <c r="Y21" s="417">
        <f>$I21*'Key Inputs_BY Techs'!W$38</f>
        <v>1.2023200000000001</v>
      </c>
      <c r="Z21" s="417">
        <f>$I21*'Key Inputs_BY Techs'!X$38</f>
        <v>0.89100499999999982</v>
      </c>
      <c r="AA21" s="417">
        <f>$I21*'Key Inputs_BY Techs'!Y$38</f>
        <v>0.89100499999999982</v>
      </c>
      <c r="AB21" s="417">
        <f>$I21*'Key Inputs_BY Techs'!Z$38</f>
        <v>0.89100499999999982</v>
      </c>
      <c r="AC21" s="417">
        <f>$I21*'Key Inputs_BY Techs'!AA$38</f>
        <v>1.0734999999999999</v>
      </c>
      <c r="AD21" s="417">
        <f>$I21*'Key Inputs_BY Techs'!AB$38</f>
        <v>1.0734999999999999</v>
      </c>
      <c r="AE21" s="417">
        <f>$I21*'Key Inputs_BY Techs'!AC$38</f>
        <v>1.2023200000000001</v>
      </c>
      <c r="AF21" s="417">
        <f>$I21*'Key Inputs_BY Techs'!AD$38</f>
        <v>1.2023200000000001</v>
      </c>
      <c r="AG21" s="417">
        <f>$I21*'Key Inputs_BY Techs'!AE$38</f>
        <v>1.2023200000000001</v>
      </c>
      <c r="AH21" s="417">
        <f>$I21*'Key Inputs_BY Techs'!AF$38</f>
        <v>1.2023200000000001</v>
      </c>
      <c r="AI21" s="417">
        <f>$I21*'Key Inputs_BY Techs'!AG$38</f>
        <v>1.2023200000000001</v>
      </c>
      <c r="AJ21" s="417">
        <f>$I21*'Key Inputs_BY Techs'!AH$38</f>
        <v>1.2023200000000001</v>
      </c>
      <c r="AK21" s="417">
        <f>$I21*'Key Inputs_BY Techs'!AI$38</f>
        <v>0.89100499999999982</v>
      </c>
      <c r="AL21" s="417">
        <f>$I21*'Key Inputs_BY Techs'!AJ$38</f>
        <v>0.89100499999999982</v>
      </c>
    </row>
    <row r="22" spans="1:38" x14ac:dyDescent="0.3">
      <c r="A22" s="203" t="str">
        <f>Legend!$A$45</f>
        <v>Thermal uses</v>
      </c>
      <c r="B22" s="201" t="str">
        <f>'SRV_New Techs'!K$14</f>
        <v>S-TH-HPG_ELC01</v>
      </c>
      <c r="C22" s="201" t="str">
        <f>'SRV_New Techs'!C$14</f>
        <v>Electricity</v>
      </c>
      <c r="D22" s="201" t="str">
        <f>'SRV_New Techs'!D$14</f>
        <v>SRVELC</v>
      </c>
      <c r="E22" s="201" t="str">
        <f>'SRV_New Techs'!F$14</f>
        <v>Ground Heat Pump (Ord.)</v>
      </c>
      <c r="F22" s="227">
        <v>2020</v>
      </c>
      <c r="G22" s="305">
        <v>15</v>
      </c>
      <c r="H22" s="411">
        <v>2020</v>
      </c>
      <c r="I22" s="417">
        <f>I$8*J22</f>
        <v>3.6</v>
      </c>
      <c r="J22" s="98">
        <f>'S2'!I21/I8</f>
        <v>1.5126050420168069</v>
      </c>
      <c r="K22" s="417">
        <f>$I22*'Key Inputs_BY Techs'!I$38</f>
        <v>4.0320000000000009</v>
      </c>
      <c r="L22" s="417">
        <f>$I22*'Key Inputs_BY Techs'!J$38</f>
        <v>4.0320000000000009</v>
      </c>
      <c r="M22" s="417">
        <f>$I22*'Key Inputs_BY Techs'!K$38</f>
        <v>4.0320000000000009</v>
      </c>
      <c r="N22" s="417">
        <f>$I22*'Key Inputs_BY Techs'!L$38</f>
        <v>4.0320000000000009</v>
      </c>
      <c r="O22" s="417">
        <f>$I22*'Key Inputs_BY Techs'!M$38</f>
        <v>3.6</v>
      </c>
      <c r="P22" s="417">
        <f>$I22*'Key Inputs_BY Techs'!N$38</f>
        <v>2.988</v>
      </c>
      <c r="Q22" s="417">
        <f>$I22*'Key Inputs_BY Techs'!O$38</f>
        <v>2.988</v>
      </c>
      <c r="R22" s="417">
        <f>$I22*'Key Inputs_BY Techs'!P$38</f>
        <v>3.6</v>
      </c>
      <c r="S22" s="417">
        <f>$I22*'Key Inputs_BY Techs'!Q$38</f>
        <v>4.0320000000000009</v>
      </c>
      <c r="T22" s="417">
        <f>$I22*'Key Inputs_BY Techs'!R$38</f>
        <v>3.6</v>
      </c>
      <c r="U22" s="417">
        <f>$I22*'Key Inputs_BY Techs'!S$38</f>
        <v>4.0320000000000009</v>
      </c>
      <c r="V22" s="417">
        <f>$I22*'Key Inputs_BY Techs'!T$38</f>
        <v>2.988</v>
      </c>
      <c r="W22" s="417">
        <f>$I22*'Key Inputs_BY Techs'!U$38</f>
        <v>4.0320000000000009</v>
      </c>
      <c r="X22" s="417">
        <f>$I22*'Key Inputs_BY Techs'!V$38</f>
        <v>4.0320000000000009</v>
      </c>
      <c r="Y22" s="417">
        <f>$I22*'Key Inputs_BY Techs'!W$38</f>
        <v>4.0320000000000009</v>
      </c>
      <c r="Z22" s="417">
        <f>$I22*'Key Inputs_BY Techs'!X$38</f>
        <v>2.988</v>
      </c>
      <c r="AA22" s="417">
        <f>$I22*'Key Inputs_BY Techs'!Y$38</f>
        <v>2.988</v>
      </c>
      <c r="AB22" s="417">
        <f>$I22*'Key Inputs_BY Techs'!Z$38</f>
        <v>2.988</v>
      </c>
      <c r="AC22" s="417">
        <f>$I22*'Key Inputs_BY Techs'!AA$38</f>
        <v>3.6</v>
      </c>
      <c r="AD22" s="417">
        <f>$I22*'Key Inputs_BY Techs'!AB$38</f>
        <v>3.6</v>
      </c>
      <c r="AE22" s="417">
        <f>$I22*'Key Inputs_BY Techs'!AC$38</f>
        <v>4.0320000000000009</v>
      </c>
      <c r="AF22" s="417">
        <f>$I22*'Key Inputs_BY Techs'!AD$38</f>
        <v>4.0320000000000009</v>
      </c>
      <c r="AG22" s="417">
        <f>$I22*'Key Inputs_BY Techs'!AE$38</f>
        <v>4.0320000000000009</v>
      </c>
      <c r="AH22" s="417">
        <f>$I22*'Key Inputs_BY Techs'!AF$38</f>
        <v>4.0320000000000009</v>
      </c>
      <c r="AI22" s="417">
        <f>$I22*'Key Inputs_BY Techs'!AG$38</f>
        <v>4.0320000000000009</v>
      </c>
      <c r="AJ22" s="417">
        <f>$I22*'Key Inputs_BY Techs'!AH$38</f>
        <v>4.0320000000000009</v>
      </c>
      <c r="AK22" s="417">
        <f>$I22*'Key Inputs_BY Techs'!AI$38</f>
        <v>2.988</v>
      </c>
      <c r="AL22" s="417">
        <f>$I22*'Key Inputs_BY Techs'!AJ$38</f>
        <v>2.988</v>
      </c>
    </row>
    <row r="23" spans="1:38" x14ac:dyDescent="0.3">
      <c r="A23" s="203" t="str">
        <f>Legend!$A$45</f>
        <v>Thermal uses</v>
      </c>
      <c r="B23" s="201" t="str">
        <f>'SRV_New Techs'!K$15</f>
        <v>S-TH-HPG_ELC02</v>
      </c>
      <c r="C23" s="201" t="str">
        <f>'SRV_New Techs'!C$15</f>
        <v>Electricity</v>
      </c>
      <c r="D23" s="201" t="str">
        <f>'SRV_New Techs'!D$15</f>
        <v>SRVELC</v>
      </c>
      <c r="E23" s="201" t="str">
        <f>'SRV_New Techs'!F$15</f>
        <v>Ground Heat Pump (Imp.)</v>
      </c>
      <c r="F23" s="227">
        <v>2025</v>
      </c>
      <c r="G23" s="410">
        <v>15</v>
      </c>
      <c r="H23" s="411">
        <v>2025</v>
      </c>
      <c r="I23" s="417">
        <f>I$8*J23</f>
        <v>3.6</v>
      </c>
      <c r="J23" s="98">
        <f>J22</f>
        <v>1.5126050420168069</v>
      </c>
      <c r="K23" s="417">
        <f>$I23*'Key Inputs_BY Techs'!I$38</f>
        <v>4.0320000000000009</v>
      </c>
      <c r="L23" s="417">
        <f>$I23*'Key Inputs_BY Techs'!J$38</f>
        <v>4.0320000000000009</v>
      </c>
      <c r="M23" s="417">
        <f>$I23*'Key Inputs_BY Techs'!K$38</f>
        <v>4.0320000000000009</v>
      </c>
      <c r="N23" s="417">
        <f>$I23*'Key Inputs_BY Techs'!L$38</f>
        <v>4.0320000000000009</v>
      </c>
      <c r="O23" s="417">
        <f>$I23*'Key Inputs_BY Techs'!M$38</f>
        <v>3.6</v>
      </c>
      <c r="P23" s="417">
        <f>$I23*'Key Inputs_BY Techs'!N$38</f>
        <v>2.988</v>
      </c>
      <c r="Q23" s="417">
        <f>$I23*'Key Inputs_BY Techs'!O$38</f>
        <v>2.988</v>
      </c>
      <c r="R23" s="417">
        <f>$I23*'Key Inputs_BY Techs'!P$38</f>
        <v>3.6</v>
      </c>
      <c r="S23" s="417">
        <f>$I23*'Key Inputs_BY Techs'!Q$38</f>
        <v>4.0320000000000009</v>
      </c>
      <c r="T23" s="417">
        <f>$I23*'Key Inputs_BY Techs'!R$38</f>
        <v>3.6</v>
      </c>
      <c r="U23" s="417">
        <f>$I23*'Key Inputs_BY Techs'!S$38</f>
        <v>4.0320000000000009</v>
      </c>
      <c r="V23" s="417">
        <f>$I23*'Key Inputs_BY Techs'!T$38</f>
        <v>2.988</v>
      </c>
      <c r="W23" s="417">
        <f>$I23*'Key Inputs_BY Techs'!U$38</f>
        <v>4.0320000000000009</v>
      </c>
      <c r="X23" s="417">
        <f>$I23*'Key Inputs_BY Techs'!V$38</f>
        <v>4.0320000000000009</v>
      </c>
      <c r="Y23" s="417">
        <f>$I23*'Key Inputs_BY Techs'!W$38</f>
        <v>4.0320000000000009</v>
      </c>
      <c r="Z23" s="417">
        <f>$I23*'Key Inputs_BY Techs'!X$38</f>
        <v>2.988</v>
      </c>
      <c r="AA23" s="417">
        <f>$I23*'Key Inputs_BY Techs'!Y$38</f>
        <v>2.988</v>
      </c>
      <c r="AB23" s="417">
        <f>$I23*'Key Inputs_BY Techs'!Z$38</f>
        <v>2.988</v>
      </c>
      <c r="AC23" s="417">
        <f>$I23*'Key Inputs_BY Techs'!AA$38</f>
        <v>3.6</v>
      </c>
      <c r="AD23" s="417">
        <f>$I23*'Key Inputs_BY Techs'!AB$38</f>
        <v>3.6</v>
      </c>
      <c r="AE23" s="417">
        <f>$I23*'Key Inputs_BY Techs'!AC$38</f>
        <v>4.0320000000000009</v>
      </c>
      <c r="AF23" s="417">
        <f>$I23*'Key Inputs_BY Techs'!AD$38</f>
        <v>4.0320000000000009</v>
      </c>
      <c r="AG23" s="417">
        <f>$I23*'Key Inputs_BY Techs'!AE$38</f>
        <v>4.0320000000000009</v>
      </c>
      <c r="AH23" s="417">
        <f>$I23*'Key Inputs_BY Techs'!AF$38</f>
        <v>4.0320000000000009</v>
      </c>
      <c r="AI23" s="417">
        <f>$I23*'Key Inputs_BY Techs'!AG$38</f>
        <v>4.0320000000000009</v>
      </c>
      <c r="AJ23" s="417">
        <f>$I23*'Key Inputs_BY Techs'!AH$38</f>
        <v>4.0320000000000009</v>
      </c>
      <c r="AK23" s="417">
        <f>$I23*'Key Inputs_BY Techs'!AI$38</f>
        <v>2.988</v>
      </c>
      <c r="AL23" s="417">
        <f>$I23*'Key Inputs_BY Techs'!AJ$38</f>
        <v>2.988</v>
      </c>
    </row>
    <row r="24" spans="1:38" x14ac:dyDescent="0.3">
      <c r="F24" s="412"/>
      <c r="G24" s="412"/>
      <c r="H24" s="211">
        <v>2030</v>
      </c>
      <c r="I24" s="417">
        <f>I$8*J24</f>
        <v>4.4695384615384626</v>
      </c>
      <c r="J24" s="98">
        <f>'S2'!K21/I$8</f>
        <v>1.8779573367808666</v>
      </c>
      <c r="K24" s="417">
        <f>$I24*'Key Inputs_BY Techs'!I$38</f>
        <v>5.0058830769230784</v>
      </c>
      <c r="L24" s="417">
        <f>$I24*'Key Inputs_BY Techs'!J$38</f>
        <v>5.0058830769230784</v>
      </c>
      <c r="M24" s="417">
        <f>$I24*'Key Inputs_BY Techs'!K$38</f>
        <v>5.0058830769230784</v>
      </c>
      <c r="N24" s="417">
        <f>$I24*'Key Inputs_BY Techs'!L$38</f>
        <v>5.0058830769230784</v>
      </c>
      <c r="O24" s="417">
        <f>$I24*'Key Inputs_BY Techs'!M$38</f>
        <v>4.4695384615384626</v>
      </c>
      <c r="P24" s="417">
        <f>$I24*'Key Inputs_BY Techs'!N$38</f>
        <v>3.7097169230769236</v>
      </c>
      <c r="Q24" s="417">
        <f>$I24*'Key Inputs_BY Techs'!O$38</f>
        <v>3.7097169230769236</v>
      </c>
      <c r="R24" s="417">
        <f>$I24*'Key Inputs_BY Techs'!P$38</f>
        <v>4.4695384615384626</v>
      </c>
      <c r="S24" s="417">
        <f>$I24*'Key Inputs_BY Techs'!Q$38</f>
        <v>5.0058830769230784</v>
      </c>
      <c r="T24" s="417">
        <f>$I24*'Key Inputs_BY Techs'!R$38</f>
        <v>4.4695384615384626</v>
      </c>
      <c r="U24" s="417">
        <f>$I24*'Key Inputs_BY Techs'!S$38</f>
        <v>5.0058830769230784</v>
      </c>
      <c r="V24" s="417">
        <f>$I24*'Key Inputs_BY Techs'!T$38</f>
        <v>3.7097169230769236</v>
      </c>
      <c r="W24" s="417">
        <f>$I24*'Key Inputs_BY Techs'!U$38</f>
        <v>5.0058830769230784</v>
      </c>
      <c r="X24" s="417">
        <f>$I24*'Key Inputs_BY Techs'!V$38</f>
        <v>5.0058830769230784</v>
      </c>
      <c r="Y24" s="417">
        <f>$I24*'Key Inputs_BY Techs'!W$38</f>
        <v>5.0058830769230784</v>
      </c>
      <c r="Z24" s="417">
        <f>$I24*'Key Inputs_BY Techs'!X$38</f>
        <v>3.7097169230769236</v>
      </c>
      <c r="AA24" s="417">
        <f>$I24*'Key Inputs_BY Techs'!Y$38</f>
        <v>3.7097169230769236</v>
      </c>
      <c r="AB24" s="417">
        <f>$I24*'Key Inputs_BY Techs'!Z$38</f>
        <v>3.7097169230769236</v>
      </c>
      <c r="AC24" s="417">
        <f>$I24*'Key Inputs_BY Techs'!AA$38</f>
        <v>4.4695384615384626</v>
      </c>
      <c r="AD24" s="417">
        <f>$I24*'Key Inputs_BY Techs'!AB$38</f>
        <v>4.4695384615384626</v>
      </c>
      <c r="AE24" s="417">
        <f>$I24*'Key Inputs_BY Techs'!AC$38</f>
        <v>5.0058830769230784</v>
      </c>
      <c r="AF24" s="417">
        <f>$I24*'Key Inputs_BY Techs'!AD$38</f>
        <v>5.0058830769230784</v>
      </c>
      <c r="AG24" s="417">
        <f>$I24*'Key Inputs_BY Techs'!AE$38</f>
        <v>5.0058830769230784</v>
      </c>
      <c r="AH24" s="417">
        <f>$I24*'Key Inputs_BY Techs'!AF$38</f>
        <v>5.0058830769230784</v>
      </c>
      <c r="AI24" s="417">
        <f>$I24*'Key Inputs_BY Techs'!AG$38</f>
        <v>5.0058830769230784</v>
      </c>
      <c r="AJ24" s="417">
        <f>$I24*'Key Inputs_BY Techs'!AH$38</f>
        <v>5.0058830769230784</v>
      </c>
      <c r="AK24" s="417">
        <f>$I24*'Key Inputs_BY Techs'!AI$38</f>
        <v>3.7097169230769236</v>
      </c>
      <c r="AL24" s="417">
        <f>$I24*'Key Inputs_BY Techs'!AJ$38</f>
        <v>3.7097169230769236</v>
      </c>
    </row>
    <row r="25" spans="1:38" x14ac:dyDescent="0.3">
      <c r="B25" s="201"/>
      <c r="F25" s="227"/>
      <c r="G25" s="410"/>
      <c r="H25" s="211">
        <v>2050</v>
      </c>
      <c r="I25" s="417">
        <f t="shared" ref="I25:I26" si="1">I$8*J25</f>
        <v>5.4327272727272735</v>
      </c>
      <c r="J25" s="98">
        <f>'S2'!N21/I$8</f>
        <v>2.282658517952636</v>
      </c>
      <c r="K25" s="417">
        <f>$I25*'Key Inputs_BY Techs'!I$38</f>
        <v>6.0846545454545469</v>
      </c>
      <c r="L25" s="417">
        <f>$I25*'Key Inputs_BY Techs'!J$38</f>
        <v>6.0846545454545469</v>
      </c>
      <c r="M25" s="417">
        <f>$I25*'Key Inputs_BY Techs'!K$38</f>
        <v>6.0846545454545469</v>
      </c>
      <c r="N25" s="417">
        <f>$I25*'Key Inputs_BY Techs'!L$38</f>
        <v>6.0846545454545469</v>
      </c>
      <c r="O25" s="417">
        <f>$I25*'Key Inputs_BY Techs'!M$38</f>
        <v>5.4327272727272735</v>
      </c>
      <c r="P25" s="417">
        <f>$I25*'Key Inputs_BY Techs'!N$38</f>
        <v>4.5091636363636365</v>
      </c>
      <c r="Q25" s="417">
        <f>$I25*'Key Inputs_BY Techs'!O$38</f>
        <v>4.5091636363636365</v>
      </c>
      <c r="R25" s="417">
        <f>$I25*'Key Inputs_BY Techs'!P$38</f>
        <v>5.4327272727272735</v>
      </c>
      <c r="S25" s="417">
        <f>$I25*'Key Inputs_BY Techs'!Q$38</f>
        <v>6.0846545454545469</v>
      </c>
      <c r="T25" s="417">
        <f>$I25*'Key Inputs_BY Techs'!R$38</f>
        <v>5.4327272727272735</v>
      </c>
      <c r="U25" s="417">
        <f>$I25*'Key Inputs_BY Techs'!S$38</f>
        <v>6.0846545454545469</v>
      </c>
      <c r="V25" s="417">
        <f>$I25*'Key Inputs_BY Techs'!T$38</f>
        <v>4.5091636363636365</v>
      </c>
      <c r="W25" s="417">
        <f>$I25*'Key Inputs_BY Techs'!U$38</f>
        <v>6.0846545454545469</v>
      </c>
      <c r="X25" s="417">
        <f>$I25*'Key Inputs_BY Techs'!V$38</f>
        <v>6.0846545454545469</v>
      </c>
      <c r="Y25" s="417">
        <f>$I25*'Key Inputs_BY Techs'!W$38</f>
        <v>6.0846545454545469</v>
      </c>
      <c r="Z25" s="417">
        <f>$I25*'Key Inputs_BY Techs'!X$38</f>
        <v>4.5091636363636365</v>
      </c>
      <c r="AA25" s="417">
        <f>$I25*'Key Inputs_BY Techs'!Y$38</f>
        <v>4.5091636363636365</v>
      </c>
      <c r="AB25" s="417">
        <f>$I25*'Key Inputs_BY Techs'!Z$38</f>
        <v>4.5091636363636365</v>
      </c>
      <c r="AC25" s="417">
        <f>$I25*'Key Inputs_BY Techs'!AA$38</f>
        <v>5.4327272727272735</v>
      </c>
      <c r="AD25" s="417">
        <f>$I25*'Key Inputs_BY Techs'!AB$38</f>
        <v>5.4327272727272735</v>
      </c>
      <c r="AE25" s="417">
        <f>$I25*'Key Inputs_BY Techs'!AC$38</f>
        <v>6.0846545454545469</v>
      </c>
      <c r="AF25" s="417">
        <f>$I25*'Key Inputs_BY Techs'!AD$38</f>
        <v>6.0846545454545469</v>
      </c>
      <c r="AG25" s="417">
        <f>$I25*'Key Inputs_BY Techs'!AE$38</f>
        <v>6.0846545454545469</v>
      </c>
      <c r="AH25" s="417">
        <f>$I25*'Key Inputs_BY Techs'!AF$38</f>
        <v>6.0846545454545469</v>
      </c>
      <c r="AI25" s="417">
        <f>$I25*'Key Inputs_BY Techs'!AG$38</f>
        <v>6.0846545454545469</v>
      </c>
      <c r="AJ25" s="417">
        <f>$I25*'Key Inputs_BY Techs'!AH$38</f>
        <v>6.0846545454545469</v>
      </c>
      <c r="AK25" s="417">
        <f>$I25*'Key Inputs_BY Techs'!AI$38</f>
        <v>4.5091636363636365</v>
      </c>
      <c r="AL25" s="417">
        <f>$I25*'Key Inputs_BY Techs'!AJ$38</f>
        <v>4.5091636363636365</v>
      </c>
    </row>
    <row r="26" spans="1:38" x14ac:dyDescent="0.3">
      <c r="A26" s="203" t="str">
        <f>Legend!$A$45</f>
        <v>Thermal uses</v>
      </c>
      <c r="B26" s="201" t="str">
        <f>'SRV_New Techs'!K$16</f>
        <v>S-TH-HPG_ELC03</v>
      </c>
      <c r="C26" s="201" t="str">
        <f>'SRV_New Techs'!C$16</f>
        <v>Electricity</v>
      </c>
      <c r="D26" s="201" t="str">
        <f>'SRV_New Techs'!D$16</f>
        <v>SRVELC</v>
      </c>
      <c r="E26" s="201" t="str">
        <f>'SRV_New Techs'!F$16</f>
        <v>Ground Heat Pump (Adv.)</v>
      </c>
      <c r="F26" s="227">
        <v>2030</v>
      </c>
      <c r="G26" s="410">
        <v>15</v>
      </c>
      <c r="H26" s="211">
        <v>2030</v>
      </c>
      <c r="I26" s="417">
        <f t="shared" si="1"/>
        <v>4.9309090909090907</v>
      </c>
      <c r="J26" s="98">
        <f>'S2'!L21/I$8</f>
        <v>2.0718105423987776</v>
      </c>
      <c r="K26" s="417">
        <f>$I26*'Key Inputs_BY Techs'!I$38</f>
        <v>5.5226181818181823</v>
      </c>
      <c r="L26" s="417">
        <f>$I26*'Key Inputs_BY Techs'!J$38</f>
        <v>5.5226181818181823</v>
      </c>
      <c r="M26" s="417">
        <f>$I26*'Key Inputs_BY Techs'!K$38</f>
        <v>5.5226181818181823</v>
      </c>
      <c r="N26" s="417">
        <f>$I26*'Key Inputs_BY Techs'!L$38</f>
        <v>5.5226181818181823</v>
      </c>
      <c r="O26" s="417">
        <f>$I26*'Key Inputs_BY Techs'!M$38</f>
        <v>4.9309090909090907</v>
      </c>
      <c r="P26" s="417">
        <f>$I26*'Key Inputs_BY Techs'!N$38</f>
        <v>4.0926545454545451</v>
      </c>
      <c r="Q26" s="417">
        <f>$I26*'Key Inputs_BY Techs'!O$38</f>
        <v>4.0926545454545451</v>
      </c>
      <c r="R26" s="417">
        <f>$I26*'Key Inputs_BY Techs'!P$38</f>
        <v>4.9309090909090907</v>
      </c>
      <c r="S26" s="417">
        <f>$I26*'Key Inputs_BY Techs'!Q$38</f>
        <v>5.5226181818181823</v>
      </c>
      <c r="T26" s="417">
        <f>$I26*'Key Inputs_BY Techs'!R$38</f>
        <v>4.9309090909090907</v>
      </c>
      <c r="U26" s="417">
        <f>$I26*'Key Inputs_BY Techs'!S$38</f>
        <v>5.5226181818181823</v>
      </c>
      <c r="V26" s="417">
        <f>$I26*'Key Inputs_BY Techs'!T$38</f>
        <v>4.0926545454545451</v>
      </c>
      <c r="W26" s="417">
        <f>$I26*'Key Inputs_BY Techs'!U$38</f>
        <v>5.5226181818181823</v>
      </c>
      <c r="X26" s="417">
        <f>$I26*'Key Inputs_BY Techs'!V$38</f>
        <v>5.5226181818181823</v>
      </c>
      <c r="Y26" s="417">
        <f>$I26*'Key Inputs_BY Techs'!W$38</f>
        <v>5.5226181818181823</v>
      </c>
      <c r="Z26" s="417">
        <f>$I26*'Key Inputs_BY Techs'!X$38</f>
        <v>4.0926545454545451</v>
      </c>
      <c r="AA26" s="417">
        <f>$I26*'Key Inputs_BY Techs'!Y$38</f>
        <v>4.0926545454545451</v>
      </c>
      <c r="AB26" s="417">
        <f>$I26*'Key Inputs_BY Techs'!Z$38</f>
        <v>4.0926545454545451</v>
      </c>
      <c r="AC26" s="417">
        <f>$I26*'Key Inputs_BY Techs'!AA$38</f>
        <v>4.9309090909090907</v>
      </c>
      <c r="AD26" s="417">
        <f>$I26*'Key Inputs_BY Techs'!AB$38</f>
        <v>4.9309090909090907</v>
      </c>
      <c r="AE26" s="417">
        <f>$I26*'Key Inputs_BY Techs'!AC$38</f>
        <v>5.5226181818181823</v>
      </c>
      <c r="AF26" s="417">
        <f>$I26*'Key Inputs_BY Techs'!AD$38</f>
        <v>5.5226181818181823</v>
      </c>
      <c r="AG26" s="417">
        <f>$I26*'Key Inputs_BY Techs'!AE$38</f>
        <v>5.5226181818181823</v>
      </c>
      <c r="AH26" s="417">
        <f>$I26*'Key Inputs_BY Techs'!AF$38</f>
        <v>5.5226181818181823</v>
      </c>
      <c r="AI26" s="417">
        <f>$I26*'Key Inputs_BY Techs'!AG$38</f>
        <v>5.5226181818181823</v>
      </c>
      <c r="AJ26" s="417">
        <f>$I26*'Key Inputs_BY Techs'!AH$38</f>
        <v>5.5226181818181823</v>
      </c>
      <c r="AK26" s="417">
        <f>$I26*'Key Inputs_BY Techs'!AI$38</f>
        <v>4.0926545454545451</v>
      </c>
      <c r="AL26" s="417">
        <f>$I26*'Key Inputs_BY Techs'!AJ$38</f>
        <v>4.0926545454545451</v>
      </c>
    </row>
    <row r="27" spans="1:38" x14ac:dyDescent="0.3">
      <c r="B27" s="201"/>
      <c r="F27" s="227"/>
      <c r="G27" s="410"/>
      <c r="H27" s="211">
        <v>2050</v>
      </c>
      <c r="I27" s="417">
        <f>I$8*J27</f>
        <v>5.9373850771428591</v>
      </c>
      <c r="J27" s="98">
        <f>'S2'!O21/I$8</f>
        <v>2.494699612244899</v>
      </c>
      <c r="K27" s="417">
        <f>$I27*'Key Inputs_BY Techs'!I$38</f>
        <v>6.6498712864000025</v>
      </c>
      <c r="L27" s="417">
        <f>$I27*'Key Inputs_BY Techs'!J$38</f>
        <v>6.6498712864000025</v>
      </c>
      <c r="M27" s="417">
        <f>$I27*'Key Inputs_BY Techs'!K$38</f>
        <v>6.6498712864000025</v>
      </c>
      <c r="N27" s="417">
        <f>$I27*'Key Inputs_BY Techs'!L$38</f>
        <v>6.6498712864000025</v>
      </c>
      <c r="O27" s="417">
        <f>$I27*'Key Inputs_BY Techs'!M$38</f>
        <v>5.9373850771428591</v>
      </c>
      <c r="P27" s="417">
        <f>$I27*'Key Inputs_BY Techs'!N$38</f>
        <v>4.9280296140285724</v>
      </c>
      <c r="Q27" s="417">
        <f>$I27*'Key Inputs_BY Techs'!O$38</f>
        <v>4.9280296140285724</v>
      </c>
      <c r="R27" s="417">
        <f>$I27*'Key Inputs_BY Techs'!P$38</f>
        <v>5.9373850771428591</v>
      </c>
      <c r="S27" s="417">
        <f>$I27*'Key Inputs_BY Techs'!Q$38</f>
        <v>6.6498712864000025</v>
      </c>
      <c r="T27" s="417">
        <f>$I27*'Key Inputs_BY Techs'!R$38</f>
        <v>5.9373850771428591</v>
      </c>
      <c r="U27" s="417">
        <f>$I27*'Key Inputs_BY Techs'!S$38</f>
        <v>6.6498712864000025</v>
      </c>
      <c r="V27" s="417">
        <f>$I27*'Key Inputs_BY Techs'!T$38</f>
        <v>4.9280296140285724</v>
      </c>
      <c r="W27" s="417">
        <f>$I27*'Key Inputs_BY Techs'!U$38</f>
        <v>6.6498712864000025</v>
      </c>
      <c r="X27" s="417">
        <f>$I27*'Key Inputs_BY Techs'!V$38</f>
        <v>6.6498712864000025</v>
      </c>
      <c r="Y27" s="417">
        <f>$I27*'Key Inputs_BY Techs'!W$38</f>
        <v>6.6498712864000025</v>
      </c>
      <c r="Z27" s="417">
        <f>$I27*'Key Inputs_BY Techs'!X$38</f>
        <v>4.9280296140285724</v>
      </c>
      <c r="AA27" s="417">
        <f>$I27*'Key Inputs_BY Techs'!Y$38</f>
        <v>4.9280296140285724</v>
      </c>
      <c r="AB27" s="417">
        <f>$I27*'Key Inputs_BY Techs'!Z$38</f>
        <v>4.9280296140285724</v>
      </c>
      <c r="AC27" s="417">
        <f>$I27*'Key Inputs_BY Techs'!AA$38</f>
        <v>5.9373850771428591</v>
      </c>
      <c r="AD27" s="417">
        <f>$I27*'Key Inputs_BY Techs'!AB$38</f>
        <v>5.9373850771428591</v>
      </c>
      <c r="AE27" s="417">
        <f>$I27*'Key Inputs_BY Techs'!AC$38</f>
        <v>6.6498712864000025</v>
      </c>
      <c r="AF27" s="417">
        <f>$I27*'Key Inputs_BY Techs'!AD$38</f>
        <v>6.6498712864000025</v>
      </c>
      <c r="AG27" s="417">
        <f>$I27*'Key Inputs_BY Techs'!AE$38</f>
        <v>6.6498712864000025</v>
      </c>
      <c r="AH27" s="417">
        <f>$I27*'Key Inputs_BY Techs'!AF$38</f>
        <v>6.6498712864000025</v>
      </c>
      <c r="AI27" s="417">
        <f>$I27*'Key Inputs_BY Techs'!AG$38</f>
        <v>6.6498712864000025</v>
      </c>
      <c r="AJ27" s="417">
        <f>$I27*'Key Inputs_BY Techs'!AH$38</f>
        <v>6.6498712864000025</v>
      </c>
      <c r="AK27" s="417">
        <f>$I27*'Key Inputs_BY Techs'!AI$38</f>
        <v>4.9280296140285724</v>
      </c>
      <c r="AL27" s="417">
        <f>$I27*'Key Inputs_BY Techs'!AJ$38</f>
        <v>4.9280296140285724</v>
      </c>
    </row>
    <row r="28" spans="1:38" x14ac:dyDescent="0.3">
      <c r="A28" s="203" t="str">
        <f>Legend!$A$45</f>
        <v>Thermal uses</v>
      </c>
      <c r="B28" s="201" t="str">
        <f>'SRV_New Techs'!K17</f>
        <v>S-TH-STV_COA01</v>
      </c>
      <c r="C28" s="201" t="str">
        <f>'SRV_New Techs'!C17</f>
        <v>Coal</v>
      </c>
      <c r="D28" s="201" t="str">
        <f>'SRV_New Techs'!D17</f>
        <v>SRVCOA</v>
      </c>
      <c r="E28" s="201" t="str">
        <f>'SRV_New Techs'!F$17</f>
        <v>Thermal uses technology: Coal</v>
      </c>
      <c r="F28" s="227">
        <v>2020</v>
      </c>
      <c r="G28" s="410">
        <v>15</v>
      </c>
      <c r="H28" s="214">
        <v>2020</v>
      </c>
      <c r="I28" s="417">
        <f>'Key Inputs_BY Techs'!H15</f>
        <v>0.75</v>
      </c>
      <c r="J28" s="98"/>
      <c r="K28" s="417">
        <f>'Key Inputs_BY Techs'!I15</f>
        <v>0.67500000000000004</v>
      </c>
      <c r="L28" s="417">
        <f>'Key Inputs_BY Techs'!J15</f>
        <v>0.67500000000000004</v>
      </c>
      <c r="M28" s="417">
        <f>'Key Inputs_BY Techs'!K15</f>
        <v>0.67500000000000004</v>
      </c>
      <c r="N28" s="417">
        <f>'Key Inputs_BY Techs'!L15</f>
        <v>0.67500000000000004</v>
      </c>
      <c r="O28" s="417">
        <f>'Key Inputs_BY Techs'!M15</f>
        <v>0.67500000000000004</v>
      </c>
      <c r="P28" s="417">
        <f>'Key Inputs_BY Techs'!N15</f>
        <v>0.67500000000000004</v>
      </c>
      <c r="Q28" s="417">
        <f>'Key Inputs_BY Techs'!O15</f>
        <v>0.67500000000000004</v>
      </c>
      <c r="R28" s="417">
        <f>'Key Inputs_BY Techs'!P15</f>
        <v>0.67500000000000004</v>
      </c>
      <c r="S28" s="417">
        <f>'Key Inputs_BY Techs'!Q15</f>
        <v>0.67500000000000004</v>
      </c>
      <c r="T28" s="417">
        <f>'Key Inputs_BY Techs'!R15</f>
        <v>0.67500000000000004</v>
      </c>
      <c r="U28" s="417">
        <f>'Key Inputs_BY Techs'!S15</f>
        <v>0.67500000000000004</v>
      </c>
      <c r="V28" s="417">
        <f>'Key Inputs_BY Techs'!T15</f>
        <v>0.67500000000000004</v>
      </c>
      <c r="W28" s="417">
        <f>'Key Inputs_BY Techs'!U15</f>
        <v>0.67500000000000004</v>
      </c>
      <c r="X28" s="417">
        <f>'Key Inputs_BY Techs'!V15</f>
        <v>0.67500000000000004</v>
      </c>
      <c r="Y28" s="417">
        <f>'Key Inputs_BY Techs'!W15</f>
        <v>0.67500000000000004</v>
      </c>
      <c r="Z28" s="417">
        <f>'Key Inputs_BY Techs'!X15</f>
        <v>0.67500000000000004</v>
      </c>
      <c r="AA28" s="417">
        <f>'Key Inputs_BY Techs'!Y15</f>
        <v>0.67500000000000004</v>
      </c>
      <c r="AB28" s="417">
        <f>'Key Inputs_BY Techs'!Z15</f>
        <v>0.67500000000000004</v>
      </c>
      <c r="AC28" s="417">
        <f>'Key Inputs_BY Techs'!AA15</f>
        <v>0.67500000000000004</v>
      </c>
      <c r="AD28" s="417">
        <f>'Key Inputs_BY Techs'!AB15</f>
        <v>0.67500000000000004</v>
      </c>
      <c r="AE28" s="417">
        <f>'Key Inputs_BY Techs'!AC15</f>
        <v>0.67500000000000004</v>
      </c>
      <c r="AF28" s="417">
        <f>'Key Inputs_BY Techs'!AD15</f>
        <v>0.67500000000000004</v>
      </c>
      <c r="AG28" s="417">
        <f>'Key Inputs_BY Techs'!AE15</f>
        <v>0.67500000000000004</v>
      </c>
      <c r="AH28" s="417">
        <f>'Key Inputs_BY Techs'!AF15</f>
        <v>0.67500000000000004</v>
      </c>
      <c r="AI28" s="417">
        <f>'Key Inputs_BY Techs'!AG15</f>
        <v>0.67500000000000004</v>
      </c>
      <c r="AJ28" s="417">
        <f>'Key Inputs_BY Techs'!AH15</f>
        <v>0.67500000000000004</v>
      </c>
      <c r="AK28" s="417">
        <f>'Key Inputs_BY Techs'!AI15</f>
        <v>0.67500000000000004</v>
      </c>
      <c r="AL28" s="417">
        <f>'Key Inputs_BY Techs'!AJ15</f>
        <v>0.67500000000000004</v>
      </c>
    </row>
    <row r="29" spans="1:38" x14ac:dyDescent="0.3">
      <c r="A29" s="203" t="str">
        <f>Legend!$A$45</f>
        <v>Thermal uses</v>
      </c>
      <c r="B29" s="201" t="str">
        <f>'SRV_New Techs'!K18</f>
        <v>S-TH-STV_OIL01</v>
      </c>
      <c r="C29" s="201" t="str">
        <f>'SRV_New Techs'!C18</f>
        <v>Oil</v>
      </c>
      <c r="D29" s="201" t="str">
        <f>'SRV_New Techs'!D18</f>
        <v>SRVOIL</v>
      </c>
      <c r="E29" s="201" t="str">
        <f>'SRV_New Techs'!F$17</f>
        <v>Thermal uses technology: Coal</v>
      </c>
      <c r="F29" s="227">
        <v>2020</v>
      </c>
      <c r="G29" s="410">
        <v>15</v>
      </c>
      <c r="H29" s="214">
        <v>2020</v>
      </c>
      <c r="I29" s="417">
        <f>'Key Inputs_BY Techs'!H22</f>
        <v>0.78</v>
      </c>
      <c r="J29" s="98"/>
      <c r="K29" s="417">
        <f>'Key Inputs_BY Techs'!I22</f>
        <v>0.70200000000000007</v>
      </c>
      <c r="L29" s="417">
        <f>'Key Inputs_BY Techs'!J22</f>
        <v>0.70200000000000007</v>
      </c>
      <c r="M29" s="417">
        <f>'Key Inputs_BY Techs'!K22</f>
        <v>0.70200000000000007</v>
      </c>
      <c r="N29" s="417">
        <f>'Key Inputs_BY Techs'!L22</f>
        <v>0.70200000000000007</v>
      </c>
      <c r="O29" s="417">
        <f>'Key Inputs_BY Techs'!M22</f>
        <v>0.70200000000000007</v>
      </c>
      <c r="P29" s="417">
        <f>'Key Inputs_BY Techs'!N22</f>
        <v>0.70200000000000007</v>
      </c>
      <c r="Q29" s="417">
        <f>'Key Inputs_BY Techs'!O22</f>
        <v>0.70200000000000007</v>
      </c>
      <c r="R29" s="417">
        <f>'Key Inputs_BY Techs'!P22</f>
        <v>0.70200000000000007</v>
      </c>
      <c r="S29" s="417">
        <f>'Key Inputs_BY Techs'!Q22</f>
        <v>0.70200000000000007</v>
      </c>
      <c r="T29" s="417">
        <f>'Key Inputs_BY Techs'!R22</f>
        <v>0.70200000000000007</v>
      </c>
      <c r="U29" s="417">
        <f>'Key Inputs_BY Techs'!S22</f>
        <v>0.70200000000000007</v>
      </c>
      <c r="V29" s="417">
        <f>'Key Inputs_BY Techs'!T22</f>
        <v>0.70200000000000007</v>
      </c>
      <c r="W29" s="417">
        <f>'Key Inputs_BY Techs'!U22</f>
        <v>0.70200000000000007</v>
      </c>
      <c r="X29" s="417">
        <f>'Key Inputs_BY Techs'!V22</f>
        <v>0.70200000000000007</v>
      </c>
      <c r="Y29" s="417">
        <f>'Key Inputs_BY Techs'!W22</f>
        <v>0.70200000000000007</v>
      </c>
      <c r="Z29" s="417">
        <f>'Key Inputs_BY Techs'!X22</f>
        <v>0.70200000000000007</v>
      </c>
      <c r="AA29" s="417">
        <f>'Key Inputs_BY Techs'!Y22</f>
        <v>0.70200000000000007</v>
      </c>
      <c r="AB29" s="417">
        <f>'Key Inputs_BY Techs'!Z22</f>
        <v>0.70200000000000007</v>
      </c>
      <c r="AC29" s="417">
        <f>'Key Inputs_BY Techs'!AA22</f>
        <v>0.70200000000000007</v>
      </c>
      <c r="AD29" s="417">
        <f>'Key Inputs_BY Techs'!AB22</f>
        <v>0.70200000000000007</v>
      </c>
      <c r="AE29" s="417">
        <f>'Key Inputs_BY Techs'!AC22</f>
        <v>0.70200000000000007</v>
      </c>
      <c r="AF29" s="417">
        <f>'Key Inputs_BY Techs'!AD22</f>
        <v>0.70200000000000007</v>
      </c>
      <c r="AG29" s="417">
        <f>'Key Inputs_BY Techs'!AE22</f>
        <v>0.70200000000000007</v>
      </c>
      <c r="AH29" s="417">
        <f>'Key Inputs_BY Techs'!AF22</f>
        <v>0.70200000000000007</v>
      </c>
      <c r="AI29" s="417">
        <f>'Key Inputs_BY Techs'!AG22</f>
        <v>0.70200000000000007</v>
      </c>
      <c r="AJ29" s="417">
        <f>'Key Inputs_BY Techs'!AH22</f>
        <v>0.70200000000000007</v>
      </c>
      <c r="AK29" s="417">
        <f>'Key Inputs_BY Techs'!AI22</f>
        <v>0.70200000000000007</v>
      </c>
      <c r="AL29" s="417">
        <f>'Key Inputs_BY Techs'!AJ22</f>
        <v>0.70200000000000007</v>
      </c>
    </row>
    <row r="30" spans="1:38" x14ac:dyDescent="0.3">
      <c r="A30" s="203" t="str">
        <f>Legend!$A$45</f>
        <v>Thermal uses</v>
      </c>
      <c r="B30" s="201" t="str">
        <f>'SRV_New Techs'!K19</f>
        <v>S-TH-STV_LPG01</v>
      </c>
      <c r="C30" s="201" t="str">
        <f>'SRV_New Techs'!C19</f>
        <v>LPG</v>
      </c>
      <c r="D30" s="201" t="str">
        <f>'SRV_New Techs'!D19</f>
        <v>SRVLPG</v>
      </c>
      <c r="E30" s="201" t="str">
        <f>'SRV_New Techs'!F$17</f>
        <v>Thermal uses technology: Coal</v>
      </c>
      <c r="F30" s="227">
        <v>2020</v>
      </c>
      <c r="G30" s="410">
        <v>15</v>
      </c>
      <c r="H30" s="214">
        <v>2020</v>
      </c>
      <c r="I30" s="417">
        <f>'Key Inputs_BY Techs'!H21</f>
        <v>0.78</v>
      </c>
      <c r="J30" s="98"/>
      <c r="K30" s="417">
        <f>'Key Inputs_BY Techs'!I21</f>
        <v>0.70200000000000007</v>
      </c>
      <c r="L30" s="417">
        <f>'Key Inputs_BY Techs'!J21</f>
        <v>0.70200000000000007</v>
      </c>
      <c r="M30" s="417">
        <f>'Key Inputs_BY Techs'!K21</f>
        <v>0.70200000000000007</v>
      </c>
      <c r="N30" s="417">
        <f>'Key Inputs_BY Techs'!L21</f>
        <v>0.70200000000000007</v>
      </c>
      <c r="O30" s="417">
        <f>'Key Inputs_BY Techs'!M21</f>
        <v>0.70200000000000007</v>
      </c>
      <c r="P30" s="417">
        <f>'Key Inputs_BY Techs'!N21</f>
        <v>0.70200000000000007</v>
      </c>
      <c r="Q30" s="417">
        <f>'Key Inputs_BY Techs'!O21</f>
        <v>0.70200000000000007</v>
      </c>
      <c r="R30" s="417">
        <f>'Key Inputs_BY Techs'!P21</f>
        <v>0.70200000000000007</v>
      </c>
      <c r="S30" s="417">
        <f>'Key Inputs_BY Techs'!Q21</f>
        <v>0.70200000000000007</v>
      </c>
      <c r="T30" s="417">
        <f>'Key Inputs_BY Techs'!R21</f>
        <v>0.70200000000000007</v>
      </c>
      <c r="U30" s="417">
        <f>'Key Inputs_BY Techs'!S21</f>
        <v>0.70200000000000007</v>
      </c>
      <c r="V30" s="417">
        <f>'Key Inputs_BY Techs'!T21</f>
        <v>0.70200000000000007</v>
      </c>
      <c r="W30" s="417">
        <f>'Key Inputs_BY Techs'!U21</f>
        <v>0.70200000000000007</v>
      </c>
      <c r="X30" s="417">
        <f>'Key Inputs_BY Techs'!V21</f>
        <v>0.70200000000000007</v>
      </c>
      <c r="Y30" s="417">
        <f>'Key Inputs_BY Techs'!W21</f>
        <v>0.70200000000000007</v>
      </c>
      <c r="Z30" s="417">
        <f>'Key Inputs_BY Techs'!X21</f>
        <v>0.70200000000000007</v>
      </c>
      <c r="AA30" s="417">
        <f>'Key Inputs_BY Techs'!Y21</f>
        <v>0.70200000000000007</v>
      </c>
      <c r="AB30" s="417">
        <f>'Key Inputs_BY Techs'!Z21</f>
        <v>0.70200000000000007</v>
      </c>
      <c r="AC30" s="417">
        <f>'Key Inputs_BY Techs'!AA21</f>
        <v>0.70200000000000007</v>
      </c>
      <c r="AD30" s="417">
        <f>'Key Inputs_BY Techs'!AB21</f>
        <v>0.70200000000000007</v>
      </c>
      <c r="AE30" s="417">
        <f>'Key Inputs_BY Techs'!AC21</f>
        <v>0.70200000000000007</v>
      </c>
      <c r="AF30" s="417">
        <f>'Key Inputs_BY Techs'!AD21</f>
        <v>0.70200000000000007</v>
      </c>
      <c r="AG30" s="417">
        <f>'Key Inputs_BY Techs'!AE21</f>
        <v>0.70200000000000007</v>
      </c>
      <c r="AH30" s="417">
        <f>'Key Inputs_BY Techs'!AF21</f>
        <v>0.70200000000000007</v>
      </c>
      <c r="AI30" s="417">
        <f>'Key Inputs_BY Techs'!AG21</f>
        <v>0.70200000000000007</v>
      </c>
      <c r="AJ30" s="417">
        <f>'Key Inputs_BY Techs'!AH21</f>
        <v>0.70200000000000007</v>
      </c>
      <c r="AK30" s="417">
        <f>'Key Inputs_BY Techs'!AI21</f>
        <v>0.70200000000000007</v>
      </c>
      <c r="AL30" s="417">
        <f>'Key Inputs_BY Techs'!AJ21</f>
        <v>0.70200000000000007</v>
      </c>
    </row>
    <row r="31" spans="1:38" x14ac:dyDescent="0.3">
      <c r="A31" s="203" t="str">
        <f>Legend!$A$45</f>
        <v>Thermal uses</v>
      </c>
      <c r="B31" s="201" t="str">
        <f>'SRV_New Techs'!K20</f>
        <v>S-TH-STV_BIO01</v>
      </c>
      <c r="C31" s="201" t="str">
        <f>'SRV_New Techs'!C20</f>
        <v>Biomass</v>
      </c>
      <c r="D31" s="201" t="str">
        <f>'SRV_New Techs'!D20</f>
        <v>SRVBIO</v>
      </c>
      <c r="E31" s="201" t="str">
        <f>'SRV_New Techs'!F$17</f>
        <v>Thermal uses technology: Coal</v>
      </c>
      <c r="F31" s="227">
        <v>2020</v>
      </c>
      <c r="G31" s="410">
        <v>15</v>
      </c>
      <c r="H31" s="214">
        <v>2020</v>
      </c>
      <c r="I31" s="417">
        <f>'Key Inputs_BY Techs'!H14</f>
        <v>0.72</v>
      </c>
      <c r="J31" s="98"/>
      <c r="K31" s="417">
        <f>'Key Inputs_BY Techs'!I14</f>
        <v>0.64800000000000002</v>
      </c>
      <c r="L31" s="417">
        <f>'Key Inputs_BY Techs'!J14</f>
        <v>0.64800000000000002</v>
      </c>
      <c r="M31" s="417">
        <f>'Key Inputs_BY Techs'!K14</f>
        <v>0.64800000000000002</v>
      </c>
      <c r="N31" s="417">
        <f>'Key Inputs_BY Techs'!L14</f>
        <v>0.64800000000000002</v>
      </c>
      <c r="O31" s="417">
        <f>'Key Inputs_BY Techs'!M14</f>
        <v>0.64800000000000002</v>
      </c>
      <c r="P31" s="417">
        <f>'Key Inputs_BY Techs'!N14</f>
        <v>0.64800000000000002</v>
      </c>
      <c r="Q31" s="417">
        <f>'Key Inputs_BY Techs'!O14</f>
        <v>0.64800000000000002</v>
      </c>
      <c r="R31" s="417">
        <f>'Key Inputs_BY Techs'!P14</f>
        <v>0.64800000000000002</v>
      </c>
      <c r="S31" s="417">
        <f>'Key Inputs_BY Techs'!Q14</f>
        <v>0.64800000000000002</v>
      </c>
      <c r="T31" s="417">
        <f>'Key Inputs_BY Techs'!R14</f>
        <v>0.64800000000000002</v>
      </c>
      <c r="U31" s="417">
        <f>'Key Inputs_BY Techs'!S14</f>
        <v>0.64800000000000002</v>
      </c>
      <c r="V31" s="417">
        <f>'Key Inputs_BY Techs'!T14</f>
        <v>0.64800000000000002</v>
      </c>
      <c r="W31" s="417">
        <f>'Key Inputs_BY Techs'!U14</f>
        <v>0.64800000000000002</v>
      </c>
      <c r="X31" s="417">
        <f>'Key Inputs_BY Techs'!V14</f>
        <v>0.64800000000000002</v>
      </c>
      <c r="Y31" s="417">
        <f>'Key Inputs_BY Techs'!W14</f>
        <v>0.64800000000000002</v>
      </c>
      <c r="Z31" s="417">
        <f>'Key Inputs_BY Techs'!X14</f>
        <v>0.64800000000000002</v>
      </c>
      <c r="AA31" s="417">
        <f>'Key Inputs_BY Techs'!Y14</f>
        <v>0.64800000000000002</v>
      </c>
      <c r="AB31" s="417">
        <f>'Key Inputs_BY Techs'!Z14</f>
        <v>0.64800000000000002</v>
      </c>
      <c r="AC31" s="417">
        <f>'Key Inputs_BY Techs'!AA14</f>
        <v>0.64800000000000002</v>
      </c>
      <c r="AD31" s="417">
        <f>'Key Inputs_BY Techs'!AB14</f>
        <v>0.64800000000000002</v>
      </c>
      <c r="AE31" s="417">
        <f>'Key Inputs_BY Techs'!AC14</f>
        <v>0.64800000000000002</v>
      </c>
      <c r="AF31" s="417">
        <f>'Key Inputs_BY Techs'!AD14</f>
        <v>0.64800000000000002</v>
      </c>
      <c r="AG31" s="417">
        <f>'Key Inputs_BY Techs'!AE14</f>
        <v>0.64800000000000002</v>
      </c>
      <c r="AH31" s="417">
        <f>'Key Inputs_BY Techs'!AF14</f>
        <v>0.64800000000000002</v>
      </c>
      <c r="AI31" s="417">
        <f>'Key Inputs_BY Techs'!AG14</f>
        <v>0.64800000000000002</v>
      </c>
      <c r="AJ31" s="417">
        <f>'Key Inputs_BY Techs'!AH14</f>
        <v>0.64800000000000002</v>
      </c>
      <c r="AK31" s="417">
        <f>'Key Inputs_BY Techs'!AI14</f>
        <v>0.64800000000000002</v>
      </c>
      <c r="AL31" s="417">
        <f>'Key Inputs_BY Techs'!AJ14</f>
        <v>0.64800000000000002</v>
      </c>
    </row>
    <row r="32" spans="1:38" x14ac:dyDescent="0.3">
      <c r="A32" s="203" t="str">
        <f>Legend!$A$45</f>
        <v>Thermal uses</v>
      </c>
      <c r="B32" s="201" t="str">
        <f>'SRV_New Techs'!K$21</f>
        <v>S-TH-HEX_HET01</v>
      </c>
      <c r="C32" s="201" t="str">
        <f>'SRV_New Techs'!C$21</f>
        <v>Heat</v>
      </c>
      <c r="D32" s="201" t="str">
        <f>'SRV_New Techs'!D$21</f>
        <v>SRVHET</v>
      </c>
      <c r="E32" s="201" t="str">
        <f>'SRV_New Techs'!F$21</f>
        <v>District Heat (Ord.)</v>
      </c>
      <c r="F32" s="227">
        <v>2020</v>
      </c>
      <c r="G32" s="305">
        <v>20</v>
      </c>
      <c r="H32" s="411">
        <v>2020</v>
      </c>
      <c r="I32" s="417">
        <f>'Key Inputs_BY Techs'!H20</f>
        <v>0.72320888520081605</v>
      </c>
      <c r="J32" s="98">
        <f>1</f>
        <v>1</v>
      </c>
      <c r="K32" s="417">
        <f>$I32*'Key Inputs_BY Techs'!I$38</f>
        <v>0.80999395142491404</v>
      </c>
      <c r="L32" s="417">
        <f>$I32*'Key Inputs_BY Techs'!J$38</f>
        <v>0.80999395142491404</v>
      </c>
      <c r="M32" s="417">
        <f>$I32*'Key Inputs_BY Techs'!K$38</f>
        <v>0.80999395142491404</v>
      </c>
      <c r="N32" s="417">
        <f>$I32*'Key Inputs_BY Techs'!L$38</f>
        <v>0.80999395142491404</v>
      </c>
      <c r="O32" s="417">
        <f>$I32*'Key Inputs_BY Techs'!M$38</f>
        <v>0.72320888520081605</v>
      </c>
      <c r="P32" s="417">
        <f>$I32*'Key Inputs_BY Techs'!N$38</f>
        <v>0.60026337471667734</v>
      </c>
      <c r="Q32" s="417">
        <f>$I32*'Key Inputs_BY Techs'!O$38</f>
        <v>0.60026337471667734</v>
      </c>
      <c r="R32" s="417">
        <f>$I32*'Key Inputs_BY Techs'!P$38</f>
        <v>0.72320888520081605</v>
      </c>
      <c r="S32" s="417">
        <f>$I32*'Key Inputs_BY Techs'!Q$38</f>
        <v>0.80999395142491404</v>
      </c>
      <c r="T32" s="417">
        <f>$I32*'Key Inputs_BY Techs'!R$38</f>
        <v>0.72320888520081605</v>
      </c>
      <c r="U32" s="417">
        <f>$I32*'Key Inputs_BY Techs'!S$38</f>
        <v>0.80999395142491404</v>
      </c>
      <c r="V32" s="417">
        <f>$I32*'Key Inputs_BY Techs'!T$38</f>
        <v>0.60026337471667734</v>
      </c>
      <c r="W32" s="417">
        <f>$I32*'Key Inputs_BY Techs'!U$38</f>
        <v>0.80999395142491404</v>
      </c>
      <c r="X32" s="417">
        <f>$I32*'Key Inputs_BY Techs'!V$38</f>
        <v>0.80999395142491404</v>
      </c>
      <c r="Y32" s="417">
        <f>$I32*'Key Inputs_BY Techs'!W$38</f>
        <v>0.80999395142491404</v>
      </c>
      <c r="Z32" s="417">
        <f>$I32*'Key Inputs_BY Techs'!X$38</f>
        <v>0.60026337471667734</v>
      </c>
      <c r="AA32" s="417">
        <f>$I32*'Key Inputs_BY Techs'!Y$38</f>
        <v>0.60026337471667734</v>
      </c>
      <c r="AB32" s="417">
        <f>$I32*'Key Inputs_BY Techs'!Z$38</f>
        <v>0.60026337471667734</v>
      </c>
      <c r="AC32" s="417">
        <f>$I32*'Key Inputs_BY Techs'!AA$38</f>
        <v>0.72320888520081605</v>
      </c>
      <c r="AD32" s="417">
        <f>$I32*'Key Inputs_BY Techs'!AB$38</f>
        <v>0.72320888520081605</v>
      </c>
      <c r="AE32" s="417">
        <f>$I32*'Key Inputs_BY Techs'!AC$38</f>
        <v>0.80999395142491404</v>
      </c>
      <c r="AF32" s="417">
        <f>$I32*'Key Inputs_BY Techs'!AD$38</f>
        <v>0.80999395142491404</v>
      </c>
      <c r="AG32" s="417">
        <f>$I32*'Key Inputs_BY Techs'!AE$38</f>
        <v>0.80999395142491404</v>
      </c>
      <c r="AH32" s="417">
        <f>$I32*'Key Inputs_BY Techs'!AF$38</f>
        <v>0.80999395142491404</v>
      </c>
      <c r="AI32" s="417">
        <f>$I32*'Key Inputs_BY Techs'!AG$38</f>
        <v>0.80999395142491404</v>
      </c>
      <c r="AJ32" s="417">
        <f>$I32*'Key Inputs_BY Techs'!AH$38</f>
        <v>0.80999395142491404</v>
      </c>
      <c r="AK32" s="417">
        <f>$I32*'Key Inputs_BY Techs'!AI$38</f>
        <v>0.60026337471667734</v>
      </c>
      <c r="AL32" s="417">
        <f>$I32*'Key Inputs_BY Techs'!AJ$38</f>
        <v>0.60026337471667734</v>
      </c>
    </row>
    <row r="33" spans="1:38" x14ac:dyDescent="0.3">
      <c r="A33" s="203" t="str">
        <f>Legend!$A$45</f>
        <v>Thermal uses</v>
      </c>
      <c r="B33" s="201" t="str">
        <f>'SRV_New Techs'!K$22</f>
        <v>S-TH-HEX_HET02</v>
      </c>
      <c r="C33" s="201" t="str">
        <f>'SRV_New Techs'!C$22</f>
        <v>Heat</v>
      </c>
      <c r="D33" s="201" t="str">
        <f>'SRV_New Techs'!D$22</f>
        <v>SRVHET</v>
      </c>
      <c r="E33" s="201" t="str">
        <f>'SRV_New Techs'!F$22</f>
        <v>District Heat (Imp.)</v>
      </c>
      <c r="F33" s="227">
        <v>2025</v>
      </c>
      <c r="G33" s="410">
        <v>20</v>
      </c>
      <c r="H33" s="411">
        <v>2025</v>
      </c>
      <c r="I33" s="417">
        <f>I$32*J33</f>
        <v>0.72320888520081605</v>
      </c>
      <c r="J33" s="98">
        <v>1</v>
      </c>
      <c r="K33" s="417">
        <f>$I33*'Key Inputs_BY Techs'!I$38</f>
        <v>0.80999395142491404</v>
      </c>
      <c r="L33" s="417">
        <f>$I33*'Key Inputs_BY Techs'!J$38</f>
        <v>0.80999395142491404</v>
      </c>
      <c r="M33" s="417">
        <f>$I33*'Key Inputs_BY Techs'!K$38</f>
        <v>0.80999395142491404</v>
      </c>
      <c r="N33" s="417">
        <f>$I33*'Key Inputs_BY Techs'!L$38</f>
        <v>0.80999395142491404</v>
      </c>
      <c r="O33" s="417">
        <f>$I33*'Key Inputs_BY Techs'!M$38</f>
        <v>0.72320888520081605</v>
      </c>
      <c r="P33" s="417">
        <f>$I33*'Key Inputs_BY Techs'!N$38</f>
        <v>0.60026337471667734</v>
      </c>
      <c r="Q33" s="417">
        <f>$I33*'Key Inputs_BY Techs'!O$38</f>
        <v>0.60026337471667734</v>
      </c>
      <c r="R33" s="417">
        <f>$I33*'Key Inputs_BY Techs'!P$38</f>
        <v>0.72320888520081605</v>
      </c>
      <c r="S33" s="417">
        <f>$I33*'Key Inputs_BY Techs'!Q$38</f>
        <v>0.80999395142491404</v>
      </c>
      <c r="T33" s="417">
        <f>$I33*'Key Inputs_BY Techs'!R$38</f>
        <v>0.72320888520081605</v>
      </c>
      <c r="U33" s="417">
        <f>$I33*'Key Inputs_BY Techs'!S$38</f>
        <v>0.80999395142491404</v>
      </c>
      <c r="V33" s="417">
        <f>$I33*'Key Inputs_BY Techs'!T$38</f>
        <v>0.60026337471667734</v>
      </c>
      <c r="W33" s="417">
        <f>$I33*'Key Inputs_BY Techs'!U$38</f>
        <v>0.80999395142491404</v>
      </c>
      <c r="X33" s="417">
        <f>$I33*'Key Inputs_BY Techs'!V$38</f>
        <v>0.80999395142491404</v>
      </c>
      <c r="Y33" s="417">
        <f>$I33*'Key Inputs_BY Techs'!W$38</f>
        <v>0.80999395142491404</v>
      </c>
      <c r="Z33" s="417">
        <f>$I33*'Key Inputs_BY Techs'!X$38</f>
        <v>0.60026337471667734</v>
      </c>
      <c r="AA33" s="417">
        <f>$I33*'Key Inputs_BY Techs'!Y$38</f>
        <v>0.60026337471667734</v>
      </c>
      <c r="AB33" s="417">
        <f>$I33*'Key Inputs_BY Techs'!Z$38</f>
        <v>0.60026337471667734</v>
      </c>
      <c r="AC33" s="417">
        <f>$I33*'Key Inputs_BY Techs'!AA$38</f>
        <v>0.72320888520081605</v>
      </c>
      <c r="AD33" s="417">
        <f>$I33*'Key Inputs_BY Techs'!AB$38</f>
        <v>0.72320888520081605</v>
      </c>
      <c r="AE33" s="417">
        <f>$I33*'Key Inputs_BY Techs'!AC$38</f>
        <v>0.80999395142491404</v>
      </c>
      <c r="AF33" s="417">
        <f>$I33*'Key Inputs_BY Techs'!AD$38</f>
        <v>0.80999395142491404</v>
      </c>
      <c r="AG33" s="417">
        <f>$I33*'Key Inputs_BY Techs'!AE$38</f>
        <v>0.80999395142491404</v>
      </c>
      <c r="AH33" s="417">
        <f>$I33*'Key Inputs_BY Techs'!AF$38</f>
        <v>0.80999395142491404</v>
      </c>
      <c r="AI33" s="417">
        <f>$I33*'Key Inputs_BY Techs'!AG$38</f>
        <v>0.80999395142491404</v>
      </c>
      <c r="AJ33" s="417">
        <f>$I33*'Key Inputs_BY Techs'!AH$38</f>
        <v>0.80999395142491404</v>
      </c>
      <c r="AK33" s="417">
        <f>$I33*'Key Inputs_BY Techs'!AI$38</f>
        <v>0.60026337471667734</v>
      </c>
      <c r="AL33" s="417">
        <f>$I33*'Key Inputs_BY Techs'!AJ$38</f>
        <v>0.60026337471667734</v>
      </c>
    </row>
    <row r="34" spans="1:38" x14ac:dyDescent="0.3">
      <c r="C34" s="203"/>
      <c r="D34" s="203"/>
      <c r="E34" s="203"/>
      <c r="F34" s="309"/>
      <c r="G34" s="309"/>
      <c r="H34" s="211">
        <v>2030</v>
      </c>
      <c r="I34" s="417">
        <f t="shared" ref="I34:I35" si="2">I$32*J34</f>
        <v>0.74299999999999999</v>
      </c>
      <c r="J34" s="98">
        <f>'S2'!K22/$I$32</f>
        <v>1.0273656964179698</v>
      </c>
      <c r="K34" s="417">
        <f>$I34*'Key Inputs_BY Techs'!I$38</f>
        <v>0.83216000000000012</v>
      </c>
      <c r="L34" s="417">
        <f>$I34*'Key Inputs_BY Techs'!J$38</f>
        <v>0.83216000000000012</v>
      </c>
      <c r="M34" s="417">
        <f>$I34*'Key Inputs_BY Techs'!K$38</f>
        <v>0.83216000000000012</v>
      </c>
      <c r="N34" s="417">
        <f>$I34*'Key Inputs_BY Techs'!L$38</f>
        <v>0.83216000000000012</v>
      </c>
      <c r="O34" s="417">
        <f>$I34*'Key Inputs_BY Techs'!M$38</f>
        <v>0.74299999999999999</v>
      </c>
      <c r="P34" s="417">
        <f>$I34*'Key Inputs_BY Techs'!N$38</f>
        <v>0.61668999999999996</v>
      </c>
      <c r="Q34" s="417">
        <f>$I34*'Key Inputs_BY Techs'!O$38</f>
        <v>0.61668999999999996</v>
      </c>
      <c r="R34" s="417">
        <f>$I34*'Key Inputs_BY Techs'!P$38</f>
        <v>0.74299999999999999</v>
      </c>
      <c r="S34" s="417">
        <f>$I34*'Key Inputs_BY Techs'!Q$38</f>
        <v>0.83216000000000012</v>
      </c>
      <c r="T34" s="417">
        <f>$I34*'Key Inputs_BY Techs'!R$38</f>
        <v>0.74299999999999999</v>
      </c>
      <c r="U34" s="417">
        <f>$I34*'Key Inputs_BY Techs'!S$38</f>
        <v>0.83216000000000012</v>
      </c>
      <c r="V34" s="417">
        <f>$I34*'Key Inputs_BY Techs'!T$38</f>
        <v>0.61668999999999996</v>
      </c>
      <c r="W34" s="417">
        <f>$I34*'Key Inputs_BY Techs'!U$38</f>
        <v>0.83216000000000012</v>
      </c>
      <c r="X34" s="417">
        <f>$I34*'Key Inputs_BY Techs'!V$38</f>
        <v>0.83216000000000012</v>
      </c>
      <c r="Y34" s="417">
        <f>$I34*'Key Inputs_BY Techs'!W$38</f>
        <v>0.83216000000000012</v>
      </c>
      <c r="Z34" s="417">
        <f>$I34*'Key Inputs_BY Techs'!X$38</f>
        <v>0.61668999999999996</v>
      </c>
      <c r="AA34" s="417">
        <f>$I34*'Key Inputs_BY Techs'!Y$38</f>
        <v>0.61668999999999996</v>
      </c>
      <c r="AB34" s="417">
        <f>$I34*'Key Inputs_BY Techs'!Z$38</f>
        <v>0.61668999999999996</v>
      </c>
      <c r="AC34" s="417">
        <f>$I34*'Key Inputs_BY Techs'!AA$38</f>
        <v>0.74299999999999999</v>
      </c>
      <c r="AD34" s="417">
        <f>$I34*'Key Inputs_BY Techs'!AB$38</f>
        <v>0.74299999999999999</v>
      </c>
      <c r="AE34" s="417">
        <f>$I34*'Key Inputs_BY Techs'!AC$38</f>
        <v>0.83216000000000012</v>
      </c>
      <c r="AF34" s="417">
        <f>$I34*'Key Inputs_BY Techs'!AD$38</f>
        <v>0.83216000000000012</v>
      </c>
      <c r="AG34" s="417">
        <f>$I34*'Key Inputs_BY Techs'!AE$38</f>
        <v>0.83216000000000012</v>
      </c>
      <c r="AH34" s="417">
        <f>$I34*'Key Inputs_BY Techs'!AF$38</f>
        <v>0.83216000000000012</v>
      </c>
      <c r="AI34" s="417">
        <f>$I34*'Key Inputs_BY Techs'!AG$38</f>
        <v>0.83216000000000012</v>
      </c>
      <c r="AJ34" s="417">
        <f>$I34*'Key Inputs_BY Techs'!AH$38</f>
        <v>0.83216000000000012</v>
      </c>
      <c r="AK34" s="417">
        <f>$I34*'Key Inputs_BY Techs'!AI$38</f>
        <v>0.61668999999999996</v>
      </c>
      <c r="AL34" s="417">
        <f>$I34*'Key Inputs_BY Techs'!AJ$38</f>
        <v>0.61668999999999996</v>
      </c>
    </row>
    <row r="35" spans="1:38" x14ac:dyDescent="0.3">
      <c r="B35" s="201"/>
      <c r="F35" s="227"/>
      <c r="G35" s="410"/>
      <c r="H35" s="211">
        <v>2050</v>
      </c>
      <c r="I35" s="417">
        <f t="shared" si="2"/>
        <v>0.7569999999999999</v>
      </c>
      <c r="J35" s="98">
        <f>'S2'!N22/$I$32</f>
        <v>1.0467238656640687</v>
      </c>
      <c r="K35" s="417">
        <f>$I35*'Key Inputs_BY Techs'!I$38</f>
        <v>0.84783999999999993</v>
      </c>
      <c r="L35" s="417">
        <f>$I35*'Key Inputs_BY Techs'!J$38</f>
        <v>0.84783999999999993</v>
      </c>
      <c r="M35" s="417">
        <f>$I35*'Key Inputs_BY Techs'!K$38</f>
        <v>0.84783999999999993</v>
      </c>
      <c r="N35" s="417">
        <f>$I35*'Key Inputs_BY Techs'!L$38</f>
        <v>0.84783999999999993</v>
      </c>
      <c r="O35" s="417">
        <f>$I35*'Key Inputs_BY Techs'!M$38</f>
        <v>0.7569999999999999</v>
      </c>
      <c r="P35" s="417">
        <f>$I35*'Key Inputs_BY Techs'!N$38</f>
        <v>0.62830999999999992</v>
      </c>
      <c r="Q35" s="417">
        <f>$I35*'Key Inputs_BY Techs'!O$38</f>
        <v>0.62830999999999992</v>
      </c>
      <c r="R35" s="417">
        <f>$I35*'Key Inputs_BY Techs'!P$38</f>
        <v>0.7569999999999999</v>
      </c>
      <c r="S35" s="417">
        <f>$I35*'Key Inputs_BY Techs'!Q$38</f>
        <v>0.84783999999999993</v>
      </c>
      <c r="T35" s="417">
        <f>$I35*'Key Inputs_BY Techs'!R$38</f>
        <v>0.7569999999999999</v>
      </c>
      <c r="U35" s="417">
        <f>$I35*'Key Inputs_BY Techs'!S$38</f>
        <v>0.84783999999999993</v>
      </c>
      <c r="V35" s="417">
        <f>$I35*'Key Inputs_BY Techs'!T$38</f>
        <v>0.62830999999999992</v>
      </c>
      <c r="W35" s="417">
        <f>$I35*'Key Inputs_BY Techs'!U$38</f>
        <v>0.84783999999999993</v>
      </c>
      <c r="X35" s="417">
        <f>$I35*'Key Inputs_BY Techs'!V$38</f>
        <v>0.84783999999999993</v>
      </c>
      <c r="Y35" s="417">
        <f>$I35*'Key Inputs_BY Techs'!W$38</f>
        <v>0.84783999999999993</v>
      </c>
      <c r="Z35" s="417">
        <f>$I35*'Key Inputs_BY Techs'!X$38</f>
        <v>0.62830999999999992</v>
      </c>
      <c r="AA35" s="417">
        <f>$I35*'Key Inputs_BY Techs'!Y$38</f>
        <v>0.62830999999999992</v>
      </c>
      <c r="AB35" s="417">
        <f>$I35*'Key Inputs_BY Techs'!Z$38</f>
        <v>0.62830999999999992</v>
      </c>
      <c r="AC35" s="417">
        <f>$I35*'Key Inputs_BY Techs'!AA$38</f>
        <v>0.7569999999999999</v>
      </c>
      <c r="AD35" s="417">
        <f>$I35*'Key Inputs_BY Techs'!AB$38</f>
        <v>0.7569999999999999</v>
      </c>
      <c r="AE35" s="417">
        <f>$I35*'Key Inputs_BY Techs'!AC$38</f>
        <v>0.84783999999999993</v>
      </c>
      <c r="AF35" s="417">
        <f>$I35*'Key Inputs_BY Techs'!AD$38</f>
        <v>0.84783999999999993</v>
      </c>
      <c r="AG35" s="417">
        <f>$I35*'Key Inputs_BY Techs'!AE$38</f>
        <v>0.84783999999999993</v>
      </c>
      <c r="AH35" s="417">
        <f>$I35*'Key Inputs_BY Techs'!AF$38</f>
        <v>0.84783999999999993</v>
      </c>
      <c r="AI35" s="417">
        <f>$I35*'Key Inputs_BY Techs'!AG$38</f>
        <v>0.84783999999999993</v>
      </c>
      <c r="AJ35" s="417">
        <f>$I35*'Key Inputs_BY Techs'!AH$38</f>
        <v>0.84783999999999993</v>
      </c>
      <c r="AK35" s="417">
        <f>$I35*'Key Inputs_BY Techs'!AI$38</f>
        <v>0.62830999999999992</v>
      </c>
      <c r="AL35" s="417">
        <f>$I35*'Key Inputs_BY Techs'!AJ$38</f>
        <v>0.62830999999999992</v>
      </c>
    </row>
    <row r="36" spans="1:38" x14ac:dyDescent="0.3">
      <c r="A36" s="207" t="str">
        <f>Legend!A$46</f>
        <v>Air conditioning</v>
      </c>
      <c r="B36" s="208" t="str">
        <f>'SRV_New Techs'!K$23</f>
        <v>S-AC_ELC01</v>
      </c>
      <c r="C36" s="208" t="str">
        <f>'SRV_New Techs'!C$23</f>
        <v>Electricity</v>
      </c>
      <c r="D36" s="208" t="str">
        <f>'SRV_New Techs'!D$23</f>
        <v>SRVELC</v>
      </c>
      <c r="E36" s="208" t="str">
        <f>'SRV_New Techs'!F$23</f>
        <v>Air conditioning (Ord.)</v>
      </c>
      <c r="F36" s="209">
        <v>2020</v>
      </c>
      <c r="G36" s="245">
        <v>14</v>
      </c>
      <c r="H36" s="413">
        <v>2020</v>
      </c>
      <c r="I36" s="418">
        <f>'Key Inputs_BY Techs'!H25</f>
        <v>2.7453024909845536</v>
      </c>
      <c r="J36" s="304">
        <f>1</f>
        <v>1</v>
      </c>
      <c r="K36" s="420">
        <f>$I36*'Key Inputs_BY Techs'!I$40</f>
        <v>2.7453024909845536</v>
      </c>
      <c r="L36" s="420">
        <f>$I36*'Key Inputs_BY Techs'!J$40</f>
        <v>2.7453024909845536</v>
      </c>
      <c r="M36" s="420">
        <f>$I36*'Key Inputs_BY Techs'!K$40</f>
        <v>2.7453024909845536</v>
      </c>
      <c r="N36" s="420">
        <f>$I36*'Key Inputs_BY Techs'!L$40</f>
        <v>2.7453024909845536</v>
      </c>
      <c r="O36" s="420">
        <f>$I36*'Key Inputs_BY Techs'!M$40</f>
        <v>2.7453024909845536</v>
      </c>
      <c r="P36" s="420">
        <f>$I36*'Key Inputs_BY Techs'!N$40</f>
        <v>2.7453024909845536</v>
      </c>
      <c r="Q36" s="420">
        <f>$I36*'Key Inputs_BY Techs'!O$40</f>
        <v>2.7453024909845536</v>
      </c>
      <c r="R36" s="420">
        <f>$I36*'Key Inputs_BY Techs'!P$40</f>
        <v>2.7453024909845536</v>
      </c>
      <c r="S36" s="420">
        <f>$I36*'Key Inputs_BY Techs'!Q$40</f>
        <v>2.7453024909845536</v>
      </c>
      <c r="T36" s="420">
        <f>$I36*'Key Inputs_BY Techs'!R$40</f>
        <v>2.7453024909845536</v>
      </c>
      <c r="U36" s="420">
        <f>$I36*'Key Inputs_BY Techs'!S$40</f>
        <v>2.7453024909845536</v>
      </c>
      <c r="V36" s="420">
        <f>$I36*'Key Inputs_BY Techs'!T$40</f>
        <v>2.7453024909845536</v>
      </c>
      <c r="W36" s="420">
        <f>$I36*'Key Inputs_BY Techs'!U$40</f>
        <v>2.7453024909845536</v>
      </c>
      <c r="X36" s="420">
        <f>$I36*'Key Inputs_BY Techs'!V$40</f>
        <v>2.7453024909845536</v>
      </c>
      <c r="Y36" s="420">
        <f>$I36*'Key Inputs_BY Techs'!W$40</f>
        <v>2.7453024909845536</v>
      </c>
      <c r="Z36" s="420">
        <f>$I36*'Key Inputs_BY Techs'!X$40</f>
        <v>2.7453024909845536</v>
      </c>
      <c r="AA36" s="420">
        <f>$I36*'Key Inputs_BY Techs'!Y$40</f>
        <v>2.7453024909845536</v>
      </c>
      <c r="AB36" s="420">
        <f>$I36*'Key Inputs_BY Techs'!Z$40</f>
        <v>2.7453024909845536</v>
      </c>
      <c r="AC36" s="420">
        <f>$I36*'Key Inputs_BY Techs'!AA$40</f>
        <v>2.7453024909845536</v>
      </c>
      <c r="AD36" s="420">
        <f>$I36*'Key Inputs_BY Techs'!AB$40</f>
        <v>2.7453024909845536</v>
      </c>
      <c r="AE36" s="420">
        <f>$I36*'Key Inputs_BY Techs'!AC$40</f>
        <v>2.7453024909845536</v>
      </c>
      <c r="AF36" s="420">
        <f>$I36*'Key Inputs_BY Techs'!AD$40</f>
        <v>2.7453024909845536</v>
      </c>
      <c r="AG36" s="420">
        <f>$I36*'Key Inputs_BY Techs'!AE$40</f>
        <v>2.7453024909845536</v>
      </c>
      <c r="AH36" s="420">
        <f>$I36*'Key Inputs_BY Techs'!AF$40</f>
        <v>2.7453024909845536</v>
      </c>
      <c r="AI36" s="420">
        <f>$I36*'Key Inputs_BY Techs'!AG$40</f>
        <v>2.7453024909845536</v>
      </c>
      <c r="AJ36" s="420">
        <f>$I36*'Key Inputs_BY Techs'!AH$40</f>
        <v>2.7453024909845536</v>
      </c>
      <c r="AK36" s="420">
        <f>$I36*'Key Inputs_BY Techs'!AI$40</f>
        <v>2.7453024909845536</v>
      </c>
      <c r="AL36" s="420">
        <f>$I36*'Key Inputs_BY Techs'!AJ$40</f>
        <v>2.7453024909845536</v>
      </c>
    </row>
    <row r="37" spans="1:38" x14ac:dyDescent="0.3">
      <c r="A37" s="203" t="str">
        <f>Legend!A$46</f>
        <v>Air conditioning</v>
      </c>
      <c r="B37" s="201" t="str">
        <f>'SRV_New Techs'!K$24</f>
        <v>S-AC_ELC02</v>
      </c>
      <c r="C37" s="201" t="str">
        <f>'SRV_New Techs'!C$24</f>
        <v>Electricity</v>
      </c>
      <c r="D37" s="201" t="str">
        <f>'SRV_New Techs'!D$24</f>
        <v>SRVELC</v>
      </c>
      <c r="E37" s="201" t="str">
        <f>'SRV_New Techs'!F$24</f>
        <v>Air conditioning (Imp.)</v>
      </c>
      <c r="F37" s="227">
        <v>2025</v>
      </c>
      <c r="G37" s="227">
        <v>14</v>
      </c>
      <c r="H37" s="411">
        <v>2025</v>
      </c>
      <c r="I37" s="419">
        <f>I$36*J37</f>
        <v>2.7453024909845536</v>
      </c>
      <c r="J37" s="283">
        <v>1</v>
      </c>
      <c r="K37" s="256">
        <f>$I37*'Key Inputs_BY Techs'!I$40</f>
        <v>2.7453024909845536</v>
      </c>
      <c r="L37" s="256">
        <f>$I37*'Key Inputs_BY Techs'!J$40</f>
        <v>2.7453024909845536</v>
      </c>
      <c r="M37" s="256">
        <f>$I37*'Key Inputs_BY Techs'!K$40</f>
        <v>2.7453024909845536</v>
      </c>
      <c r="N37" s="256">
        <f>$I37*'Key Inputs_BY Techs'!L$40</f>
        <v>2.7453024909845536</v>
      </c>
      <c r="O37" s="256">
        <f>$I37*'Key Inputs_BY Techs'!M$40</f>
        <v>2.7453024909845536</v>
      </c>
      <c r="P37" s="256">
        <f>$I37*'Key Inputs_BY Techs'!N$40</f>
        <v>2.7453024909845536</v>
      </c>
      <c r="Q37" s="256">
        <f>$I37*'Key Inputs_BY Techs'!O$40</f>
        <v>2.7453024909845536</v>
      </c>
      <c r="R37" s="256">
        <f>$I37*'Key Inputs_BY Techs'!P$40</f>
        <v>2.7453024909845536</v>
      </c>
      <c r="S37" s="256">
        <f>$I37*'Key Inputs_BY Techs'!Q$40</f>
        <v>2.7453024909845536</v>
      </c>
      <c r="T37" s="256">
        <f>$I37*'Key Inputs_BY Techs'!R$40</f>
        <v>2.7453024909845536</v>
      </c>
      <c r="U37" s="256">
        <f>$I37*'Key Inputs_BY Techs'!S$40</f>
        <v>2.7453024909845536</v>
      </c>
      <c r="V37" s="256">
        <f>$I37*'Key Inputs_BY Techs'!T$40</f>
        <v>2.7453024909845536</v>
      </c>
      <c r="W37" s="256">
        <f>$I37*'Key Inputs_BY Techs'!U$40</f>
        <v>2.7453024909845536</v>
      </c>
      <c r="X37" s="256">
        <f>$I37*'Key Inputs_BY Techs'!V$40</f>
        <v>2.7453024909845536</v>
      </c>
      <c r="Y37" s="256">
        <f>$I37*'Key Inputs_BY Techs'!W$40</f>
        <v>2.7453024909845536</v>
      </c>
      <c r="Z37" s="256">
        <f>$I37*'Key Inputs_BY Techs'!X$40</f>
        <v>2.7453024909845536</v>
      </c>
      <c r="AA37" s="256">
        <f>$I37*'Key Inputs_BY Techs'!Y$40</f>
        <v>2.7453024909845536</v>
      </c>
      <c r="AB37" s="256">
        <f>$I37*'Key Inputs_BY Techs'!Z$40</f>
        <v>2.7453024909845536</v>
      </c>
      <c r="AC37" s="256">
        <f>$I37*'Key Inputs_BY Techs'!AA$40</f>
        <v>2.7453024909845536</v>
      </c>
      <c r="AD37" s="256">
        <f>$I37*'Key Inputs_BY Techs'!AB$40</f>
        <v>2.7453024909845536</v>
      </c>
      <c r="AE37" s="256">
        <f>$I37*'Key Inputs_BY Techs'!AC$40</f>
        <v>2.7453024909845536</v>
      </c>
      <c r="AF37" s="256">
        <f>$I37*'Key Inputs_BY Techs'!AD$40</f>
        <v>2.7453024909845536</v>
      </c>
      <c r="AG37" s="256">
        <f>$I37*'Key Inputs_BY Techs'!AE$40</f>
        <v>2.7453024909845536</v>
      </c>
      <c r="AH37" s="256">
        <f>$I37*'Key Inputs_BY Techs'!AF$40</f>
        <v>2.7453024909845536</v>
      </c>
      <c r="AI37" s="256">
        <f>$I37*'Key Inputs_BY Techs'!AG$40</f>
        <v>2.7453024909845536</v>
      </c>
      <c r="AJ37" s="256">
        <f>$I37*'Key Inputs_BY Techs'!AH$40</f>
        <v>2.7453024909845536</v>
      </c>
      <c r="AK37" s="256">
        <f>$I37*'Key Inputs_BY Techs'!AI$40</f>
        <v>2.7453024909845536</v>
      </c>
      <c r="AL37" s="256">
        <f>$I37*'Key Inputs_BY Techs'!AJ$40</f>
        <v>2.7453024909845536</v>
      </c>
    </row>
    <row r="38" spans="1:38" x14ac:dyDescent="0.3">
      <c r="C38" s="203"/>
      <c r="D38" s="203"/>
      <c r="E38" s="203"/>
      <c r="F38" s="309"/>
      <c r="G38" s="309"/>
      <c r="H38" s="211">
        <v>2030</v>
      </c>
      <c r="I38" s="419">
        <f>'S2'!J24</f>
        <v>2.9049093100084065</v>
      </c>
      <c r="J38" s="445">
        <f>'S2'!K24/$I$36</f>
        <v>1.2225883373544051</v>
      </c>
      <c r="K38" s="256">
        <f>$I38*'Key Inputs_BY Techs'!I$40</f>
        <v>2.9049093100084065</v>
      </c>
      <c r="L38" s="256">
        <f>$I38*'Key Inputs_BY Techs'!J$40</f>
        <v>2.9049093100084065</v>
      </c>
      <c r="M38" s="256">
        <f>$I38*'Key Inputs_BY Techs'!K$40</f>
        <v>2.9049093100084065</v>
      </c>
      <c r="N38" s="256">
        <f>$I38*'Key Inputs_BY Techs'!L$40</f>
        <v>2.9049093100084065</v>
      </c>
      <c r="O38" s="256">
        <f>$I38*'Key Inputs_BY Techs'!M$40</f>
        <v>2.9049093100084065</v>
      </c>
      <c r="P38" s="256">
        <f>$I38*'Key Inputs_BY Techs'!N$40</f>
        <v>2.9049093100084065</v>
      </c>
      <c r="Q38" s="256">
        <f>$I38*'Key Inputs_BY Techs'!O$40</f>
        <v>2.9049093100084065</v>
      </c>
      <c r="R38" s="256">
        <f>$I38*'Key Inputs_BY Techs'!P$40</f>
        <v>2.9049093100084065</v>
      </c>
      <c r="S38" s="256">
        <f>$I38*'Key Inputs_BY Techs'!Q$40</f>
        <v>2.9049093100084065</v>
      </c>
      <c r="T38" s="256">
        <f>$I38*'Key Inputs_BY Techs'!R$40</f>
        <v>2.9049093100084065</v>
      </c>
      <c r="U38" s="256">
        <f>$I38*'Key Inputs_BY Techs'!S$40</f>
        <v>2.9049093100084065</v>
      </c>
      <c r="V38" s="256">
        <f>$I38*'Key Inputs_BY Techs'!T$40</f>
        <v>2.9049093100084065</v>
      </c>
      <c r="W38" s="256">
        <f>$I38*'Key Inputs_BY Techs'!U$40</f>
        <v>2.9049093100084065</v>
      </c>
      <c r="X38" s="256">
        <f>$I38*'Key Inputs_BY Techs'!V$40</f>
        <v>2.9049093100084065</v>
      </c>
      <c r="Y38" s="256">
        <f>$I38*'Key Inputs_BY Techs'!W$40</f>
        <v>2.9049093100084065</v>
      </c>
      <c r="Z38" s="256">
        <f>$I38*'Key Inputs_BY Techs'!X$40</f>
        <v>2.9049093100084065</v>
      </c>
      <c r="AA38" s="256">
        <f>$I38*'Key Inputs_BY Techs'!Y$40</f>
        <v>2.9049093100084065</v>
      </c>
      <c r="AB38" s="256">
        <f>$I38*'Key Inputs_BY Techs'!Z$40</f>
        <v>2.9049093100084065</v>
      </c>
      <c r="AC38" s="256">
        <f>$I38*'Key Inputs_BY Techs'!AA$40</f>
        <v>2.9049093100084065</v>
      </c>
      <c r="AD38" s="256">
        <f>$I38*'Key Inputs_BY Techs'!AB$40</f>
        <v>2.9049093100084065</v>
      </c>
      <c r="AE38" s="256">
        <f>$I38*'Key Inputs_BY Techs'!AC$40</f>
        <v>2.9049093100084065</v>
      </c>
      <c r="AF38" s="256">
        <f>$I38*'Key Inputs_BY Techs'!AD$40</f>
        <v>2.9049093100084065</v>
      </c>
      <c r="AG38" s="256">
        <f>$I38*'Key Inputs_BY Techs'!AE$40</f>
        <v>2.9049093100084065</v>
      </c>
      <c r="AH38" s="256">
        <f>$I38*'Key Inputs_BY Techs'!AF$40</f>
        <v>2.9049093100084065</v>
      </c>
      <c r="AI38" s="256">
        <f>$I38*'Key Inputs_BY Techs'!AG$40</f>
        <v>2.9049093100084065</v>
      </c>
      <c r="AJ38" s="256">
        <f>$I38*'Key Inputs_BY Techs'!AH$40</f>
        <v>2.9049093100084065</v>
      </c>
      <c r="AK38" s="256">
        <f>$I38*'Key Inputs_BY Techs'!AI$40</f>
        <v>2.9049093100084065</v>
      </c>
      <c r="AL38" s="256">
        <f>$I38*'Key Inputs_BY Techs'!AJ$40</f>
        <v>2.9049093100084065</v>
      </c>
    </row>
    <row r="39" spans="1:38" x14ac:dyDescent="0.3">
      <c r="B39" s="201"/>
      <c r="F39" s="227"/>
      <c r="G39" s="227"/>
      <c r="H39" s="211">
        <v>2050</v>
      </c>
      <c r="I39" s="419">
        <f>'S2'!M24</f>
        <v>2.9368306738131773</v>
      </c>
      <c r="J39" s="445">
        <f>'S2'!N24/$I$36</f>
        <v>1.4883684106923183</v>
      </c>
      <c r="K39" s="256">
        <f>$I39*'Key Inputs_BY Techs'!I$40</f>
        <v>2.9368306738131773</v>
      </c>
      <c r="L39" s="256">
        <f>$I39*'Key Inputs_BY Techs'!J$40</f>
        <v>2.9368306738131773</v>
      </c>
      <c r="M39" s="256">
        <f>$I39*'Key Inputs_BY Techs'!K$40</f>
        <v>2.9368306738131773</v>
      </c>
      <c r="N39" s="256">
        <f>$I39*'Key Inputs_BY Techs'!L$40</f>
        <v>2.9368306738131773</v>
      </c>
      <c r="O39" s="256">
        <f>$I39*'Key Inputs_BY Techs'!M$40</f>
        <v>2.9368306738131773</v>
      </c>
      <c r="P39" s="256">
        <f>$I39*'Key Inputs_BY Techs'!N$40</f>
        <v>2.9368306738131773</v>
      </c>
      <c r="Q39" s="256">
        <f>$I39*'Key Inputs_BY Techs'!O$40</f>
        <v>2.9368306738131773</v>
      </c>
      <c r="R39" s="256">
        <f>$I39*'Key Inputs_BY Techs'!P$40</f>
        <v>2.9368306738131773</v>
      </c>
      <c r="S39" s="256">
        <f>$I39*'Key Inputs_BY Techs'!Q$40</f>
        <v>2.9368306738131773</v>
      </c>
      <c r="T39" s="256">
        <f>$I39*'Key Inputs_BY Techs'!R$40</f>
        <v>2.9368306738131773</v>
      </c>
      <c r="U39" s="256">
        <f>$I39*'Key Inputs_BY Techs'!S$40</f>
        <v>2.9368306738131773</v>
      </c>
      <c r="V39" s="256">
        <f>$I39*'Key Inputs_BY Techs'!T$40</f>
        <v>2.9368306738131773</v>
      </c>
      <c r="W39" s="256">
        <f>$I39*'Key Inputs_BY Techs'!U$40</f>
        <v>2.9368306738131773</v>
      </c>
      <c r="X39" s="256">
        <f>$I39*'Key Inputs_BY Techs'!V$40</f>
        <v>2.9368306738131773</v>
      </c>
      <c r="Y39" s="256">
        <f>$I39*'Key Inputs_BY Techs'!W$40</f>
        <v>2.9368306738131773</v>
      </c>
      <c r="Z39" s="256">
        <f>$I39*'Key Inputs_BY Techs'!X$40</f>
        <v>2.9368306738131773</v>
      </c>
      <c r="AA39" s="256">
        <f>$I39*'Key Inputs_BY Techs'!Y$40</f>
        <v>2.9368306738131773</v>
      </c>
      <c r="AB39" s="256">
        <f>$I39*'Key Inputs_BY Techs'!Z$40</f>
        <v>2.9368306738131773</v>
      </c>
      <c r="AC39" s="256">
        <f>$I39*'Key Inputs_BY Techs'!AA$40</f>
        <v>2.9368306738131773</v>
      </c>
      <c r="AD39" s="256">
        <f>$I39*'Key Inputs_BY Techs'!AB$40</f>
        <v>2.9368306738131773</v>
      </c>
      <c r="AE39" s="256">
        <f>$I39*'Key Inputs_BY Techs'!AC$40</f>
        <v>2.9368306738131773</v>
      </c>
      <c r="AF39" s="256">
        <f>$I39*'Key Inputs_BY Techs'!AD$40</f>
        <v>2.9368306738131773</v>
      </c>
      <c r="AG39" s="256">
        <f>$I39*'Key Inputs_BY Techs'!AE$40</f>
        <v>2.9368306738131773</v>
      </c>
      <c r="AH39" s="256">
        <f>$I39*'Key Inputs_BY Techs'!AF$40</f>
        <v>2.9368306738131773</v>
      </c>
      <c r="AI39" s="256">
        <f>$I39*'Key Inputs_BY Techs'!AG$40</f>
        <v>2.9368306738131773</v>
      </c>
      <c r="AJ39" s="256">
        <f>$I39*'Key Inputs_BY Techs'!AH$40</f>
        <v>2.9368306738131773</v>
      </c>
      <c r="AK39" s="256">
        <f>$I39*'Key Inputs_BY Techs'!AI$40</f>
        <v>2.9368306738131773</v>
      </c>
      <c r="AL39" s="256">
        <f>$I39*'Key Inputs_BY Techs'!AJ$40</f>
        <v>2.9368306738131773</v>
      </c>
    </row>
    <row r="40" spans="1:38" x14ac:dyDescent="0.3">
      <c r="A40" s="203" t="str">
        <f>Legend!A$46</f>
        <v>Air conditioning</v>
      </c>
      <c r="B40" s="201" t="str">
        <f>'SRV_New Techs'!K$25</f>
        <v>S-AC_ELC03</v>
      </c>
      <c r="C40" s="201" t="str">
        <f>'SRV_New Techs'!C$25</f>
        <v>Electricity</v>
      </c>
      <c r="D40" s="201" t="str">
        <f>'SRV_New Techs'!D$25</f>
        <v>SRVELC</v>
      </c>
      <c r="E40" s="201" t="str">
        <f>'SRV_New Techs'!F$25</f>
        <v>Air conditioning (Adv.)</v>
      </c>
      <c r="F40" s="227">
        <v>2030</v>
      </c>
      <c r="G40" s="227">
        <v>14</v>
      </c>
      <c r="H40" s="211">
        <v>2030</v>
      </c>
      <c r="I40" s="256">
        <f>'S2'!L24</f>
        <v>3.7211981566820276</v>
      </c>
      <c r="J40" s="445">
        <f>'S2'!L24/$I$36</f>
        <v>1.3554783740233618</v>
      </c>
      <c r="K40" s="256">
        <f>$I40*'Key Inputs_BY Techs'!I$40</f>
        <v>3.7211981566820276</v>
      </c>
      <c r="L40" s="256">
        <f>$I40*'Key Inputs_BY Techs'!J$40</f>
        <v>3.7211981566820276</v>
      </c>
      <c r="M40" s="256">
        <f>$I40*'Key Inputs_BY Techs'!K$40</f>
        <v>3.7211981566820276</v>
      </c>
      <c r="N40" s="256">
        <f>$I40*'Key Inputs_BY Techs'!L$40</f>
        <v>3.7211981566820276</v>
      </c>
      <c r="O40" s="256">
        <f>$I40*'Key Inputs_BY Techs'!M$40</f>
        <v>3.7211981566820276</v>
      </c>
      <c r="P40" s="256">
        <f>$I40*'Key Inputs_BY Techs'!N$40</f>
        <v>3.7211981566820276</v>
      </c>
      <c r="Q40" s="256">
        <f>$I40*'Key Inputs_BY Techs'!O$40</f>
        <v>3.7211981566820276</v>
      </c>
      <c r="R40" s="256">
        <f>$I40*'Key Inputs_BY Techs'!P$40</f>
        <v>3.7211981566820276</v>
      </c>
      <c r="S40" s="256">
        <f>$I40*'Key Inputs_BY Techs'!Q$40</f>
        <v>3.7211981566820276</v>
      </c>
      <c r="T40" s="256">
        <f>$I40*'Key Inputs_BY Techs'!R$40</f>
        <v>3.7211981566820276</v>
      </c>
      <c r="U40" s="256">
        <f>$I40*'Key Inputs_BY Techs'!S$40</f>
        <v>3.7211981566820276</v>
      </c>
      <c r="V40" s="256">
        <f>$I40*'Key Inputs_BY Techs'!T$40</f>
        <v>3.7211981566820276</v>
      </c>
      <c r="W40" s="256">
        <f>$I40*'Key Inputs_BY Techs'!U$40</f>
        <v>3.7211981566820276</v>
      </c>
      <c r="X40" s="256">
        <f>$I40*'Key Inputs_BY Techs'!V$40</f>
        <v>3.7211981566820276</v>
      </c>
      <c r="Y40" s="256">
        <f>$I40*'Key Inputs_BY Techs'!W$40</f>
        <v>3.7211981566820276</v>
      </c>
      <c r="Z40" s="256">
        <f>$I40*'Key Inputs_BY Techs'!X$40</f>
        <v>3.7211981566820276</v>
      </c>
      <c r="AA40" s="256">
        <f>$I40*'Key Inputs_BY Techs'!Y$40</f>
        <v>3.7211981566820276</v>
      </c>
      <c r="AB40" s="256">
        <f>$I40*'Key Inputs_BY Techs'!Z$40</f>
        <v>3.7211981566820276</v>
      </c>
      <c r="AC40" s="256">
        <f>$I40*'Key Inputs_BY Techs'!AA$40</f>
        <v>3.7211981566820276</v>
      </c>
      <c r="AD40" s="256">
        <f>$I40*'Key Inputs_BY Techs'!AB$40</f>
        <v>3.7211981566820276</v>
      </c>
      <c r="AE40" s="256">
        <f>$I40*'Key Inputs_BY Techs'!AC$40</f>
        <v>3.7211981566820276</v>
      </c>
      <c r="AF40" s="256">
        <f>$I40*'Key Inputs_BY Techs'!AD$40</f>
        <v>3.7211981566820276</v>
      </c>
      <c r="AG40" s="256">
        <f>$I40*'Key Inputs_BY Techs'!AE$40</f>
        <v>3.7211981566820276</v>
      </c>
      <c r="AH40" s="256">
        <f>$I40*'Key Inputs_BY Techs'!AF$40</f>
        <v>3.7211981566820276</v>
      </c>
      <c r="AI40" s="256">
        <f>$I40*'Key Inputs_BY Techs'!AG$40</f>
        <v>3.7211981566820276</v>
      </c>
      <c r="AJ40" s="256">
        <f>$I40*'Key Inputs_BY Techs'!AH$40</f>
        <v>3.7211981566820276</v>
      </c>
      <c r="AK40" s="256">
        <f>$I40*'Key Inputs_BY Techs'!AI$40</f>
        <v>3.7211981566820276</v>
      </c>
      <c r="AL40" s="256">
        <f>$I40*'Key Inputs_BY Techs'!AJ$40</f>
        <v>3.7211981566820276</v>
      </c>
    </row>
    <row r="41" spans="1:38" x14ac:dyDescent="0.3">
      <c r="B41" s="201"/>
      <c r="F41" s="227"/>
      <c r="G41" s="227"/>
      <c r="H41" s="211">
        <v>2050</v>
      </c>
      <c r="I41" s="256">
        <f>'S2'!O24</f>
        <v>5.2777777777777803</v>
      </c>
      <c r="J41" s="283">
        <f>'S2'!O24/$I$36</f>
        <v>1.9224758638109127</v>
      </c>
      <c r="K41" s="256">
        <f>$I41*'Key Inputs_BY Techs'!I$40</f>
        <v>5.2777777777777803</v>
      </c>
      <c r="L41" s="256">
        <f>$I41*'Key Inputs_BY Techs'!J$40</f>
        <v>5.2777777777777803</v>
      </c>
      <c r="M41" s="256">
        <f>$I41*'Key Inputs_BY Techs'!K$40</f>
        <v>5.2777777777777803</v>
      </c>
      <c r="N41" s="256">
        <f>$I41*'Key Inputs_BY Techs'!L$40</f>
        <v>5.2777777777777803</v>
      </c>
      <c r="O41" s="256">
        <f>$I41*'Key Inputs_BY Techs'!M$40</f>
        <v>5.2777777777777803</v>
      </c>
      <c r="P41" s="256">
        <f>$I41*'Key Inputs_BY Techs'!N$40</f>
        <v>5.2777777777777803</v>
      </c>
      <c r="Q41" s="256">
        <f>$I41*'Key Inputs_BY Techs'!O$40</f>
        <v>5.2777777777777803</v>
      </c>
      <c r="R41" s="256">
        <f>$I41*'Key Inputs_BY Techs'!P$40</f>
        <v>5.2777777777777803</v>
      </c>
      <c r="S41" s="256">
        <f>$I41*'Key Inputs_BY Techs'!Q$40</f>
        <v>5.2777777777777803</v>
      </c>
      <c r="T41" s="256">
        <f>$I41*'Key Inputs_BY Techs'!R$40</f>
        <v>5.2777777777777803</v>
      </c>
      <c r="U41" s="256">
        <f>$I41*'Key Inputs_BY Techs'!S$40</f>
        <v>5.2777777777777803</v>
      </c>
      <c r="V41" s="256">
        <f>$I41*'Key Inputs_BY Techs'!T$40</f>
        <v>5.2777777777777803</v>
      </c>
      <c r="W41" s="256">
        <f>$I41*'Key Inputs_BY Techs'!U$40</f>
        <v>5.2777777777777803</v>
      </c>
      <c r="X41" s="256">
        <f>$I41*'Key Inputs_BY Techs'!V$40</f>
        <v>5.2777777777777803</v>
      </c>
      <c r="Y41" s="256">
        <f>$I41*'Key Inputs_BY Techs'!W$40</f>
        <v>5.2777777777777803</v>
      </c>
      <c r="Z41" s="256">
        <f>$I41*'Key Inputs_BY Techs'!X$40</f>
        <v>5.2777777777777803</v>
      </c>
      <c r="AA41" s="256">
        <f>$I41*'Key Inputs_BY Techs'!Y$40</f>
        <v>5.2777777777777803</v>
      </c>
      <c r="AB41" s="256">
        <f>$I41*'Key Inputs_BY Techs'!Z$40</f>
        <v>5.2777777777777803</v>
      </c>
      <c r="AC41" s="256">
        <f>$I41*'Key Inputs_BY Techs'!AA$40</f>
        <v>5.2777777777777803</v>
      </c>
      <c r="AD41" s="256">
        <f>$I41*'Key Inputs_BY Techs'!AB$40</f>
        <v>5.2777777777777803</v>
      </c>
      <c r="AE41" s="256">
        <f>$I41*'Key Inputs_BY Techs'!AC$40</f>
        <v>5.2777777777777803</v>
      </c>
      <c r="AF41" s="256">
        <f>$I41*'Key Inputs_BY Techs'!AD$40</f>
        <v>5.2777777777777803</v>
      </c>
      <c r="AG41" s="256">
        <f>$I41*'Key Inputs_BY Techs'!AE$40</f>
        <v>5.2777777777777803</v>
      </c>
      <c r="AH41" s="256">
        <f>$I41*'Key Inputs_BY Techs'!AF$40</f>
        <v>5.2777777777777803</v>
      </c>
      <c r="AI41" s="256">
        <f>$I41*'Key Inputs_BY Techs'!AG$40</f>
        <v>5.2777777777777803</v>
      </c>
      <c r="AJ41" s="256">
        <f>$I41*'Key Inputs_BY Techs'!AH$40</f>
        <v>5.2777777777777803</v>
      </c>
      <c r="AK41" s="256">
        <f>$I41*'Key Inputs_BY Techs'!AI$40</f>
        <v>5.2777777777777803</v>
      </c>
      <c r="AL41" s="256">
        <f>$I41*'Key Inputs_BY Techs'!AJ$40</f>
        <v>5.2777777777777803</v>
      </c>
    </row>
    <row r="42" spans="1:38" x14ac:dyDescent="0.3">
      <c r="A42" s="203" t="str">
        <f>Legend!A$46</f>
        <v>Air conditioning</v>
      </c>
      <c r="B42" s="201" t="str">
        <f>'SRV_New Techs'!K$26</f>
        <v>S-AC_GAS01</v>
      </c>
      <c r="C42" s="201" t="str">
        <f>'SRV_New Techs'!C$26</f>
        <v>Natural gas, Biogas</v>
      </c>
      <c r="D42" s="201" t="str">
        <f>'SRV_New Techs'!D$26</f>
        <v>SRVGAS, SRVBGS, SRVH2G, SRVH2B, SRVEFUM</v>
      </c>
      <c r="E42" s="201" t="str">
        <f>'SRV_New Techs'!F$23</f>
        <v>Air conditioning (Ord.)</v>
      </c>
      <c r="F42" s="227">
        <v>2020</v>
      </c>
      <c r="G42" s="248">
        <v>7</v>
      </c>
      <c r="H42" s="411">
        <v>2020</v>
      </c>
      <c r="I42" s="419">
        <f>'Key Inputs_BY Techs'!H24</f>
        <v>1.3</v>
      </c>
      <c r="J42" s="283">
        <f>1</f>
        <v>1</v>
      </c>
      <c r="K42" s="256">
        <f>$I42*'Key Inputs_BY Techs'!I$40</f>
        <v>1.3</v>
      </c>
      <c r="L42" s="256">
        <f>$I42*'Key Inputs_BY Techs'!J$40</f>
        <v>1.3</v>
      </c>
      <c r="M42" s="256">
        <f>$I42*'Key Inputs_BY Techs'!K$40</f>
        <v>1.3</v>
      </c>
      <c r="N42" s="256">
        <f>$I42*'Key Inputs_BY Techs'!L$40</f>
        <v>1.3</v>
      </c>
      <c r="O42" s="256">
        <f>$I42*'Key Inputs_BY Techs'!M$40</f>
        <v>1.3</v>
      </c>
      <c r="P42" s="256">
        <f>$I42*'Key Inputs_BY Techs'!N$40</f>
        <v>1.3</v>
      </c>
      <c r="Q42" s="256">
        <f>$I42*'Key Inputs_BY Techs'!O$40</f>
        <v>1.3</v>
      </c>
      <c r="R42" s="256">
        <f>$I42*'Key Inputs_BY Techs'!P$40</f>
        <v>1.3</v>
      </c>
      <c r="S42" s="256">
        <f>$I42*'Key Inputs_BY Techs'!Q$40</f>
        <v>1.3</v>
      </c>
      <c r="T42" s="256">
        <f>$I42*'Key Inputs_BY Techs'!R$40</f>
        <v>1.3</v>
      </c>
      <c r="U42" s="256">
        <f>$I42*'Key Inputs_BY Techs'!S$40</f>
        <v>1.3</v>
      </c>
      <c r="V42" s="256">
        <f>$I42*'Key Inputs_BY Techs'!T$40</f>
        <v>1.3</v>
      </c>
      <c r="W42" s="256">
        <f>$I42*'Key Inputs_BY Techs'!U$40</f>
        <v>1.3</v>
      </c>
      <c r="X42" s="256">
        <f>$I42*'Key Inputs_BY Techs'!V$40</f>
        <v>1.3</v>
      </c>
      <c r="Y42" s="256">
        <f>$I42*'Key Inputs_BY Techs'!W$40</f>
        <v>1.3</v>
      </c>
      <c r="Z42" s="256">
        <f>$I42*'Key Inputs_BY Techs'!X$40</f>
        <v>1.3</v>
      </c>
      <c r="AA42" s="256">
        <f>$I42*'Key Inputs_BY Techs'!Y$40</f>
        <v>1.3</v>
      </c>
      <c r="AB42" s="256">
        <f>$I42*'Key Inputs_BY Techs'!Z$40</f>
        <v>1.3</v>
      </c>
      <c r="AC42" s="256">
        <f>$I42*'Key Inputs_BY Techs'!AA$40</f>
        <v>1.3</v>
      </c>
      <c r="AD42" s="256">
        <f>$I42*'Key Inputs_BY Techs'!AB$40</f>
        <v>1.3</v>
      </c>
      <c r="AE42" s="256">
        <f>$I42*'Key Inputs_BY Techs'!AC$40</f>
        <v>1.3</v>
      </c>
      <c r="AF42" s="256">
        <f>$I42*'Key Inputs_BY Techs'!AD$40</f>
        <v>1.3</v>
      </c>
      <c r="AG42" s="256">
        <f>$I42*'Key Inputs_BY Techs'!AE$40</f>
        <v>1.3</v>
      </c>
      <c r="AH42" s="256">
        <f>$I42*'Key Inputs_BY Techs'!AF$40</f>
        <v>1.3</v>
      </c>
      <c r="AI42" s="256">
        <f>$I42*'Key Inputs_BY Techs'!AG$40</f>
        <v>1.3</v>
      </c>
      <c r="AJ42" s="256">
        <f>$I42*'Key Inputs_BY Techs'!AH$40</f>
        <v>1.3</v>
      </c>
      <c r="AK42" s="256">
        <f>$I42*'Key Inputs_BY Techs'!AI$40</f>
        <v>1.3</v>
      </c>
      <c r="AL42" s="256">
        <f>$I42*'Key Inputs_BY Techs'!AJ$40</f>
        <v>1.3</v>
      </c>
    </row>
    <row r="43" spans="1:38" x14ac:dyDescent="0.3">
      <c r="A43" s="203" t="str">
        <f>Legend!A$46</f>
        <v>Air conditioning</v>
      </c>
      <c r="B43" s="201" t="str">
        <f>'SRV_New Techs'!K$27</f>
        <v>S-AC_GAS02</v>
      </c>
      <c r="C43" s="201" t="str">
        <f>'SRV_New Techs'!C$27</f>
        <v>Natural gas, Biogas</v>
      </c>
      <c r="D43" s="201" t="str">
        <f>'SRV_New Techs'!D$27</f>
        <v>SRVGAS, SRVBGS, SRVH2G, SRVH2B, SRVEFUM</v>
      </c>
      <c r="E43" s="201" t="str">
        <f>'SRV_New Techs'!F$24</f>
        <v>Air conditioning (Imp.)</v>
      </c>
      <c r="F43" s="227">
        <v>2025</v>
      </c>
      <c r="G43" s="227">
        <v>7</v>
      </c>
      <c r="H43" s="411">
        <v>2025</v>
      </c>
      <c r="I43" s="419">
        <f>I$42*J43</f>
        <v>1.3</v>
      </c>
      <c r="J43" s="283">
        <v>1</v>
      </c>
      <c r="K43" s="256">
        <f>$I43*'Key Inputs_BY Techs'!I$40</f>
        <v>1.3</v>
      </c>
      <c r="L43" s="256">
        <f>$I43*'Key Inputs_BY Techs'!J$40</f>
        <v>1.3</v>
      </c>
      <c r="M43" s="256">
        <f>$I43*'Key Inputs_BY Techs'!K$40</f>
        <v>1.3</v>
      </c>
      <c r="N43" s="256">
        <f>$I43*'Key Inputs_BY Techs'!L$40</f>
        <v>1.3</v>
      </c>
      <c r="O43" s="256">
        <f>$I43*'Key Inputs_BY Techs'!M$40</f>
        <v>1.3</v>
      </c>
      <c r="P43" s="256">
        <f>$I43*'Key Inputs_BY Techs'!N$40</f>
        <v>1.3</v>
      </c>
      <c r="Q43" s="256">
        <f>$I43*'Key Inputs_BY Techs'!O$40</f>
        <v>1.3</v>
      </c>
      <c r="R43" s="256">
        <f>$I43*'Key Inputs_BY Techs'!P$40</f>
        <v>1.3</v>
      </c>
      <c r="S43" s="256">
        <f>$I43*'Key Inputs_BY Techs'!Q$40</f>
        <v>1.3</v>
      </c>
      <c r="T43" s="256">
        <f>$I43*'Key Inputs_BY Techs'!R$40</f>
        <v>1.3</v>
      </c>
      <c r="U43" s="256">
        <f>$I43*'Key Inputs_BY Techs'!S$40</f>
        <v>1.3</v>
      </c>
      <c r="V43" s="256">
        <f>$I43*'Key Inputs_BY Techs'!T$40</f>
        <v>1.3</v>
      </c>
      <c r="W43" s="256">
        <f>$I43*'Key Inputs_BY Techs'!U$40</f>
        <v>1.3</v>
      </c>
      <c r="X43" s="256">
        <f>$I43*'Key Inputs_BY Techs'!V$40</f>
        <v>1.3</v>
      </c>
      <c r="Y43" s="256">
        <f>$I43*'Key Inputs_BY Techs'!W$40</f>
        <v>1.3</v>
      </c>
      <c r="Z43" s="256">
        <f>$I43*'Key Inputs_BY Techs'!X$40</f>
        <v>1.3</v>
      </c>
      <c r="AA43" s="256">
        <f>$I43*'Key Inputs_BY Techs'!Y$40</f>
        <v>1.3</v>
      </c>
      <c r="AB43" s="256">
        <f>$I43*'Key Inputs_BY Techs'!Z$40</f>
        <v>1.3</v>
      </c>
      <c r="AC43" s="256">
        <f>$I43*'Key Inputs_BY Techs'!AA$40</f>
        <v>1.3</v>
      </c>
      <c r="AD43" s="256">
        <f>$I43*'Key Inputs_BY Techs'!AB$40</f>
        <v>1.3</v>
      </c>
      <c r="AE43" s="256">
        <f>$I43*'Key Inputs_BY Techs'!AC$40</f>
        <v>1.3</v>
      </c>
      <c r="AF43" s="256">
        <f>$I43*'Key Inputs_BY Techs'!AD$40</f>
        <v>1.3</v>
      </c>
      <c r="AG43" s="256">
        <f>$I43*'Key Inputs_BY Techs'!AE$40</f>
        <v>1.3</v>
      </c>
      <c r="AH43" s="256">
        <f>$I43*'Key Inputs_BY Techs'!AF$40</f>
        <v>1.3</v>
      </c>
      <c r="AI43" s="256">
        <f>$I43*'Key Inputs_BY Techs'!AG$40</f>
        <v>1.3</v>
      </c>
      <c r="AJ43" s="256">
        <f>$I43*'Key Inputs_BY Techs'!AH$40</f>
        <v>1.3</v>
      </c>
      <c r="AK43" s="256">
        <f>$I43*'Key Inputs_BY Techs'!AI$40</f>
        <v>1.3</v>
      </c>
      <c r="AL43" s="256">
        <f>$I43*'Key Inputs_BY Techs'!AJ$40</f>
        <v>1.3</v>
      </c>
    </row>
    <row r="44" spans="1:38" x14ac:dyDescent="0.3">
      <c r="C44" s="203"/>
      <c r="D44" s="203"/>
      <c r="E44" s="203"/>
      <c r="F44" s="309"/>
      <c r="G44" s="309"/>
      <c r="H44" s="211">
        <v>2030</v>
      </c>
      <c r="I44" s="419">
        <f t="shared" ref="I44:I47" si="3">I$42*J44</f>
        <v>1.4824553646498579</v>
      </c>
      <c r="J44" s="283">
        <f>'S2'!K25/$I$42</f>
        <v>1.1403502804998906</v>
      </c>
      <c r="K44" s="256">
        <f>$I44*'Key Inputs_BY Techs'!I$40</f>
        <v>1.4824553646498579</v>
      </c>
      <c r="L44" s="256">
        <f>$I44*'Key Inputs_BY Techs'!J$40</f>
        <v>1.4824553646498579</v>
      </c>
      <c r="M44" s="256">
        <f>$I44*'Key Inputs_BY Techs'!K$40</f>
        <v>1.4824553646498579</v>
      </c>
      <c r="N44" s="256">
        <f>$I44*'Key Inputs_BY Techs'!L$40</f>
        <v>1.4824553646498579</v>
      </c>
      <c r="O44" s="256">
        <f>$I44*'Key Inputs_BY Techs'!M$40</f>
        <v>1.4824553646498579</v>
      </c>
      <c r="P44" s="256">
        <f>$I44*'Key Inputs_BY Techs'!N$40</f>
        <v>1.4824553646498579</v>
      </c>
      <c r="Q44" s="256">
        <f>$I44*'Key Inputs_BY Techs'!O$40</f>
        <v>1.4824553646498579</v>
      </c>
      <c r="R44" s="256">
        <f>$I44*'Key Inputs_BY Techs'!P$40</f>
        <v>1.4824553646498579</v>
      </c>
      <c r="S44" s="256">
        <f>$I44*'Key Inputs_BY Techs'!Q$40</f>
        <v>1.4824553646498579</v>
      </c>
      <c r="T44" s="256">
        <f>$I44*'Key Inputs_BY Techs'!R$40</f>
        <v>1.4824553646498579</v>
      </c>
      <c r="U44" s="256">
        <f>$I44*'Key Inputs_BY Techs'!S$40</f>
        <v>1.4824553646498579</v>
      </c>
      <c r="V44" s="256">
        <f>$I44*'Key Inputs_BY Techs'!T$40</f>
        <v>1.4824553646498579</v>
      </c>
      <c r="W44" s="256">
        <f>$I44*'Key Inputs_BY Techs'!U$40</f>
        <v>1.4824553646498579</v>
      </c>
      <c r="X44" s="256">
        <f>$I44*'Key Inputs_BY Techs'!V$40</f>
        <v>1.4824553646498579</v>
      </c>
      <c r="Y44" s="256">
        <f>$I44*'Key Inputs_BY Techs'!W$40</f>
        <v>1.4824553646498579</v>
      </c>
      <c r="Z44" s="256">
        <f>$I44*'Key Inputs_BY Techs'!X$40</f>
        <v>1.4824553646498579</v>
      </c>
      <c r="AA44" s="256">
        <f>$I44*'Key Inputs_BY Techs'!Y$40</f>
        <v>1.4824553646498579</v>
      </c>
      <c r="AB44" s="256">
        <f>$I44*'Key Inputs_BY Techs'!Z$40</f>
        <v>1.4824553646498579</v>
      </c>
      <c r="AC44" s="256">
        <f>$I44*'Key Inputs_BY Techs'!AA$40</f>
        <v>1.4824553646498579</v>
      </c>
      <c r="AD44" s="256">
        <f>$I44*'Key Inputs_BY Techs'!AB$40</f>
        <v>1.4824553646498579</v>
      </c>
      <c r="AE44" s="256">
        <f>$I44*'Key Inputs_BY Techs'!AC$40</f>
        <v>1.4824553646498579</v>
      </c>
      <c r="AF44" s="256">
        <f>$I44*'Key Inputs_BY Techs'!AD$40</f>
        <v>1.4824553646498579</v>
      </c>
      <c r="AG44" s="256">
        <f>$I44*'Key Inputs_BY Techs'!AE$40</f>
        <v>1.4824553646498579</v>
      </c>
      <c r="AH44" s="256">
        <f>$I44*'Key Inputs_BY Techs'!AF$40</f>
        <v>1.4824553646498579</v>
      </c>
      <c r="AI44" s="256">
        <f>$I44*'Key Inputs_BY Techs'!AG$40</f>
        <v>1.4824553646498579</v>
      </c>
      <c r="AJ44" s="256">
        <f>$I44*'Key Inputs_BY Techs'!AH$40</f>
        <v>1.4824553646498579</v>
      </c>
      <c r="AK44" s="256">
        <f>$I44*'Key Inputs_BY Techs'!AI$40</f>
        <v>1.4824553646498579</v>
      </c>
      <c r="AL44" s="256">
        <f>$I44*'Key Inputs_BY Techs'!AJ$40</f>
        <v>1.4824553646498579</v>
      </c>
    </row>
    <row r="45" spans="1:38" x14ac:dyDescent="0.3">
      <c r="B45" s="201"/>
      <c r="F45" s="227"/>
      <c r="G45" s="227"/>
      <c r="H45" s="211">
        <v>2050</v>
      </c>
      <c r="I45" s="419">
        <f t="shared" si="3"/>
        <v>1.7136698850302603</v>
      </c>
      <c r="J45" s="283">
        <f>'S2'!N25/$I$42</f>
        <v>1.318207603869431</v>
      </c>
      <c r="K45" s="256">
        <f>$I45*'Key Inputs_BY Techs'!I$40</f>
        <v>1.7136698850302603</v>
      </c>
      <c r="L45" s="256">
        <f>$I45*'Key Inputs_BY Techs'!J$40</f>
        <v>1.7136698850302603</v>
      </c>
      <c r="M45" s="256">
        <f>$I45*'Key Inputs_BY Techs'!K$40</f>
        <v>1.7136698850302603</v>
      </c>
      <c r="N45" s="256">
        <f>$I45*'Key Inputs_BY Techs'!L$40</f>
        <v>1.7136698850302603</v>
      </c>
      <c r="O45" s="256">
        <f>$I45*'Key Inputs_BY Techs'!M$40</f>
        <v>1.7136698850302603</v>
      </c>
      <c r="P45" s="256">
        <f>$I45*'Key Inputs_BY Techs'!N$40</f>
        <v>1.7136698850302603</v>
      </c>
      <c r="Q45" s="256">
        <f>$I45*'Key Inputs_BY Techs'!O$40</f>
        <v>1.7136698850302603</v>
      </c>
      <c r="R45" s="256">
        <f>$I45*'Key Inputs_BY Techs'!P$40</f>
        <v>1.7136698850302603</v>
      </c>
      <c r="S45" s="256">
        <f>$I45*'Key Inputs_BY Techs'!Q$40</f>
        <v>1.7136698850302603</v>
      </c>
      <c r="T45" s="256">
        <f>$I45*'Key Inputs_BY Techs'!R$40</f>
        <v>1.7136698850302603</v>
      </c>
      <c r="U45" s="256">
        <f>$I45*'Key Inputs_BY Techs'!S$40</f>
        <v>1.7136698850302603</v>
      </c>
      <c r="V45" s="256">
        <f>$I45*'Key Inputs_BY Techs'!T$40</f>
        <v>1.7136698850302603</v>
      </c>
      <c r="W45" s="256">
        <f>$I45*'Key Inputs_BY Techs'!U$40</f>
        <v>1.7136698850302603</v>
      </c>
      <c r="X45" s="256">
        <f>$I45*'Key Inputs_BY Techs'!V$40</f>
        <v>1.7136698850302603</v>
      </c>
      <c r="Y45" s="256">
        <f>$I45*'Key Inputs_BY Techs'!W$40</f>
        <v>1.7136698850302603</v>
      </c>
      <c r="Z45" s="256">
        <f>$I45*'Key Inputs_BY Techs'!X$40</f>
        <v>1.7136698850302603</v>
      </c>
      <c r="AA45" s="256">
        <f>$I45*'Key Inputs_BY Techs'!Y$40</f>
        <v>1.7136698850302603</v>
      </c>
      <c r="AB45" s="256">
        <f>$I45*'Key Inputs_BY Techs'!Z$40</f>
        <v>1.7136698850302603</v>
      </c>
      <c r="AC45" s="256">
        <f>$I45*'Key Inputs_BY Techs'!AA$40</f>
        <v>1.7136698850302603</v>
      </c>
      <c r="AD45" s="256">
        <f>$I45*'Key Inputs_BY Techs'!AB$40</f>
        <v>1.7136698850302603</v>
      </c>
      <c r="AE45" s="256">
        <f>$I45*'Key Inputs_BY Techs'!AC$40</f>
        <v>1.7136698850302603</v>
      </c>
      <c r="AF45" s="256">
        <f>$I45*'Key Inputs_BY Techs'!AD$40</f>
        <v>1.7136698850302603</v>
      </c>
      <c r="AG45" s="256">
        <f>$I45*'Key Inputs_BY Techs'!AE$40</f>
        <v>1.7136698850302603</v>
      </c>
      <c r="AH45" s="256">
        <f>$I45*'Key Inputs_BY Techs'!AF$40</f>
        <v>1.7136698850302603</v>
      </c>
      <c r="AI45" s="256">
        <f>$I45*'Key Inputs_BY Techs'!AG$40</f>
        <v>1.7136698850302603</v>
      </c>
      <c r="AJ45" s="256">
        <f>$I45*'Key Inputs_BY Techs'!AH$40</f>
        <v>1.7136698850302603</v>
      </c>
      <c r="AK45" s="256">
        <f>$I45*'Key Inputs_BY Techs'!AI$40</f>
        <v>1.7136698850302603</v>
      </c>
      <c r="AL45" s="256">
        <f>$I45*'Key Inputs_BY Techs'!AJ$40</f>
        <v>1.7136698850302603</v>
      </c>
    </row>
    <row r="46" spans="1:38" x14ac:dyDescent="0.3">
      <c r="A46" s="203" t="str">
        <f>Legend!A$46</f>
        <v>Air conditioning</v>
      </c>
      <c r="B46" s="201" t="str">
        <f>'SRV_New Techs'!K$28</f>
        <v>S-AC_GAS03</v>
      </c>
      <c r="C46" s="201" t="str">
        <f>'SRV_New Techs'!C$28</f>
        <v>Natural gas, Biogas</v>
      </c>
      <c r="D46" s="201" t="str">
        <f>'SRV_New Techs'!D$28</f>
        <v>SRVGAS, SRVBGS, SRVH2G, SRVH2B, SRVEFUM</v>
      </c>
      <c r="E46" s="201" t="str">
        <f>'SRV_New Techs'!F$25</f>
        <v>Air conditioning (Adv.)</v>
      </c>
      <c r="F46" s="227">
        <v>2030</v>
      </c>
      <c r="G46" s="227">
        <v>7</v>
      </c>
      <c r="H46" s="211">
        <v>2030</v>
      </c>
      <c r="I46" s="419">
        <f t="shared" si="3"/>
        <v>1.5980626248400593</v>
      </c>
      <c r="J46" s="283">
        <f>'S2'!L25/$I$42</f>
        <v>1.229278942184661</v>
      </c>
      <c r="K46" s="256">
        <f>$I46*'Key Inputs_BY Techs'!I$40</f>
        <v>1.5980626248400593</v>
      </c>
      <c r="L46" s="256">
        <f>$I46*'Key Inputs_BY Techs'!J$40</f>
        <v>1.5980626248400593</v>
      </c>
      <c r="M46" s="256">
        <f>$I46*'Key Inputs_BY Techs'!K$40</f>
        <v>1.5980626248400593</v>
      </c>
      <c r="N46" s="256">
        <f>$I46*'Key Inputs_BY Techs'!L$40</f>
        <v>1.5980626248400593</v>
      </c>
      <c r="O46" s="256">
        <f>$I46*'Key Inputs_BY Techs'!M$40</f>
        <v>1.5980626248400593</v>
      </c>
      <c r="P46" s="256">
        <f>$I46*'Key Inputs_BY Techs'!N$40</f>
        <v>1.5980626248400593</v>
      </c>
      <c r="Q46" s="256">
        <f>$I46*'Key Inputs_BY Techs'!O$40</f>
        <v>1.5980626248400593</v>
      </c>
      <c r="R46" s="256">
        <f>$I46*'Key Inputs_BY Techs'!P$40</f>
        <v>1.5980626248400593</v>
      </c>
      <c r="S46" s="256">
        <f>$I46*'Key Inputs_BY Techs'!Q$40</f>
        <v>1.5980626248400593</v>
      </c>
      <c r="T46" s="256">
        <f>$I46*'Key Inputs_BY Techs'!R$40</f>
        <v>1.5980626248400593</v>
      </c>
      <c r="U46" s="256">
        <f>$I46*'Key Inputs_BY Techs'!S$40</f>
        <v>1.5980626248400593</v>
      </c>
      <c r="V46" s="256">
        <f>$I46*'Key Inputs_BY Techs'!T$40</f>
        <v>1.5980626248400593</v>
      </c>
      <c r="W46" s="256">
        <f>$I46*'Key Inputs_BY Techs'!U$40</f>
        <v>1.5980626248400593</v>
      </c>
      <c r="X46" s="256">
        <f>$I46*'Key Inputs_BY Techs'!V$40</f>
        <v>1.5980626248400593</v>
      </c>
      <c r="Y46" s="256">
        <f>$I46*'Key Inputs_BY Techs'!W$40</f>
        <v>1.5980626248400593</v>
      </c>
      <c r="Z46" s="256">
        <f>$I46*'Key Inputs_BY Techs'!X$40</f>
        <v>1.5980626248400593</v>
      </c>
      <c r="AA46" s="256">
        <f>$I46*'Key Inputs_BY Techs'!Y$40</f>
        <v>1.5980626248400593</v>
      </c>
      <c r="AB46" s="256">
        <f>$I46*'Key Inputs_BY Techs'!Z$40</f>
        <v>1.5980626248400593</v>
      </c>
      <c r="AC46" s="256">
        <f>$I46*'Key Inputs_BY Techs'!AA$40</f>
        <v>1.5980626248400593</v>
      </c>
      <c r="AD46" s="256">
        <f>$I46*'Key Inputs_BY Techs'!AB$40</f>
        <v>1.5980626248400593</v>
      </c>
      <c r="AE46" s="256">
        <f>$I46*'Key Inputs_BY Techs'!AC$40</f>
        <v>1.5980626248400593</v>
      </c>
      <c r="AF46" s="256">
        <f>$I46*'Key Inputs_BY Techs'!AD$40</f>
        <v>1.5980626248400593</v>
      </c>
      <c r="AG46" s="256">
        <f>$I46*'Key Inputs_BY Techs'!AE$40</f>
        <v>1.5980626248400593</v>
      </c>
      <c r="AH46" s="256">
        <f>$I46*'Key Inputs_BY Techs'!AF$40</f>
        <v>1.5980626248400593</v>
      </c>
      <c r="AI46" s="256">
        <f>$I46*'Key Inputs_BY Techs'!AG$40</f>
        <v>1.5980626248400593</v>
      </c>
      <c r="AJ46" s="256">
        <f>$I46*'Key Inputs_BY Techs'!AH$40</f>
        <v>1.5980626248400593</v>
      </c>
      <c r="AK46" s="256">
        <f>$I46*'Key Inputs_BY Techs'!AI$40</f>
        <v>1.5980626248400593</v>
      </c>
      <c r="AL46" s="256">
        <f>$I46*'Key Inputs_BY Techs'!AJ$40</f>
        <v>1.5980626248400593</v>
      </c>
    </row>
    <row r="47" spans="1:38" x14ac:dyDescent="0.3">
      <c r="B47" s="201"/>
      <c r="F47" s="227"/>
      <c r="G47" s="227"/>
      <c r="H47" s="211">
        <v>2050</v>
      </c>
      <c r="I47" s="419">
        <f t="shared" si="3"/>
        <v>2.1440557223015881</v>
      </c>
      <c r="J47" s="283">
        <f>'S2'!O25/$I$42</f>
        <v>1.6492736325396831</v>
      </c>
      <c r="K47" s="256">
        <f>$I47*'Key Inputs_BY Techs'!I$40</f>
        <v>2.1440557223015881</v>
      </c>
      <c r="L47" s="256">
        <f>$I47*'Key Inputs_BY Techs'!J$40</f>
        <v>2.1440557223015881</v>
      </c>
      <c r="M47" s="256">
        <f>$I47*'Key Inputs_BY Techs'!K$40</f>
        <v>2.1440557223015881</v>
      </c>
      <c r="N47" s="256">
        <f>$I47*'Key Inputs_BY Techs'!L$40</f>
        <v>2.1440557223015881</v>
      </c>
      <c r="O47" s="256">
        <f>$I47*'Key Inputs_BY Techs'!M$40</f>
        <v>2.1440557223015881</v>
      </c>
      <c r="P47" s="256">
        <f>$I47*'Key Inputs_BY Techs'!N$40</f>
        <v>2.1440557223015881</v>
      </c>
      <c r="Q47" s="256">
        <f>$I47*'Key Inputs_BY Techs'!O$40</f>
        <v>2.1440557223015881</v>
      </c>
      <c r="R47" s="256">
        <f>$I47*'Key Inputs_BY Techs'!P$40</f>
        <v>2.1440557223015881</v>
      </c>
      <c r="S47" s="256">
        <f>$I47*'Key Inputs_BY Techs'!Q$40</f>
        <v>2.1440557223015881</v>
      </c>
      <c r="T47" s="256">
        <f>$I47*'Key Inputs_BY Techs'!R$40</f>
        <v>2.1440557223015881</v>
      </c>
      <c r="U47" s="256">
        <f>$I47*'Key Inputs_BY Techs'!S$40</f>
        <v>2.1440557223015881</v>
      </c>
      <c r="V47" s="256">
        <f>$I47*'Key Inputs_BY Techs'!T$40</f>
        <v>2.1440557223015881</v>
      </c>
      <c r="W47" s="256">
        <f>$I47*'Key Inputs_BY Techs'!U$40</f>
        <v>2.1440557223015881</v>
      </c>
      <c r="X47" s="256">
        <f>$I47*'Key Inputs_BY Techs'!V$40</f>
        <v>2.1440557223015881</v>
      </c>
      <c r="Y47" s="256">
        <f>$I47*'Key Inputs_BY Techs'!W$40</f>
        <v>2.1440557223015881</v>
      </c>
      <c r="Z47" s="256">
        <f>$I47*'Key Inputs_BY Techs'!X$40</f>
        <v>2.1440557223015881</v>
      </c>
      <c r="AA47" s="256">
        <f>$I47*'Key Inputs_BY Techs'!Y$40</f>
        <v>2.1440557223015881</v>
      </c>
      <c r="AB47" s="256">
        <f>$I47*'Key Inputs_BY Techs'!Z$40</f>
        <v>2.1440557223015881</v>
      </c>
      <c r="AC47" s="256">
        <f>$I47*'Key Inputs_BY Techs'!AA$40</f>
        <v>2.1440557223015881</v>
      </c>
      <c r="AD47" s="256">
        <f>$I47*'Key Inputs_BY Techs'!AB$40</f>
        <v>2.1440557223015881</v>
      </c>
      <c r="AE47" s="256">
        <f>$I47*'Key Inputs_BY Techs'!AC$40</f>
        <v>2.1440557223015881</v>
      </c>
      <c r="AF47" s="256">
        <f>$I47*'Key Inputs_BY Techs'!AD$40</f>
        <v>2.1440557223015881</v>
      </c>
      <c r="AG47" s="256">
        <f>$I47*'Key Inputs_BY Techs'!AE$40</f>
        <v>2.1440557223015881</v>
      </c>
      <c r="AH47" s="256">
        <f>$I47*'Key Inputs_BY Techs'!AF$40</f>
        <v>2.1440557223015881</v>
      </c>
      <c r="AI47" s="256">
        <f>$I47*'Key Inputs_BY Techs'!AG$40</f>
        <v>2.1440557223015881</v>
      </c>
      <c r="AJ47" s="256">
        <f>$I47*'Key Inputs_BY Techs'!AH$40</f>
        <v>2.1440557223015881</v>
      </c>
      <c r="AK47" s="256">
        <f>$I47*'Key Inputs_BY Techs'!AI$40</f>
        <v>2.1440557223015881</v>
      </c>
      <c r="AL47" s="256">
        <f>$I47*'Key Inputs_BY Techs'!AJ$40</f>
        <v>2.1440557223015881</v>
      </c>
    </row>
    <row r="48" spans="1:38" x14ac:dyDescent="0.3">
      <c r="A48" s="203" t="str">
        <f>Legend!A$46</f>
        <v>Air conditioning</v>
      </c>
      <c r="B48" s="201" t="str">
        <f>'SRV_New Techs'!K$29</f>
        <v>S-AC_HET01</v>
      </c>
      <c r="C48" s="201" t="str">
        <f>'SRV_New Techs'!C$29</f>
        <v>Heat</v>
      </c>
      <c r="D48" s="201" t="str">
        <f>'SRV_New Techs'!D$29</f>
        <v>SRVHET</v>
      </c>
      <c r="E48" s="201" t="str">
        <f>'SRV_New Techs'!F$23</f>
        <v>Air conditioning (Ord.)</v>
      </c>
      <c r="F48" s="227">
        <v>2020</v>
      </c>
      <c r="G48" s="227">
        <v>7</v>
      </c>
      <c r="H48" s="411">
        <v>2020</v>
      </c>
      <c r="I48" s="475">
        <v>0.71134074574423733</v>
      </c>
      <c r="J48" s="283">
        <v>1</v>
      </c>
      <c r="K48" s="256">
        <f>$I48*'Key Inputs_BY Techs'!I$40</f>
        <v>0.71134074574423733</v>
      </c>
      <c r="L48" s="256">
        <f>$I48*'Key Inputs_BY Techs'!J$40</f>
        <v>0.71134074574423733</v>
      </c>
      <c r="M48" s="256">
        <f>$I48*'Key Inputs_BY Techs'!K$40</f>
        <v>0.71134074574423733</v>
      </c>
      <c r="N48" s="256">
        <f>$I48*'Key Inputs_BY Techs'!L$40</f>
        <v>0.71134074574423733</v>
      </c>
      <c r="O48" s="256">
        <f>$I48*'Key Inputs_BY Techs'!M$40</f>
        <v>0.71134074574423733</v>
      </c>
      <c r="P48" s="256">
        <f>$I48*'Key Inputs_BY Techs'!N$40</f>
        <v>0.71134074574423733</v>
      </c>
      <c r="Q48" s="256">
        <f>$I48*'Key Inputs_BY Techs'!O$40</f>
        <v>0.71134074574423733</v>
      </c>
      <c r="R48" s="256">
        <f>$I48*'Key Inputs_BY Techs'!P$40</f>
        <v>0.71134074574423733</v>
      </c>
      <c r="S48" s="256">
        <f>$I48*'Key Inputs_BY Techs'!Q$40</f>
        <v>0.71134074574423733</v>
      </c>
      <c r="T48" s="256">
        <f>$I48*'Key Inputs_BY Techs'!R$40</f>
        <v>0.71134074574423733</v>
      </c>
      <c r="U48" s="256">
        <f>$I48*'Key Inputs_BY Techs'!S$40</f>
        <v>0.71134074574423733</v>
      </c>
      <c r="V48" s="256">
        <f>$I48*'Key Inputs_BY Techs'!T$40</f>
        <v>0.71134074574423733</v>
      </c>
      <c r="W48" s="256">
        <f>$I48*'Key Inputs_BY Techs'!U$40</f>
        <v>0.71134074574423733</v>
      </c>
      <c r="X48" s="256">
        <f>$I48*'Key Inputs_BY Techs'!V$40</f>
        <v>0.71134074574423733</v>
      </c>
      <c r="Y48" s="256">
        <f>$I48*'Key Inputs_BY Techs'!W$40</f>
        <v>0.71134074574423733</v>
      </c>
      <c r="Z48" s="256">
        <f>$I48*'Key Inputs_BY Techs'!X$40</f>
        <v>0.71134074574423733</v>
      </c>
      <c r="AA48" s="256">
        <f>$I48*'Key Inputs_BY Techs'!Y$40</f>
        <v>0.71134074574423733</v>
      </c>
      <c r="AB48" s="256">
        <f>$I48*'Key Inputs_BY Techs'!Z$40</f>
        <v>0.71134074574423733</v>
      </c>
      <c r="AC48" s="256">
        <f>$I48*'Key Inputs_BY Techs'!AA$40</f>
        <v>0.71134074574423733</v>
      </c>
      <c r="AD48" s="256">
        <f>$I48*'Key Inputs_BY Techs'!AB$40</f>
        <v>0.71134074574423733</v>
      </c>
      <c r="AE48" s="256">
        <f>$I48*'Key Inputs_BY Techs'!AC$40</f>
        <v>0.71134074574423733</v>
      </c>
      <c r="AF48" s="256">
        <f>$I48*'Key Inputs_BY Techs'!AD$40</f>
        <v>0.71134074574423733</v>
      </c>
      <c r="AG48" s="256">
        <f>$I48*'Key Inputs_BY Techs'!AE$40</f>
        <v>0.71134074574423733</v>
      </c>
      <c r="AH48" s="256">
        <f>$I48*'Key Inputs_BY Techs'!AF$40</f>
        <v>0.71134074574423733</v>
      </c>
      <c r="AI48" s="256">
        <f>$I48*'Key Inputs_BY Techs'!AG$40</f>
        <v>0.71134074574423733</v>
      </c>
      <c r="AJ48" s="256">
        <f>$I48*'Key Inputs_BY Techs'!AH$40</f>
        <v>0.71134074574423733</v>
      </c>
      <c r="AK48" s="256">
        <f>$I48*'Key Inputs_BY Techs'!AI$40</f>
        <v>0.71134074574423733</v>
      </c>
      <c r="AL48" s="256">
        <f>$I48*'Key Inputs_BY Techs'!AJ$40</f>
        <v>0.71134074574423733</v>
      </c>
    </row>
    <row r="49" spans="1:38" x14ac:dyDescent="0.3">
      <c r="A49" s="203" t="str">
        <f>Legend!A$46</f>
        <v>Air conditioning</v>
      </c>
      <c r="B49" s="201" t="str">
        <f>'SRV_New Techs'!K$30</f>
        <v>S-AC_HET02</v>
      </c>
      <c r="C49" s="201" t="str">
        <f>'SRV_New Techs'!C$30</f>
        <v>Heat</v>
      </c>
      <c r="D49" s="201" t="str">
        <f>'SRV_New Techs'!D$30</f>
        <v>SRVHET</v>
      </c>
      <c r="E49" s="201" t="str">
        <f>'SRV_New Techs'!F$24</f>
        <v>Air conditioning (Imp.)</v>
      </c>
      <c r="F49" s="227">
        <v>2025</v>
      </c>
      <c r="G49" s="227">
        <v>7</v>
      </c>
      <c r="H49" s="411">
        <v>2025</v>
      </c>
      <c r="I49" s="475">
        <v>0.71134074574423733</v>
      </c>
      <c r="J49" s="283">
        <v>1</v>
      </c>
      <c r="K49" s="256">
        <f>$I49*'Key Inputs_BY Techs'!I$40</f>
        <v>0.71134074574423733</v>
      </c>
      <c r="L49" s="256">
        <f>$I49*'Key Inputs_BY Techs'!J$40</f>
        <v>0.71134074574423733</v>
      </c>
      <c r="M49" s="256">
        <f>$I49*'Key Inputs_BY Techs'!K$40</f>
        <v>0.71134074574423733</v>
      </c>
      <c r="N49" s="256">
        <f>$I49*'Key Inputs_BY Techs'!L$40</f>
        <v>0.71134074574423733</v>
      </c>
      <c r="O49" s="256">
        <f>$I49*'Key Inputs_BY Techs'!M$40</f>
        <v>0.71134074574423733</v>
      </c>
      <c r="P49" s="256">
        <f>$I49*'Key Inputs_BY Techs'!N$40</f>
        <v>0.71134074574423733</v>
      </c>
      <c r="Q49" s="256">
        <f>$I49*'Key Inputs_BY Techs'!O$40</f>
        <v>0.71134074574423733</v>
      </c>
      <c r="R49" s="256">
        <f>$I49*'Key Inputs_BY Techs'!P$40</f>
        <v>0.71134074574423733</v>
      </c>
      <c r="S49" s="256">
        <f>$I49*'Key Inputs_BY Techs'!Q$40</f>
        <v>0.71134074574423733</v>
      </c>
      <c r="T49" s="256">
        <f>$I49*'Key Inputs_BY Techs'!R$40</f>
        <v>0.71134074574423733</v>
      </c>
      <c r="U49" s="256">
        <f>$I49*'Key Inputs_BY Techs'!S$40</f>
        <v>0.71134074574423733</v>
      </c>
      <c r="V49" s="256">
        <f>$I49*'Key Inputs_BY Techs'!T$40</f>
        <v>0.71134074574423733</v>
      </c>
      <c r="W49" s="256">
        <f>$I49*'Key Inputs_BY Techs'!U$40</f>
        <v>0.71134074574423733</v>
      </c>
      <c r="X49" s="256">
        <f>$I49*'Key Inputs_BY Techs'!V$40</f>
        <v>0.71134074574423733</v>
      </c>
      <c r="Y49" s="256">
        <f>$I49*'Key Inputs_BY Techs'!W$40</f>
        <v>0.71134074574423733</v>
      </c>
      <c r="Z49" s="256">
        <f>$I49*'Key Inputs_BY Techs'!X$40</f>
        <v>0.71134074574423733</v>
      </c>
      <c r="AA49" s="256">
        <f>$I49*'Key Inputs_BY Techs'!Y$40</f>
        <v>0.71134074574423733</v>
      </c>
      <c r="AB49" s="256">
        <f>$I49*'Key Inputs_BY Techs'!Z$40</f>
        <v>0.71134074574423733</v>
      </c>
      <c r="AC49" s="256">
        <f>$I49*'Key Inputs_BY Techs'!AA$40</f>
        <v>0.71134074574423733</v>
      </c>
      <c r="AD49" s="256">
        <f>$I49*'Key Inputs_BY Techs'!AB$40</f>
        <v>0.71134074574423733</v>
      </c>
      <c r="AE49" s="256">
        <f>$I49*'Key Inputs_BY Techs'!AC$40</f>
        <v>0.71134074574423733</v>
      </c>
      <c r="AF49" s="256">
        <f>$I49*'Key Inputs_BY Techs'!AD$40</f>
        <v>0.71134074574423733</v>
      </c>
      <c r="AG49" s="256">
        <f>$I49*'Key Inputs_BY Techs'!AE$40</f>
        <v>0.71134074574423733</v>
      </c>
      <c r="AH49" s="256">
        <f>$I49*'Key Inputs_BY Techs'!AF$40</f>
        <v>0.71134074574423733</v>
      </c>
      <c r="AI49" s="256">
        <f>$I49*'Key Inputs_BY Techs'!AG$40</f>
        <v>0.71134074574423733</v>
      </c>
      <c r="AJ49" s="256">
        <f>$I49*'Key Inputs_BY Techs'!AH$40</f>
        <v>0.71134074574423733</v>
      </c>
      <c r="AK49" s="256">
        <f>$I49*'Key Inputs_BY Techs'!AI$40</f>
        <v>0.71134074574423733</v>
      </c>
      <c r="AL49" s="256">
        <f>$I49*'Key Inputs_BY Techs'!AJ$40</f>
        <v>0.71134074574423733</v>
      </c>
    </row>
    <row r="50" spans="1:38" x14ac:dyDescent="0.3">
      <c r="F50" s="412"/>
      <c r="G50" s="412"/>
      <c r="H50" s="211">
        <v>2030</v>
      </c>
      <c r="I50" s="475">
        <v>0.71499999999999997</v>
      </c>
      <c r="J50" s="445">
        <f>'S2'!K26/$I$48</f>
        <v>1.0192021254757053</v>
      </c>
      <c r="K50" s="256">
        <f>$I50*'Key Inputs_BY Techs'!I$40</f>
        <v>0.71499999999999997</v>
      </c>
      <c r="L50" s="256">
        <f>$I50*'Key Inputs_BY Techs'!J$40</f>
        <v>0.71499999999999997</v>
      </c>
      <c r="M50" s="256">
        <f>$I50*'Key Inputs_BY Techs'!K$40</f>
        <v>0.71499999999999997</v>
      </c>
      <c r="N50" s="256">
        <f>$I50*'Key Inputs_BY Techs'!L$40</f>
        <v>0.71499999999999997</v>
      </c>
      <c r="O50" s="256">
        <f>$I50*'Key Inputs_BY Techs'!M$40</f>
        <v>0.71499999999999997</v>
      </c>
      <c r="P50" s="256">
        <f>$I50*'Key Inputs_BY Techs'!N$40</f>
        <v>0.71499999999999997</v>
      </c>
      <c r="Q50" s="256">
        <f>$I50*'Key Inputs_BY Techs'!O$40</f>
        <v>0.71499999999999997</v>
      </c>
      <c r="R50" s="256">
        <f>$I50*'Key Inputs_BY Techs'!P$40</f>
        <v>0.71499999999999997</v>
      </c>
      <c r="S50" s="256">
        <f>$I50*'Key Inputs_BY Techs'!Q$40</f>
        <v>0.71499999999999997</v>
      </c>
      <c r="T50" s="256">
        <f>$I50*'Key Inputs_BY Techs'!R$40</f>
        <v>0.71499999999999997</v>
      </c>
      <c r="U50" s="256">
        <f>$I50*'Key Inputs_BY Techs'!S$40</f>
        <v>0.71499999999999997</v>
      </c>
      <c r="V50" s="256">
        <f>$I50*'Key Inputs_BY Techs'!T$40</f>
        <v>0.71499999999999997</v>
      </c>
      <c r="W50" s="256">
        <f>$I50*'Key Inputs_BY Techs'!U$40</f>
        <v>0.71499999999999997</v>
      </c>
      <c r="X50" s="256">
        <f>$I50*'Key Inputs_BY Techs'!V$40</f>
        <v>0.71499999999999997</v>
      </c>
      <c r="Y50" s="256">
        <f>$I50*'Key Inputs_BY Techs'!W$40</f>
        <v>0.71499999999999997</v>
      </c>
      <c r="Z50" s="256">
        <f>$I50*'Key Inputs_BY Techs'!X$40</f>
        <v>0.71499999999999997</v>
      </c>
      <c r="AA50" s="256">
        <f>$I50*'Key Inputs_BY Techs'!Y$40</f>
        <v>0.71499999999999997</v>
      </c>
      <c r="AB50" s="256">
        <f>$I50*'Key Inputs_BY Techs'!Z$40</f>
        <v>0.71499999999999997</v>
      </c>
      <c r="AC50" s="256">
        <f>$I50*'Key Inputs_BY Techs'!AA$40</f>
        <v>0.71499999999999997</v>
      </c>
      <c r="AD50" s="256">
        <f>$I50*'Key Inputs_BY Techs'!AB$40</f>
        <v>0.71499999999999997</v>
      </c>
      <c r="AE50" s="256">
        <f>$I50*'Key Inputs_BY Techs'!AC$40</f>
        <v>0.71499999999999997</v>
      </c>
      <c r="AF50" s="256">
        <f>$I50*'Key Inputs_BY Techs'!AD$40</f>
        <v>0.71499999999999997</v>
      </c>
      <c r="AG50" s="256">
        <f>$I50*'Key Inputs_BY Techs'!AE$40</f>
        <v>0.71499999999999997</v>
      </c>
      <c r="AH50" s="256">
        <f>$I50*'Key Inputs_BY Techs'!AF$40</f>
        <v>0.71499999999999997</v>
      </c>
      <c r="AI50" s="256">
        <f>$I50*'Key Inputs_BY Techs'!AG$40</f>
        <v>0.71499999999999997</v>
      </c>
      <c r="AJ50" s="256">
        <f>$I50*'Key Inputs_BY Techs'!AH$40</f>
        <v>0.71499999999999997</v>
      </c>
      <c r="AK50" s="256">
        <f>$I50*'Key Inputs_BY Techs'!AI$40</f>
        <v>0.71499999999999997</v>
      </c>
      <c r="AL50" s="256">
        <f>$I50*'Key Inputs_BY Techs'!AJ$40</f>
        <v>0.71499999999999997</v>
      </c>
    </row>
    <row r="51" spans="1:38" x14ac:dyDescent="0.3">
      <c r="F51" s="227"/>
      <c r="G51" s="227"/>
      <c r="H51" s="211">
        <v>2050</v>
      </c>
      <c r="I51" s="475">
        <v>0.72499999999999998</v>
      </c>
      <c r="J51" s="445">
        <f>'S2'!N26/$I$48</f>
        <v>1.0473180461784835</v>
      </c>
      <c r="K51" s="256">
        <f>$I51*'Key Inputs_BY Techs'!I$40</f>
        <v>0.72499999999999998</v>
      </c>
      <c r="L51" s="256">
        <f>$I51*'Key Inputs_BY Techs'!J$40</f>
        <v>0.72499999999999998</v>
      </c>
      <c r="M51" s="256">
        <f>$I51*'Key Inputs_BY Techs'!K$40</f>
        <v>0.72499999999999998</v>
      </c>
      <c r="N51" s="256">
        <f>$I51*'Key Inputs_BY Techs'!L$40</f>
        <v>0.72499999999999998</v>
      </c>
      <c r="O51" s="256">
        <f>$I51*'Key Inputs_BY Techs'!M$40</f>
        <v>0.72499999999999998</v>
      </c>
      <c r="P51" s="256">
        <f>$I51*'Key Inputs_BY Techs'!N$40</f>
        <v>0.72499999999999998</v>
      </c>
      <c r="Q51" s="256">
        <f>$I51*'Key Inputs_BY Techs'!O$40</f>
        <v>0.72499999999999998</v>
      </c>
      <c r="R51" s="256">
        <f>$I51*'Key Inputs_BY Techs'!P$40</f>
        <v>0.72499999999999998</v>
      </c>
      <c r="S51" s="256">
        <f>$I51*'Key Inputs_BY Techs'!Q$40</f>
        <v>0.72499999999999998</v>
      </c>
      <c r="T51" s="256">
        <f>$I51*'Key Inputs_BY Techs'!R$40</f>
        <v>0.72499999999999998</v>
      </c>
      <c r="U51" s="256">
        <f>$I51*'Key Inputs_BY Techs'!S$40</f>
        <v>0.72499999999999998</v>
      </c>
      <c r="V51" s="256">
        <f>$I51*'Key Inputs_BY Techs'!T$40</f>
        <v>0.72499999999999998</v>
      </c>
      <c r="W51" s="256">
        <f>$I51*'Key Inputs_BY Techs'!U$40</f>
        <v>0.72499999999999998</v>
      </c>
      <c r="X51" s="256">
        <f>$I51*'Key Inputs_BY Techs'!V$40</f>
        <v>0.72499999999999998</v>
      </c>
      <c r="Y51" s="256">
        <f>$I51*'Key Inputs_BY Techs'!W$40</f>
        <v>0.72499999999999998</v>
      </c>
      <c r="Z51" s="256">
        <f>$I51*'Key Inputs_BY Techs'!X$40</f>
        <v>0.72499999999999998</v>
      </c>
      <c r="AA51" s="256">
        <f>$I51*'Key Inputs_BY Techs'!Y$40</f>
        <v>0.72499999999999998</v>
      </c>
      <c r="AB51" s="256">
        <f>$I51*'Key Inputs_BY Techs'!Z$40</f>
        <v>0.72499999999999998</v>
      </c>
      <c r="AC51" s="256">
        <f>$I51*'Key Inputs_BY Techs'!AA$40</f>
        <v>0.72499999999999998</v>
      </c>
      <c r="AD51" s="256">
        <f>$I51*'Key Inputs_BY Techs'!AB$40</f>
        <v>0.72499999999999998</v>
      </c>
      <c r="AE51" s="256">
        <f>$I51*'Key Inputs_BY Techs'!AC$40</f>
        <v>0.72499999999999998</v>
      </c>
      <c r="AF51" s="256">
        <f>$I51*'Key Inputs_BY Techs'!AD$40</f>
        <v>0.72499999999999998</v>
      </c>
      <c r="AG51" s="256">
        <f>$I51*'Key Inputs_BY Techs'!AE$40</f>
        <v>0.72499999999999998</v>
      </c>
      <c r="AH51" s="256">
        <f>$I51*'Key Inputs_BY Techs'!AF$40</f>
        <v>0.72499999999999998</v>
      </c>
      <c r="AI51" s="256">
        <f>$I51*'Key Inputs_BY Techs'!AG$40</f>
        <v>0.72499999999999998</v>
      </c>
      <c r="AJ51" s="256">
        <f>$I51*'Key Inputs_BY Techs'!AH$40</f>
        <v>0.72499999999999998</v>
      </c>
      <c r="AK51" s="256">
        <f>$I51*'Key Inputs_BY Techs'!AI$40</f>
        <v>0.72499999999999998</v>
      </c>
      <c r="AL51" s="256">
        <f>$I51*'Key Inputs_BY Techs'!AJ$40</f>
        <v>0.72499999999999998</v>
      </c>
    </row>
    <row r="52" spans="1:38" x14ac:dyDescent="0.3">
      <c r="A52" s="203" t="str">
        <f>Legend!A$46</f>
        <v>Air conditioning</v>
      </c>
      <c r="B52" s="201" t="str">
        <f>'SRV_New Techs'!K$31</f>
        <v>S-AC_HET03</v>
      </c>
      <c r="C52" s="201" t="str">
        <f>'SRV_New Techs'!C$31</f>
        <v>Heat</v>
      </c>
      <c r="D52" s="201" t="str">
        <f>'SRV_New Techs'!D$31</f>
        <v>SRVHET</v>
      </c>
      <c r="E52" s="201" t="str">
        <f>'SRV_New Techs'!F$25</f>
        <v>Air conditioning (Adv.)</v>
      </c>
      <c r="F52" s="227">
        <v>2030</v>
      </c>
      <c r="G52" s="227">
        <v>7</v>
      </c>
      <c r="H52" s="211">
        <v>2030</v>
      </c>
      <c r="I52" s="475">
        <v>0.74099999999999999</v>
      </c>
      <c r="J52" s="283">
        <f>'S2'!L26/$I$48</f>
        <v>1.0416948620379278</v>
      </c>
      <c r="K52" s="256">
        <f>$I52*'Key Inputs_BY Techs'!I$40</f>
        <v>0.74099999999999999</v>
      </c>
      <c r="L52" s="256">
        <f>$I52*'Key Inputs_BY Techs'!J$40</f>
        <v>0.74099999999999999</v>
      </c>
      <c r="M52" s="256">
        <f>$I52*'Key Inputs_BY Techs'!K$40</f>
        <v>0.74099999999999999</v>
      </c>
      <c r="N52" s="256">
        <f>$I52*'Key Inputs_BY Techs'!L$40</f>
        <v>0.74099999999999999</v>
      </c>
      <c r="O52" s="256">
        <f>$I52*'Key Inputs_BY Techs'!M$40</f>
        <v>0.74099999999999999</v>
      </c>
      <c r="P52" s="256">
        <f>$I52*'Key Inputs_BY Techs'!N$40</f>
        <v>0.74099999999999999</v>
      </c>
      <c r="Q52" s="256">
        <f>$I52*'Key Inputs_BY Techs'!O$40</f>
        <v>0.74099999999999999</v>
      </c>
      <c r="R52" s="256">
        <f>$I52*'Key Inputs_BY Techs'!P$40</f>
        <v>0.74099999999999999</v>
      </c>
      <c r="S52" s="256">
        <f>$I52*'Key Inputs_BY Techs'!Q$40</f>
        <v>0.74099999999999999</v>
      </c>
      <c r="T52" s="256">
        <f>$I52*'Key Inputs_BY Techs'!R$40</f>
        <v>0.74099999999999999</v>
      </c>
      <c r="U52" s="256">
        <f>$I52*'Key Inputs_BY Techs'!S$40</f>
        <v>0.74099999999999999</v>
      </c>
      <c r="V52" s="256">
        <f>$I52*'Key Inputs_BY Techs'!T$40</f>
        <v>0.74099999999999999</v>
      </c>
      <c r="W52" s="256">
        <f>$I52*'Key Inputs_BY Techs'!U$40</f>
        <v>0.74099999999999999</v>
      </c>
      <c r="X52" s="256">
        <f>$I52*'Key Inputs_BY Techs'!V$40</f>
        <v>0.74099999999999999</v>
      </c>
      <c r="Y52" s="256">
        <f>$I52*'Key Inputs_BY Techs'!W$40</f>
        <v>0.74099999999999999</v>
      </c>
      <c r="Z52" s="256">
        <f>$I52*'Key Inputs_BY Techs'!X$40</f>
        <v>0.74099999999999999</v>
      </c>
      <c r="AA52" s="256">
        <f>$I52*'Key Inputs_BY Techs'!Y$40</f>
        <v>0.74099999999999999</v>
      </c>
      <c r="AB52" s="256">
        <f>$I52*'Key Inputs_BY Techs'!Z$40</f>
        <v>0.74099999999999999</v>
      </c>
      <c r="AC52" s="256">
        <f>$I52*'Key Inputs_BY Techs'!AA$40</f>
        <v>0.74099999999999999</v>
      </c>
      <c r="AD52" s="256">
        <f>$I52*'Key Inputs_BY Techs'!AB$40</f>
        <v>0.74099999999999999</v>
      </c>
      <c r="AE52" s="256">
        <f>$I52*'Key Inputs_BY Techs'!AC$40</f>
        <v>0.74099999999999999</v>
      </c>
      <c r="AF52" s="256">
        <f>$I52*'Key Inputs_BY Techs'!AD$40</f>
        <v>0.74099999999999999</v>
      </c>
      <c r="AG52" s="256">
        <f>$I52*'Key Inputs_BY Techs'!AE$40</f>
        <v>0.74099999999999999</v>
      </c>
      <c r="AH52" s="256">
        <f>$I52*'Key Inputs_BY Techs'!AF$40</f>
        <v>0.74099999999999999</v>
      </c>
      <c r="AI52" s="256">
        <f>$I52*'Key Inputs_BY Techs'!AG$40</f>
        <v>0.74099999999999999</v>
      </c>
      <c r="AJ52" s="256">
        <f>$I52*'Key Inputs_BY Techs'!AH$40</f>
        <v>0.74099999999999999</v>
      </c>
      <c r="AK52" s="256">
        <f>$I52*'Key Inputs_BY Techs'!AI$40</f>
        <v>0.74099999999999999</v>
      </c>
      <c r="AL52" s="256">
        <f>$I52*'Key Inputs_BY Techs'!AJ$40</f>
        <v>0.74099999999999999</v>
      </c>
    </row>
    <row r="53" spans="1:38" x14ac:dyDescent="0.3">
      <c r="A53" s="230"/>
      <c r="B53" s="201"/>
      <c r="F53" s="227"/>
      <c r="G53" s="227"/>
      <c r="H53" s="282">
        <v>2050</v>
      </c>
      <c r="I53" s="475">
        <v>0.76719989623252383</v>
      </c>
      <c r="J53" s="284">
        <f>'S2'!O26/$I$48</f>
        <v>1.0785265722826605</v>
      </c>
      <c r="K53" s="421">
        <f>$I53*'Key Inputs_BY Techs'!I$40</f>
        <v>0.76719989623252383</v>
      </c>
      <c r="L53" s="421">
        <f>$I53*'Key Inputs_BY Techs'!J$40</f>
        <v>0.76719989623252383</v>
      </c>
      <c r="M53" s="421">
        <f>$I53*'Key Inputs_BY Techs'!K$40</f>
        <v>0.76719989623252383</v>
      </c>
      <c r="N53" s="421">
        <f>$I53*'Key Inputs_BY Techs'!L$40</f>
        <v>0.76719989623252383</v>
      </c>
      <c r="O53" s="421">
        <f>$I53*'Key Inputs_BY Techs'!M$40</f>
        <v>0.76719989623252383</v>
      </c>
      <c r="P53" s="421">
        <f>$I53*'Key Inputs_BY Techs'!N$40</f>
        <v>0.76719989623252383</v>
      </c>
      <c r="Q53" s="421">
        <f>$I53*'Key Inputs_BY Techs'!O$40</f>
        <v>0.76719989623252383</v>
      </c>
      <c r="R53" s="421">
        <f>$I53*'Key Inputs_BY Techs'!P$40</f>
        <v>0.76719989623252383</v>
      </c>
      <c r="S53" s="421">
        <f>$I53*'Key Inputs_BY Techs'!Q$40</f>
        <v>0.76719989623252383</v>
      </c>
      <c r="T53" s="421">
        <f>$I53*'Key Inputs_BY Techs'!R$40</f>
        <v>0.76719989623252383</v>
      </c>
      <c r="U53" s="421">
        <f>$I53*'Key Inputs_BY Techs'!S$40</f>
        <v>0.76719989623252383</v>
      </c>
      <c r="V53" s="421">
        <f>$I53*'Key Inputs_BY Techs'!T$40</f>
        <v>0.76719989623252383</v>
      </c>
      <c r="W53" s="421">
        <f>$I53*'Key Inputs_BY Techs'!U$40</f>
        <v>0.76719989623252383</v>
      </c>
      <c r="X53" s="421">
        <f>$I53*'Key Inputs_BY Techs'!V$40</f>
        <v>0.76719989623252383</v>
      </c>
      <c r="Y53" s="421">
        <f>$I53*'Key Inputs_BY Techs'!W$40</f>
        <v>0.76719989623252383</v>
      </c>
      <c r="Z53" s="421">
        <f>$I53*'Key Inputs_BY Techs'!X$40</f>
        <v>0.76719989623252383</v>
      </c>
      <c r="AA53" s="421">
        <f>$I53*'Key Inputs_BY Techs'!Y$40</f>
        <v>0.76719989623252383</v>
      </c>
      <c r="AB53" s="421">
        <f>$I53*'Key Inputs_BY Techs'!Z$40</f>
        <v>0.76719989623252383</v>
      </c>
      <c r="AC53" s="421">
        <f>$I53*'Key Inputs_BY Techs'!AA$40</f>
        <v>0.76719989623252383</v>
      </c>
      <c r="AD53" s="421">
        <f>$I53*'Key Inputs_BY Techs'!AB$40</f>
        <v>0.76719989623252383</v>
      </c>
      <c r="AE53" s="421">
        <f>$I53*'Key Inputs_BY Techs'!AC$40</f>
        <v>0.76719989623252383</v>
      </c>
      <c r="AF53" s="421">
        <f>$I53*'Key Inputs_BY Techs'!AD$40</f>
        <v>0.76719989623252383</v>
      </c>
      <c r="AG53" s="421">
        <f>$I53*'Key Inputs_BY Techs'!AE$40</f>
        <v>0.76719989623252383</v>
      </c>
      <c r="AH53" s="421">
        <f>$I53*'Key Inputs_BY Techs'!AF$40</f>
        <v>0.76719989623252383</v>
      </c>
      <c r="AI53" s="421">
        <f>$I53*'Key Inputs_BY Techs'!AG$40</f>
        <v>0.76719989623252383</v>
      </c>
      <c r="AJ53" s="421">
        <f>$I53*'Key Inputs_BY Techs'!AH$40</f>
        <v>0.76719989623252383</v>
      </c>
      <c r="AK53" s="421">
        <f>$I53*'Key Inputs_BY Techs'!AI$40</f>
        <v>0.76719989623252383</v>
      </c>
      <c r="AL53" s="421">
        <f>$I53*'Key Inputs_BY Techs'!AJ$40</f>
        <v>0.76719989623252383</v>
      </c>
    </row>
    <row r="54" spans="1:38" x14ac:dyDescent="0.3">
      <c r="A54" s="203" t="str">
        <f>Legend!$A$48</f>
        <v>Street lighting</v>
      </c>
      <c r="B54" s="208" t="str">
        <f>'SRV_New Techs'!K$32</f>
        <v>S-SLIG_ELC01</v>
      </c>
      <c r="C54" s="208" t="str">
        <f>'SRV_New Techs'!C$32</f>
        <v>Electricity</v>
      </c>
      <c r="D54" s="208" t="str">
        <f>'SRV_New Techs'!D$32</f>
        <v>SRVELC</v>
      </c>
      <c r="E54" s="208" t="str">
        <f>'SRV_New Techs'!F$32</f>
        <v>Street lights (Ord.)</v>
      </c>
      <c r="F54" s="209">
        <v>2020</v>
      </c>
      <c r="G54" s="303">
        <v>5.7077625570776256</v>
      </c>
      <c r="H54" s="411">
        <v>2020</v>
      </c>
      <c r="I54" s="435">
        <f>'Key Inputs_BY Techs'!H34</f>
        <v>16.367059103624555</v>
      </c>
      <c r="J54" s="266">
        <f>J60</f>
        <v>1</v>
      </c>
      <c r="K54" s="256">
        <f>$I54</f>
        <v>16.367059103624555</v>
      </c>
      <c r="L54" s="256">
        <f t="shared" ref="L54:AL62" si="4">$I54</f>
        <v>16.367059103624555</v>
      </c>
      <c r="M54" s="256">
        <f t="shared" si="4"/>
        <v>16.367059103624555</v>
      </c>
      <c r="N54" s="256">
        <f t="shared" si="4"/>
        <v>16.367059103624555</v>
      </c>
      <c r="O54" s="256">
        <f t="shared" si="4"/>
        <v>16.367059103624555</v>
      </c>
      <c r="P54" s="256">
        <f t="shared" si="4"/>
        <v>16.367059103624555</v>
      </c>
      <c r="Q54" s="256">
        <f t="shared" si="4"/>
        <v>16.367059103624555</v>
      </c>
      <c r="R54" s="256">
        <f t="shared" si="4"/>
        <v>16.367059103624555</v>
      </c>
      <c r="S54" s="256">
        <f t="shared" si="4"/>
        <v>16.367059103624555</v>
      </c>
      <c r="T54" s="256">
        <f t="shared" si="4"/>
        <v>16.367059103624555</v>
      </c>
      <c r="U54" s="256">
        <f t="shared" si="4"/>
        <v>16.367059103624555</v>
      </c>
      <c r="V54" s="256">
        <f t="shared" si="4"/>
        <v>16.367059103624555</v>
      </c>
      <c r="W54" s="256">
        <f t="shared" si="4"/>
        <v>16.367059103624555</v>
      </c>
      <c r="X54" s="256">
        <f t="shared" si="4"/>
        <v>16.367059103624555</v>
      </c>
      <c r="Y54" s="256">
        <f t="shared" si="4"/>
        <v>16.367059103624555</v>
      </c>
      <c r="Z54" s="256">
        <f t="shared" si="4"/>
        <v>16.367059103624555</v>
      </c>
      <c r="AA54" s="256">
        <f t="shared" si="4"/>
        <v>16.367059103624555</v>
      </c>
      <c r="AB54" s="256">
        <f t="shared" si="4"/>
        <v>16.367059103624555</v>
      </c>
      <c r="AC54" s="256">
        <f t="shared" si="4"/>
        <v>16.367059103624555</v>
      </c>
      <c r="AD54" s="256">
        <f t="shared" si="4"/>
        <v>16.367059103624555</v>
      </c>
      <c r="AE54" s="256">
        <f t="shared" si="4"/>
        <v>16.367059103624555</v>
      </c>
      <c r="AF54" s="256">
        <f t="shared" si="4"/>
        <v>16.367059103624555</v>
      </c>
      <c r="AG54" s="256">
        <f t="shared" si="4"/>
        <v>16.367059103624555</v>
      </c>
      <c r="AH54" s="256">
        <f t="shared" si="4"/>
        <v>16.367059103624555</v>
      </c>
      <c r="AI54" s="256">
        <f t="shared" si="4"/>
        <v>16.367059103624555</v>
      </c>
      <c r="AJ54" s="256">
        <f t="shared" si="4"/>
        <v>16.367059103624555</v>
      </c>
      <c r="AK54" s="256">
        <f t="shared" si="4"/>
        <v>16.367059103624555</v>
      </c>
      <c r="AL54" s="256">
        <f t="shared" si="4"/>
        <v>16.367059103624555</v>
      </c>
    </row>
    <row r="55" spans="1:38" x14ac:dyDescent="0.3">
      <c r="A55" s="203" t="str">
        <f>Legend!$A$48</f>
        <v>Street lighting</v>
      </c>
      <c r="B55" s="201" t="str">
        <f>'SRV_New Techs'!K$33</f>
        <v>S-SLIG_ELC02</v>
      </c>
      <c r="C55" s="201" t="str">
        <f>'SRV_New Techs'!C$33</f>
        <v>Electricity</v>
      </c>
      <c r="D55" s="201" t="str">
        <f>'SRV_New Techs'!D$33</f>
        <v>SRVELC</v>
      </c>
      <c r="E55" s="201" t="str">
        <f>'SRV_New Techs'!F$33</f>
        <v>Street lights (Imp.)</v>
      </c>
      <c r="F55" s="227">
        <v>2025</v>
      </c>
      <c r="G55" s="305">
        <v>5.7077625570776256</v>
      </c>
      <c r="H55" s="411">
        <v>2025</v>
      </c>
      <c r="I55" s="423">
        <f>I$54*J55</f>
        <v>16.367059103624555</v>
      </c>
      <c r="J55" s="266">
        <f t="shared" ref="J55:J58" si="5">J61</f>
        <v>1</v>
      </c>
      <c r="K55" s="417">
        <f t="shared" ref="K55:Z73" si="6">$I55</f>
        <v>16.367059103624555</v>
      </c>
      <c r="L55" s="417">
        <f t="shared" si="6"/>
        <v>16.367059103624555</v>
      </c>
      <c r="M55" s="417">
        <f t="shared" si="6"/>
        <v>16.367059103624555</v>
      </c>
      <c r="N55" s="417">
        <f t="shared" si="6"/>
        <v>16.367059103624555</v>
      </c>
      <c r="O55" s="417">
        <f t="shared" si="6"/>
        <v>16.367059103624555</v>
      </c>
      <c r="P55" s="417">
        <f t="shared" si="6"/>
        <v>16.367059103624555</v>
      </c>
      <c r="Q55" s="417">
        <f t="shared" si="6"/>
        <v>16.367059103624555</v>
      </c>
      <c r="R55" s="417">
        <f t="shared" si="6"/>
        <v>16.367059103624555</v>
      </c>
      <c r="S55" s="417">
        <f t="shared" si="6"/>
        <v>16.367059103624555</v>
      </c>
      <c r="T55" s="417">
        <f t="shared" si="6"/>
        <v>16.367059103624555</v>
      </c>
      <c r="U55" s="417">
        <f t="shared" si="6"/>
        <v>16.367059103624555</v>
      </c>
      <c r="V55" s="417">
        <f t="shared" si="6"/>
        <v>16.367059103624555</v>
      </c>
      <c r="W55" s="417">
        <f t="shared" si="6"/>
        <v>16.367059103624555</v>
      </c>
      <c r="X55" s="417">
        <f t="shared" si="6"/>
        <v>16.367059103624555</v>
      </c>
      <c r="Y55" s="417">
        <f t="shared" si="6"/>
        <v>16.367059103624555</v>
      </c>
      <c r="Z55" s="417">
        <f t="shared" si="6"/>
        <v>16.367059103624555</v>
      </c>
      <c r="AA55" s="417">
        <f t="shared" si="4"/>
        <v>16.367059103624555</v>
      </c>
      <c r="AB55" s="417">
        <f t="shared" si="4"/>
        <v>16.367059103624555</v>
      </c>
      <c r="AC55" s="417">
        <f t="shared" si="4"/>
        <v>16.367059103624555</v>
      </c>
      <c r="AD55" s="417">
        <f t="shared" si="4"/>
        <v>16.367059103624555</v>
      </c>
      <c r="AE55" s="417">
        <f t="shared" si="4"/>
        <v>16.367059103624555</v>
      </c>
      <c r="AF55" s="417">
        <f t="shared" si="4"/>
        <v>16.367059103624555</v>
      </c>
      <c r="AG55" s="417">
        <f t="shared" si="4"/>
        <v>16.367059103624555</v>
      </c>
      <c r="AH55" s="417">
        <f t="shared" si="4"/>
        <v>16.367059103624555</v>
      </c>
      <c r="AI55" s="417">
        <f t="shared" si="4"/>
        <v>16.367059103624555</v>
      </c>
      <c r="AJ55" s="417">
        <f t="shared" si="4"/>
        <v>16.367059103624555</v>
      </c>
      <c r="AK55" s="417">
        <f t="shared" si="4"/>
        <v>16.367059103624555</v>
      </c>
      <c r="AL55" s="417">
        <f t="shared" si="4"/>
        <v>16.367059103624555</v>
      </c>
    </row>
    <row r="56" spans="1:38" x14ac:dyDescent="0.3">
      <c r="B56" s="201"/>
      <c r="E56" s="203"/>
      <c r="F56" s="227"/>
      <c r="G56" s="305"/>
      <c r="H56" s="411">
        <v>2030</v>
      </c>
      <c r="I56" s="423">
        <f t="shared" ref="I56:I70" si="7">I$54*J56</f>
        <v>18.54324284230826</v>
      </c>
      <c r="J56" s="266">
        <f t="shared" si="5"/>
        <v>1.1329611950995997</v>
      </c>
      <c r="K56" s="417">
        <f t="shared" si="6"/>
        <v>18.54324284230826</v>
      </c>
      <c r="L56" s="417">
        <f t="shared" si="4"/>
        <v>18.54324284230826</v>
      </c>
      <c r="M56" s="417">
        <f t="shared" si="4"/>
        <v>18.54324284230826</v>
      </c>
      <c r="N56" s="417">
        <f t="shared" si="4"/>
        <v>18.54324284230826</v>
      </c>
      <c r="O56" s="417">
        <f t="shared" si="4"/>
        <v>18.54324284230826</v>
      </c>
      <c r="P56" s="417">
        <f t="shared" si="4"/>
        <v>18.54324284230826</v>
      </c>
      <c r="Q56" s="417">
        <f t="shared" si="4"/>
        <v>18.54324284230826</v>
      </c>
      <c r="R56" s="417">
        <f t="shared" si="4"/>
        <v>18.54324284230826</v>
      </c>
      <c r="S56" s="417">
        <f t="shared" si="4"/>
        <v>18.54324284230826</v>
      </c>
      <c r="T56" s="417">
        <f t="shared" si="4"/>
        <v>18.54324284230826</v>
      </c>
      <c r="U56" s="417">
        <f t="shared" si="4"/>
        <v>18.54324284230826</v>
      </c>
      <c r="V56" s="417">
        <f t="shared" si="4"/>
        <v>18.54324284230826</v>
      </c>
      <c r="W56" s="417">
        <f t="shared" si="4"/>
        <v>18.54324284230826</v>
      </c>
      <c r="X56" s="417">
        <f t="shared" si="4"/>
        <v>18.54324284230826</v>
      </c>
      <c r="Y56" s="417">
        <f t="shared" si="4"/>
        <v>18.54324284230826</v>
      </c>
      <c r="Z56" s="417">
        <f t="shared" si="4"/>
        <v>18.54324284230826</v>
      </c>
      <c r="AA56" s="417">
        <f t="shared" si="4"/>
        <v>18.54324284230826</v>
      </c>
      <c r="AB56" s="417">
        <f t="shared" si="4"/>
        <v>18.54324284230826</v>
      </c>
      <c r="AC56" s="417">
        <f t="shared" si="4"/>
        <v>18.54324284230826</v>
      </c>
      <c r="AD56" s="417">
        <f t="shared" si="4"/>
        <v>18.54324284230826</v>
      </c>
      <c r="AE56" s="417">
        <f t="shared" si="4"/>
        <v>18.54324284230826</v>
      </c>
      <c r="AF56" s="417">
        <f t="shared" si="4"/>
        <v>18.54324284230826</v>
      </c>
      <c r="AG56" s="417">
        <f t="shared" si="4"/>
        <v>18.54324284230826</v>
      </c>
      <c r="AH56" s="417">
        <f t="shared" si="4"/>
        <v>18.54324284230826</v>
      </c>
      <c r="AI56" s="417">
        <f t="shared" si="4"/>
        <v>18.54324284230826</v>
      </c>
      <c r="AJ56" s="417">
        <f t="shared" si="4"/>
        <v>18.54324284230826</v>
      </c>
      <c r="AK56" s="417">
        <f t="shared" si="4"/>
        <v>18.54324284230826</v>
      </c>
      <c r="AL56" s="417">
        <f t="shared" si="4"/>
        <v>18.54324284230826</v>
      </c>
    </row>
    <row r="57" spans="1:38" x14ac:dyDescent="0.3">
      <c r="B57" s="201"/>
      <c r="F57" s="227"/>
      <c r="G57" s="305"/>
      <c r="H57" s="411">
        <v>2050</v>
      </c>
      <c r="I57" s="423">
        <f t="shared" si="7"/>
        <v>25.298522566282127</v>
      </c>
      <c r="J57" s="266">
        <f t="shared" si="5"/>
        <v>1.5456975138972682</v>
      </c>
      <c r="K57" s="417">
        <f t="shared" si="6"/>
        <v>25.298522566282127</v>
      </c>
      <c r="L57" s="417">
        <f t="shared" si="4"/>
        <v>25.298522566282127</v>
      </c>
      <c r="M57" s="417">
        <f t="shared" si="4"/>
        <v>25.298522566282127</v>
      </c>
      <c r="N57" s="417">
        <f t="shared" si="4"/>
        <v>25.298522566282127</v>
      </c>
      <c r="O57" s="417">
        <f t="shared" si="4"/>
        <v>25.298522566282127</v>
      </c>
      <c r="P57" s="417">
        <f t="shared" si="4"/>
        <v>25.298522566282127</v>
      </c>
      <c r="Q57" s="417">
        <f t="shared" si="4"/>
        <v>25.298522566282127</v>
      </c>
      <c r="R57" s="417">
        <f t="shared" si="4"/>
        <v>25.298522566282127</v>
      </c>
      <c r="S57" s="417">
        <f t="shared" si="4"/>
        <v>25.298522566282127</v>
      </c>
      <c r="T57" s="417">
        <f t="shared" si="4"/>
        <v>25.298522566282127</v>
      </c>
      <c r="U57" s="417">
        <f t="shared" si="4"/>
        <v>25.298522566282127</v>
      </c>
      <c r="V57" s="417">
        <f t="shared" si="4"/>
        <v>25.298522566282127</v>
      </c>
      <c r="W57" s="417">
        <f t="shared" si="4"/>
        <v>25.298522566282127</v>
      </c>
      <c r="X57" s="417">
        <f t="shared" si="4"/>
        <v>25.298522566282127</v>
      </c>
      <c r="Y57" s="417">
        <f t="shared" si="4"/>
        <v>25.298522566282127</v>
      </c>
      <c r="Z57" s="417">
        <f t="shared" si="4"/>
        <v>25.298522566282127</v>
      </c>
      <c r="AA57" s="417">
        <f t="shared" si="4"/>
        <v>25.298522566282127</v>
      </c>
      <c r="AB57" s="417">
        <f t="shared" si="4"/>
        <v>25.298522566282127</v>
      </c>
      <c r="AC57" s="417">
        <f t="shared" si="4"/>
        <v>25.298522566282127</v>
      </c>
      <c r="AD57" s="417">
        <f t="shared" si="4"/>
        <v>25.298522566282127</v>
      </c>
      <c r="AE57" s="417">
        <f t="shared" si="4"/>
        <v>25.298522566282127</v>
      </c>
      <c r="AF57" s="417">
        <f t="shared" si="4"/>
        <v>25.298522566282127</v>
      </c>
      <c r="AG57" s="417">
        <f t="shared" si="4"/>
        <v>25.298522566282127</v>
      </c>
      <c r="AH57" s="417">
        <f t="shared" si="4"/>
        <v>25.298522566282127</v>
      </c>
      <c r="AI57" s="417">
        <f t="shared" si="4"/>
        <v>25.298522566282127</v>
      </c>
      <c r="AJ57" s="417">
        <f t="shared" si="4"/>
        <v>25.298522566282127</v>
      </c>
      <c r="AK57" s="417">
        <f t="shared" si="4"/>
        <v>25.298522566282127</v>
      </c>
      <c r="AL57" s="417">
        <f t="shared" si="4"/>
        <v>25.298522566282127</v>
      </c>
    </row>
    <row r="58" spans="1:38" ht="15" customHeight="1" x14ac:dyDescent="0.3">
      <c r="A58" s="203" t="str">
        <f>Legend!$A$48</f>
        <v>Street lighting</v>
      </c>
      <c r="B58" s="201" t="str">
        <f>'SRV_New Techs'!K$34</f>
        <v>S-SLIG_ELC03</v>
      </c>
      <c r="C58" s="201" t="str">
        <f>'SRV_New Techs'!C$34</f>
        <v>Electricity</v>
      </c>
      <c r="D58" s="201" t="str">
        <f>'SRV_New Techs'!D$34</f>
        <v>SRVELC</v>
      </c>
      <c r="E58" s="201" t="str">
        <f>'SRV_New Techs'!F$34</f>
        <v>Street lights (Adv.)</v>
      </c>
      <c r="F58" s="227">
        <v>2030</v>
      </c>
      <c r="G58" s="305">
        <v>5.7077625570776256</v>
      </c>
      <c r="H58" s="411">
        <v>2030</v>
      </c>
      <c r="I58" s="423">
        <f t="shared" si="7"/>
        <v>21.008774571643663</v>
      </c>
      <c r="J58" s="266">
        <f t="shared" si="5"/>
        <v>1.2836010696015132</v>
      </c>
      <c r="K58" s="417">
        <f t="shared" si="6"/>
        <v>21.008774571643663</v>
      </c>
      <c r="L58" s="417">
        <f t="shared" si="4"/>
        <v>21.008774571643663</v>
      </c>
      <c r="M58" s="417">
        <f t="shared" si="4"/>
        <v>21.008774571643663</v>
      </c>
      <c r="N58" s="417">
        <f t="shared" si="4"/>
        <v>21.008774571643663</v>
      </c>
      <c r="O58" s="417">
        <f t="shared" si="4"/>
        <v>21.008774571643663</v>
      </c>
      <c r="P58" s="417">
        <f t="shared" si="4"/>
        <v>21.008774571643663</v>
      </c>
      <c r="Q58" s="417">
        <f t="shared" si="4"/>
        <v>21.008774571643663</v>
      </c>
      <c r="R58" s="417">
        <f t="shared" si="4"/>
        <v>21.008774571643663</v>
      </c>
      <c r="S58" s="417">
        <f t="shared" si="4"/>
        <v>21.008774571643663</v>
      </c>
      <c r="T58" s="417">
        <f t="shared" si="4"/>
        <v>21.008774571643663</v>
      </c>
      <c r="U58" s="417">
        <f t="shared" si="4"/>
        <v>21.008774571643663</v>
      </c>
      <c r="V58" s="417">
        <f t="shared" si="4"/>
        <v>21.008774571643663</v>
      </c>
      <c r="W58" s="417">
        <f t="shared" si="4"/>
        <v>21.008774571643663</v>
      </c>
      <c r="X58" s="417">
        <f t="shared" si="4"/>
        <v>21.008774571643663</v>
      </c>
      <c r="Y58" s="417">
        <f t="shared" si="4"/>
        <v>21.008774571643663</v>
      </c>
      <c r="Z58" s="417">
        <f t="shared" si="4"/>
        <v>21.008774571643663</v>
      </c>
      <c r="AA58" s="417">
        <f t="shared" si="4"/>
        <v>21.008774571643663</v>
      </c>
      <c r="AB58" s="417">
        <f t="shared" si="4"/>
        <v>21.008774571643663</v>
      </c>
      <c r="AC58" s="417">
        <f t="shared" si="4"/>
        <v>21.008774571643663</v>
      </c>
      <c r="AD58" s="417">
        <f t="shared" si="4"/>
        <v>21.008774571643663</v>
      </c>
      <c r="AE58" s="417">
        <f t="shared" si="4"/>
        <v>21.008774571643663</v>
      </c>
      <c r="AF58" s="417">
        <f t="shared" si="4"/>
        <v>21.008774571643663</v>
      </c>
      <c r="AG58" s="417">
        <f t="shared" si="4"/>
        <v>21.008774571643663</v>
      </c>
      <c r="AH58" s="417">
        <f t="shared" si="4"/>
        <v>21.008774571643663</v>
      </c>
      <c r="AI58" s="417">
        <f t="shared" si="4"/>
        <v>21.008774571643663</v>
      </c>
      <c r="AJ58" s="417">
        <f t="shared" si="4"/>
        <v>21.008774571643663</v>
      </c>
      <c r="AK58" s="417">
        <f t="shared" si="4"/>
        <v>21.008774571643663</v>
      </c>
      <c r="AL58" s="417">
        <f t="shared" si="4"/>
        <v>21.008774571643663</v>
      </c>
    </row>
    <row r="59" spans="1:38" ht="15" customHeight="1" x14ac:dyDescent="0.3">
      <c r="A59" s="230"/>
      <c r="B59" s="234"/>
      <c r="C59" s="234"/>
      <c r="D59" s="234"/>
      <c r="E59" s="234"/>
      <c r="F59" s="237"/>
      <c r="G59" s="415"/>
      <c r="H59" s="416">
        <v>2050</v>
      </c>
      <c r="I59" s="436">
        <f t="shared" si="7"/>
        <v>28.662244360949188</v>
      </c>
      <c r="J59" s="568">
        <f>J65</f>
        <v>1.751215302607529</v>
      </c>
      <c r="K59" s="421">
        <f t="shared" si="6"/>
        <v>28.662244360949188</v>
      </c>
      <c r="L59" s="421">
        <f t="shared" si="4"/>
        <v>28.662244360949188</v>
      </c>
      <c r="M59" s="421">
        <f t="shared" si="4"/>
        <v>28.662244360949188</v>
      </c>
      <c r="N59" s="421">
        <f t="shared" si="4"/>
        <v>28.662244360949188</v>
      </c>
      <c r="O59" s="421">
        <f t="shared" si="4"/>
        <v>28.662244360949188</v>
      </c>
      <c r="P59" s="421">
        <f t="shared" si="4"/>
        <v>28.662244360949188</v>
      </c>
      <c r="Q59" s="421">
        <f t="shared" si="4"/>
        <v>28.662244360949188</v>
      </c>
      <c r="R59" s="421">
        <f t="shared" si="4"/>
        <v>28.662244360949188</v>
      </c>
      <c r="S59" s="421">
        <f t="shared" si="4"/>
        <v>28.662244360949188</v>
      </c>
      <c r="T59" s="421">
        <f t="shared" si="4"/>
        <v>28.662244360949188</v>
      </c>
      <c r="U59" s="421">
        <f t="shared" si="4"/>
        <v>28.662244360949188</v>
      </c>
      <c r="V59" s="421">
        <f t="shared" si="4"/>
        <v>28.662244360949188</v>
      </c>
      <c r="W59" s="421">
        <f t="shared" si="4"/>
        <v>28.662244360949188</v>
      </c>
      <c r="X59" s="421">
        <f t="shared" si="4"/>
        <v>28.662244360949188</v>
      </c>
      <c r="Y59" s="421">
        <f t="shared" si="4"/>
        <v>28.662244360949188</v>
      </c>
      <c r="Z59" s="421">
        <f t="shared" si="4"/>
        <v>28.662244360949188</v>
      </c>
      <c r="AA59" s="421">
        <f t="shared" si="4"/>
        <v>28.662244360949188</v>
      </c>
      <c r="AB59" s="421">
        <f t="shared" si="4"/>
        <v>28.662244360949188</v>
      </c>
      <c r="AC59" s="421">
        <f t="shared" si="4"/>
        <v>28.662244360949188</v>
      </c>
      <c r="AD59" s="421">
        <f t="shared" si="4"/>
        <v>28.662244360949188</v>
      </c>
      <c r="AE59" s="421">
        <f t="shared" si="4"/>
        <v>28.662244360949188</v>
      </c>
      <c r="AF59" s="421">
        <f t="shared" si="4"/>
        <v>28.662244360949188</v>
      </c>
      <c r="AG59" s="421">
        <f t="shared" si="4"/>
        <v>28.662244360949188</v>
      </c>
      <c r="AH59" s="421">
        <f t="shared" si="4"/>
        <v>28.662244360949188</v>
      </c>
      <c r="AI59" s="421">
        <f t="shared" si="4"/>
        <v>28.662244360949188</v>
      </c>
      <c r="AJ59" s="421">
        <f t="shared" si="4"/>
        <v>28.662244360949188</v>
      </c>
      <c r="AK59" s="421">
        <f t="shared" si="4"/>
        <v>28.662244360949188</v>
      </c>
      <c r="AL59" s="421">
        <f t="shared" si="4"/>
        <v>28.662244360949188</v>
      </c>
    </row>
    <row r="60" spans="1:38" x14ac:dyDescent="0.3">
      <c r="A60" s="203" t="str">
        <f>Legend!$A$49</f>
        <v>Lighting</v>
      </c>
      <c r="B60" s="201" t="str">
        <f>'SRV_New Techs'!K$35</f>
        <v>S-LIG_ELC01</v>
      </c>
      <c r="C60" s="201" t="str">
        <f>'SRV_New Techs'!C$35</f>
        <v>Electricity</v>
      </c>
      <c r="D60" s="201" t="str">
        <f>'SRV_New Techs'!D$35</f>
        <v>SRVELC</v>
      </c>
      <c r="E60" s="201" t="str">
        <f>'SRV_New Techs'!F$35</f>
        <v>Office lighting (Ord.)</v>
      </c>
      <c r="F60" s="227">
        <v>2020</v>
      </c>
      <c r="G60" s="305">
        <v>5.7077625570776256</v>
      </c>
      <c r="H60" s="411">
        <v>2020</v>
      </c>
      <c r="I60" s="423">
        <f>'Key Inputs_BY Techs'!H33*J60</f>
        <v>16.367059103624555</v>
      </c>
      <c r="J60" s="283">
        <v>1</v>
      </c>
      <c r="K60" s="417">
        <f t="shared" si="6"/>
        <v>16.367059103624555</v>
      </c>
      <c r="L60" s="417">
        <f t="shared" si="4"/>
        <v>16.367059103624555</v>
      </c>
      <c r="M60" s="417">
        <f t="shared" si="4"/>
        <v>16.367059103624555</v>
      </c>
      <c r="N60" s="417">
        <f t="shared" si="4"/>
        <v>16.367059103624555</v>
      </c>
      <c r="O60" s="417">
        <f t="shared" si="4"/>
        <v>16.367059103624555</v>
      </c>
      <c r="P60" s="417">
        <f t="shared" si="4"/>
        <v>16.367059103624555</v>
      </c>
      <c r="Q60" s="417">
        <f t="shared" si="4"/>
        <v>16.367059103624555</v>
      </c>
      <c r="R60" s="417">
        <f t="shared" si="4"/>
        <v>16.367059103624555</v>
      </c>
      <c r="S60" s="417">
        <f t="shared" si="4"/>
        <v>16.367059103624555</v>
      </c>
      <c r="T60" s="417">
        <f t="shared" si="4"/>
        <v>16.367059103624555</v>
      </c>
      <c r="U60" s="417">
        <f t="shared" si="4"/>
        <v>16.367059103624555</v>
      </c>
      <c r="V60" s="417">
        <f t="shared" si="4"/>
        <v>16.367059103624555</v>
      </c>
      <c r="W60" s="417">
        <f t="shared" si="4"/>
        <v>16.367059103624555</v>
      </c>
      <c r="X60" s="417">
        <f t="shared" si="4"/>
        <v>16.367059103624555</v>
      </c>
      <c r="Y60" s="417">
        <f t="shared" si="4"/>
        <v>16.367059103624555</v>
      </c>
      <c r="Z60" s="417">
        <f t="shared" si="4"/>
        <v>16.367059103624555</v>
      </c>
      <c r="AA60" s="417">
        <f t="shared" si="4"/>
        <v>16.367059103624555</v>
      </c>
      <c r="AB60" s="417">
        <f t="shared" si="4"/>
        <v>16.367059103624555</v>
      </c>
      <c r="AC60" s="417">
        <f t="shared" si="4"/>
        <v>16.367059103624555</v>
      </c>
      <c r="AD60" s="417">
        <f t="shared" si="4"/>
        <v>16.367059103624555</v>
      </c>
      <c r="AE60" s="417">
        <f t="shared" si="4"/>
        <v>16.367059103624555</v>
      </c>
      <c r="AF60" s="417">
        <f t="shared" si="4"/>
        <v>16.367059103624555</v>
      </c>
      <c r="AG60" s="417">
        <f t="shared" si="4"/>
        <v>16.367059103624555</v>
      </c>
      <c r="AH60" s="417">
        <f t="shared" si="4"/>
        <v>16.367059103624555</v>
      </c>
      <c r="AI60" s="417">
        <f t="shared" si="4"/>
        <v>16.367059103624555</v>
      </c>
      <c r="AJ60" s="417">
        <f t="shared" si="4"/>
        <v>16.367059103624555</v>
      </c>
      <c r="AK60" s="417">
        <f t="shared" si="4"/>
        <v>16.367059103624555</v>
      </c>
      <c r="AL60" s="417">
        <f t="shared" si="4"/>
        <v>16.367059103624555</v>
      </c>
    </row>
    <row r="61" spans="1:38" x14ac:dyDescent="0.3">
      <c r="A61" s="203" t="str">
        <f>Legend!$A$49</f>
        <v>Lighting</v>
      </c>
      <c r="B61" s="201" t="str">
        <f>'SRV_New Techs'!K$36</f>
        <v>S-LIG_ELC02</v>
      </c>
      <c r="C61" s="201" t="str">
        <f>'SRV_New Techs'!C$36</f>
        <v>Electricity</v>
      </c>
      <c r="D61" s="201" t="str">
        <f>'SRV_New Techs'!D$36</f>
        <v>SRVELC</v>
      </c>
      <c r="E61" s="201" t="str">
        <f>'SRV_New Techs'!F$36</f>
        <v>Office lighting (Imp.)</v>
      </c>
      <c r="F61" s="227">
        <v>2025</v>
      </c>
      <c r="G61" s="305">
        <v>5.7077625570776256</v>
      </c>
      <c r="H61" s="411">
        <v>2025</v>
      </c>
      <c r="I61" s="423">
        <f>I$60*J61</f>
        <v>16.367059103624555</v>
      </c>
      <c r="J61" s="283">
        <v>1</v>
      </c>
      <c r="K61" s="417">
        <f t="shared" si="6"/>
        <v>16.367059103624555</v>
      </c>
      <c r="L61" s="417">
        <f t="shared" si="4"/>
        <v>16.367059103624555</v>
      </c>
      <c r="M61" s="417">
        <f t="shared" si="4"/>
        <v>16.367059103624555</v>
      </c>
      <c r="N61" s="417">
        <f t="shared" si="4"/>
        <v>16.367059103624555</v>
      </c>
      <c r="O61" s="417">
        <f t="shared" si="4"/>
        <v>16.367059103624555</v>
      </c>
      <c r="P61" s="417">
        <f t="shared" si="4"/>
        <v>16.367059103624555</v>
      </c>
      <c r="Q61" s="417">
        <f t="shared" si="4"/>
        <v>16.367059103624555</v>
      </c>
      <c r="R61" s="417">
        <f t="shared" si="4"/>
        <v>16.367059103624555</v>
      </c>
      <c r="S61" s="417">
        <f t="shared" si="4"/>
        <v>16.367059103624555</v>
      </c>
      <c r="T61" s="417">
        <f t="shared" si="4"/>
        <v>16.367059103624555</v>
      </c>
      <c r="U61" s="417">
        <f t="shared" si="4"/>
        <v>16.367059103624555</v>
      </c>
      <c r="V61" s="417">
        <f t="shared" si="4"/>
        <v>16.367059103624555</v>
      </c>
      <c r="W61" s="417">
        <f t="shared" si="4"/>
        <v>16.367059103624555</v>
      </c>
      <c r="X61" s="417">
        <f t="shared" si="4"/>
        <v>16.367059103624555</v>
      </c>
      <c r="Y61" s="417">
        <f t="shared" si="4"/>
        <v>16.367059103624555</v>
      </c>
      <c r="Z61" s="417">
        <f t="shared" si="4"/>
        <v>16.367059103624555</v>
      </c>
      <c r="AA61" s="417">
        <f t="shared" si="4"/>
        <v>16.367059103624555</v>
      </c>
      <c r="AB61" s="417">
        <f t="shared" si="4"/>
        <v>16.367059103624555</v>
      </c>
      <c r="AC61" s="417">
        <f t="shared" si="4"/>
        <v>16.367059103624555</v>
      </c>
      <c r="AD61" s="417">
        <f t="shared" si="4"/>
        <v>16.367059103624555</v>
      </c>
      <c r="AE61" s="417">
        <f t="shared" si="4"/>
        <v>16.367059103624555</v>
      </c>
      <c r="AF61" s="417">
        <f t="shared" si="4"/>
        <v>16.367059103624555</v>
      </c>
      <c r="AG61" s="417">
        <f t="shared" si="4"/>
        <v>16.367059103624555</v>
      </c>
      <c r="AH61" s="417">
        <f t="shared" si="4"/>
        <v>16.367059103624555</v>
      </c>
      <c r="AI61" s="417">
        <f t="shared" si="4"/>
        <v>16.367059103624555</v>
      </c>
      <c r="AJ61" s="417">
        <f t="shared" si="4"/>
        <v>16.367059103624555</v>
      </c>
      <c r="AK61" s="417">
        <f t="shared" si="4"/>
        <v>16.367059103624555</v>
      </c>
      <c r="AL61" s="417">
        <f t="shared" si="4"/>
        <v>16.367059103624555</v>
      </c>
    </row>
    <row r="62" spans="1:38" x14ac:dyDescent="0.3">
      <c r="B62" s="201"/>
      <c r="F62" s="227"/>
      <c r="G62" s="305"/>
      <c r="H62" s="411">
        <v>2030</v>
      </c>
      <c r="I62" s="423">
        <f t="shared" ref="I62:I65" si="8">I$60*J62</f>
        <v>18.54324284230826</v>
      </c>
      <c r="J62" s="283">
        <f>1/('S2'!K11/'S2'!$I$11)</f>
        <v>1.1329611950995997</v>
      </c>
      <c r="K62" s="417">
        <f t="shared" si="6"/>
        <v>18.54324284230826</v>
      </c>
      <c r="L62" s="417">
        <f t="shared" si="4"/>
        <v>18.54324284230826</v>
      </c>
      <c r="M62" s="417">
        <f t="shared" si="4"/>
        <v>18.54324284230826</v>
      </c>
      <c r="N62" s="417">
        <f t="shared" si="4"/>
        <v>18.54324284230826</v>
      </c>
      <c r="O62" s="417">
        <f t="shared" si="4"/>
        <v>18.54324284230826</v>
      </c>
      <c r="P62" s="417">
        <f t="shared" si="4"/>
        <v>18.54324284230826</v>
      </c>
      <c r="Q62" s="417">
        <f t="shared" si="4"/>
        <v>18.54324284230826</v>
      </c>
      <c r="R62" s="417">
        <f t="shared" si="4"/>
        <v>18.54324284230826</v>
      </c>
      <c r="S62" s="417">
        <f t="shared" si="4"/>
        <v>18.54324284230826</v>
      </c>
      <c r="T62" s="417">
        <f t="shared" si="4"/>
        <v>18.54324284230826</v>
      </c>
      <c r="U62" s="417">
        <f t="shared" si="4"/>
        <v>18.54324284230826</v>
      </c>
      <c r="V62" s="417">
        <f t="shared" si="4"/>
        <v>18.54324284230826</v>
      </c>
      <c r="W62" s="417">
        <f t="shared" si="4"/>
        <v>18.54324284230826</v>
      </c>
      <c r="X62" s="417">
        <f t="shared" si="4"/>
        <v>18.54324284230826</v>
      </c>
      <c r="Y62" s="417">
        <f t="shared" si="4"/>
        <v>18.54324284230826</v>
      </c>
      <c r="Z62" s="417">
        <f t="shared" si="4"/>
        <v>18.54324284230826</v>
      </c>
      <c r="AA62" s="417">
        <f t="shared" si="4"/>
        <v>18.54324284230826</v>
      </c>
      <c r="AB62" s="417">
        <f t="shared" si="4"/>
        <v>18.54324284230826</v>
      </c>
      <c r="AC62" s="417">
        <f t="shared" si="4"/>
        <v>18.54324284230826</v>
      </c>
      <c r="AD62" s="417">
        <f t="shared" si="4"/>
        <v>18.54324284230826</v>
      </c>
      <c r="AE62" s="417">
        <f t="shared" si="4"/>
        <v>18.54324284230826</v>
      </c>
      <c r="AF62" s="417">
        <f t="shared" si="4"/>
        <v>18.54324284230826</v>
      </c>
      <c r="AG62" s="417">
        <f t="shared" si="4"/>
        <v>18.54324284230826</v>
      </c>
      <c r="AH62" s="417">
        <f t="shared" si="4"/>
        <v>18.54324284230826</v>
      </c>
      <c r="AI62" s="417">
        <f t="shared" si="4"/>
        <v>18.54324284230826</v>
      </c>
      <c r="AJ62" s="417">
        <f t="shared" si="4"/>
        <v>18.54324284230826</v>
      </c>
      <c r="AK62" s="417">
        <f t="shared" si="4"/>
        <v>18.54324284230826</v>
      </c>
      <c r="AL62" s="417">
        <f t="shared" si="4"/>
        <v>18.54324284230826</v>
      </c>
    </row>
    <row r="63" spans="1:38" x14ac:dyDescent="0.3">
      <c r="B63" s="201"/>
      <c r="F63" s="227"/>
      <c r="G63" s="305"/>
      <c r="H63" s="411">
        <v>2050</v>
      </c>
      <c r="I63" s="423">
        <f t="shared" si="8"/>
        <v>25.298522566282127</v>
      </c>
      <c r="J63" s="283">
        <f>1/('S2'!N11/'S2'!$I$11)</f>
        <v>1.5456975138972682</v>
      </c>
      <c r="K63" s="417">
        <f t="shared" si="6"/>
        <v>25.298522566282127</v>
      </c>
      <c r="L63" s="417">
        <f t="shared" ref="L63:AL71" si="9">$I63</f>
        <v>25.298522566282127</v>
      </c>
      <c r="M63" s="417">
        <f t="shared" si="9"/>
        <v>25.298522566282127</v>
      </c>
      <c r="N63" s="417">
        <f t="shared" si="9"/>
        <v>25.298522566282127</v>
      </c>
      <c r="O63" s="417">
        <f t="shared" si="9"/>
        <v>25.298522566282127</v>
      </c>
      <c r="P63" s="417">
        <f t="shared" si="9"/>
        <v>25.298522566282127</v>
      </c>
      <c r="Q63" s="417">
        <f t="shared" si="9"/>
        <v>25.298522566282127</v>
      </c>
      <c r="R63" s="417">
        <f t="shared" si="9"/>
        <v>25.298522566282127</v>
      </c>
      <c r="S63" s="417">
        <f t="shared" si="9"/>
        <v>25.298522566282127</v>
      </c>
      <c r="T63" s="417">
        <f t="shared" si="9"/>
        <v>25.298522566282127</v>
      </c>
      <c r="U63" s="417">
        <f t="shared" si="9"/>
        <v>25.298522566282127</v>
      </c>
      <c r="V63" s="417">
        <f t="shared" si="9"/>
        <v>25.298522566282127</v>
      </c>
      <c r="W63" s="417">
        <f t="shared" si="9"/>
        <v>25.298522566282127</v>
      </c>
      <c r="X63" s="417">
        <f t="shared" si="9"/>
        <v>25.298522566282127</v>
      </c>
      <c r="Y63" s="417">
        <f t="shared" si="9"/>
        <v>25.298522566282127</v>
      </c>
      <c r="Z63" s="417">
        <f t="shared" si="9"/>
        <v>25.298522566282127</v>
      </c>
      <c r="AA63" s="417">
        <f t="shared" si="9"/>
        <v>25.298522566282127</v>
      </c>
      <c r="AB63" s="417">
        <f t="shared" si="9"/>
        <v>25.298522566282127</v>
      </c>
      <c r="AC63" s="417">
        <f t="shared" si="9"/>
        <v>25.298522566282127</v>
      </c>
      <c r="AD63" s="417">
        <f t="shared" si="9"/>
        <v>25.298522566282127</v>
      </c>
      <c r="AE63" s="417">
        <f t="shared" si="9"/>
        <v>25.298522566282127</v>
      </c>
      <c r="AF63" s="417">
        <f t="shared" si="9"/>
        <v>25.298522566282127</v>
      </c>
      <c r="AG63" s="417">
        <f t="shared" si="9"/>
        <v>25.298522566282127</v>
      </c>
      <c r="AH63" s="417">
        <f t="shared" si="9"/>
        <v>25.298522566282127</v>
      </c>
      <c r="AI63" s="417">
        <f t="shared" si="9"/>
        <v>25.298522566282127</v>
      </c>
      <c r="AJ63" s="417">
        <f t="shared" si="9"/>
        <v>25.298522566282127</v>
      </c>
      <c r="AK63" s="417">
        <f t="shared" si="9"/>
        <v>25.298522566282127</v>
      </c>
      <c r="AL63" s="417">
        <f t="shared" si="9"/>
        <v>25.298522566282127</v>
      </c>
    </row>
    <row r="64" spans="1:38" x14ac:dyDescent="0.3">
      <c r="A64" s="203" t="str">
        <f>Legend!$A$49</f>
        <v>Lighting</v>
      </c>
      <c r="B64" s="201" t="str">
        <f>'SRV_New Techs'!K$37</f>
        <v>S-LIG_ELC03</v>
      </c>
      <c r="C64" s="201" t="str">
        <f>'SRV_New Techs'!C$37</f>
        <v>Electricity</v>
      </c>
      <c r="D64" s="201" t="str">
        <f>'SRV_New Techs'!D$37</f>
        <v>SRVELC</v>
      </c>
      <c r="E64" s="201" t="str">
        <f>'SRV_New Techs'!F$37</f>
        <v>Office lighting (Adv.)</v>
      </c>
      <c r="F64" s="227">
        <v>2030</v>
      </c>
      <c r="G64" s="305">
        <v>5.7077625570776256</v>
      </c>
      <c r="H64" s="411">
        <v>2030</v>
      </c>
      <c r="I64" s="423">
        <f t="shared" si="8"/>
        <v>21.008774571643663</v>
      </c>
      <c r="J64" s="283">
        <f>J62/J61*J62</f>
        <v>1.2836010696015132</v>
      </c>
      <c r="K64" s="417">
        <f t="shared" si="6"/>
        <v>21.008774571643663</v>
      </c>
      <c r="L64" s="417">
        <f t="shared" si="9"/>
        <v>21.008774571643663</v>
      </c>
      <c r="M64" s="417">
        <f t="shared" si="9"/>
        <v>21.008774571643663</v>
      </c>
      <c r="N64" s="417">
        <f t="shared" si="9"/>
        <v>21.008774571643663</v>
      </c>
      <c r="O64" s="417">
        <f t="shared" si="9"/>
        <v>21.008774571643663</v>
      </c>
      <c r="P64" s="417">
        <f t="shared" si="9"/>
        <v>21.008774571643663</v>
      </c>
      <c r="Q64" s="417">
        <f t="shared" si="9"/>
        <v>21.008774571643663</v>
      </c>
      <c r="R64" s="417">
        <f t="shared" si="9"/>
        <v>21.008774571643663</v>
      </c>
      <c r="S64" s="417">
        <f t="shared" si="9"/>
        <v>21.008774571643663</v>
      </c>
      <c r="T64" s="417">
        <f t="shared" si="9"/>
        <v>21.008774571643663</v>
      </c>
      <c r="U64" s="417">
        <f t="shared" si="9"/>
        <v>21.008774571643663</v>
      </c>
      <c r="V64" s="417">
        <f t="shared" si="9"/>
        <v>21.008774571643663</v>
      </c>
      <c r="W64" s="417">
        <f t="shared" si="9"/>
        <v>21.008774571643663</v>
      </c>
      <c r="X64" s="417">
        <f t="shared" si="9"/>
        <v>21.008774571643663</v>
      </c>
      <c r="Y64" s="417">
        <f t="shared" si="9"/>
        <v>21.008774571643663</v>
      </c>
      <c r="Z64" s="417">
        <f t="shared" si="9"/>
        <v>21.008774571643663</v>
      </c>
      <c r="AA64" s="417">
        <f t="shared" si="9"/>
        <v>21.008774571643663</v>
      </c>
      <c r="AB64" s="417">
        <f t="shared" si="9"/>
        <v>21.008774571643663</v>
      </c>
      <c r="AC64" s="417">
        <f t="shared" si="9"/>
        <v>21.008774571643663</v>
      </c>
      <c r="AD64" s="417">
        <f t="shared" si="9"/>
        <v>21.008774571643663</v>
      </c>
      <c r="AE64" s="417">
        <f t="shared" si="9"/>
        <v>21.008774571643663</v>
      </c>
      <c r="AF64" s="417">
        <f t="shared" si="9"/>
        <v>21.008774571643663</v>
      </c>
      <c r="AG64" s="417">
        <f t="shared" si="9"/>
        <v>21.008774571643663</v>
      </c>
      <c r="AH64" s="417">
        <f t="shared" si="9"/>
        <v>21.008774571643663</v>
      </c>
      <c r="AI64" s="417">
        <f t="shared" si="9"/>
        <v>21.008774571643663</v>
      </c>
      <c r="AJ64" s="417">
        <f t="shared" si="9"/>
        <v>21.008774571643663</v>
      </c>
      <c r="AK64" s="417">
        <f t="shared" si="9"/>
        <v>21.008774571643663</v>
      </c>
      <c r="AL64" s="417">
        <f t="shared" si="9"/>
        <v>21.008774571643663</v>
      </c>
    </row>
    <row r="65" spans="1:38" x14ac:dyDescent="0.3">
      <c r="B65" s="201"/>
      <c r="F65" s="227"/>
      <c r="G65" s="305"/>
      <c r="H65" s="411">
        <v>2050</v>
      </c>
      <c r="I65" s="436">
        <f t="shared" si="8"/>
        <v>28.662244360949188</v>
      </c>
      <c r="J65" s="283">
        <f>J64/J62*J63</f>
        <v>1.751215302607529</v>
      </c>
      <c r="K65" s="417">
        <f t="shared" si="6"/>
        <v>28.662244360949188</v>
      </c>
      <c r="L65" s="417">
        <f t="shared" si="9"/>
        <v>28.662244360949188</v>
      </c>
      <c r="M65" s="417">
        <f t="shared" si="9"/>
        <v>28.662244360949188</v>
      </c>
      <c r="N65" s="417">
        <f t="shared" si="9"/>
        <v>28.662244360949188</v>
      </c>
      <c r="O65" s="417">
        <f t="shared" si="9"/>
        <v>28.662244360949188</v>
      </c>
      <c r="P65" s="417">
        <f t="shared" si="9"/>
        <v>28.662244360949188</v>
      </c>
      <c r="Q65" s="417">
        <f t="shared" si="9"/>
        <v>28.662244360949188</v>
      </c>
      <c r="R65" s="417">
        <f t="shared" si="9"/>
        <v>28.662244360949188</v>
      </c>
      <c r="S65" s="417">
        <f t="shared" si="9"/>
        <v>28.662244360949188</v>
      </c>
      <c r="T65" s="417">
        <f t="shared" si="9"/>
        <v>28.662244360949188</v>
      </c>
      <c r="U65" s="417">
        <f t="shared" si="9"/>
        <v>28.662244360949188</v>
      </c>
      <c r="V65" s="417">
        <f t="shared" si="9"/>
        <v>28.662244360949188</v>
      </c>
      <c r="W65" s="417">
        <f t="shared" si="9"/>
        <v>28.662244360949188</v>
      </c>
      <c r="X65" s="417">
        <f t="shared" si="9"/>
        <v>28.662244360949188</v>
      </c>
      <c r="Y65" s="417">
        <f t="shared" si="9"/>
        <v>28.662244360949188</v>
      </c>
      <c r="Z65" s="417">
        <f t="shared" si="9"/>
        <v>28.662244360949188</v>
      </c>
      <c r="AA65" s="417">
        <f t="shared" si="9"/>
        <v>28.662244360949188</v>
      </c>
      <c r="AB65" s="417">
        <f t="shared" si="9"/>
        <v>28.662244360949188</v>
      </c>
      <c r="AC65" s="417">
        <f t="shared" si="9"/>
        <v>28.662244360949188</v>
      </c>
      <c r="AD65" s="417">
        <f t="shared" si="9"/>
        <v>28.662244360949188</v>
      </c>
      <c r="AE65" s="417">
        <f t="shared" si="9"/>
        <v>28.662244360949188</v>
      </c>
      <c r="AF65" s="417">
        <f t="shared" si="9"/>
        <v>28.662244360949188</v>
      </c>
      <c r="AG65" s="417">
        <f t="shared" si="9"/>
        <v>28.662244360949188</v>
      </c>
      <c r="AH65" s="417">
        <f t="shared" si="9"/>
        <v>28.662244360949188</v>
      </c>
      <c r="AI65" s="417">
        <f t="shared" si="9"/>
        <v>28.662244360949188</v>
      </c>
      <c r="AJ65" s="417">
        <f t="shared" si="9"/>
        <v>28.662244360949188</v>
      </c>
      <c r="AK65" s="417">
        <f t="shared" si="9"/>
        <v>28.662244360949188</v>
      </c>
      <c r="AL65" s="417">
        <f t="shared" si="9"/>
        <v>28.662244360949188</v>
      </c>
    </row>
    <row r="66" spans="1:38" x14ac:dyDescent="0.3">
      <c r="A66" s="207" t="str">
        <f>Legend!$A$50</f>
        <v>Electric Appliances</v>
      </c>
      <c r="B66" s="208" t="str">
        <f>'SRV_New Techs'!K$38</f>
        <v>S-EAP_ELC01</v>
      </c>
      <c r="C66" s="414" t="str">
        <f>'SRV_New Techs'!C$38</f>
        <v>Electricity</v>
      </c>
      <c r="D66" s="208" t="str">
        <f>'SRV_New Techs'!D$36</f>
        <v>SRVELC</v>
      </c>
      <c r="E66" s="208" t="str">
        <f>'SRV_New Techs'!F$38</f>
        <v>Appl.(Ord.)</v>
      </c>
      <c r="F66" s="209">
        <v>2020</v>
      </c>
      <c r="G66" s="245">
        <v>7</v>
      </c>
      <c r="H66" s="228">
        <v>2020</v>
      </c>
      <c r="I66" s="435">
        <f t="shared" si="7"/>
        <v>16.367059103624555</v>
      </c>
      <c r="J66" s="304">
        <f>J54</f>
        <v>1</v>
      </c>
      <c r="K66" s="420">
        <f t="shared" si="6"/>
        <v>16.367059103624555</v>
      </c>
      <c r="L66" s="420">
        <f t="shared" si="9"/>
        <v>16.367059103624555</v>
      </c>
      <c r="M66" s="420">
        <f t="shared" si="9"/>
        <v>16.367059103624555</v>
      </c>
      <c r="N66" s="420">
        <f t="shared" si="9"/>
        <v>16.367059103624555</v>
      </c>
      <c r="O66" s="420">
        <f t="shared" si="9"/>
        <v>16.367059103624555</v>
      </c>
      <c r="P66" s="420">
        <f t="shared" si="9"/>
        <v>16.367059103624555</v>
      </c>
      <c r="Q66" s="420">
        <f t="shared" si="9"/>
        <v>16.367059103624555</v>
      </c>
      <c r="R66" s="420">
        <f t="shared" si="9"/>
        <v>16.367059103624555</v>
      </c>
      <c r="S66" s="420">
        <f t="shared" si="9"/>
        <v>16.367059103624555</v>
      </c>
      <c r="T66" s="420">
        <f t="shared" si="9"/>
        <v>16.367059103624555</v>
      </c>
      <c r="U66" s="420">
        <f t="shared" si="9"/>
        <v>16.367059103624555</v>
      </c>
      <c r="V66" s="420">
        <f t="shared" si="9"/>
        <v>16.367059103624555</v>
      </c>
      <c r="W66" s="420">
        <f t="shared" si="9"/>
        <v>16.367059103624555</v>
      </c>
      <c r="X66" s="420">
        <f t="shared" si="9"/>
        <v>16.367059103624555</v>
      </c>
      <c r="Y66" s="420">
        <f t="shared" si="9"/>
        <v>16.367059103624555</v>
      </c>
      <c r="Z66" s="420">
        <f t="shared" si="9"/>
        <v>16.367059103624555</v>
      </c>
      <c r="AA66" s="420">
        <f t="shared" si="9"/>
        <v>16.367059103624555</v>
      </c>
      <c r="AB66" s="420">
        <f t="shared" si="9"/>
        <v>16.367059103624555</v>
      </c>
      <c r="AC66" s="420">
        <f t="shared" si="9"/>
        <v>16.367059103624555</v>
      </c>
      <c r="AD66" s="420">
        <f t="shared" si="9"/>
        <v>16.367059103624555</v>
      </c>
      <c r="AE66" s="420">
        <f t="shared" si="9"/>
        <v>16.367059103624555</v>
      </c>
      <c r="AF66" s="420">
        <f t="shared" si="9"/>
        <v>16.367059103624555</v>
      </c>
      <c r="AG66" s="420">
        <f t="shared" si="9"/>
        <v>16.367059103624555</v>
      </c>
      <c r="AH66" s="420">
        <f t="shared" si="9"/>
        <v>16.367059103624555</v>
      </c>
      <c r="AI66" s="420">
        <f t="shared" si="9"/>
        <v>16.367059103624555</v>
      </c>
      <c r="AJ66" s="420">
        <f t="shared" si="9"/>
        <v>16.367059103624555</v>
      </c>
      <c r="AK66" s="420">
        <f t="shared" si="9"/>
        <v>16.367059103624555</v>
      </c>
      <c r="AL66" s="420">
        <f t="shared" si="9"/>
        <v>16.367059103624555</v>
      </c>
    </row>
    <row r="67" spans="1:38" x14ac:dyDescent="0.3">
      <c r="A67" s="203" t="str">
        <f>Legend!$A$50</f>
        <v>Electric Appliances</v>
      </c>
      <c r="B67" s="201" t="str">
        <f>'SRV_New Techs'!K$39</f>
        <v>S-EAP_ELC02</v>
      </c>
      <c r="C67" s="201" t="str">
        <f>'SRV_New Techs'!C$39</f>
        <v>Electricity</v>
      </c>
      <c r="D67" s="201" t="str">
        <f>'SRV_New Techs'!D$39</f>
        <v>SRVELC</v>
      </c>
      <c r="E67" s="201" t="str">
        <f>'SRV_New Techs'!F$39</f>
        <v>Appl.(Imp.)</v>
      </c>
      <c r="F67" s="227">
        <v>2025</v>
      </c>
      <c r="G67" s="305">
        <v>7</v>
      </c>
      <c r="H67" s="411">
        <v>2025</v>
      </c>
      <c r="I67" s="423">
        <f t="shared" si="7"/>
        <v>16.367059103624555</v>
      </c>
      <c r="J67" s="283">
        <f t="shared" ref="J67:J70" si="10">J55</f>
        <v>1</v>
      </c>
      <c r="K67" s="417">
        <f t="shared" si="6"/>
        <v>16.367059103624555</v>
      </c>
      <c r="L67" s="417">
        <f t="shared" si="9"/>
        <v>16.367059103624555</v>
      </c>
      <c r="M67" s="417">
        <f t="shared" si="9"/>
        <v>16.367059103624555</v>
      </c>
      <c r="N67" s="417">
        <f t="shared" si="9"/>
        <v>16.367059103624555</v>
      </c>
      <c r="O67" s="417">
        <f t="shared" si="9"/>
        <v>16.367059103624555</v>
      </c>
      <c r="P67" s="417">
        <f t="shared" si="9"/>
        <v>16.367059103624555</v>
      </c>
      <c r="Q67" s="417">
        <f t="shared" si="9"/>
        <v>16.367059103624555</v>
      </c>
      <c r="R67" s="417">
        <f t="shared" si="9"/>
        <v>16.367059103624555</v>
      </c>
      <c r="S67" s="417">
        <f t="shared" si="9"/>
        <v>16.367059103624555</v>
      </c>
      <c r="T67" s="417">
        <f t="shared" si="9"/>
        <v>16.367059103624555</v>
      </c>
      <c r="U67" s="417">
        <f t="shared" si="9"/>
        <v>16.367059103624555</v>
      </c>
      <c r="V67" s="417">
        <f t="shared" si="9"/>
        <v>16.367059103624555</v>
      </c>
      <c r="W67" s="417">
        <f t="shared" si="9"/>
        <v>16.367059103624555</v>
      </c>
      <c r="X67" s="417">
        <f t="shared" si="9"/>
        <v>16.367059103624555</v>
      </c>
      <c r="Y67" s="417">
        <f t="shared" si="9"/>
        <v>16.367059103624555</v>
      </c>
      <c r="Z67" s="417">
        <f t="shared" si="9"/>
        <v>16.367059103624555</v>
      </c>
      <c r="AA67" s="417">
        <f t="shared" si="9"/>
        <v>16.367059103624555</v>
      </c>
      <c r="AB67" s="417">
        <f t="shared" si="9"/>
        <v>16.367059103624555</v>
      </c>
      <c r="AC67" s="417">
        <f t="shared" si="9"/>
        <v>16.367059103624555</v>
      </c>
      <c r="AD67" s="417">
        <f t="shared" si="9"/>
        <v>16.367059103624555</v>
      </c>
      <c r="AE67" s="417">
        <f t="shared" si="9"/>
        <v>16.367059103624555</v>
      </c>
      <c r="AF67" s="417">
        <f t="shared" si="9"/>
        <v>16.367059103624555</v>
      </c>
      <c r="AG67" s="417">
        <f t="shared" si="9"/>
        <v>16.367059103624555</v>
      </c>
      <c r="AH67" s="417">
        <f t="shared" si="9"/>
        <v>16.367059103624555</v>
      </c>
      <c r="AI67" s="417">
        <f t="shared" si="9"/>
        <v>16.367059103624555</v>
      </c>
      <c r="AJ67" s="417">
        <f t="shared" si="9"/>
        <v>16.367059103624555</v>
      </c>
      <c r="AK67" s="417">
        <f t="shared" si="9"/>
        <v>16.367059103624555</v>
      </c>
      <c r="AL67" s="417">
        <f t="shared" si="9"/>
        <v>16.367059103624555</v>
      </c>
    </row>
    <row r="68" spans="1:38" x14ac:dyDescent="0.3">
      <c r="B68" s="201"/>
      <c r="F68" s="227"/>
      <c r="G68" s="305"/>
      <c r="H68" s="411">
        <v>2030</v>
      </c>
      <c r="I68" s="423">
        <f t="shared" si="7"/>
        <v>18.54324284230826</v>
      </c>
      <c r="J68" s="283">
        <f t="shared" si="10"/>
        <v>1.1329611950995997</v>
      </c>
      <c r="K68" s="417">
        <f t="shared" si="6"/>
        <v>18.54324284230826</v>
      </c>
      <c r="L68" s="417">
        <f t="shared" si="9"/>
        <v>18.54324284230826</v>
      </c>
      <c r="M68" s="417">
        <f t="shared" si="9"/>
        <v>18.54324284230826</v>
      </c>
      <c r="N68" s="417">
        <f t="shared" si="9"/>
        <v>18.54324284230826</v>
      </c>
      <c r="O68" s="417">
        <f t="shared" si="9"/>
        <v>18.54324284230826</v>
      </c>
      <c r="P68" s="417">
        <f t="shared" si="9"/>
        <v>18.54324284230826</v>
      </c>
      <c r="Q68" s="417">
        <f t="shared" si="9"/>
        <v>18.54324284230826</v>
      </c>
      <c r="R68" s="417">
        <f t="shared" si="9"/>
        <v>18.54324284230826</v>
      </c>
      <c r="S68" s="417">
        <f t="shared" si="9"/>
        <v>18.54324284230826</v>
      </c>
      <c r="T68" s="417">
        <f t="shared" si="9"/>
        <v>18.54324284230826</v>
      </c>
      <c r="U68" s="417">
        <f t="shared" si="9"/>
        <v>18.54324284230826</v>
      </c>
      <c r="V68" s="417">
        <f t="shared" si="9"/>
        <v>18.54324284230826</v>
      </c>
      <c r="W68" s="417">
        <f t="shared" si="9"/>
        <v>18.54324284230826</v>
      </c>
      <c r="X68" s="417">
        <f t="shared" si="9"/>
        <v>18.54324284230826</v>
      </c>
      <c r="Y68" s="417">
        <f t="shared" si="9"/>
        <v>18.54324284230826</v>
      </c>
      <c r="Z68" s="417">
        <f t="shared" si="9"/>
        <v>18.54324284230826</v>
      </c>
      <c r="AA68" s="417">
        <f t="shared" si="9"/>
        <v>18.54324284230826</v>
      </c>
      <c r="AB68" s="417">
        <f t="shared" si="9"/>
        <v>18.54324284230826</v>
      </c>
      <c r="AC68" s="417">
        <f t="shared" si="9"/>
        <v>18.54324284230826</v>
      </c>
      <c r="AD68" s="417">
        <f t="shared" si="9"/>
        <v>18.54324284230826</v>
      </c>
      <c r="AE68" s="417">
        <f t="shared" si="9"/>
        <v>18.54324284230826</v>
      </c>
      <c r="AF68" s="417">
        <f t="shared" si="9"/>
        <v>18.54324284230826</v>
      </c>
      <c r="AG68" s="417">
        <f t="shared" si="9"/>
        <v>18.54324284230826</v>
      </c>
      <c r="AH68" s="417">
        <f t="shared" si="9"/>
        <v>18.54324284230826</v>
      </c>
      <c r="AI68" s="417">
        <f t="shared" si="9"/>
        <v>18.54324284230826</v>
      </c>
      <c r="AJ68" s="417">
        <f t="shared" si="9"/>
        <v>18.54324284230826</v>
      </c>
      <c r="AK68" s="417">
        <f t="shared" si="9"/>
        <v>18.54324284230826</v>
      </c>
      <c r="AL68" s="417">
        <f t="shared" si="9"/>
        <v>18.54324284230826</v>
      </c>
    </row>
    <row r="69" spans="1:38" x14ac:dyDescent="0.3">
      <c r="B69" s="201"/>
      <c r="F69" s="227"/>
      <c r="G69" s="305"/>
      <c r="H69" s="411">
        <v>2050</v>
      </c>
      <c r="I69" s="423">
        <f t="shared" si="7"/>
        <v>25.298522566282127</v>
      </c>
      <c r="J69" s="283">
        <f t="shared" si="10"/>
        <v>1.5456975138972682</v>
      </c>
      <c r="K69" s="417">
        <f t="shared" si="6"/>
        <v>25.298522566282127</v>
      </c>
      <c r="L69" s="417">
        <f t="shared" si="9"/>
        <v>25.298522566282127</v>
      </c>
      <c r="M69" s="417">
        <f t="shared" si="9"/>
        <v>25.298522566282127</v>
      </c>
      <c r="N69" s="417">
        <f t="shared" si="9"/>
        <v>25.298522566282127</v>
      </c>
      <c r="O69" s="417">
        <f t="shared" si="9"/>
        <v>25.298522566282127</v>
      </c>
      <c r="P69" s="417">
        <f t="shared" si="9"/>
        <v>25.298522566282127</v>
      </c>
      <c r="Q69" s="417">
        <f t="shared" si="9"/>
        <v>25.298522566282127</v>
      </c>
      <c r="R69" s="417">
        <f t="shared" si="9"/>
        <v>25.298522566282127</v>
      </c>
      <c r="S69" s="417">
        <f t="shared" si="9"/>
        <v>25.298522566282127</v>
      </c>
      <c r="T69" s="417">
        <f t="shared" si="9"/>
        <v>25.298522566282127</v>
      </c>
      <c r="U69" s="417">
        <f t="shared" si="9"/>
        <v>25.298522566282127</v>
      </c>
      <c r="V69" s="417">
        <f t="shared" si="9"/>
        <v>25.298522566282127</v>
      </c>
      <c r="W69" s="417">
        <f t="shared" si="9"/>
        <v>25.298522566282127</v>
      </c>
      <c r="X69" s="417">
        <f t="shared" si="9"/>
        <v>25.298522566282127</v>
      </c>
      <c r="Y69" s="417">
        <f t="shared" si="9"/>
        <v>25.298522566282127</v>
      </c>
      <c r="Z69" s="417">
        <f t="shared" si="9"/>
        <v>25.298522566282127</v>
      </c>
      <c r="AA69" s="417">
        <f t="shared" si="9"/>
        <v>25.298522566282127</v>
      </c>
      <c r="AB69" s="417">
        <f t="shared" si="9"/>
        <v>25.298522566282127</v>
      </c>
      <c r="AC69" s="417">
        <f t="shared" si="9"/>
        <v>25.298522566282127</v>
      </c>
      <c r="AD69" s="417">
        <f t="shared" si="9"/>
        <v>25.298522566282127</v>
      </c>
      <c r="AE69" s="417">
        <f t="shared" si="9"/>
        <v>25.298522566282127</v>
      </c>
      <c r="AF69" s="417">
        <f t="shared" si="9"/>
        <v>25.298522566282127</v>
      </c>
      <c r="AG69" s="417">
        <f t="shared" si="9"/>
        <v>25.298522566282127</v>
      </c>
      <c r="AH69" s="417">
        <f t="shared" si="9"/>
        <v>25.298522566282127</v>
      </c>
      <c r="AI69" s="417">
        <f t="shared" si="9"/>
        <v>25.298522566282127</v>
      </c>
      <c r="AJ69" s="417">
        <f t="shared" si="9"/>
        <v>25.298522566282127</v>
      </c>
      <c r="AK69" s="417">
        <f t="shared" si="9"/>
        <v>25.298522566282127</v>
      </c>
      <c r="AL69" s="417">
        <f t="shared" si="9"/>
        <v>25.298522566282127</v>
      </c>
    </row>
    <row r="70" spans="1:38" x14ac:dyDescent="0.3">
      <c r="A70" s="203" t="str">
        <f>Legend!$A$50</f>
        <v>Electric Appliances</v>
      </c>
      <c r="B70" s="201" t="str">
        <f>'SRV_New Techs'!K$40</f>
        <v>S-EAP_ELC03</v>
      </c>
      <c r="C70" s="201" t="str">
        <f>'SRV_New Techs'!C$40</f>
        <v>Electricity</v>
      </c>
      <c r="D70" s="201" t="str">
        <f>'SRV_New Techs'!D$40</f>
        <v>SRVELC</v>
      </c>
      <c r="E70" s="201" t="str">
        <f>'SRV_New Techs'!F$40</f>
        <v>Appl.(Adv.)</v>
      </c>
      <c r="F70" s="227">
        <v>2030</v>
      </c>
      <c r="G70" s="305">
        <v>7</v>
      </c>
      <c r="H70" s="411">
        <v>2030</v>
      </c>
      <c r="I70" s="423">
        <f t="shared" si="7"/>
        <v>21.008774571643663</v>
      </c>
      <c r="J70" s="283">
        <f t="shared" si="10"/>
        <v>1.2836010696015132</v>
      </c>
      <c r="K70" s="417">
        <f t="shared" si="6"/>
        <v>21.008774571643663</v>
      </c>
      <c r="L70" s="417">
        <f t="shared" si="9"/>
        <v>21.008774571643663</v>
      </c>
      <c r="M70" s="417">
        <f t="shared" si="9"/>
        <v>21.008774571643663</v>
      </c>
      <c r="N70" s="417">
        <f t="shared" si="9"/>
        <v>21.008774571643663</v>
      </c>
      <c r="O70" s="417">
        <f t="shared" si="9"/>
        <v>21.008774571643663</v>
      </c>
      <c r="P70" s="417">
        <f t="shared" si="9"/>
        <v>21.008774571643663</v>
      </c>
      <c r="Q70" s="417">
        <f t="shared" si="9"/>
        <v>21.008774571643663</v>
      </c>
      <c r="R70" s="417">
        <f t="shared" si="9"/>
        <v>21.008774571643663</v>
      </c>
      <c r="S70" s="417">
        <f t="shared" si="9"/>
        <v>21.008774571643663</v>
      </c>
      <c r="T70" s="417">
        <f t="shared" si="9"/>
        <v>21.008774571643663</v>
      </c>
      <c r="U70" s="417">
        <f t="shared" si="9"/>
        <v>21.008774571643663</v>
      </c>
      <c r="V70" s="417">
        <f t="shared" si="9"/>
        <v>21.008774571643663</v>
      </c>
      <c r="W70" s="417">
        <f t="shared" si="9"/>
        <v>21.008774571643663</v>
      </c>
      <c r="X70" s="417">
        <f t="shared" si="9"/>
        <v>21.008774571643663</v>
      </c>
      <c r="Y70" s="417">
        <f t="shared" si="9"/>
        <v>21.008774571643663</v>
      </c>
      <c r="Z70" s="417">
        <f t="shared" si="9"/>
        <v>21.008774571643663</v>
      </c>
      <c r="AA70" s="417">
        <f t="shared" si="9"/>
        <v>21.008774571643663</v>
      </c>
      <c r="AB70" s="417">
        <f t="shared" si="9"/>
        <v>21.008774571643663</v>
      </c>
      <c r="AC70" s="417">
        <f t="shared" si="9"/>
        <v>21.008774571643663</v>
      </c>
      <c r="AD70" s="417">
        <f t="shared" si="9"/>
        <v>21.008774571643663</v>
      </c>
      <c r="AE70" s="417">
        <f t="shared" si="9"/>
        <v>21.008774571643663</v>
      </c>
      <c r="AF70" s="417">
        <f t="shared" si="9"/>
        <v>21.008774571643663</v>
      </c>
      <c r="AG70" s="417">
        <f t="shared" si="9"/>
        <v>21.008774571643663</v>
      </c>
      <c r="AH70" s="417">
        <f t="shared" si="9"/>
        <v>21.008774571643663</v>
      </c>
      <c r="AI70" s="417">
        <f t="shared" si="9"/>
        <v>21.008774571643663</v>
      </c>
      <c r="AJ70" s="417">
        <f t="shared" si="9"/>
        <v>21.008774571643663</v>
      </c>
      <c r="AK70" s="417">
        <f t="shared" si="9"/>
        <v>21.008774571643663</v>
      </c>
      <c r="AL70" s="417">
        <f t="shared" si="9"/>
        <v>21.008774571643663</v>
      </c>
    </row>
    <row r="71" spans="1:38" x14ac:dyDescent="0.3">
      <c r="A71" s="230"/>
      <c r="B71" s="234"/>
      <c r="C71" s="234"/>
      <c r="D71" s="234"/>
      <c r="E71" s="234"/>
      <c r="F71" s="237"/>
      <c r="G71" s="415"/>
      <c r="H71" s="416">
        <v>2050</v>
      </c>
      <c r="I71" s="436">
        <f>I$54*J71</f>
        <v>28.662244360949188</v>
      </c>
      <c r="J71" s="284">
        <f>J59</f>
        <v>1.751215302607529</v>
      </c>
      <c r="K71" s="421">
        <f t="shared" si="6"/>
        <v>28.662244360949188</v>
      </c>
      <c r="L71" s="421">
        <f t="shared" si="9"/>
        <v>28.662244360949188</v>
      </c>
      <c r="M71" s="421">
        <f t="shared" si="9"/>
        <v>28.662244360949188</v>
      </c>
      <c r="N71" s="421">
        <f t="shared" si="9"/>
        <v>28.662244360949188</v>
      </c>
      <c r="O71" s="421">
        <f t="shared" si="9"/>
        <v>28.662244360949188</v>
      </c>
      <c r="P71" s="421">
        <f t="shared" si="9"/>
        <v>28.662244360949188</v>
      </c>
      <c r="Q71" s="421">
        <f t="shared" si="9"/>
        <v>28.662244360949188</v>
      </c>
      <c r="R71" s="421">
        <f t="shared" si="9"/>
        <v>28.662244360949188</v>
      </c>
      <c r="S71" s="421">
        <f t="shared" si="9"/>
        <v>28.662244360949188</v>
      </c>
      <c r="T71" s="421">
        <f t="shared" si="9"/>
        <v>28.662244360949188</v>
      </c>
      <c r="U71" s="421">
        <f t="shared" si="9"/>
        <v>28.662244360949188</v>
      </c>
      <c r="V71" s="421">
        <f t="shared" si="9"/>
        <v>28.662244360949188</v>
      </c>
      <c r="W71" s="421">
        <f t="shared" si="9"/>
        <v>28.662244360949188</v>
      </c>
      <c r="X71" s="421">
        <f t="shared" si="9"/>
        <v>28.662244360949188</v>
      </c>
      <c r="Y71" s="421">
        <f t="shared" si="9"/>
        <v>28.662244360949188</v>
      </c>
      <c r="Z71" s="421">
        <f t="shared" si="9"/>
        <v>28.662244360949188</v>
      </c>
      <c r="AA71" s="421">
        <f t="shared" ref="AA71:AL72" si="11">$I71</f>
        <v>28.662244360949188</v>
      </c>
      <c r="AB71" s="421">
        <f t="shared" si="11"/>
        <v>28.662244360949188</v>
      </c>
      <c r="AC71" s="421">
        <f t="shared" si="11"/>
        <v>28.662244360949188</v>
      </c>
      <c r="AD71" s="421">
        <f t="shared" si="11"/>
        <v>28.662244360949188</v>
      </c>
      <c r="AE71" s="421">
        <f t="shared" si="11"/>
        <v>28.662244360949188</v>
      </c>
      <c r="AF71" s="421">
        <f t="shared" si="11"/>
        <v>28.662244360949188</v>
      </c>
      <c r="AG71" s="421">
        <f t="shared" si="11"/>
        <v>28.662244360949188</v>
      </c>
      <c r="AH71" s="421">
        <f t="shared" si="11"/>
        <v>28.662244360949188</v>
      </c>
      <c r="AI71" s="421">
        <f t="shared" si="11"/>
        <v>28.662244360949188</v>
      </c>
      <c r="AJ71" s="421">
        <f t="shared" si="11"/>
        <v>28.662244360949188</v>
      </c>
      <c r="AK71" s="421">
        <f t="shared" si="11"/>
        <v>28.662244360949188</v>
      </c>
      <c r="AL71" s="421">
        <f t="shared" si="11"/>
        <v>28.662244360949188</v>
      </c>
    </row>
    <row r="72" spans="1:38" x14ac:dyDescent="0.3">
      <c r="A72" s="203" t="str">
        <f>Legend!$A$47</f>
        <v>Cooking</v>
      </c>
      <c r="B72" s="201" t="str">
        <f>'SRV_New Techs'!K41</f>
        <v>S-CK_ELC01</v>
      </c>
      <c r="C72" s="201" t="str">
        <f>'SRV_New Techs'!C41</f>
        <v>Electricity</v>
      </c>
      <c r="D72" s="201" t="str">
        <f>'SRV_New Techs'!D41</f>
        <v>SRVELC</v>
      </c>
      <c r="E72" s="201" t="str">
        <f>'SRV_New Techs'!F41</f>
        <v>Cooking system (Ord.)</v>
      </c>
      <c r="F72" s="227">
        <v>2020</v>
      </c>
      <c r="G72" s="305">
        <v>12</v>
      </c>
      <c r="H72" s="411">
        <v>2020</v>
      </c>
      <c r="I72" s="256">
        <f>'Key Inputs_BY Techs'!H28</f>
        <v>0.79</v>
      </c>
      <c r="J72" s="283">
        <v>1</v>
      </c>
      <c r="K72" s="256">
        <f t="shared" si="6"/>
        <v>0.79</v>
      </c>
      <c r="L72" s="256">
        <f t="shared" si="6"/>
        <v>0.79</v>
      </c>
      <c r="M72" s="256">
        <f t="shared" si="6"/>
        <v>0.79</v>
      </c>
      <c r="N72" s="256">
        <f t="shared" si="6"/>
        <v>0.79</v>
      </c>
      <c r="O72" s="256">
        <f t="shared" si="6"/>
        <v>0.79</v>
      </c>
      <c r="P72" s="256">
        <f t="shared" si="6"/>
        <v>0.79</v>
      </c>
      <c r="Q72" s="256">
        <f t="shared" si="6"/>
        <v>0.79</v>
      </c>
      <c r="R72" s="256">
        <f t="shared" si="6"/>
        <v>0.79</v>
      </c>
      <c r="S72" s="256">
        <f t="shared" si="6"/>
        <v>0.79</v>
      </c>
      <c r="T72" s="256">
        <f t="shared" si="6"/>
        <v>0.79</v>
      </c>
      <c r="U72" s="256">
        <f t="shared" si="6"/>
        <v>0.79</v>
      </c>
      <c r="V72" s="256">
        <f t="shared" si="6"/>
        <v>0.79</v>
      </c>
      <c r="W72" s="256">
        <f t="shared" si="6"/>
        <v>0.79</v>
      </c>
      <c r="X72" s="256">
        <f t="shared" si="6"/>
        <v>0.79</v>
      </c>
      <c r="Y72" s="256">
        <f t="shared" si="6"/>
        <v>0.79</v>
      </c>
      <c r="Z72" s="256">
        <f t="shared" si="6"/>
        <v>0.79</v>
      </c>
      <c r="AA72" s="256">
        <f t="shared" si="11"/>
        <v>0.79</v>
      </c>
      <c r="AB72" s="256">
        <f t="shared" si="11"/>
        <v>0.79</v>
      </c>
      <c r="AC72" s="256">
        <f t="shared" si="11"/>
        <v>0.79</v>
      </c>
      <c r="AD72" s="256">
        <f t="shared" si="11"/>
        <v>0.79</v>
      </c>
      <c r="AE72" s="256">
        <f t="shared" si="11"/>
        <v>0.79</v>
      </c>
      <c r="AF72" s="256">
        <f t="shared" si="11"/>
        <v>0.79</v>
      </c>
      <c r="AG72" s="256">
        <f t="shared" si="11"/>
        <v>0.79</v>
      </c>
      <c r="AH72" s="256">
        <f t="shared" si="11"/>
        <v>0.79</v>
      </c>
      <c r="AI72" s="256">
        <f t="shared" si="11"/>
        <v>0.79</v>
      </c>
      <c r="AJ72" s="256">
        <f t="shared" si="11"/>
        <v>0.79</v>
      </c>
      <c r="AK72" s="256">
        <f t="shared" si="11"/>
        <v>0.79</v>
      </c>
      <c r="AL72" s="256">
        <f t="shared" si="11"/>
        <v>0.79</v>
      </c>
    </row>
    <row r="73" spans="1:38" x14ac:dyDescent="0.3">
      <c r="A73" s="203" t="str">
        <f>Legend!$A$47</f>
        <v>Cooking</v>
      </c>
      <c r="B73" s="201" t="str">
        <f>'SRV_New Techs'!K42</f>
        <v>S-CK_GAS01</v>
      </c>
      <c r="C73" s="201" t="str">
        <f>'SRV_New Techs'!C42</f>
        <v>Natural gas,Biogas</v>
      </c>
      <c r="D73" s="201" t="str">
        <f>'SRV_New Techs'!D42</f>
        <v>SRVGAS, SRVBGS, SRVH2G, SRVH2B, SRVEFUM</v>
      </c>
      <c r="E73" s="201" t="str">
        <f>'SRV_New Techs'!F42</f>
        <v>Cooking system (Ord.)</v>
      </c>
      <c r="F73" s="227">
        <v>2020</v>
      </c>
      <c r="G73" s="305">
        <v>12</v>
      </c>
      <c r="H73" s="411">
        <v>2020</v>
      </c>
      <c r="I73" s="256">
        <f>'Key Inputs_BY Techs'!H29</f>
        <v>0.42</v>
      </c>
      <c r="J73" s="283">
        <v>1</v>
      </c>
      <c r="K73" s="256">
        <f t="shared" si="6"/>
        <v>0.42</v>
      </c>
      <c r="L73" s="256">
        <f t="shared" ref="L73:AL76" si="12">$I73</f>
        <v>0.42</v>
      </c>
      <c r="M73" s="256">
        <f t="shared" si="12"/>
        <v>0.42</v>
      </c>
      <c r="N73" s="256">
        <f t="shared" si="12"/>
        <v>0.42</v>
      </c>
      <c r="O73" s="256">
        <f t="shared" si="12"/>
        <v>0.42</v>
      </c>
      <c r="P73" s="256">
        <f t="shared" si="12"/>
        <v>0.42</v>
      </c>
      <c r="Q73" s="256">
        <f t="shared" si="12"/>
        <v>0.42</v>
      </c>
      <c r="R73" s="256">
        <f t="shared" si="12"/>
        <v>0.42</v>
      </c>
      <c r="S73" s="256">
        <f t="shared" si="12"/>
        <v>0.42</v>
      </c>
      <c r="T73" s="256">
        <f t="shared" si="12"/>
        <v>0.42</v>
      </c>
      <c r="U73" s="256">
        <f t="shared" si="12"/>
        <v>0.42</v>
      </c>
      <c r="V73" s="256">
        <f t="shared" si="12"/>
        <v>0.42</v>
      </c>
      <c r="W73" s="256">
        <f t="shared" si="12"/>
        <v>0.42</v>
      </c>
      <c r="X73" s="256">
        <f t="shared" si="12"/>
        <v>0.42</v>
      </c>
      <c r="Y73" s="256">
        <f t="shared" si="12"/>
        <v>0.42</v>
      </c>
      <c r="Z73" s="256">
        <f t="shared" si="12"/>
        <v>0.42</v>
      </c>
      <c r="AA73" s="256">
        <f t="shared" si="12"/>
        <v>0.42</v>
      </c>
      <c r="AB73" s="256">
        <f t="shared" si="12"/>
        <v>0.42</v>
      </c>
      <c r="AC73" s="256">
        <f t="shared" si="12"/>
        <v>0.42</v>
      </c>
      <c r="AD73" s="256">
        <f t="shared" si="12"/>
        <v>0.42</v>
      </c>
      <c r="AE73" s="256">
        <f t="shared" si="12"/>
        <v>0.42</v>
      </c>
      <c r="AF73" s="256">
        <f t="shared" si="12"/>
        <v>0.42</v>
      </c>
      <c r="AG73" s="256">
        <f t="shared" si="12"/>
        <v>0.42</v>
      </c>
      <c r="AH73" s="256">
        <f t="shared" si="12"/>
        <v>0.42</v>
      </c>
      <c r="AI73" s="256">
        <f t="shared" si="12"/>
        <v>0.42</v>
      </c>
      <c r="AJ73" s="256">
        <f t="shared" si="12"/>
        <v>0.42</v>
      </c>
      <c r="AK73" s="256">
        <f t="shared" si="12"/>
        <v>0.42</v>
      </c>
      <c r="AL73" s="256">
        <f t="shared" si="12"/>
        <v>0.42</v>
      </c>
    </row>
    <row r="74" spans="1:38" x14ac:dyDescent="0.3">
      <c r="A74" s="203" t="str">
        <f>Legend!$A$47</f>
        <v>Cooking</v>
      </c>
      <c r="B74" s="201" t="str">
        <f>'SRV_New Techs'!K43</f>
        <v>S-CK_LPG01</v>
      </c>
      <c r="C74" s="201" t="str">
        <f>'SRV_New Techs'!C43</f>
        <v>LPG</v>
      </c>
      <c r="D74" s="201" t="str">
        <f>'SRV_New Techs'!D43</f>
        <v>SRVLPG</v>
      </c>
      <c r="E74" s="201" t="str">
        <f>'SRV_New Techs'!F43</f>
        <v>Cooking system (Ord.)</v>
      </c>
      <c r="F74" s="227">
        <v>2020</v>
      </c>
      <c r="G74" s="305">
        <v>12</v>
      </c>
      <c r="H74" s="411">
        <v>2020</v>
      </c>
      <c r="I74" s="256">
        <f>'Key Inputs_BY Techs'!H30</f>
        <v>0.60399999999999998</v>
      </c>
      <c r="J74" s="283">
        <v>1</v>
      </c>
      <c r="K74" s="256">
        <f t="shared" ref="K74:Z76" si="13">$I74</f>
        <v>0.60399999999999998</v>
      </c>
      <c r="L74" s="256">
        <f t="shared" si="13"/>
        <v>0.60399999999999998</v>
      </c>
      <c r="M74" s="256">
        <f t="shared" si="13"/>
        <v>0.60399999999999998</v>
      </c>
      <c r="N74" s="256">
        <f t="shared" si="13"/>
        <v>0.60399999999999998</v>
      </c>
      <c r="O74" s="256">
        <f t="shared" si="13"/>
        <v>0.60399999999999998</v>
      </c>
      <c r="P74" s="256">
        <f t="shared" si="13"/>
        <v>0.60399999999999998</v>
      </c>
      <c r="Q74" s="256">
        <f t="shared" si="13"/>
        <v>0.60399999999999998</v>
      </c>
      <c r="R74" s="256">
        <f t="shared" si="13"/>
        <v>0.60399999999999998</v>
      </c>
      <c r="S74" s="256">
        <f t="shared" si="13"/>
        <v>0.60399999999999998</v>
      </c>
      <c r="T74" s="256">
        <f t="shared" si="13"/>
        <v>0.60399999999999998</v>
      </c>
      <c r="U74" s="256">
        <f t="shared" si="13"/>
        <v>0.60399999999999998</v>
      </c>
      <c r="V74" s="256">
        <f t="shared" si="13"/>
        <v>0.60399999999999998</v>
      </c>
      <c r="W74" s="256">
        <f t="shared" si="13"/>
        <v>0.60399999999999998</v>
      </c>
      <c r="X74" s="256">
        <f t="shared" si="13"/>
        <v>0.60399999999999998</v>
      </c>
      <c r="Y74" s="256">
        <f t="shared" si="13"/>
        <v>0.60399999999999998</v>
      </c>
      <c r="Z74" s="256">
        <f t="shared" si="13"/>
        <v>0.60399999999999998</v>
      </c>
      <c r="AA74" s="256">
        <f t="shared" si="12"/>
        <v>0.60399999999999998</v>
      </c>
      <c r="AB74" s="256">
        <f t="shared" si="12"/>
        <v>0.60399999999999998</v>
      </c>
      <c r="AC74" s="256">
        <f t="shared" si="12"/>
        <v>0.60399999999999998</v>
      </c>
      <c r="AD74" s="256">
        <f t="shared" si="12"/>
        <v>0.60399999999999998</v>
      </c>
      <c r="AE74" s="256">
        <f t="shared" si="12"/>
        <v>0.60399999999999998</v>
      </c>
      <c r="AF74" s="256">
        <f t="shared" si="12"/>
        <v>0.60399999999999998</v>
      </c>
      <c r="AG74" s="256">
        <f t="shared" si="12"/>
        <v>0.60399999999999998</v>
      </c>
      <c r="AH74" s="256">
        <f t="shared" si="12"/>
        <v>0.60399999999999998</v>
      </c>
      <c r="AI74" s="256">
        <f t="shared" si="12"/>
        <v>0.60399999999999998</v>
      </c>
      <c r="AJ74" s="256">
        <f t="shared" si="12"/>
        <v>0.60399999999999998</v>
      </c>
      <c r="AK74" s="256">
        <f t="shared" si="12"/>
        <v>0.60399999999999998</v>
      </c>
      <c r="AL74" s="256">
        <f t="shared" si="12"/>
        <v>0.60399999999999998</v>
      </c>
    </row>
    <row r="75" spans="1:38" x14ac:dyDescent="0.3">
      <c r="A75" s="203" t="str">
        <f>Legend!$A$47</f>
        <v>Cooking</v>
      </c>
      <c r="B75" s="201" t="str">
        <f>'SRV_New Techs'!K44</f>
        <v>S-CK_BIO01</v>
      </c>
      <c r="C75" s="201" t="str">
        <f>'SRV_New Techs'!C44</f>
        <v>Biomass</v>
      </c>
      <c r="D75" s="201" t="str">
        <f>'SRV_New Techs'!D44</f>
        <v>SRVBIO</v>
      </c>
      <c r="E75" s="201" t="str">
        <f>'SRV_New Techs'!F44</f>
        <v>Cooking system (Ord.)</v>
      </c>
      <c r="F75" s="227">
        <v>2020</v>
      </c>
      <c r="G75" s="305">
        <v>12</v>
      </c>
      <c r="H75" s="411">
        <v>2020</v>
      </c>
      <c r="I75" s="256">
        <f>'Key Inputs_BY Techs'!H26</f>
        <v>0.45100000000000001</v>
      </c>
      <c r="J75" s="283">
        <v>1</v>
      </c>
      <c r="K75" s="256">
        <f t="shared" si="13"/>
        <v>0.45100000000000001</v>
      </c>
      <c r="L75" s="256">
        <f t="shared" si="13"/>
        <v>0.45100000000000001</v>
      </c>
      <c r="M75" s="256">
        <f t="shared" si="13"/>
        <v>0.45100000000000001</v>
      </c>
      <c r="N75" s="256">
        <f t="shared" si="13"/>
        <v>0.45100000000000001</v>
      </c>
      <c r="O75" s="256">
        <f t="shared" si="13"/>
        <v>0.45100000000000001</v>
      </c>
      <c r="P75" s="256">
        <f t="shared" si="13"/>
        <v>0.45100000000000001</v>
      </c>
      <c r="Q75" s="256">
        <f t="shared" si="13"/>
        <v>0.45100000000000001</v>
      </c>
      <c r="R75" s="256">
        <f t="shared" si="13"/>
        <v>0.45100000000000001</v>
      </c>
      <c r="S75" s="256">
        <f t="shared" si="13"/>
        <v>0.45100000000000001</v>
      </c>
      <c r="T75" s="256">
        <f t="shared" si="13"/>
        <v>0.45100000000000001</v>
      </c>
      <c r="U75" s="256">
        <f t="shared" si="13"/>
        <v>0.45100000000000001</v>
      </c>
      <c r="V75" s="256">
        <f t="shared" si="13"/>
        <v>0.45100000000000001</v>
      </c>
      <c r="W75" s="256">
        <f t="shared" si="13"/>
        <v>0.45100000000000001</v>
      </c>
      <c r="X75" s="256">
        <f t="shared" si="13"/>
        <v>0.45100000000000001</v>
      </c>
      <c r="Y75" s="256">
        <f t="shared" si="13"/>
        <v>0.45100000000000001</v>
      </c>
      <c r="Z75" s="256">
        <f t="shared" si="13"/>
        <v>0.45100000000000001</v>
      </c>
      <c r="AA75" s="256">
        <f t="shared" si="12"/>
        <v>0.45100000000000001</v>
      </c>
      <c r="AB75" s="256">
        <f t="shared" si="12"/>
        <v>0.45100000000000001</v>
      </c>
      <c r="AC75" s="256">
        <f t="shared" si="12"/>
        <v>0.45100000000000001</v>
      </c>
      <c r="AD75" s="256">
        <f t="shared" si="12"/>
        <v>0.45100000000000001</v>
      </c>
      <c r="AE75" s="256">
        <f t="shared" si="12"/>
        <v>0.45100000000000001</v>
      </c>
      <c r="AF75" s="256">
        <f t="shared" si="12"/>
        <v>0.45100000000000001</v>
      </c>
      <c r="AG75" s="256">
        <f t="shared" si="12"/>
        <v>0.45100000000000001</v>
      </c>
      <c r="AH75" s="256">
        <f t="shared" si="12"/>
        <v>0.45100000000000001</v>
      </c>
      <c r="AI75" s="256">
        <f t="shared" si="12"/>
        <v>0.45100000000000001</v>
      </c>
      <c r="AJ75" s="256">
        <f t="shared" si="12"/>
        <v>0.45100000000000001</v>
      </c>
      <c r="AK75" s="256">
        <f t="shared" si="12"/>
        <v>0.45100000000000001</v>
      </c>
      <c r="AL75" s="256">
        <f t="shared" si="12"/>
        <v>0.45100000000000001</v>
      </c>
    </row>
    <row r="76" spans="1:38" x14ac:dyDescent="0.3">
      <c r="A76" s="230" t="str">
        <f>Legend!$A$47</f>
        <v>Cooking</v>
      </c>
      <c r="B76" s="234" t="str">
        <f>'SRV_New Techs'!K45</f>
        <v>S-CK_COA01</v>
      </c>
      <c r="C76" s="234" t="str">
        <f>'SRV_New Techs'!C45</f>
        <v>Coal</v>
      </c>
      <c r="D76" s="234" t="str">
        <f>'SRV_New Techs'!D45</f>
        <v>SRVCOA</v>
      </c>
      <c r="E76" s="234" t="str">
        <f>'SRV_New Techs'!F45</f>
        <v>Cooking system (Ord.)</v>
      </c>
      <c r="F76" s="237">
        <v>2020</v>
      </c>
      <c r="G76" s="415">
        <v>12</v>
      </c>
      <c r="H76" s="416">
        <v>2020</v>
      </c>
      <c r="I76" s="421">
        <f>'Key Inputs_BY Techs'!H27</f>
        <v>0.45100000000000001</v>
      </c>
      <c r="J76" s="284">
        <v>1</v>
      </c>
      <c r="K76" s="421">
        <f t="shared" si="13"/>
        <v>0.45100000000000001</v>
      </c>
      <c r="L76" s="421">
        <f t="shared" si="12"/>
        <v>0.45100000000000001</v>
      </c>
      <c r="M76" s="421">
        <f t="shared" si="12"/>
        <v>0.45100000000000001</v>
      </c>
      <c r="N76" s="421">
        <f t="shared" si="12"/>
        <v>0.45100000000000001</v>
      </c>
      <c r="O76" s="421">
        <f t="shared" si="12"/>
        <v>0.45100000000000001</v>
      </c>
      <c r="P76" s="421">
        <f t="shared" si="12"/>
        <v>0.45100000000000001</v>
      </c>
      <c r="Q76" s="421">
        <f t="shared" si="12"/>
        <v>0.45100000000000001</v>
      </c>
      <c r="R76" s="421">
        <f t="shared" si="12"/>
        <v>0.45100000000000001</v>
      </c>
      <c r="S76" s="421">
        <f t="shared" si="12"/>
        <v>0.45100000000000001</v>
      </c>
      <c r="T76" s="421">
        <f t="shared" si="12"/>
        <v>0.45100000000000001</v>
      </c>
      <c r="U76" s="421">
        <f t="shared" si="12"/>
        <v>0.45100000000000001</v>
      </c>
      <c r="V76" s="421">
        <f t="shared" si="12"/>
        <v>0.45100000000000001</v>
      </c>
      <c r="W76" s="421">
        <f t="shared" si="12"/>
        <v>0.45100000000000001</v>
      </c>
      <c r="X76" s="421">
        <f t="shared" si="12"/>
        <v>0.45100000000000001</v>
      </c>
      <c r="Y76" s="421">
        <f t="shared" si="12"/>
        <v>0.45100000000000001</v>
      </c>
      <c r="Z76" s="421">
        <f t="shared" si="12"/>
        <v>0.45100000000000001</v>
      </c>
      <c r="AA76" s="421">
        <f t="shared" si="12"/>
        <v>0.45100000000000001</v>
      </c>
      <c r="AB76" s="421">
        <f t="shared" si="12"/>
        <v>0.45100000000000001</v>
      </c>
      <c r="AC76" s="421">
        <f t="shared" si="12"/>
        <v>0.45100000000000001</v>
      </c>
      <c r="AD76" s="421">
        <f t="shared" si="12"/>
        <v>0.45100000000000001</v>
      </c>
      <c r="AE76" s="421">
        <f t="shared" si="12"/>
        <v>0.45100000000000001</v>
      </c>
      <c r="AF76" s="421">
        <f t="shared" si="12"/>
        <v>0.45100000000000001</v>
      </c>
      <c r="AG76" s="421">
        <f t="shared" si="12"/>
        <v>0.45100000000000001</v>
      </c>
      <c r="AH76" s="421">
        <f t="shared" si="12"/>
        <v>0.45100000000000001</v>
      </c>
      <c r="AI76" s="421">
        <f t="shared" si="12"/>
        <v>0.45100000000000001</v>
      </c>
      <c r="AJ76" s="421">
        <f t="shared" si="12"/>
        <v>0.45100000000000001</v>
      </c>
      <c r="AK76" s="421">
        <f t="shared" si="12"/>
        <v>0.45100000000000001</v>
      </c>
      <c r="AL76" s="421">
        <f t="shared" si="12"/>
        <v>0.45100000000000001</v>
      </c>
    </row>
    <row r="77" spans="1:38" x14ac:dyDescent="0.3">
      <c r="B77" s="201"/>
      <c r="G77" s="236"/>
      <c r="H77" s="214"/>
      <c r="I77" s="214"/>
      <c r="J77" s="214"/>
      <c r="K77" s="214"/>
    </row>
    <row r="78" spans="1:38" x14ac:dyDescent="0.3">
      <c r="B78" s="201"/>
      <c r="G78" s="236"/>
      <c r="H78" s="214"/>
      <c r="I78" s="214"/>
      <c r="J78" s="214"/>
      <c r="K78" s="214"/>
    </row>
    <row r="79" spans="1:38" ht="18" x14ac:dyDescent="0.3">
      <c r="A79" s="40" t="s">
        <v>648</v>
      </c>
      <c r="B79" s="40" t="s">
        <v>444</v>
      </c>
      <c r="K79" s="203"/>
      <c r="T79" s="201"/>
    </row>
    <row r="80" spans="1:38" customFormat="1" ht="15.6" x14ac:dyDescent="0.3">
      <c r="A80" s="623" t="s">
        <v>705</v>
      </c>
      <c r="B80" s="623" t="s">
        <v>706</v>
      </c>
      <c r="C80" s="623"/>
    </row>
    <row r="81" spans="1:38" x14ac:dyDescent="0.3">
      <c r="A81" s="239" t="s">
        <v>98</v>
      </c>
      <c r="B81" s="239"/>
      <c r="C81" s="238" t="s">
        <v>99</v>
      </c>
      <c r="D81" s="238"/>
      <c r="E81" s="238"/>
      <c r="F81" s="217"/>
      <c r="G81" s="217"/>
      <c r="H81" s="217" t="s">
        <v>104</v>
      </c>
      <c r="I81" s="289" t="s">
        <v>412</v>
      </c>
      <c r="J81" s="206"/>
      <c r="K81" s="231"/>
      <c r="L81" s="231"/>
      <c r="M81" s="231"/>
      <c r="N81" s="231"/>
      <c r="O81" s="231"/>
      <c r="P81" s="231"/>
      <c r="Q81" s="231"/>
      <c r="R81" s="231"/>
      <c r="S81" s="231"/>
      <c r="T81" s="206"/>
      <c r="U81" s="231"/>
      <c r="V81" s="231"/>
      <c r="W81" s="231"/>
      <c r="X81" s="231"/>
      <c r="Y81" s="231"/>
      <c r="Z81" s="231"/>
      <c r="AA81" s="231"/>
      <c r="AB81" s="231"/>
      <c r="AC81" s="231"/>
      <c r="AD81" s="231"/>
      <c r="AE81" s="231"/>
      <c r="AF81" s="231"/>
      <c r="AG81" s="231"/>
      <c r="AH81" s="231"/>
      <c r="AI81" s="231"/>
      <c r="AJ81" s="231"/>
      <c r="AK81" s="231"/>
      <c r="AL81" s="231"/>
    </row>
    <row r="82" spans="1:38" ht="28.8" x14ac:dyDescent="0.3">
      <c r="C82" s="203"/>
      <c r="D82" s="203"/>
      <c r="E82" s="203"/>
      <c r="F82" s="203"/>
      <c r="G82" s="203"/>
      <c r="H82" s="203"/>
      <c r="I82" s="233" t="s">
        <v>325</v>
      </c>
      <c r="J82" s="220" t="s">
        <v>49</v>
      </c>
      <c r="K82" s="62" t="s">
        <v>457</v>
      </c>
      <c r="L82" s="62" t="s">
        <v>458</v>
      </c>
      <c r="M82" s="62" t="s">
        <v>460</v>
      </c>
      <c r="N82" s="62" t="s">
        <v>459</v>
      </c>
      <c r="O82" s="62" t="s">
        <v>461</v>
      </c>
      <c r="P82" s="62" t="s">
        <v>463</v>
      </c>
      <c r="Q82" s="62" t="s">
        <v>464</v>
      </c>
      <c r="R82" s="62" t="s">
        <v>465</v>
      </c>
      <c r="S82" s="62" t="s">
        <v>1</v>
      </c>
      <c r="T82" s="62" t="s">
        <v>2</v>
      </c>
      <c r="U82" s="62" t="s">
        <v>707</v>
      </c>
      <c r="V82" s="62" t="s">
        <v>3</v>
      </c>
      <c r="W82" s="62" t="s">
        <v>467</v>
      </c>
      <c r="X82" s="62" t="s">
        <v>468</v>
      </c>
      <c r="Y82" s="62" t="s">
        <v>469</v>
      </c>
      <c r="Z82" s="62" t="s">
        <v>708</v>
      </c>
      <c r="AA82" s="62" t="s">
        <v>470</v>
      </c>
      <c r="AB82" s="62" t="s">
        <v>5</v>
      </c>
      <c r="AC82" s="62" t="s">
        <v>6</v>
      </c>
      <c r="AD82" s="62" t="s">
        <v>7</v>
      </c>
      <c r="AE82" s="62" t="s">
        <v>8</v>
      </c>
      <c r="AF82" s="62" t="s">
        <v>709</v>
      </c>
      <c r="AG82" s="62" t="s">
        <v>9</v>
      </c>
      <c r="AH82" s="62" t="s">
        <v>10</v>
      </c>
      <c r="AI82" s="62" t="s">
        <v>710</v>
      </c>
      <c r="AJ82" s="62" t="s">
        <v>11</v>
      </c>
      <c r="AK82" s="62" t="s">
        <v>711</v>
      </c>
      <c r="AL82" s="62" t="s">
        <v>13</v>
      </c>
    </row>
    <row r="83" spans="1:38" ht="16.2" thickBot="1" x14ac:dyDescent="0.35">
      <c r="A83" s="240" t="s">
        <v>30</v>
      </c>
      <c r="B83" s="240" t="s">
        <v>35</v>
      </c>
      <c r="C83" s="240" t="s">
        <v>30</v>
      </c>
      <c r="D83" s="240" t="s">
        <v>35</v>
      </c>
      <c r="E83" s="240" t="s">
        <v>202</v>
      </c>
      <c r="F83" s="247"/>
      <c r="G83" s="247"/>
      <c r="H83" s="247"/>
      <c r="I83" s="210"/>
      <c r="J83" s="63"/>
      <c r="K83" s="65" t="s">
        <v>477</v>
      </c>
      <c r="L83" s="65" t="s">
        <v>478</v>
      </c>
      <c r="M83" s="65" t="s">
        <v>480</v>
      </c>
      <c r="N83" s="65" t="s">
        <v>479</v>
      </c>
      <c r="O83" s="65" t="s">
        <v>481</v>
      </c>
      <c r="P83" s="65" t="s">
        <v>482</v>
      </c>
      <c r="Q83" s="65" t="s">
        <v>483</v>
      </c>
      <c r="R83" s="65" t="s">
        <v>484</v>
      </c>
      <c r="S83" s="65" t="s">
        <v>90</v>
      </c>
      <c r="T83" s="65" t="s">
        <v>91</v>
      </c>
      <c r="U83" s="65" t="s">
        <v>715</v>
      </c>
      <c r="V83" s="65" t="s">
        <v>716</v>
      </c>
      <c r="W83" s="65" t="s">
        <v>485</v>
      </c>
      <c r="X83" s="65" t="s">
        <v>486</v>
      </c>
      <c r="Y83" s="65" t="s">
        <v>487</v>
      </c>
      <c r="Z83" s="65" t="s">
        <v>717</v>
      </c>
      <c r="AA83" s="65" t="s">
        <v>488</v>
      </c>
      <c r="AB83" s="65" t="s">
        <v>718</v>
      </c>
      <c r="AC83" s="65" t="s">
        <v>92</v>
      </c>
      <c r="AD83" s="65" t="s">
        <v>93</v>
      </c>
      <c r="AE83" s="65" t="s">
        <v>94</v>
      </c>
      <c r="AF83" s="65" t="s">
        <v>719</v>
      </c>
      <c r="AG83" s="65" t="s">
        <v>720</v>
      </c>
      <c r="AH83" s="65" t="s">
        <v>95</v>
      </c>
      <c r="AI83" s="65" t="s">
        <v>721</v>
      </c>
      <c r="AJ83" s="65" t="s">
        <v>722</v>
      </c>
      <c r="AK83" s="65" t="s">
        <v>769</v>
      </c>
      <c r="AL83" s="65" t="s">
        <v>489</v>
      </c>
    </row>
    <row r="84" spans="1:38" x14ac:dyDescent="0.3">
      <c r="A84" s="201" t="str">
        <f>Legend!$A$45</f>
        <v>Thermal uses</v>
      </c>
      <c r="B84" s="201" t="str">
        <f>'SRV_New Techs'!K$6</f>
        <v>S-TH-HPA_ELC01</v>
      </c>
      <c r="C84" s="201" t="str">
        <f>'SRV_New Techs'!C$6</f>
        <v>Electricity</v>
      </c>
      <c r="D84" s="285" t="str">
        <f>'SRV_New Techs'!D$6</f>
        <v>SRVELC</v>
      </c>
      <c r="E84" s="285" t="str">
        <f>'SRV_New Techs'!F$6</f>
        <v>Heat Pump Air (Ord.)</v>
      </c>
      <c r="F84" s="424"/>
      <c r="G84" s="608"/>
      <c r="H84" s="424">
        <v>2020</v>
      </c>
      <c r="I84" s="513">
        <f>'S2'!B16*Legend!$B$38</f>
        <v>699.65127250199987</v>
      </c>
      <c r="J84" s="411" t="s">
        <v>409</v>
      </c>
      <c r="K84" s="477">
        <f t="shared" ref="K84:T93" si="14">$I84*K$145</f>
        <v>566.49629876604524</v>
      </c>
      <c r="L84" s="477">
        <f t="shared" si="14"/>
        <v>587.73357594916831</v>
      </c>
      <c r="M84" s="477">
        <f t="shared" si="14"/>
        <v>566.43711237549837</v>
      </c>
      <c r="N84" s="477">
        <f t="shared" si="14"/>
        <v>575.49639540344901</v>
      </c>
      <c r="O84" s="477">
        <f t="shared" si="14"/>
        <v>682.16060738502165</v>
      </c>
      <c r="P84" s="477">
        <f t="shared" si="14"/>
        <v>583.85525629131564</v>
      </c>
      <c r="Q84" s="477">
        <f t="shared" si="14"/>
        <v>596.80508120587967</v>
      </c>
      <c r="R84" s="477">
        <f t="shared" si="14"/>
        <v>573.95006861467959</v>
      </c>
      <c r="S84" s="477">
        <f t="shared" si="14"/>
        <v>596.86214997245236</v>
      </c>
      <c r="T84" s="477">
        <f t="shared" si="14"/>
        <v>684.07790997977111</v>
      </c>
      <c r="U84" s="477">
        <f t="shared" ref="U84:AD93" si="15">$I84*U$145</f>
        <v>622.46928479660164</v>
      </c>
      <c r="V84" s="477">
        <f t="shared" si="15"/>
        <v>600.71662264659005</v>
      </c>
      <c r="W84" s="477">
        <f t="shared" si="15"/>
        <v>598.28323922660638</v>
      </c>
      <c r="X84" s="477">
        <f t="shared" si="15"/>
        <v>687.52578612292825</v>
      </c>
      <c r="Y84" s="477">
        <f t="shared" si="15"/>
        <v>642.42371130338847</v>
      </c>
      <c r="Z84" s="477">
        <f t="shared" si="15"/>
        <v>666.39437620152989</v>
      </c>
      <c r="AA84" s="477">
        <f t="shared" si="15"/>
        <v>699.65127250199987</v>
      </c>
      <c r="AB84" s="477">
        <f t="shared" si="15"/>
        <v>587.05937308335251</v>
      </c>
      <c r="AC84" s="477">
        <f t="shared" si="15"/>
        <v>576.45684049532895</v>
      </c>
      <c r="AD84" s="477">
        <f t="shared" si="15"/>
        <v>665.07174537058938</v>
      </c>
      <c r="AE84" s="477">
        <f t="shared" ref="AE84:AL93" si="16">$I84*AE$145</f>
        <v>591.47916761068814</v>
      </c>
      <c r="AF84" s="477">
        <f t="shared" si="16"/>
        <v>617.43139018372517</v>
      </c>
      <c r="AG84" s="477">
        <f t="shared" si="16"/>
        <v>614.09735207055621</v>
      </c>
      <c r="AH84" s="477">
        <f t="shared" si="16"/>
        <v>611.70538888992098</v>
      </c>
      <c r="AI84" s="477">
        <f t="shared" si="16"/>
        <v>572.55999808977936</v>
      </c>
      <c r="AJ84" s="477">
        <f t="shared" si="16"/>
        <v>629.77813604248945</v>
      </c>
      <c r="AK84" s="477">
        <f t="shared" si="16"/>
        <v>667.86460426244673</v>
      </c>
      <c r="AL84" s="477">
        <f t="shared" si="16"/>
        <v>717.72039459714267</v>
      </c>
    </row>
    <row r="85" spans="1:38" x14ac:dyDescent="0.3">
      <c r="A85" s="201" t="str">
        <f>Legend!$A$45</f>
        <v>Thermal uses</v>
      </c>
      <c r="B85" s="201" t="str">
        <f>'SRV_New Techs'!K$7</f>
        <v>S-TH-HPA_ELC02</v>
      </c>
      <c r="C85" s="201" t="str">
        <f>'SRV_New Techs'!C$7</f>
        <v>Electricity</v>
      </c>
      <c r="D85" s="285" t="str">
        <f>'SRV_New Techs'!D$7</f>
        <v>SRVELC</v>
      </c>
      <c r="E85" s="285" t="str">
        <f>'SRV_New Techs'!F$7</f>
        <v>Heat Pump Air (Imp.)</v>
      </c>
      <c r="F85" s="411"/>
      <c r="G85" s="608"/>
      <c r="H85" s="424">
        <v>2030</v>
      </c>
      <c r="I85" s="513">
        <f>'S2'!D17*Legend!$B$38</f>
        <v>745.25936030000014</v>
      </c>
      <c r="J85" s="411" t="s">
        <v>409</v>
      </c>
      <c r="K85" s="477">
        <f t="shared" si="14"/>
        <v>603.42442845981373</v>
      </c>
      <c r="L85" s="477">
        <f t="shared" si="14"/>
        <v>626.04609761137351</v>
      </c>
      <c r="M85" s="477">
        <f t="shared" si="14"/>
        <v>603.36138389276857</v>
      </c>
      <c r="N85" s="477">
        <f t="shared" si="14"/>
        <v>613.01121337145059</v>
      </c>
      <c r="O85" s="477">
        <f t="shared" si="14"/>
        <v>726.62853318853593</v>
      </c>
      <c r="P85" s="477">
        <f t="shared" si="14"/>
        <v>621.91496237179331</v>
      </c>
      <c r="Q85" s="477">
        <f t="shared" si="14"/>
        <v>635.70894604785019</v>
      </c>
      <c r="R85" s="477">
        <f t="shared" si="14"/>
        <v>611.36408635445548</v>
      </c>
      <c r="S85" s="477">
        <f t="shared" si="14"/>
        <v>635.76973494960816</v>
      </c>
      <c r="T85" s="477">
        <f t="shared" si="14"/>
        <v>728.67081876911482</v>
      </c>
      <c r="U85" s="477">
        <f t="shared" si="15"/>
        <v>663.04611915443627</v>
      </c>
      <c r="V85" s="477">
        <f t="shared" si="15"/>
        <v>639.87546869486278</v>
      </c>
      <c r="W85" s="477">
        <f t="shared" si="15"/>
        <v>637.28346058708564</v>
      </c>
      <c r="X85" s="477">
        <f t="shared" si="15"/>
        <v>732.34345122164223</v>
      </c>
      <c r="Y85" s="477">
        <f t="shared" si="15"/>
        <v>684.30131258876077</v>
      </c>
      <c r="Z85" s="477">
        <f t="shared" si="15"/>
        <v>709.83455048893688</v>
      </c>
      <c r="AA85" s="477">
        <f t="shared" si="15"/>
        <v>745.25936030000014</v>
      </c>
      <c r="AB85" s="477">
        <f t="shared" si="15"/>
        <v>625.32794556014733</v>
      </c>
      <c r="AC85" s="477">
        <f t="shared" si="15"/>
        <v>614.03426688812328</v>
      </c>
      <c r="AD85" s="477">
        <f t="shared" si="15"/>
        <v>708.42570147269089</v>
      </c>
      <c r="AE85" s="477">
        <f t="shared" si="16"/>
        <v>630.03585272984412</v>
      </c>
      <c r="AF85" s="477">
        <f t="shared" si="16"/>
        <v>657.67981987933501</v>
      </c>
      <c r="AG85" s="477">
        <f t="shared" si="16"/>
        <v>654.12844620348847</v>
      </c>
      <c r="AH85" s="477">
        <f t="shared" si="16"/>
        <v>651.58055839148392</v>
      </c>
      <c r="AI85" s="477">
        <f t="shared" si="16"/>
        <v>609.88340146060204</v>
      </c>
      <c r="AJ85" s="477">
        <f t="shared" si="16"/>
        <v>670.83141165388304</v>
      </c>
      <c r="AK85" s="477">
        <f t="shared" si="16"/>
        <v>711.40061813897591</v>
      </c>
      <c r="AL85" s="477">
        <f t="shared" si="16"/>
        <v>764.50635219876813</v>
      </c>
    </row>
    <row r="86" spans="1:38" x14ac:dyDescent="0.3">
      <c r="A86" s="201"/>
      <c r="B86" s="201"/>
      <c r="D86" s="285"/>
      <c r="E86" s="285"/>
      <c r="F86" s="411"/>
      <c r="G86" s="608"/>
      <c r="H86" s="424">
        <v>2050</v>
      </c>
      <c r="I86" s="513">
        <f>'S2'!G17*Legend!$B$38</f>
        <v>600.22385604999999</v>
      </c>
      <c r="J86" s="411" t="s">
        <v>409</v>
      </c>
      <c r="K86" s="477">
        <f t="shared" si="14"/>
        <v>485.99153070565819</v>
      </c>
      <c r="L86" s="477">
        <f t="shared" si="14"/>
        <v>504.21077921395039</v>
      </c>
      <c r="M86" s="477">
        <f t="shared" si="14"/>
        <v>485.94075529088241</v>
      </c>
      <c r="N86" s="477">
        <f t="shared" si="14"/>
        <v>493.71262394287476</v>
      </c>
      <c r="O86" s="477">
        <f t="shared" si="14"/>
        <v>585.21878870573687</v>
      </c>
      <c r="P86" s="477">
        <f t="shared" si="14"/>
        <v>500.88360741919871</v>
      </c>
      <c r="Q86" s="477">
        <f t="shared" si="14"/>
        <v>511.99313319422652</v>
      </c>
      <c r="R86" s="477">
        <f t="shared" si="14"/>
        <v>492.38604559685177</v>
      </c>
      <c r="S86" s="477">
        <f t="shared" si="14"/>
        <v>512.04209192049279</v>
      </c>
      <c r="T86" s="477">
        <f t="shared" si="14"/>
        <v>586.86362349967612</v>
      </c>
      <c r="U86" s="477">
        <f t="shared" si="15"/>
        <v>534.01019776210569</v>
      </c>
      <c r="V86" s="477">
        <f t="shared" si="15"/>
        <v>515.34880562550313</v>
      </c>
      <c r="W86" s="477">
        <f t="shared" si="15"/>
        <v>513.26123023331138</v>
      </c>
      <c r="X86" s="477">
        <f t="shared" si="15"/>
        <v>589.8215220916818</v>
      </c>
      <c r="Y86" s="477">
        <f t="shared" si="15"/>
        <v>551.12890145621736</v>
      </c>
      <c r="Z86" s="477">
        <f t="shared" si="15"/>
        <v>571.69309605246701</v>
      </c>
      <c r="AA86" s="477">
        <f t="shared" si="15"/>
        <v>600.22385604999999</v>
      </c>
      <c r="AB86" s="477">
        <f t="shared" si="15"/>
        <v>503.63238729245393</v>
      </c>
      <c r="AC86" s="477">
        <f t="shared" si="15"/>
        <v>494.5365802182788</v>
      </c>
      <c r="AD86" s="477">
        <f t="shared" si="15"/>
        <v>570.55842423998149</v>
      </c>
      <c r="AE86" s="477">
        <f t="shared" si="16"/>
        <v>507.42408498301808</v>
      </c>
      <c r="AF86" s="477">
        <f t="shared" si="16"/>
        <v>529.6882381662906</v>
      </c>
      <c r="AG86" s="477">
        <f t="shared" si="16"/>
        <v>526.82800008604295</v>
      </c>
      <c r="AH86" s="477">
        <f t="shared" si="16"/>
        <v>524.7759587045183</v>
      </c>
      <c r="AI86" s="477">
        <f t="shared" si="16"/>
        <v>491.19351794282011</v>
      </c>
      <c r="AJ86" s="477">
        <f t="shared" si="16"/>
        <v>540.2803884278278</v>
      </c>
      <c r="AK86" s="477">
        <f t="shared" si="16"/>
        <v>572.95439005803735</v>
      </c>
      <c r="AL86" s="477">
        <f t="shared" si="16"/>
        <v>615.72517587266043</v>
      </c>
    </row>
    <row r="87" spans="1:38" x14ac:dyDescent="0.3">
      <c r="A87" s="201" t="str">
        <f>Legend!$A$45</f>
        <v>Thermal uses</v>
      </c>
      <c r="B87" s="201" t="str">
        <f>'SRV_New Techs'!K$8</f>
        <v>S-TH-HPA_ELC03</v>
      </c>
      <c r="C87" s="201" t="str">
        <f>'SRV_New Techs'!C$8</f>
        <v>Electricity</v>
      </c>
      <c r="D87" s="285" t="str">
        <f>'SRV_New Techs'!D$8</f>
        <v>SRVELC</v>
      </c>
      <c r="E87" s="285" t="str">
        <f>'SRV_New Techs'!F$8</f>
        <v>Heat Pump Air (Adv.)</v>
      </c>
      <c r="F87" s="411"/>
      <c r="G87" s="608"/>
      <c r="H87" s="424">
        <v>2030</v>
      </c>
      <c r="I87" s="513">
        <f>'S2'!E17*Legend!$B$38</f>
        <v>963.92827440000019</v>
      </c>
      <c r="J87" s="411" t="s">
        <v>409</v>
      </c>
      <c r="K87" s="477">
        <f t="shared" si="14"/>
        <v>780.47710507377099</v>
      </c>
      <c r="L87" s="477">
        <f t="shared" si="14"/>
        <v>809.73626996441124</v>
      </c>
      <c r="M87" s="477">
        <f t="shared" si="14"/>
        <v>780.39556240022762</v>
      </c>
      <c r="N87" s="477">
        <f t="shared" si="14"/>
        <v>792.87677897145704</v>
      </c>
      <c r="O87" s="477">
        <f t="shared" si="14"/>
        <v>939.83091717798663</v>
      </c>
      <c r="P87" s="477">
        <f t="shared" si="14"/>
        <v>804.39300522339738</v>
      </c>
      <c r="Q87" s="477">
        <f t="shared" si="14"/>
        <v>822.23432542715955</v>
      </c>
      <c r="R87" s="477">
        <f t="shared" si="14"/>
        <v>790.74636318899627</v>
      </c>
      <c r="S87" s="477">
        <f t="shared" si="14"/>
        <v>822.31295059350521</v>
      </c>
      <c r="T87" s="477">
        <f t="shared" si="14"/>
        <v>942.47243625226827</v>
      </c>
      <c r="U87" s="477">
        <f t="shared" si="15"/>
        <v>857.59258525364214</v>
      </c>
      <c r="V87" s="477">
        <f t="shared" si="15"/>
        <v>827.62336070712786</v>
      </c>
      <c r="W87" s="477">
        <f t="shared" si="15"/>
        <v>824.27082327431447</v>
      </c>
      <c r="X87" s="477">
        <f t="shared" si="15"/>
        <v>947.22266744835156</v>
      </c>
      <c r="Y87" s="477">
        <f t="shared" si="15"/>
        <v>885.08433245013362</v>
      </c>
      <c r="Z87" s="477">
        <f t="shared" si="15"/>
        <v>918.10935871622974</v>
      </c>
      <c r="AA87" s="477">
        <f t="shared" si="15"/>
        <v>963.92827440000019</v>
      </c>
      <c r="AB87" s="477">
        <f t="shared" si="15"/>
        <v>808.80740264066969</v>
      </c>
      <c r="AC87" s="477">
        <f t="shared" si="15"/>
        <v>794.20000986727325</v>
      </c>
      <c r="AD87" s="477">
        <f t="shared" si="15"/>
        <v>916.28713483892955</v>
      </c>
      <c r="AE87" s="477">
        <f t="shared" si="16"/>
        <v>814.89667179428943</v>
      </c>
      <c r="AF87" s="477">
        <f t="shared" si="16"/>
        <v>850.65174307746327</v>
      </c>
      <c r="AG87" s="477">
        <f t="shared" si="16"/>
        <v>846.05834958055993</v>
      </c>
      <c r="AH87" s="477">
        <f t="shared" si="16"/>
        <v>842.76287791952404</v>
      </c>
      <c r="AI87" s="477">
        <f t="shared" si="16"/>
        <v>788.83122584125772</v>
      </c>
      <c r="AJ87" s="477">
        <f t="shared" si="16"/>
        <v>867.66218513316608</v>
      </c>
      <c r="AK87" s="477">
        <f t="shared" si="16"/>
        <v>920.1349312456216</v>
      </c>
      <c r="AL87" s="477">
        <f t="shared" si="16"/>
        <v>988.82258727505337</v>
      </c>
    </row>
    <row r="88" spans="1:38" x14ac:dyDescent="0.3">
      <c r="A88" s="201"/>
      <c r="B88" s="201"/>
      <c r="D88" s="285"/>
      <c r="E88" s="285"/>
      <c r="F88" s="411"/>
      <c r="G88" s="608"/>
      <c r="H88" s="424">
        <v>2050</v>
      </c>
      <c r="I88" s="513">
        <f>'S2'!H17*Legend!$B$38</f>
        <v>853.46142475912507</v>
      </c>
      <c r="J88" s="411" t="s">
        <v>409</v>
      </c>
      <c r="K88" s="477">
        <f t="shared" si="14"/>
        <v>691.03388683432706</v>
      </c>
      <c r="L88" s="477">
        <f t="shared" si="14"/>
        <v>716.93993110963549</v>
      </c>
      <c r="M88" s="477">
        <f t="shared" si="14"/>
        <v>690.96168900779867</v>
      </c>
      <c r="N88" s="477">
        <f t="shared" si="14"/>
        <v>702.01254949245367</v>
      </c>
      <c r="O88" s="477">
        <f t="shared" si="14"/>
        <v>832.1256414090301</v>
      </c>
      <c r="P88" s="477">
        <f t="shared" si="14"/>
        <v>712.20900821854229</v>
      </c>
      <c r="Q88" s="477">
        <f t="shared" si="14"/>
        <v>728.00570073714755</v>
      </c>
      <c r="R88" s="477">
        <f t="shared" si="14"/>
        <v>700.1262808381183</v>
      </c>
      <c r="S88" s="477">
        <f t="shared" si="14"/>
        <v>728.07531540482933</v>
      </c>
      <c r="T88" s="477">
        <f t="shared" si="14"/>
        <v>834.46444056301084</v>
      </c>
      <c r="U88" s="477">
        <f t="shared" si="15"/>
        <v>759.3118794331682</v>
      </c>
      <c r="V88" s="477">
        <f t="shared" si="15"/>
        <v>732.77714883164606</v>
      </c>
      <c r="W88" s="477">
        <f t="shared" si="15"/>
        <v>729.80881451678397</v>
      </c>
      <c r="X88" s="477">
        <f t="shared" si="15"/>
        <v>838.67029196525129</v>
      </c>
      <c r="Y88" s="477">
        <f t="shared" si="15"/>
        <v>783.65305330945068</v>
      </c>
      <c r="Z88" s="477">
        <f t="shared" si="15"/>
        <v>812.8933886314062</v>
      </c>
      <c r="AA88" s="477">
        <f t="shared" si="15"/>
        <v>853.46142475912507</v>
      </c>
      <c r="AB88" s="477">
        <f t="shared" si="15"/>
        <v>716.11751262624148</v>
      </c>
      <c r="AC88" s="477">
        <f t="shared" si="15"/>
        <v>703.18413720869898</v>
      </c>
      <c r="AD88" s="477">
        <f t="shared" si="15"/>
        <v>811.27999287587784</v>
      </c>
      <c r="AE88" s="477">
        <f t="shared" si="16"/>
        <v>721.50894730619723</v>
      </c>
      <c r="AF88" s="477">
        <f t="shared" si="16"/>
        <v>753.16646259040874</v>
      </c>
      <c r="AG88" s="477">
        <f t="shared" si="16"/>
        <v>749.09947517810713</v>
      </c>
      <c r="AH88" s="477">
        <f t="shared" si="16"/>
        <v>746.1816668579479</v>
      </c>
      <c r="AI88" s="477">
        <f t="shared" si="16"/>
        <v>698.43061956038707</v>
      </c>
      <c r="AJ88" s="477">
        <f t="shared" si="16"/>
        <v>768.22749617372097</v>
      </c>
      <c r="AK88" s="477">
        <f t="shared" si="16"/>
        <v>814.68682914228214</v>
      </c>
      <c r="AL88" s="477">
        <f t="shared" si="16"/>
        <v>875.50283209097984</v>
      </c>
    </row>
    <row r="89" spans="1:38" x14ac:dyDescent="0.3">
      <c r="A89" s="201" t="str">
        <f>Legend!$A$45</f>
        <v>Thermal uses</v>
      </c>
      <c r="B89" s="201" t="str">
        <f>'SRV_New Techs'!K$9</f>
        <v>S-TH-HPA_ELC04</v>
      </c>
      <c r="C89" s="201" t="str">
        <f>'SRV_New Techs'!C$9</f>
        <v>Electricity</v>
      </c>
      <c r="D89" s="285" t="str">
        <f>'SRV_New Techs'!D$9</f>
        <v>SRVELC</v>
      </c>
      <c r="E89" s="285" t="str">
        <f>'SRV_New Techs'!F$9</f>
        <v>Heat Pump Wat. (Ord.)</v>
      </c>
      <c r="F89" s="424"/>
      <c r="G89" s="608"/>
      <c r="H89" s="424">
        <v>2020</v>
      </c>
      <c r="I89" s="513">
        <f>'S2'!B20*Legend!$B$38</f>
        <v>924.65712248000011</v>
      </c>
      <c r="J89" s="411" t="s">
        <v>409</v>
      </c>
      <c r="K89" s="477">
        <f t="shared" si="14"/>
        <v>748.6798896818766</v>
      </c>
      <c r="L89" s="477">
        <f t="shared" si="14"/>
        <v>776.74701452141665</v>
      </c>
      <c r="M89" s="477">
        <f t="shared" si="14"/>
        <v>748.60166911725537</v>
      </c>
      <c r="N89" s="477">
        <f t="shared" si="14"/>
        <v>760.57439168002725</v>
      </c>
      <c r="O89" s="477">
        <f t="shared" si="14"/>
        <v>901.54150944110563</v>
      </c>
      <c r="P89" s="477">
        <f t="shared" si="14"/>
        <v>771.62143834392555</v>
      </c>
      <c r="Q89" s="477">
        <f t="shared" si="14"/>
        <v>788.73588994679369</v>
      </c>
      <c r="R89" s="477">
        <f t="shared" si="14"/>
        <v>758.53077061462966</v>
      </c>
      <c r="S89" s="477">
        <f t="shared" si="14"/>
        <v>788.81131186562163</v>
      </c>
      <c r="T89" s="477">
        <f t="shared" si="14"/>
        <v>904.07541107162024</v>
      </c>
      <c r="U89" s="477">
        <f t="shared" si="15"/>
        <v>822.65362807664178</v>
      </c>
      <c r="V89" s="477">
        <f t="shared" si="15"/>
        <v>793.90537193757814</v>
      </c>
      <c r="W89" s="477">
        <f t="shared" si="15"/>
        <v>790.68941936313865</v>
      </c>
      <c r="X89" s="477">
        <f t="shared" si="15"/>
        <v>908.6321143300853</v>
      </c>
      <c r="Y89" s="477">
        <f t="shared" si="15"/>
        <v>849.0253411280911</v>
      </c>
      <c r="Z89" s="477">
        <f t="shared" si="15"/>
        <v>880.70490336112402</v>
      </c>
      <c r="AA89" s="477">
        <f t="shared" si="15"/>
        <v>924.65712248000011</v>
      </c>
      <c r="AB89" s="477">
        <f t="shared" si="15"/>
        <v>775.85598994049417</v>
      </c>
      <c r="AC89" s="477">
        <f t="shared" si="15"/>
        <v>761.84371316897682</v>
      </c>
      <c r="AD89" s="477">
        <f t="shared" si="15"/>
        <v>878.95691823438051</v>
      </c>
      <c r="AE89" s="477">
        <f t="shared" si="16"/>
        <v>781.69717775822573</v>
      </c>
      <c r="AF89" s="477">
        <f t="shared" si="16"/>
        <v>815.99556095208504</v>
      </c>
      <c r="AG89" s="477">
        <f t="shared" si="16"/>
        <v>811.5893057087593</v>
      </c>
      <c r="AH89" s="477">
        <f t="shared" si="16"/>
        <v>808.42809400428416</v>
      </c>
      <c r="AI89" s="477">
        <f t="shared" si="16"/>
        <v>756.6936573810583</v>
      </c>
      <c r="AJ89" s="477">
        <f t="shared" si="16"/>
        <v>832.31298499811101</v>
      </c>
      <c r="AK89" s="477">
        <f t="shared" si="16"/>
        <v>882.64795256524428</v>
      </c>
      <c r="AL89" s="477">
        <f t="shared" si="16"/>
        <v>948.53722260829181</v>
      </c>
    </row>
    <row r="90" spans="1:38" x14ac:dyDescent="0.3">
      <c r="A90" s="201" t="str">
        <f>Legend!$A$45</f>
        <v>Thermal uses</v>
      </c>
      <c r="B90" s="201" t="str">
        <f>'SRV_New Techs'!K$10</f>
        <v>S-TH-HPA_ELC05</v>
      </c>
      <c r="C90" s="201" t="str">
        <f>'SRV_New Techs'!C$10</f>
        <v>Electricity</v>
      </c>
      <c r="D90" s="285" t="str">
        <f>'SRV_New Techs'!D$10</f>
        <v>SRVELC</v>
      </c>
      <c r="E90" s="285" t="str">
        <f>'SRV_New Techs'!F$10</f>
        <v>Heat Pump Wat. (Imp.)</v>
      </c>
      <c r="F90" s="411"/>
      <c r="G90" s="608"/>
      <c r="H90" s="424">
        <v>2030</v>
      </c>
      <c r="I90" s="513">
        <f>'S2'!D20*Legend!$B$38</f>
        <v>985.15130364034826</v>
      </c>
      <c r="J90" s="411" t="s">
        <v>409</v>
      </c>
      <c r="K90" s="477">
        <f t="shared" si="14"/>
        <v>797.6610479690172</v>
      </c>
      <c r="L90" s="477">
        <f t="shared" si="14"/>
        <v>827.5644185837906</v>
      </c>
      <c r="M90" s="477">
        <f t="shared" si="14"/>
        <v>797.57770995178396</v>
      </c>
      <c r="N90" s="477">
        <f t="shared" si="14"/>
        <v>810.33372832236012</v>
      </c>
      <c r="O90" s="477">
        <f t="shared" si="14"/>
        <v>960.52338939399976</v>
      </c>
      <c r="P90" s="477">
        <f t="shared" si="14"/>
        <v>822.10350996112163</v>
      </c>
      <c r="Q90" s="477">
        <f t="shared" si="14"/>
        <v>840.33764659161068</v>
      </c>
      <c r="R90" s="477">
        <f t="shared" si="14"/>
        <v>808.15640668845163</v>
      </c>
      <c r="S90" s="477">
        <f t="shared" si="14"/>
        <v>840.41800286622322</v>
      </c>
      <c r="T90" s="477">
        <f t="shared" si="14"/>
        <v>963.22306739777991</v>
      </c>
      <c r="U90" s="477">
        <f t="shared" si="15"/>
        <v>876.47439731011775</v>
      </c>
      <c r="V90" s="477">
        <f t="shared" si="15"/>
        <v>845.84533349365677</v>
      </c>
      <c r="W90" s="477">
        <f t="shared" si="15"/>
        <v>842.41898247755546</v>
      </c>
      <c r="X90" s="477">
        <f t="shared" si="15"/>
        <v>968.0778855203497</v>
      </c>
      <c r="Y90" s="477">
        <f t="shared" si="15"/>
        <v>904.57143659121243</v>
      </c>
      <c r="Z90" s="477">
        <f t="shared" si="15"/>
        <v>938.32358241249005</v>
      </c>
      <c r="AA90" s="477">
        <f t="shared" si="15"/>
        <v>985.15130364034826</v>
      </c>
      <c r="AB90" s="477">
        <f t="shared" si="15"/>
        <v>826.61510017577677</v>
      </c>
      <c r="AC90" s="477">
        <f t="shared" si="15"/>
        <v>811.68609309539465</v>
      </c>
      <c r="AD90" s="477">
        <f t="shared" si="15"/>
        <v>936.46123821539265</v>
      </c>
      <c r="AE90" s="477">
        <f t="shared" si="16"/>
        <v>832.83843816079377</v>
      </c>
      <c r="AF90" s="477">
        <f t="shared" si="16"/>
        <v>869.38073702457348</v>
      </c>
      <c r="AG90" s="477">
        <f t="shared" si="16"/>
        <v>864.68620973267093</v>
      </c>
      <c r="AH90" s="477">
        <f t="shared" si="16"/>
        <v>861.31818091849368</v>
      </c>
      <c r="AI90" s="477">
        <f t="shared" si="16"/>
        <v>806.19910332379061</v>
      </c>
      <c r="AJ90" s="477">
        <f t="shared" si="16"/>
        <v>886.76570187281925</v>
      </c>
      <c r="AK90" s="477">
        <f t="shared" si="16"/>
        <v>940.39375243545203</v>
      </c>
      <c r="AL90" s="477">
        <f t="shared" si="16"/>
        <v>1010.5937202945903</v>
      </c>
    </row>
    <row r="91" spans="1:38" x14ac:dyDescent="0.3">
      <c r="A91" s="201"/>
      <c r="B91" s="201"/>
      <c r="D91" s="285"/>
      <c r="E91" s="285"/>
      <c r="F91" s="411"/>
      <c r="G91" s="608"/>
      <c r="H91" s="424">
        <v>2050</v>
      </c>
      <c r="I91" s="513">
        <f>'S2'!G20*Legend!$B$38</f>
        <v>856.56487216591188</v>
      </c>
      <c r="J91" s="411" t="s">
        <v>409</v>
      </c>
      <c r="K91" s="477">
        <f t="shared" si="14"/>
        <v>693.54669791387073</v>
      </c>
      <c r="L91" s="477">
        <f t="shared" si="14"/>
        <v>719.54694450880822</v>
      </c>
      <c r="M91" s="477">
        <f t="shared" si="14"/>
        <v>693.47423755390957</v>
      </c>
      <c r="N91" s="477">
        <f t="shared" si="14"/>
        <v>704.56528235541703</v>
      </c>
      <c r="O91" s="477">
        <f t="shared" si="14"/>
        <v>835.15150536612748</v>
      </c>
      <c r="P91" s="477">
        <f t="shared" si="14"/>
        <v>714.7988185316093</v>
      </c>
      <c r="Q91" s="477">
        <f t="shared" si="14"/>
        <v>730.65295266738735</v>
      </c>
      <c r="R91" s="477">
        <f t="shared" si="14"/>
        <v>702.67215464993546</v>
      </c>
      <c r="S91" s="477">
        <f t="shared" si="14"/>
        <v>730.72282047534418</v>
      </c>
      <c r="T91" s="477">
        <f t="shared" si="14"/>
        <v>837.49880911089451</v>
      </c>
      <c r="U91" s="477">
        <f t="shared" si="15"/>
        <v>762.07297022744092</v>
      </c>
      <c r="V91" s="477">
        <f t="shared" si="15"/>
        <v>735.44175121005583</v>
      </c>
      <c r="W91" s="477">
        <f t="shared" si="15"/>
        <v>732.46262312155079</v>
      </c>
      <c r="X91" s="477">
        <f t="shared" si="15"/>
        <v>841.71995427832337</v>
      </c>
      <c r="Y91" s="477">
        <f t="shared" si="15"/>
        <v>786.50265607480139</v>
      </c>
      <c r="Z91" s="477">
        <f t="shared" si="15"/>
        <v>815.84931822090618</v>
      </c>
      <c r="AA91" s="477">
        <f t="shared" si="15"/>
        <v>856.56487216591188</v>
      </c>
      <c r="AB91" s="477">
        <f t="shared" si="15"/>
        <v>718.72153545965978</v>
      </c>
      <c r="AC91" s="477">
        <f t="shared" si="15"/>
        <v>705.74113032380069</v>
      </c>
      <c r="AD91" s="477">
        <f t="shared" si="15"/>
        <v>814.23005566375275</v>
      </c>
      <c r="AE91" s="477">
        <f t="shared" si="16"/>
        <v>724.13257504909473</v>
      </c>
      <c r="AF91" s="477">
        <f t="shared" si="16"/>
        <v>755.90520676489166</v>
      </c>
      <c r="AG91" s="477">
        <f t="shared" si="16"/>
        <v>751.82343053944408</v>
      </c>
      <c r="AH91" s="477">
        <f t="shared" si="16"/>
        <v>748.89501217364955</v>
      </c>
      <c r="AI91" s="477">
        <f t="shared" si="16"/>
        <v>700.97032742791839</v>
      </c>
      <c r="AJ91" s="477">
        <f t="shared" si="16"/>
        <v>771.02100688393909</v>
      </c>
      <c r="AK91" s="477">
        <f t="shared" si="16"/>
        <v>817.64928023133814</v>
      </c>
      <c r="AL91" s="477">
        <f t="shared" si="16"/>
        <v>878.68642881259393</v>
      </c>
    </row>
    <row r="92" spans="1:38" x14ac:dyDescent="0.3">
      <c r="A92" s="201" t="str">
        <f>Legend!$A$45</f>
        <v>Thermal uses</v>
      </c>
      <c r="B92" s="201" t="str">
        <f>'SRV_New Techs'!K$11</f>
        <v>S-TH-HPA_ELC06</v>
      </c>
      <c r="C92" s="201" t="str">
        <f>'SRV_New Techs'!C$11</f>
        <v>Electricity</v>
      </c>
      <c r="D92" s="285" t="str">
        <f>'SRV_New Techs'!D$11</f>
        <v>SRVELC</v>
      </c>
      <c r="E92" s="285" t="str">
        <f>'SRV_New Techs'!F$11</f>
        <v>Heat Pump Wat. (Adv.)</v>
      </c>
      <c r="F92" s="411"/>
      <c r="G92" s="608"/>
      <c r="H92" s="424">
        <v>2030</v>
      </c>
      <c r="I92" s="513">
        <f>'S2'!E20*Legend!$B$38</f>
        <v>1274.2076741695525</v>
      </c>
      <c r="J92" s="411" t="s">
        <v>409</v>
      </c>
      <c r="K92" s="477">
        <f t="shared" si="14"/>
        <v>1031.705307552741</v>
      </c>
      <c r="L92" s="477">
        <f t="shared" si="14"/>
        <v>1070.3827210425079</v>
      </c>
      <c r="M92" s="477">
        <f t="shared" si="14"/>
        <v>1031.5975170633856</v>
      </c>
      <c r="N92" s="477">
        <f t="shared" si="14"/>
        <v>1048.0963192672446</v>
      </c>
      <c r="O92" s="477">
        <f t="shared" si="14"/>
        <v>1242.3536054437366</v>
      </c>
      <c r="P92" s="477">
        <f t="shared" si="14"/>
        <v>1063.3195098898343</v>
      </c>
      <c r="Q92" s="477">
        <f t="shared" si="14"/>
        <v>1086.903782417892</v>
      </c>
      <c r="R92" s="477">
        <f t="shared" si="14"/>
        <v>1045.2801427826682</v>
      </c>
      <c r="S92" s="477">
        <f t="shared" si="14"/>
        <v>1087.0077162820614</v>
      </c>
      <c r="T92" s="477">
        <f t="shared" si="14"/>
        <v>1245.8454045384462</v>
      </c>
      <c r="U92" s="477">
        <f t="shared" si="15"/>
        <v>1133.6435318502124</v>
      </c>
      <c r="V92" s="477">
        <f t="shared" si="15"/>
        <v>1094.0274972133527</v>
      </c>
      <c r="W92" s="477">
        <f t="shared" si="15"/>
        <v>1089.595809671569</v>
      </c>
      <c r="X92" s="477">
        <f t="shared" si="15"/>
        <v>1252.1246902538658</v>
      </c>
      <c r="Y92" s="477">
        <f t="shared" si="15"/>
        <v>1169.9846125970175</v>
      </c>
      <c r="Z92" s="477">
        <f t="shared" si="15"/>
        <v>1213.6400826413048</v>
      </c>
      <c r="AA92" s="477">
        <f t="shared" si="15"/>
        <v>1274.2076741695525</v>
      </c>
      <c r="AB92" s="477">
        <f t="shared" si="15"/>
        <v>1069.1548601075917</v>
      </c>
      <c r="AC92" s="477">
        <f t="shared" si="15"/>
        <v>1049.8454856802712</v>
      </c>
      <c r="AD92" s="477">
        <f t="shared" si="15"/>
        <v>1211.2313021229033</v>
      </c>
      <c r="AE92" s="477">
        <f t="shared" si="16"/>
        <v>1077.204207441506</v>
      </c>
      <c r="AF92" s="477">
        <f t="shared" si="16"/>
        <v>1124.4684981874725</v>
      </c>
      <c r="AG92" s="477">
        <f t="shared" si="16"/>
        <v>1118.3965347440537</v>
      </c>
      <c r="AH92" s="477">
        <f t="shared" si="16"/>
        <v>1114.040281906555</v>
      </c>
      <c r="AI92" s="477">
        <f t="shared" si="16"/>
        <v>1042.7485408259811</v>
      </c>
      <c r="AJ92" s="477">
        <f t="shared" si="16"/>
        <v>1146.9544407456826</v>
      </c>
      <c r="AK92" s="477">
        <f t="shared" si="16"/>
        <v>1216.3176678207049</v>
      </c>
      <c r="AL92" s="477">
        <f t="shared" si="16"/>
        <v>1307.1152310397099</v>
      </c>
    </row>
    <row r="93" spans="1:38" x14ac:dyDescent="0.3">
      <c r="A93" s="201"/>
      <c r="B93" s="201"/>
      <c r="D93" s="285"/>
      <c r="E93" s="285"/>
      <c r="F93" s="411"/>
      <c r="G93" s="608"/>
      <c r="H93" s="424">
        <v>2050</v>
      </c>
      <c r="I93" s="513">
        <f>'S2'!H20*Legend!$B$38</f>
        <v>1066.6236933105938</v>
      </c>
      <c r="J93" s="411" t="s">
        <v>409</v>
      </c>
      <c r="K93" s="477">
        <f t="shared" si="14"/>
        <v>863.6279217728337</v>
      </c>
      <c r="L93" s="477">
        <f t="shared" si="14"/>
        <v>896.00431257666628</v>
      </c>
      <c r="M93" s="477">
        <f t="shared" si="14"/>
        <v>863.53769166969528</v>
      </c>
      <c r="N93" s="477">
        <f t="shared" si="14"/>
        <v>877.34863763919759</v>
      </c>
      <c r="O93" s="477">
        <f t="shared" si="14"/>
        <v>1039.9590411349247</v>
      </c>
      <c r="P93" s="477">
        <f t="shared" si="14"/>
        <v>890.09178472189001</v>
      </c>
      <c r="Q93" s="477">
        <f t="shared" si="14"/>
        <v>909.83389142699616</v>
      </c>
      <c r="R93" s="477">
        <f t="shared" si="14"/>
        <v>874.9912506732536</v>
      </c>
      <c r="S93" s="477">
        <f t="shared" si="14"/>
        <v>909.92089319625859</v>
      </c>
      <c r="T93" s="477">
        <f t="shared" si="14"/>
        <v>1042.8819835423508</v>
      </c>
      <c r="U93" s="477">
        <f t="shared" si="15"/>
        <v>948.95916525365476</v>
      </c>
      <c r="V93" s="477">
        <f t="shared" si="15"/>
        <v>915.79706614274869</v>
      </c>
      <c r="W93" s="477">
        <f t="shared" si="15"/>
        <v>912.08735458690148</v>
      </c>
      <c r="X93" s="477">
        <f t="shared" si="15"/>
        <v>1048.1382969808162</v>
      </c>
      <c r="Y93" s="477">
        <f t="shared" si="15"/>
        <v>979.37984043152039</v>
      </c>
      <c r="Z93" s="477">
        <f t="shared" si="15"/>
        <v>1015.9233016237433</v>
      </c>
      <c r="AA93" s="477">
        <f t="shared" si="15"/>
        <v>1066.6236933105938</v>
      </c>
      <c r="AB93" s="477">
        <f t="shared" si="15"/>
        <v>894.97648517315804</v>
      </c>
      <c r="AC93" s="477">
        <f t="shared" si="15"/>
        <v>878.81284349629493</v>
      </c>
      <c r="AD93" s="477">
        <f t="shared" si="15"/>
        <v>1013.9069408491259</v>
      </c>
      <c r="AE93" s="477">
        <f t="shared" si="16"/>
        <v>901.714495590208</v>
      </c>
      <c r="AF93" s="477">
        <f t="shared" si="16"/>
        <v>941.27885654889133</v>
      </c>
      <c r="AG93" s="477">
        <f t="shared" si="16"/>
        <v>936.19609005410678</v>
      </c>
      <c r="AH93" s="477">
        <f t="shared" si="16"/>
        <v>932.54952396859335</v>
      </c>
      <c r="AI93" s="477">
        <f t="shared" si="16"/>
        <v>872.87207757158956</v>
      </c>
      <c r="AJ93" s="477">
        <f t="shared" si="16"/>
        <v>960.10156464052113</v>
      </c>
      <c r="AK93" s="477">
        <f t="shared" si="16"/>
        <v>1018.1646754995259</v>
      </c>
      <c r="AL93" s="477">
        <f t="shared" si="16"/>
        <v>1094.1702075548685</v>
      </c>
    </row>
    <row r="94" spans="1:38" x14ac:dyDescent="0.3">
      <c r="A94" s="201" t="str">
        <f>Legend!$A$45</f>
        <v>Thermal uses</v>
      </c>
      <c r="B94" s="201" t="str">
        <f>'SRV_New Techs'!K$12</f>
        <v>S-TH-BLR_GAS01</v>
      </c>
      <c r="C94" s="201" t="str">
        <f>'SRV_New Techs'!C$12</f>
        <v>Natural gas, Biogas</v>
      </c>
      <c r="D94" s="285" t="str">
        <f>'SRV_New Techs'!D$12</f>
        <v>SRVGAS, SRVBGS, SRVH2G, SRVH2B, SRVEFUM</v>
      </c>
      <c r="E94" s="285" t="str">
        <f>'SRV_New Techs'!F$12</f>
        <v>Boiler (Ord.)</v>
      </c>
      <c r="F94" s="424"/>
      <c r="G94" s="608"/>
      <c r="H94" s="424">
        <v>2020</v>
      </c>
      <c r="I94" s="513">
        <f>'S2'!B13*Legend!$B$38</f>
        <v>150.13565385000001</v>
      </c>
      <c r="J94" s="411" t="s">
        <v>409</v>
      </c>
      <c r="K94" s="477">
        <f t="shared" ref="K94:T102" si="17">$I94*K$145</f>
        <v>121.56240624660916</v>
      </c>
      <c r="L94" s="477">
        <f t="shared" si="17"/>
        <v>126.11963728612356</v>
      </c>
      <c r="M94" s="477">
        <f t="shared" si="17"/>
        <v>121.54970565162274</v>
      </c>
      <c r="N94" s="477">
        <f t="shared" si="17"/>
        <v>123.4937046612289</v>
      </c>
      <c r="O94" s="477">
        <f t="shared" si="17"/>
        <v>146.38239483823799</v>
      </c>
      <c r="P94" s="477">
        <f t="shared" si="17"/>
        <v>125.28740259927913</v>
      </c>
      <c r="Q94" s="477">
        <f t="shared" si="17"/>
        <v>128.06625901990478</v>
      </c>
      <c r="R94" s="477">
        <f t="shared" si="17"/>
        <v>123.16188394907977</v>
      </c>
      <c r="S94" s="477">
        <f t="shared" si="17"/>
        <v>128.07850520156776</v>
      </c>
      <c r="T94" s="477">
        <f t="shared" si="17"/>
        <v>146.7938219162759</v>
      </c>
      <c r="U94" s="477">
        <f t="shared" ref="U94:AD102" si="18">$I94*U$145</f>
        <v>133.57344829843433</v>
      </c>
      <c r="V94" s="477">
        <f t="shared" si="18"/>
        <v>128.90562264982049</v>
      </c>
      <c r="W94" s="477">
        <f t="shared" si="18"/>
        <v>128.38345164093982</v>
      </c>
      <c r="X94" s="477">
        <f t="shared" si="18"/>
        <v>147.53368927518966</v>
      </c>
      <c r="Y94" s="477">
        <f t="shared" si="18"/>
        <v>137.85539701852278</v>
      </c>
      <c r="Z94" s="477">
        <f t="shared" si="18"/>
        <v>142.99917591115877</v>
      </c>
      <c r="AA94" s="477">
        <f t="shared" si="18"/>
        <v>150.13565385000001</v>
      </c>
      <c r="AB94" s="477">
        <f t="shared" si="18"/>
        <v>125.97496251446937</v>
      </c>
      <c r="AC94" s="477">
        <f t="shared" si="18"/>
        <v>123.69980312416853</v>
      </c>
      <c r="AD94" s="477">
        <f t="shared" si="18"/>
        <v>142.71535731122214</v>
      </c>
      <c r="AE94" s="477">
        <f t="shared" ref="AE94:AL102" si="19">$I94*AE$145</f>
        <v>126.92339034891212</v>
      </c>
      <c r="AF94" s="477">
        <f t="shared" si="19"/>
        <v>132.49238458646994</v>
      </c>
      <c r="AG94" s="477">
        <f t="shared" si="19"/>
        <v>131.77694532157528</v>
      </c>
      <c r="AH94" s="477">
        <f t="shared" si="19"/>
        <v>131.26366253310044</v>
      </c>
      <c r="AI94" s="477">
        <f t="shared" si="19"/>
        <v>122.8635937074181</v>
      </c>
      <c r="AJ94" s="477">
        <f t="shared" si="19"/>
        <v>135.14182843839984</v>
      </c>
      <c r="AK94" s="477">
        <f t="shared" si="19"/>
        <v>143.31466687059779</v>
      </c>
      <c r="AL94" s="477">
        <f t="shared" si="19"/>
        <v>154.01304186724539</v>
      </c>
    </row>
    <row r="95" spans="1:38" x14ac:dyDescent="0.3">
      <c r="A95" s="201" t="str">
        <f>Legend!$A$45</f>
        <v>Thermal uses</v>
      </c>
      <c r="B95" s="201" t="str">
        <f>'SRV_New Techs'!K$13</f>
        <v>S-TH-BLR_GAS02</v>
      </c>
      <c r="C95" s="201" t="str">
        <f>'SRV_New Techs'!C$13</f>
        <v>Natural gas, Biogas</v>
      </c>
      <c r="D95" s="285" t="str">
        <f>'SRV_New Techs'!D$13</f>
        <v>SRVGAS, SRVBGS, SRVH2G, SRVH2B, SRVEFUM</v>
      </c>
      <c r="E95" s="285" t="str">
        <f>'SRV_New Techs'!F$13</f>
        <v>Boiler cond. (Ord.)</v>
      </c>
      <c r="F95" s="424"/>
      <c r="G95" s="608"/>
      <c r="H95" s="424">
        <v>2020</v>
      </c>
      <c r="I95" s="513">
        <f>'S2'!B14*Legend!$B$38</f>
        <v>198.90583440000003</v>
      </c>
      <c r="J95" s="411" t="s">
        <v>409</v>
      </c>
      <c r="K95" s="477">
        <f t="shared" si="17"/>
        <v>161.05083120569876</v>
      </c>
      <c r="L95" s="477">
        <f t="shared" si="17"/>
        <v>167.08843665932295</v>
      </c>
      <c r="M95" s="477">
        <f t="shared" si="17"/>
        <v>161.0340049397295</v>
      </c>
      <c r="N95" s="477">
        <f t="shared" si="17"/>
        <v>163.60949407347525</v>
      </c>
      <c r="O95" s="477">
        <f t="shared" si="17"/>
        <v>193.9333638621242</v>
      </c>
      <c r="P95" s="477">
        <f t="shared" si="17"/>
        <v>165.98585822070103</v>
      </c>
      <c r="Q95" s="477">
        <f t="shared" si="17"/>
        <v>169.66740048496942</v>
      </c>
      <c r="R95" s="477">
        <f t="shared" si="17"/>
        <v>163.16988446757065</v>
      </c>
      <c r="S95" s="477">
        <f t="shared" si="17"/>
        <v>169.68362472564394</v>
      </c>
      <c r="T95" s="477">
        <f t="shared" si="17"/>
        <v>194.47843922665851</v>
      </c>
      <c r="U95" s="477">
        <f t="shared" si="18"/>
        <v>176.96354933805313</v>
      </c>
      <c r="V95" s="477">
        <f t="shared" si="18"/>
        <v>170.77942363797877</v>
      </c>
      <c r="W95" s="477">
        <f t="shared" si="18"/>
        <v>170.0876301994617</v>
      </c>
      <c r="X95" s="477">
        <f t="shared" si="18"/>
        <v>195.45864566394556</v>
      </c>
      <c r="Y95" s="477">
        <f t="shared" si="18"/>
        <v>182.63644955320217</v>
      </c>
      <c r="Z95" s="477">
        <f t="shared" si="18"/>
        <v>189.4511375128728</v>
      </c>
      <c r="AA95" s="477">
        <f t="shared" si="18"/>
        <v>198.90583440000003</v>
      </c>
      <c r="AB95" s="477">
        <f t="shared" si="18"/>
        <v>166.89676562426516</v>
      </c>
      <c r="AC95" s="477">
        <f t="shared" si="18"/>
        <v>163.88254171864367</v>
      </c>
      <c r="AD95" s="477">
        <f t="shared" si="18"/>
        <v>189.07512306200132</v>
      </c>
      <c r="AE95" s="477">
        <f t="shared" si="19"/>
        <v>168.15328148136129</v>
      </c>
      <c r="AF95" s="477">
        <f t="shared" si="19"/>
        <v>175.53131206360351</v>
      </c>
      <c r="AG95" s="477">
        <f t="shared" si="19"/>
        <v>174.58346896106792</v>
      </c>
      <c r="AH95" s="477">
        <f t="shared" si="19"/>
        <v>173.90345099926685</v>
      </c>
      <c r="AI95" s="477">
        <f t="shared" si="19"/>
        <v>162.77469739581508</v>
      </c>
      <c r="AJ95" s="477">
        <f t="shared" si="19"/>
        <v>179.04140328144695</v>
      </c>
      <c r="AK95" s="477">
        <f t="shared" si="19"/>
        <v>189.86911279671554</v>
      </c>
      <c r="AL95" s="477">
        <f t="shared" si="19"/>
        <v>204.04275610437608</v>
      </c>
    </row>
    <row r="96" spans="1:38" x14ac:dyDescent="0.3">
      <c r="A96" s="201"/>
      <c r="B96" s="201"/>
      <c r="D96" s="285"/>
      <c r="E96" s="285"/>
      <c r="F96" s="411"/>
      <c r="G96" s="608"/>
      <c r="H96" s="424">
        <v>2030</v>
      </c>
      <c r="I96" s="513">
        <f>'S2'!D14*Legend!$B$38</f>
        <v>228.36750677496943</v>
      </c>
      <c r="J96" s="411" t="s">
        <v>409</v>
      </c>
      <c r="K96" s="477">
        <f t="shared" si="17"/>
        <v>184.90546995479116</v>
      </c>
      <c r="L96" s="477">
        <f t="shared" si="17"/>
        <v>191.8373576417172</v>
      </c>
      <c r="M96" s="477">
        <f t="shared" si="17"/>
        <v>184.88615140428547</v>
      </c>
      <c r="N96" s="477">
        <f t="shared" si="17"/>
        <v>187.84311862434575</v>
      </c>
      <c r="O96" s="477">
        <f t="shared" si="17"/>
        <v>222.65852039620339</v>
      </c>
      <c r="P96" s="477">
        <f t="shared" si="17"/>
        <v>190.57146672498538</v>
      </c>
      <c r="Q96" s="477">
        <f t="shared" si="17"/>
        <v>194.79831422050381</v>
      </c>
      <c r="R96" s="477">
        <f t="shared" si="17"/>
        <v>187.33839461784493</v>
      </c>
      <c r="S96" s="477">
        <f t="shared" si="17"/>
        <v>194.81694157451449</v>
      </c>
      <c r="T96" s="477">
        <f t="shared" si="17"/>
        <v>223.28433161173984</v>
      </c>
      <c r="U96" s="477">
        <f t="shared" si="18"/>
        <v>203.17515911127279</v>
      </c>
      <c r="V96" s="477">
        <f t="shared" si="18"/>
        <v>196.0750487903812</v>
      </c>
      <c r="W96" s="477">
        <f t="shared" si="18"/>
        <v>195.28078781139092</v>
      </c>
      <c r="X96" s="477">
        <f t="shared" si="18"/>
        <v>224.40972494614482</v>
      </c>
      <c r="Y96" s="477">
        <f t="shared" si="18"/>
        <v>209.68832189618894</v>
      </c>
      <c r="Z96" s="477">
        <f t="shared" si="18"/>
        <v>217.51239253491016</v>
      </c>
      <c r="AA96" s="477">
        <f t="shared" si="18"/>
        <v>228.36750677496943</v>
      </c>
      <c r="AB96" s="477">
        <f t="shared" si="18"/>
        <v>191.61729654331273</v>
      </c>
      <c r="AC96" s="477">
        <f t="shared" si="18"/>
        <v>188.15660973005407</v>
      </c>
      <c r="AD96" s="477">
        <f t="shared" si="18"/>
        <v>217.08068331473618</v>
      </c>
      <c r="AE96" s="477">
        <f t="shared" si="19"/>
        <v>193.05992588786583</v>
      </c>
      <c r="AF96" s="477">
        <f t="shared" si="19"/>
        <v>201.53078072256005</v>
      </c>
      <c r="AG96" s="477">
        <f t="shared" si="19"/>
        <v>200.44254433777601</v>
      </c>
      <c r="AH96" s="477">
        <f t="shared" si="19"/>
        <v>199.66180300373145</v>
      </c>
      <c r="AI96" s="477">
        <f t="shared" si="19"/>
        <v>186.88467295322531</v>
      </c>
      <c r="AJ96" s="477">
        <f t="shared" si="19"/>
        <v>205.56078206661124</v>
      </c>
      <c r="AK96" s="477">
        <f t="shared" si="19"/>
        <v>217.99227777182472</v>
      </c>
      <c r="AL96" s="477">
        <f t="shared" si="19"/>
        <v>234.26530261220699</v>
      </c>
    </row>
    <row r="97" spans="1:38" x14ac:dyDescent="0.3">
      <c r="A97" s="201"/>
      <c r="B97" s="201"/>
      <c r="D97" s="285"/>
      <c r="E97" s="285"/>
      <c r="F97" s="411"/>
      <c r="G97" s="608"/>
      <c r="H97" s="424">
        <v>2050</v>
      </c>
      <c r="I97" s="513">
        <f>'S2'!G14*Legend!$B$38</f>
        <v>212.56184601355721</v>
      </c>
      <c r="J97" s="411" t="s">
        <v>409</v>
      </c>
      <c r="K97" s="477">
        <f t="shared" si="17"/>
        <v>172.107882538317</v>
      </c>
      <c r="L97" s="477">
        <f t="shared" si="17"/>
        <v>178.56000378752594</v>
      </c>
      <c r="M97" s="477">
        <f t="shared" si="17"/>
        <v>172.08990105392903</v>
      </c>
      <c r="N97" s="477">
        <f t="shared" si="17"/>
        <v>174.84221209753534</v>
      </c>
      <c r="O97" s="477">
        <f t="shared" si="17"/>
        <v>207.24798722219884</v>
      </c>
      <c r="P97" s="477">
        <f t="shared" si="17"/>
        <v>177.38172709697443</v>
      </c>
      <c r="Q97" s="477">
        <f t="shared" si="17"/>
        <v>181.31602808030354</v>
      </c>
      <c r="R97" s="477">
        <f t="shared" si="17"/>
        <v>174.37242080338731</v>
      </c>
      <c r="S97" s="477">
        <f t="shared" si="17"/>
        <v>181.33336620695198</v>
      </c>
      <c r="T97" s="477">
        <f t="shared" si="17"/>
        <v>207.83048509638854</v>
      </c>
      <c r="U97" s="477">
        <f t="shared" si="18"/>
        <v>189.1130988584404</v>
      </c>
      <c r="V97" s="477">
        <f t="shared" si="18"/>
        <v>182.50439791835532</v>
      </c>
      <c r="W97" s="477">
        <f t="shared" si="18"/>
        <v>181.76510894377685</v>
      </c>
      <c r="X97" s="477">
        <f t="shared" si="18"/>
        <v>208.87798825491885</v>
      </c>
      <c r="Y97" s="477">
        <f t="shared" si="18"/>
        <v>195.17547578981709</v>
      </c>
      <c r="Z97" s="477">
        <f t="shared" si="18"/>
        <v>202.4580306584738</v>
      </c>
      <c r="AA97" s="477">
        <f t="shared" si="18"/>
        <v>212.56184601355721</v>
      </c>
      <c r="AB97" s="477">
        <f t="shared" si="18"/>
        <v>178.35517345078841</v>
      </c>
      <c r="AC97" s="477">
        <f t="shared" si="18"/>
        <v>175.13400600937172</v>
      </c>
      <c r="AD97" s="477">
        <f t="shared" si="18"/>
        <v>202.0562006867884</v>
      </c>
      <c r="AE97" s="477">
        <f t="shared" si="19"/>
        <v>179.697956235091</v>
      </c>
      <c r="AF97" s="477">
        <f t="shared" si="19"/>
        <v>187.58253038665688</v>
      </c>
      <c r="AG97" s="477">
        <f t="shared" si="19"/>
        <v>186.56961248902994</v>
      </c>
      <c r="AH97" s="477">
        <f t="shared" si="19"/>
        <v>185.84290744430947</v>
      </c>
      <c r="AI97" s="477">
        <f t="shared" si="19"/>
        <v>173.95010190185056</v>
      </c>
      <c r="AJ97" s="477">
        <f t="shared" si="19"/>
        <v>191.33360923857404</v>
      </c>
      <c r="AK97" s="477">
        <f t="shared" si="19"/>
        <v>202.9047023118703</v>
      </c>
      <c r="AL97" s="477">
        <f t="shared" si="19"/>
        <v>218.051446475017</v>
      </c>
    </row>
    <row r="98" spans="1:38" x14ac:dyDescent="0.3">
      <c r="A98" s="201" t="str">
        <f>Legend!$A$45</f>
        <v>Thermal uses</v>
      </c>
      <c r="B98" s="201" t="str">
        <f>'SRV_New Techs'!K$14</f>
        <v>S-TH-HPG_ELC01</v>
      </c>
      <c r="C98" s="201" t="str">
        <f>'SRV_New Techs'!C$14</f>
        <v>Electricity</v>
      </c>
      <c r="D98" s="285" t="str">
        <f>'SRV_New Techs'!D$14</f>
        <v>SRVELC</v>
      </c>
      <c r="E98" s="285" t="str">
        <f>'SRV_New Techs'!F$14</f>
        <v>Ground Heat Pump (Ord.)</v>
      </c>
      <c r="F98" s="424"/>
      <c r="G98" s="608"/>
      <c r="H98" s="424">
        <v>2020</v>
      </c>
      <c r="I98" s="513">
        <f>'S2'!B21*Legend!$B$38</f>
        <v>1512.8318751000002</v>
      </c>
      <c r="J98" s="411" t="s">
        <v>409</v>
      </c>
      <c r="K98" s="477">
        <f t="shared" si="17"/>
        <v>1224.9154565741126</v>
      </c>
      <c r="L98" s="477">
        <f t="shared" si="17"/>
        <v>1270.836090360812</v>
      </c>
      <c r="M98" s="477">
        <f t="shared" si="17"/>
        <v>1224.7874798781349</v>
      </c>
      <c r="N98" s="477">
        <f t="shared" si="17"/>
        <v>1244.3760558857589</v>
      </c>
      <c r="O98" s="477">
        <f t="shared" si="17"/>
        <v>1475.0124116821178</v>
      </c>
      <c r="P98" s="477">
        <f t="shared" si="17"/>
        <v>1262.4501331978317</v>
      </c>
      <c r="Q98" s="477">
        <f t="shared" si="17"/>
        <v>1290.4510940731807</v>
      </c>
      <c r="R98" s="477">
        <f t="shared" si="17"/>
        <v>1241.0324866716192</v>
      </c>
      <c r="S98" s="477">
        <f t="shared" si="17"/>
        <v>1290.5744919036956</v>
      </c>
      <c r="T98" s="477">
        <f t="shared" si="17"/>
        <v>1479.1581291181431</v>
      </c>
      <c r="U98" s="477">
        <f t="shared" si="18"/>
        <v>1345.9439185230769</v>
      </c>
      <c r="V98" s="477">
        <f t="shared" si="18"/>
        <v>1298.9088855542423</v>
      </c>
      <c r="W98" s="477">
        <f t="shared" si="18"/>
        <v>1293.647264305521</v>
      </c>
      <c r="X98" s="477">
        <f t="shared" si="18"/>
        <v>1486.6133530786628</v>
      </c>
      <c r="Y98" s="477">
        <f t="shared" si="18"/>
        <v>1389.0906884286819</v>
      </c>
      <c r="Z98" s="477">
        <f t="shared" si="18"/>
        <v>1440.9216324296383</v>
      </c>
      <c r="AA98" s="477">
        <f t="shared" si="18"/>
        <v>1512.8318751000002</v>
      </c>
      <c r="AB98" s="477">
        <f t="shared" si="18"/>
        <v>1269.3782846999397</v>
      </c>
      <c r="AC98" s="477">
        <f t="shared" si="18"/>
        <v>1246.4527932639148</v>
      </c>
      <c r="AD98" s="477">
        <f t="shared" si="18"/>
        <v>1438.0617532888753</v>
      </c>
      <c r="AE98" s="477">
        <f t="shared" si="19"/>
        <v>1278.9350543438152</v>
      </c>
      <c r="AF98" s="477">
        <f t="shared" si="19"/>
        <v>1335.0506523299075</v>
      </c>
      <c r="AG98" s="477">
        <f t="shared" si="19"/>
        <v>1327.8415764250453</v>
      </c>
      <c r="AH98" s="477">
        <f t="shared" si="19"/>
        <v>1322.6695167348084</v>
      </c>
      <c r="AI98" s="477">
        <f t="shared" si="19"/>
        <v>1238.0267850008627</v>
      </c>
      <c r="AJ98" s="477">
        <f t="shared" si="19"/>
        <v>1361.7475961117743</v>
      </c>
      <c r="AK98" s="477">
        <f t="shared" si="19"/>
        <v>1444.1006559827115</v>
      </c>
      <c r="AL98" s="477">
        <f t="shared" si="19"/>
        <v>1551.9021161400142</v>
      </c>
    </row>
    <row r="99" spans="1:38" x14ac:dyDescent="0.3">
      <c r="A99" s="201" t="str">
        <f>Legend!$A$45</f>
        <v>Thermal uses</v>
      </c>
      <c r="B99" s="201" t="str">
        <f>'SRV_New Techs'!K$15</f>
        <v>S-TH-HPG_ELC02</v>
      </c>
      <c r="C99" s="201" t="str">
        <f>'SRV_New Techs'!C$15</f>
        <v>Electricity</v>
      </c>
      <c r="D99" s="285" t="str">
        <f>'SRV_New Techs'!D$15</f>
        <v>SRVELC</v>
      </c>
      <c r="E99" s="285" t="str">
        <f>'SRV_New Techs'!F$15</f>
        <v>Ground Heat Pump (Imp.)</v>
      </c>
      <c r="F99" s="411"/>
      <c r="G99" s="608"/>
      <c r="H99" s="424">
        <v>2030</v>
      </c>
      <c r="I99" s="513">
        <f>'S2'!D21*Legend!$B$38</f>
        <v>1611.4486742039805</v>
      </c>
      <c r="J99" s="411" t="s">
        <v>409</v>
      </c>
      <c r="K99" s="477">
        <f t="shared" si="17"/>
        <v>1304.7638809023908</v>
      </c>
      <c r="L99" s="477">
        <f t="shared" si="17"/>
        <v>1353.6779378125757</v>
      </c>
      <c r="M99" s="477">
        <f t="shared" si="17"/>
        <v>1304.6275618041113</v>
      </c>
      <c r="N99" s="477">
        <f t="shared" si="17"/>
        <v>1325.4930560844607</v>
      </c>
      <c r="O99" s="477">
        <f t="shared" si="17"/>
        <v>1571.1638777325788</v>
      </c>
      <c r="P99" s="477">
        <f t="shared" si="17"/>
        <v>1344.7453262153206</v>
      </c>
      <c r="Q99" s="477">
        <f t="shared" si="17"/>
        <v>1374.5715825374489</v>
      </c>
      <c r="R99" s="477">
        <f t="shared" si="17"/>
        <v>1321.9315300048502</v>
      </c>
      <c r="S99" s="477">
        <f t="shared" si="17"/>
        <v>1374.7030242882843</v>
      </c>
      <c r="T99" s="477">
        <f t="shared" si="17"/>
        <v>1575.5798415788361</v>
      </c>
      <c r="U99" s="477">
        <f t="shared" si="18"/>
        <v>1433.6818114131515</v>
      </c>
      <c r="V99" s="477">
        <f t="shared" si="18"/>
        <v>1383.580711108295</v>
      </c>
      <c r="W99" s="477">
        <f t="shared" si="18"/>
        <v>1377.9761011546248</v>
      </c>
      <c r="X99" s="477">
        <f t="shared" si="18"/>
        <v>1583.5210483743892</v>
      </c>
      <c r="Y99" s="477">
        <f t="shared" si="18"/>
        <v>1479.6411848934169</v>
      </c>
      <c r="Z99" s="477">
        <f t="shared" si="18"/>
        <v>1534.8508267365073</v>
      </c>
      <c r="AA99" s="477">
        <f t="shared" si="18"/>
        <v>1611.4486742039805</v>
      </c>
      <c r="AB99" s="477">
        <f t="shared" si="18"/>
        <v>1352.125102340158</v>
      </c>
      <c r="AC99" s="477">
        <f t="shared" si="18"/>
        <v>1327.7051695055097</v>
      </c>
      <c r="AD99" s="477">
        <f t="shared" si="18"/>
        <v>1531.8045209799861</v>
      </c>
      <c r="AE99" s="477">
        <f t="shared" si="19"/>
        <v>1362.3048480381246</v>
      </c>
      <c r="AF99" s="477">
        <f t="shared" si="19"/>
        <v>1422.0784471175825</v>
      </c>
      <c r="AG99" s="477">
        <f t="shared" si="19"/>
        <v>1414.3994340029506</v>
      </c>
      <c r="AH99" s="477">
        <f t="shared" si="19"/>
        <v>1408.890223846875</v>
      </c>
      <c r="AI99" s="477">
        <f t="shared" si="19"/>
        <v>1318.7298960016844</v>
      </c>
      <c r="AJ99" s="477">
        <f t="shared" si="19"/>
        <v>1450.5156815325065</v>
      </c>
      <c r="AK99" s="477">
        <f t="shared" si="19"/>
        <v>1538.2370809357881</v>
      </c>
      <c r="AL99" s="477">
        <f t="shared" si="19"/>
        <v>1653.0657825958822</v>
      </c>
    </row>
    <row r="100" spans="1:38" x14ac:dyDescent="0.3">
      <c r="A100" s="201"/>
      <c r="B100" s="201"/>
      <c r="D100" s="285"/>
      <c r="E100" s="285"/>
      <c r="F100" s="411"/>
      <c r="G100" s="608"/>
      <c r="H100" s="424">
        <v>2050</v>
      </c>
      <c r="I100" s="513">
        <f>'S2'!G21*Legend!$B$38</f>
        <v>1401.1150597080002</v>
      </c>
      <c r="J100" s="411" t="s">
        <v>409</v>
      </c>
      <c r="K100" s="477">
        <f t="shared" si="17"/>
        <v>1134.4601613194091</v>
      </c>
      <c r="L100" s="477">
        <f t="shared" si="17"/>
        <v>1176.9897329187829</v>
      </c>
      <c r="M100" s="477">
        <f t="shared" si="17"/>
        <v>1134.3416352102113</v>
      </c>
      <c r="N100" s="477">
        <f t="shared" si="17"/>
        <v>1152.483670220349</v>
      </c>
      <c r="O100" s="477">
        <f t="shared" si="17"/>
        <v>1366.0884182040536</v>
      </c>
      <c r="P100" s="477">
        <f t="shared" si="17"/>
        <v>1169.2230464386073</v>
      </c>
      <c r="Q100" s="477">
        <f t="shared" si="17"/>
        <v>1195.1562440493151</v>
      </c>
      <c r="R100" s="477">
        <f t="shared" si="17"/>
        <v>1149.3870107327919</v>
      </c>
      <c r="S100" s="477">
        <f t="shared" si="17"/>
        <v>1195.2705294246534</v>
      </c>
      <c r="T100" s="477">
        <f t="shared" si="17"/>
        <v>1369.9279903524957</v>
      </c>
      <c r="U100" s="477">
        <f t="shared" si="18"/>
        <v>1246.5511368475268</v>
      </c>
      <c r="V100" s="477">
        <f t="shared" si="18"/>
        <v>1202.9894601594676</v>
      </c>
      <c r="W100" s="477">
        <f t="shared" si="18"/>
        <v>1198.1163894029596</v>
      </c>
      <c r="X100" s="477">
        <f t="shared" si="18"/>
        <v>1376.8326746974692</v>
      </c>
      <c r="Y100" s="477">
        <f t="shared" si="18"/>
        <v>1286.5116837447176</v>
      </c>
      <c r="Z100" s="477">
        <f t="shared" si="18"/>
        <v>1334.5151118809881</v>
      </c>
      <c r="AA100" s="477">
        <f t="shared" si="18"/>
        <v>1401.1150597080002</v>
      </c>
      <c r="AB100" s="477">
        <f t="shared" si="18"/>
        <v>1175.6395805990212</v>
      </c>
      <c r="AC100" s="477">
        <f t="shared" si="18"/>
        <v>1154.4070485305797</v>
      </c>
      <c r="AD100" s="477">
        <f t="shared" si="18"/>
        <v>1331.8664238152353</v>
      </c>
      <c r="AE100" s="477">
        <f t="shared" si="19"/>
        <v>1184.4906195615029</v>
      </c>
      <c r="AF100" s="477">
        <f t="shared" si="19"/>
        <v>1236.462296465545</v>
      </c>
      <c r="AG100" s="477">
        <f t="shared" si="19"/>
        <v>1229.7855830890421</v>
      </c>
      <c r="AH100" s="477">
        <f t="shared" si="19"/>
        <v>1224.9954601143918</v>
      </c>
      <c r="AI100" s="477">
        <f t="shared" si="19"/>
        <v>1146.6032685700297</v>
      </c>
      <c r="AJ100" s="477">
        <f t="shared" si="19"/>
        <v>1261.1877736296742</v>
      </c>
      <c r="AK100" s="477">
        <f t="shared" si="19"/>
        <v>1337.4593767716806</v>
      </c>
      <c r="AL100" s="477">
        <f t="shared" si="19"/>
        <v>1437.3001137173671</v>
      </c>
    </row>
    <row r="101" spans="1:38" x14ac:dyDescent="0.3">
      <c r="A101" s="201" t="str">
        <f>Legend!$A$45</f>
        <v>Thermal uses</v>
      </c>
      <c r="B101" s="201" t="str">
        <f>'SRV_New Techs'!K$16</f>
        <v>S-TH-HPG_ELC03</v>
      </c>
      <c r="C101" s="201" t="str">
        <f>'SRV_New Techs'!C$16</f>
        <v>Electricity</v>
      </c>
      <c r="D101" s="285" t="str">
        <f>'SRV_New Techs'!D$16</f>
        <v>SRVELC</v>
      </c>
      <c r="E101" s="285" t="str">
        <f>'SRV_New Techs'!F$16</f>
        <v>Ground Heat Pump (Adv.)</v>
      </c>
      <c r="F101" s="411"/>
      <c r="G101" s="608"/>
      <c r="H101" s="424">
        <v>2030</v>
      </c>
      <c r="I101" s="513">
        <f>'S2'!E21*Legend!$B$38</f>
        <v>2084.2689438805978</v>
      </c>
      <c r="J101" s="411" t="s">
        <v>409</v>
      </c>
      <c r="K101" s="477">
        <f t="shared" si="17"/>
        <v>1687.5987920653681</v>
      </c>
      <c r="L101" s="477">
        <f t="shared" si="17"/>
        <v>1750.8648776497989</v>
      </c>
      <c r="M101" s="477">
        <f t="shared" si="17"/>
        <v>1687.4224751478328</v>
      </c>
      <c r="N101" s="477">
        <f t="shared" si="17"/>
        <v>1714.4101803248118</v>
      </c>
      <c r="O101" s="477">
        <f t="shared" si="17"/>
        <v>2032.1640574265691</v>
      </c>
      <c r="P101" s="477">
        <f t="shared" si="17"/>
        <v>1739.311320134786</v>
      </c>
      <c r="Q101" s="477">
        <f t="shared" si="17"/>
        <v>1777.8889929825687</v>
      </c>
      <c r="R101" s="477">
        <f t="shared" si="17"/>
        <v>1709.8036555751357</v>
      </c>
      <c r="S101" s="477">
        <f t="shared" si="17"/>
        <v>1778.0590014746672</v>
      </c>
      <c r="T101" s="477">
        <f t="shared" si="17"/>
        <v>2037.8757232396924</v>
      </c>
      <c r="U101" s="477">
        <f t="shared" si="18"/>
        <v>1854.3429417080285</v>
      </c>
      <c r="V101" s="477">
        <f t="shared" si="18"/>
        <v>1789.5415185592321</v>
      </c>
      <c r="W101" s="477">
        <f t="shared" si="18"/>
        <v>1782.29244221197</v>
      </c>
      <c r="X101" s="477">
        <f t="shared" si="18"/>
        <v>2048.1469847237609</v>
      </c>
      <c r="Y101" s="477">
        <f t="shared" si="18"/>
        <v>1913.7874008202282</v>
      </c>
      <c r="Z101" s="477">
        <f t="shared" si="18"/>
        <v>1985.1962788927283</v>
      </c>
      <c r="AA101" s="477">
        <f t="shared" si="18"/>
        <v>2084.2689438805978</v>
      </c>
      <c r="AB101" s="477">
        <f t="shared" si="18"/>
        <v>1748.8564197932585</v>
      </c>
      <c r="AC101" s="477">
        <f t="shared" si="18"/>
        <v>1717.2713569652103</v>
      </c>
      <c r="AD101" s="477">
        <f t="shared" si="18"/>
        <v>1981.2561468962697</v>
      </c>
      <c r="AE101" s="477">
        <f t="shared" si="19"/>
        <v>1762.0230369834428</v>
      </c>
      <c r="AF101" s="477">
        <f t="shared" si="19"/>
        <v>1839.3349974694481</v>
      </c>
      <c r="AG101" s="477">
        <f t="shared" si="19"/>
        <v>1829.4028607463315</v>
      </c>
      <c r="AH101" s="477">
        <f t="shared" si="19"/>
        <v>1822.277175754042</v>
      </c>
      <c r="AI101" s="477">
        <f t="shared" si="19"/>
        <v>1705.6626199782268</v>
      </c>
      <c r="AJ101" s="477">
        <f t="shared" si="19"/>
        <v>1876.1160910839606</v>
      </c>
      <c r="AK101" s="477">
        <f t="shared" si="19"/>
        <v>1989.5761046834148</v>
      </c>
      <c r="AL101" s="477">
        <f t="shared" si="19"/>
        <v>2138.0970601240156</v>
      </c>
    </row>
    <row r="102" spans="1:38" x14ac:dyDescent="0.3">
      <c r="A102" s="201"/>
      <c r="B102" s="201"/>
      <c r="D102" s="285"/>
      <c r="E102" s="285"/>
      <c r="F102" s="411"/>
      <c r="G102" s="608"/>
      <c r="H102" s="424">
        <v>2050</v>
      </c>
      <c r="I102" s="513">
        <f>'S2'!H21*Legend!$B$38</f>
        <v>1469.8701291236198</v>
      </c>
      <c r="J102" s="411" t="s">
        <v>409</v>
      </c>
      <c r="K102" s="477">
        <f t="shared" si="17"/>
        <v>1190.1300269741444</v>
      </c>
      <c r="L102" s="477">
        <f t="shared" si="17"/>
        <v>1234.7465960882982</v>
      </c>
      <c r="M102" s="477">
        <f t="shared" si="17"/>
        <v>1190.0056845896813</v>
      </c>
      <c r="N102" s="477">
        <f t="shared" si="17"/>
        <v>1209.0379797307198</v>
      </c>
      <c r="O102" s="477">
        <f t="shared" si="17"/>
        <v>1433.1246714872552</v>
      </c>
      <c r="P102" s="477">
        <f t="shared" si="17"/>
        <v>1226.5987852569328</v>
      </c>
      <c r="Q102" s="477">
        <f t="shared" si="17"/>
        <v>1253.8045684340714</v>
      </c>
      <c r="R102" s="477">
        <f t="shared" si="17"/>
        <v>1205.7893619606875</v>
      </c>
      <c r="S102" s="477">
        <f t="shared" si="17"/>
        <v>1253.9244619847414</v>
      </c>
      <c r="T102" s="477">
        <f t="shared" si="17"/>
        <v>1437.1526578903035</v>
      </c>
      <c r="U102" s="477">
        <f t="shared" si="18"/>
        <v>1307.7214949492611</v>
      </c>
      <c r="V102" s="477">
        <f t="shared" si="18"/>
        <v>1262.0221736161056</v>
      </c>
      <c r="W102" s="477">
        <f t="shared" si="18"/>
        <v>1256.909973092339</v>
      </c>
      <c r="X102" s="477">
        <f t="shared" si="18"/>
        <v>1444.3961666937985</v>
      </c>
      <c r="Y102" s="477">
        <f t="shared" si="18"/>
        <v>1349.6429730039367</v>
      </c>
      <c r="Z102" s="477">
        <f t="shared" si="18"/>
        <v>1400.0020099896224</v>
      </c>
      <c r="AA102" s="477">
        <f t="shared" si="18"/>
        <v>1469.8701291236198</v>
      </c>
      <c r="AB102" s="477">
        <f t="shared" si="18"/>
        <v>1233.3301895263717</v>
      </c>
      <c r="AC102" s="477">
        <f t="shared" si="18"/>
        <v>1211.0557414453085</v>
      </c>
      <c r="AD102" s="477">
        <f t="shared" si="18"/>
        <v>1397.2233463515142</v>
      </c>
      <c r="AE102" s="477">
        <f t="shared" si="19"/>
        <v>1242.6155638377236</v>
      </c>
      <c r="AF102" s="477">
        <f t="shared" si="19"/>
        <v>1297.1375782236344</v>
      </c>
      <c r="AG102" s="477">
        <f t="shared" si="19"/>
        <v>1290.1332273069529</v>
      </c>
      <c r="AH102" s="477">
        <f t="shared" si="19"/>
        <v>1285.1080449520259</v>
      </c>
      <c r="AI102" s="477">
        <f t="shared" si="19"/>
        <v>1202.8690168941812</v>
      </c>
      <c r="AJ102" s="477">
        <f t="shared" si="19"/>
        <v>1323.0763760832874</v>
      </c>
      <c r="AK102" s="477">
        <f t="shared" si="19"/>
        <v>1403.0907549039466</v>
      </c>
      <c r="AL102" s="477">
        <f t="shared" si="19"/>
        <v>1507.8308445128168</v>
      </c>
    </row>
    <row r="103" spans="1:38" x14ac:dyDescent="0.3">
      <c r="A103" s="203" t="str">
        <f>Legend!$A$45</f>
        <v>Thermal uses</v>
      </c>
      <c r="B103" s="201" t="str">
        <f>'SRV_New Techs'!K17</f>
        <v>S-TH-STV_COA01</v>
      </c>
      <c r="C103" s="201" t="str">
        <f>'SRV_New Techs'!C17</f>
        <v>Coal</v>
      </c>
      <c r="D103" s="201" t="str">
        <f>'SRV_New Techs'!D17</f>
        <v>SRVCOA</v>
      </c>
      <c r="E103" s="201" t="str">
        <f>'SRV_New Techs'!F$17</f>
        <v>Thermal uses technology: Coal</v>
      </c>
      <c r="F103" s="411"/>
      <c r="G103" s="608"/>
      <c r="H103" s="214">
        <v>2020</v>
      </c>
      <c r="I103" s="550">
        <f>I$94</f>
        <v>150.13565385000001</v>
      </c>
      <c r="J103" s="411"/>
      <c r="K103" s="659">
        <f>K$94</f>
        <v>121.56240624660916</v>
      </c>
      <c r="L103" s="659">
        <f t="shared" ref="L103:AL106" si="20">L$94</f>
        <v>126.11963728612356</v>
      </c>
      <c r="M103" s="659">
        <f t="shared" si="20"/>
        <v>121.54970565162274</v>
      </c>
      <c r="N103" s="659">
        <f t="shared" si="20"/>
        <v>123.4937046612289</v>
      </c>
      <c r="O103" s="659">
        <f t="shared" si="20"/>
        <v>146.38239483823799</v>
      </c>
      <c r="P103" s="659">
        <f t="shared" si="20"/>
        <v>125.28740259927913</v>
      </c>
      <c r="Q103" s="659">
        <f t="shared" si="20"/>
        <v>128.06625901990478</v>
      </c>
      <c r="R103" s="659">
        <f t="shared" si="20"/>
        <v>123.16188394907977</v>
      </c>
      <c r="S103" s="659">
        <f t="shared" si="20"/>
        <v>128.07850520156776</v>
      </c>
      <c r="T103" s="659">
        <f t="shared" si="20"/>
        <v>146.7938219162759</v>
      </c>
      <c r="U103" s="659">
        <f t="shared" si="20"/>
        <v>133.57344829843433</v>
      </c>
      <c r="V103" s="659">
        <f t="shared" si="20"/>
        <v>128.90562264982049</v>
      </c>
      <c r="W103" s="659">
        <f t="shared" si="20"/>
        <v>128.38345164093982</v>
      </c>
      <c r="X103" s="659">
        <f t="shared" si="20"/>
        <v>147.53368927518966</v>
      </c>
      <c r="Y103" s="659">
        <f t="shared" si="20"/>
        <v>137.85539701852278</v>
      </c>
      <c r="Z103" s="659">
        <f t="shared" si="20"/>
        <v>142.99917591115877</v>
      </c>
      <c r="AA103" s="659">
        <f t="shared" si="20"/>
        <v>150.13565385000001</v>
      </c>
      <c r="AB103" s="659">
        <f t="shared" si="20"/>
        <v>125.97496251446937</v>
      </c>
      <c r="AC103" s="659">
        <f t="shared" si="20"/>
        <v>123.69980312416853</v>
      </c>
      <c r="AD103" s="659">
        <f t="shared" si="20"/>
        <v>142.71535731122214</v>
      </c>
      <c r="AE103" s="659">
        <f t="shared" si="20"/>
        <v>126.92339034891212</v>
      </c>
      <c r="AF103" s="659">
        <f t="shared" si="20"/>
        <v>132.49238458646994</v>
      </c>
      <c r="AG103" s="659">
        <f t="shared" si="20"/>
        <v>131.77694532157528</v>
      </c>
      <c r="AH103" s="659">
        <f t="shared" si="20"/>
        <v>131.26366253310044</v>
      </c>
      <c r="AI103" s="659">
        <f t="shared" si="20"/>
        <v>122.8635937074181</v>
      </c>
      <c r="AJ103" s="659">
        <f t="shared" si="20"/>
        <v>135.14182843839984</v>
      </c>
      <c r="AK103" s="659">
        <f t="shared" si="20"/>
        <v>143.31466687059779</v>
      </c>
      <c r="AL103" s="659">
        <f t="shared" si="20"/>
        <v>154.01304186724539</v>
      </c>
    </row>
    <row r="104" spans="1:38" x14ac:dyDescent="0.3">
      <c r="A104" s="203" t="str">
        <f>Legend!$A$45</f>
        <v>Thermal uses</v>
      </c>
      <c r="B104" s="201" t="str">
        <f>'SRV_New Techs'!K18</f>
        <v>S-TH-STV_OIL01</v>
      </c>
      <c r="C104" s="201" t="str">
        <f>'SRV_New Techs'!C18</f>
        <v>Oil</v>
      </c>
      <c r="D104" s="201" t="str">
        <f>'SRV_New Techs'!D18</f>
        <v>SRVOIL</v>
      </c>
      <c r="E104" s="201" t="str">
        <f>'SRV_New Techs'!F$17</f>
        <v>Thermal uses technology: Coal</v>
      </c>
      <c r="F104" s="411"/>
      <c r="G104" s="608"/>
      <c r="H104" s="214">
        <v>2020</v>
      </c>
      <c r="I104" s="550">
        <f t="shared" ref="I104:I106" si="21">I$94</f>
        <v>150.13565385000001</v>
      </c>
      <c r="J104" s="411"/>
      <c r="K104" s="659">
        <f t="shared" ref="K104:Z106" si="22">K$94</f>
        <v>121.56240624660916</v>
      </c>
      <c r="L104" s="659">
        <f t="shared" si="22"/>
        <v>126.11963728612356</v>
      </c>
      <c r="M104" s="659">
        <f t="shared" si="22"/>
        <v>121.54970565162274</v>
      </c>
      <c r="N104" s="659">
        <f t="shared" si="22"/>
        <v>123.4937046612289</v>
      </c>
      <c r="O104" s="659">
        <f t="shared" si="22"/>
        <v>146.38239483823799</v>
      </c>
      <c r="P104" s="659">
        <f t="shared" si="22"/>
        <v>125.28740259927913</v>
      </c>
      <c r="Q104" s="659">
        <f t="shared" si="22"/>
        <v>128.06625901990478</v>
      </c>
      <c r="R104" s="659">
        <f t="shared" si="22"/>
        <v>123.16188394907977</v>
      </c>
      <c r="S104" s="659">
        <f t="shared" si="22"/>
        <v>128.07850520156776</v>
      </c>
      <c r="T104" s="659">
        <f t="shared" si="22"/>
        <v>146.7938219162759</v>
      </c>
      <c r="U104" s="659">
        <f t="shared" si="22"/>
        <v>133.57344829843433</v>
      </c>
      <c r="V104" s="659">
        <f t="shared" si="22"/>
        <v>128.90562264982049</v>
      </c>
      <c r="W104" s="659">
        <f t="shared" si="22"/>
        <v>128.38345164093982</v>
      </c>
      <c r="X104" s="659">
        <f t="shared" si="22"/>
        <v>147.53368927518966</v>
      </c>
      <c r="Y104" s="659">
        <f t="shared" si="22"/>
        <v>137.85539701852278</v>
      </c>
      <c r="Z104" s="659">
        <f t="shared" si="22"/>
        <v>142.99917591115877</v>
      </c>
      <c r="AA104" s="659">
        <f t="shared" si="20"/>
        <v>150.13565385000001</v>
      </c>
      <c r="AB104" s="659">
        <f t="shared" si="20"/>
        <v>125.97496251446937</v>
      </c>
      <c r="AC104" s="659">
        <f t="shared" si="20"/>
        <v>123.69980312416853</v>
      </c>
      <c r="AD104" s="659">
        <f t="shared" si="20"/>
        <v>142.71535731122214</v>
      </c>
      <c r="AE104" s="659">
        <f t="shared" si="20"/>
        <v>126.92339034891212</v>
      </c>
      <c r="AF104" s="659">
        <f t="shared" si="20"/>
        <v>132.49238458646994</v>
      </c>
      <c r="AG104" s="659">
        <f t="shared" si="20"/>
        <v>131.77694532157528</v>
      </c>
      <c r="AH104" s="659">
        <f t="shared" si="20"/>
        <v>131.26366253310044</v>
      </c>
      <c r="AI104" s="659">
        <f t="shared" si="20"/>
        <v>122.8635937074181</v>
      </c>
      <c r="AJ104" s="659">
        <f t="shared" si="20"/>
        <v>135.14182843839984</v>
      </c>
      <c r="AK104" s="659">
        <f t="shared" si="20"/>
        <v>143.31466687059779</v>
      </c>
      <c r="AL104" s="659">
        <f t="shared" si="20"/>
        <v>154.01304186724539</v>
      </c>
    </row>
    <row r="105" spans="1:38" x14ac:dyDescent="0.3">
      <c r="A105" s="203" t="str">
        <f>Legend!$A$45</f>
        <v>Thermal uses</v>
      </c>
      <c r="B105" s="201" t="str">
        <f>'SRV_New Techs'!K19</f>
        <v>S-TH-STV_LPG01</v>
      </c>
      <c r="C105" s="201" t="str">
        <f>'SRV_New Techs'!C19</f>
        <v>LPG</v>
      </c>
      <c r="D105" s="201" t="str">
        <f>'SRV_New Techs'!D19</f>
        <v>SRVLPG</v>
      </c>
      <c r="E105" s="201" t="str">
        <f>'SRV_New Techs'!F$17</f>
        <v>Thermal uses technology: Coal</v>
      </c>
      <c r="F105" s="411"/>
      <c r="G105" s="608"/>
      <c r="H105" s="214">
        <v>2020</v>
      </c>
      <c r="I105" s="550">
        <f t="shared" si="21"/>
        <v>150.13565385000001</v>
      </c>
      <c r="J105" s="411"/>
      <c r="K105" s="659">
        <f t="shared" si="22"/>
        <v>121.56240624660916</v>
      </c>
      <c r="L105" s="659">
        <f t="shared" si="20"/>
        <v>126.11963728612356</v>
      </c>
      <c r="M105" s="659">
        <f t="shared" si="20"/>
        <v>121.54970565162274</v>
      </c>
      <c r="N105" s="659">
        <f t="shared" si="20"/>
        <v>123.4937046612289</v>
      </c>
      <c r="O105" s="659">
        <f t="shared" si="20"/>
        <v>146.38239483823799</v>
      </c>
      <c r="P105" s="659">
        <f t="shared" si="20"/>
        <v>125.28740259927913</v>
      </c>
      <c r="Q105" s="659">
        <f t="shared" si="20"/>
        <v>128.06625901990478</v>
      </c>
      <c r="R105" s="659">
        <f t="shared" si="20"/>
        <v>123.16188394907977</v>
      </c>
      <c r="S105" s="659">
        <f t="shared" si="20"/>
        <v>128.07850520156776</v>
      </c>
      <c r="T105" s="659">
        <f t="shared" si="20"/>
        <v>146.7938219162759</v>
      </c>
      <c r="U105" s="659">
        <f t="shared" si="20"/>
        <v>133.57344829843433</v>
      </c>
      <c r="V105" s="659">
        <f t="shared" si="20"/>
        <v>128.90562264982049</v>
      </c>
      <c r="W105" s="659">
        <f t="shared" si="20"/>
        <v>128.38345164093982</v>
      </c>
      <c r="X105" s="659">
        <f t="shared" si="20"/>
        <v>147.53368927518966</v>
      </c>
      <c r="Y105" s="659">
        <f t="shared" si="20"/>
        <v>137.85539701852278</v>
      </c>
      <c r="Z105" s="659">
        <f t="shared" si="20"/>
        <v>142.99917591115877</v>
      </c>
      <c r="AA105" s="659">
        <f t="shared" si="20"/>
        <v>150.13565385000001</v>
      </c>
      <c r="AB105" s="659">
        <f t="shared" si="20"/>
        <v>125.97496251446937</v>
      </c>
      <c r="AC105" s="659">
        <f t="shared" si="20"/>
        <v>123.69980312416853</v>
      </c>
      <c r="AD105" s="659">
        <f t="shared" si="20"/>
        <v>142.71535731122214</v>
      </c>
      <c r="AE105" s="659">
        <f t="shared" si="20"/>
        <v>126.92339034891212</v>
      </c>
      <c r="AF105" s="659">
        <f t="shared" si="20"/>
        <v>132.49238458646994</v>
      </c>
      <c r="AG105" s="659">
        <f t="shared" si="20"/>
        <v>131.77694532157528</v>
      </c>
      <c r="AH105" s="659">
        <f t="shared" si="20"/>
        <v>131.26366253310044</v>
      </c>
      <c r="AI105" s="659">
        <f t="shared" si="20"/>
        <v>122.8635937074181</v>
      </c>
      <c r="AJ105" s="659">
        <f t="shared" si="20"/>
        <v>135.14182843839984</v>
      </c>
      <c r="AK105" s="659">
        <f t="shared" si="20"/>
        <v>143.31466687059779</v>
      </c>
      <c r="AL105" s="659">
        <f t="shared" si="20"/>
        <v>154.01304186724539</v>
      </c>
    </row>
    <row r="106" spans="1:38" x14ac:dyDescent="0.3">
      <c r="A106" s="203" t="str">
        <f>Legend!$A$45</f>
        <v>Thermal uses</v>
      </c>
      <c r="B106" s="201" t="str">
        <f>'SRV_New Techs'!K20</f>
        <v>S-TH-STV_BIO01</v>
      </c>
      <c r="C106" s="201" t="str">
        <f>'SRV_New Techs'!C20</f>
        <v>Biomass</v>
      </c>
      <c r="D106" s="201" t="str">
        <f>'SRV_New Techs'!D20</f>
        <v>SRVBIO</v>
      </c>
      <c r="E106" s="201" t="str">
        <f>'SRV_New Techs'!F$17</f>
        <v>Thermal uses technology: Coal</v>
      </c>
      <c r="F106" s="411"/>
      <c r="G106" s="608"/>
      <c r="H106" s="214">
        <v>2020</v>
      </c>
      <c r="I106" s="550">
        <f t="shared" si="21"/>
        <v>150.13565385000001</v>
      </c>
      <c r="J106" s="411"/>
      <c r="K106" s="659">
        <f t="shared" si="22"/>
        <v>121.56240624660916</v>
      </c>
      <c r="L106" s="659">
        <f t="shared" si="20"/>
        <v>126.11963728612356</v>
      </c>
      <c r="M106" s="659">
        <f t="shared" si="20"/>
        <v>121.54970565162274</v>
      </c>
      <c r="N106" s="659">
        <f t="shared" si="20"/>
        <v>123.4937046612289</v>
      </c>
      <c r="O106" s="659">
        <f t="shared" si="20"/>
        <v>146.38239483823799</v>
      </c>
      <c r="P106" s="659">
        <f t="shared" si="20"/>
        <v>125.28740259927913</v>
      </c>
      <c r="Q106" s="659">
        <f t="shared" si="20"/>
        <v>128.06625901990478</v>
      </c>
      <c r="R106" s="659">
        <f t="shared" si="20"/>
        <v>123.16188394907977</v>
      </c>
      <c r="S106" s="659">
        <f t="shared" si="20"/>
        <v>128.07850520156776</v>
      </c>
      <c r="T106" s="659">
        <f t="shared" si="20"/>
        <v>146.7938219162759</v>
      </c>
      <c r="U106" s="659">
        <f t="shared" si="20"/>
        <v>133.57344829843433</v>
      </c>
      <c r="V106" s="659">
        <f t="shared" si="20"/>
        <v>128.90562264982049</v>
      </c>
      <c r="W106" s="659">
        <f t="shared" si="20"/>
        <v>128.38345164093982</v>
      </c>
      <c r="X106" s="659">
        <f t="shared" si="20"/>
        <v>147.53368927518966</v>
      </c>
      <c r="Y106" s="659">
        <f t="shared" si="20"/>
        <v>137.85539701852278</v>
      </c>
      <c r="Z106" s="659">
        <f t="shared" si="20"/>
        <v>142.99917591115877</v>
      </c>
      <c r="AA106" s="659">
        <f t="shared" si="20"/>
        <v>150.13565385000001</v>
      </c>
      <c r="AB106" s="659">
        <f t="shared" si="20"/>
        <v>125.97496251446937</v>
      </c>
      <c r="AC106" s="659">
        <f t="shared" si="20"/>
        <v>123.69980312416853</v>
      </c>
      <c r="AD106" s="659">
        <f t="shared" si="20"/>
        <v>142.71535731122214</v>
      </c>
      <c r="AE106" s="659">
        <f t="shared" si="20"/>
        <v>126.92339034891212</v>
      </c>
      <c r="AF106" s="659">
        <f t="shared" si="20"/>
        <v>132.49238458646994</v>
      </c>
      <c r="AG106" s="659">
        <f t="shared" si="20"/>
        <v>131.77694532157528</v>
      </c>
      <c r="AH106" s="659">
        <f t="shared" si="20"/>
        <v>131.26366253310044</v>
      </c>
      <c r="AI106" s="659">
        <f t="shared" si="20"/>
        <v>122.8635937074181</v>
      </c>
      <c r="AJ106" s="659">
        <f t="shared" si="20"/>
        <v>135.14182843839984</v>
      </c>
      <c r="AK106" s="659">
        <f t="shared" si="20"/>
        <v>143.31466687059779</v>
      </c>
      <c r="AL106" s="659">
        <f t="shared" si="20"/>
        <v>154.01304186724539</v>
      </c>
    </row>
    <row r="107" spans="1:38" x14ac:dyDescent="0.3">
      <c r="A107" s="201" t="str">
        <f>Legend!$A$45</f>
        <v>Thermal uses</v>
      </c>
      <c r="B107" s="201" t="str">
        <f>'SRV_New Techs'!K$21</f>
        <v>S-TH-HEX_HET01</v>
      </c>
      <c r="C107" s="201" t="str">
        <f>'SRV_New Techs'!C$21</f>
        <v>Heat</v>
      </c>
      <c r="D107" s="285" t="str">
        <f>'SRV_New Techs'!D$21</f>
        <v>SRVHET</v>
      </c>
      <c r="E107" s="285" t="str">
        <f>'SRV_New Techs'!F$21</f>
        <v>District Heat (Ord.)</v>
      </c>
      <c r="F107" s="424"/>
      <c r="G107" s="608"/>
      <c r="H107" s="424">
        <v>2020</v>
      </c>
      <c r="I107" s="513">
        <f>'S2'!B22*Legend!$B$38</f>
        <v>93.21875751637603</v>
      </c>
      <c r="J107" s="411" t="s">
        <v>409</v>
      </c>
      <c r="K107" s="477">
        <f t="shared" ref="K107:AL107" si="23">$I107*K$145</f>
        <v>75.477717520260114</v>
      </c>
      <c r="L107" s="477">
        <f t="shared" si="23"/>
        <v>78.307288007514472</v>
      </c>
      <c r="M107" s="477">
        <f t="shared" si="23"/>
        <v>75.469831760588832</v>
      </c>
      <c r="N107" s="477">
        <f t="shared" si="23"/>
        <v>76.676854660489781</v>
      </c>
      <c r="O107" s="477">
        <f t="shared" si="23"/>
        <v>90.888370744535962</v>
      </c>
      <c r="P107" s="477">
        <f t="shared" si="23"/>
        <v>77.790556095538534</v>
      </c>
      <c r="Q107" s="477">
        <f t="shared" si="23"/>
        <v>79.515939348645986</v>
      </c>
      <c r="R107" s="477">
        <f t="shared" si="23"/>
        <v>76.470828218991443</v>
      </c>
      <c r="S107" s="477">
        <f t="shared" si="23"/>
        <v>79.523542964507172</v>
      </c>
      <c r="T107" s="477">
        <f t="shared" si="23"/>
        <v>91.143824529428429</v>
      </c>
      <c r="U107" s="477">
        <f t="shared" si="23"/>
        <v>82.935335932917297</v>
      </c>
      <c r="V107" s="477">
        <f t="shared" si="23"/>
        <v>80.037097599059649</v>
      </c>
      <c r="W107" s="477">
        <f t="shared" si="23"/>
        <v>79.712883254160872</v>
      </c>
      <c r="X107" s="477">
        <f t="shared" si="23"/>
        <v>91.603205856623191</v>
      </c>
      <c r="Y107" s="477">
        <f t="shared" si="23"/>
        <v>85.593984489736982</v>
      </c>
      <c r="Z107" s="477">
        <f t="shared" si="23"/>
        <v>88.78774070296501</v>
      </c>
      <c r="AA107" s="477">
        <f t="shared" si="23"/>
        <v>93.21875751637603</v>
      </c>
      <c r="AB107" s="477">
        <f t="shared" si="23"/>
        <v>78.217459894659655</v>
      </c>
      <c r="AC107" s="477">
        <f t="shared" si="23"/>
        <v>76.804820550993455</v>
      </c>
      <c r="AD107" s="477">
        <f t="shared" si="23"/>
        <v>88.611518622681771</v>
      </c>
      <c r="AE107" s="477">
        <f t="shared" si="23"/>
        <v>78.806335768268141</v>
      </c>
      <c r="AF107" s="477">
        <f t="shared" si="23"/>
        <v>82.264106858136401</v>
      </c>
      <c r="AG107" s="477">
        <f t="shared" si="23"/>
        <v>81.819892858052569</v>
      </c>
      <c r="AH107" s="477">
        <f t="shared" si="23"/>
        <v>81.501197181381599</v>
      </c>
      <c r="AI107" s="477">
        <f t="shared" si="23"/>
        <v>76.285620741660694</v>
      </c>
      <c r="AJ107" s="477">
        <f t="shared" si="23"/>
        <v>83.909138252431731</v>
      </c>
      <c r="AK107" s="477">
        <f t="shared" si="23"/>
        <v>88.983628052121503</v>
      </c>
      <c r="AL107" s="477">
        <f t="shared" si="23"/>
        <v>95.626215599168404</v>
      </c>
    </row>
    <row r="108" spans="1:38" x14ac:dyDescent="0.3">
      <c r="A108" s="201" t="str">
        <f>Legend!$A$45</f>
        <v>Thermal uses</v>
      </c>
      <c r="B108" s="201" t="str">
        <f>'SRV_New Techs'!K$22</f>
        <v>S-TH-HEX_HET02</v>
      </c>
      <c r="C108" s="201" t="str">
        <f>'SRV_New Techs'!C$22</f>
        <v>Heat</v>
      </c>
      <c r="D108" s="285" t="str">
        <f>'SRV_New Techs'!D$22</f>
        <v>SRVHET</v>
      </c>
      <c r="E108" s="285" t="str">
        <f>'SRV_New Techs'!F$22</f>
        <v>District Heat (Imp.)</v>
      </c>
      <c r="F108" s="411"/>
      <c r="G108" s="608"/>
      <c r="H108" s="424">
        <v>2030</v>
      </c>
      <c r="I108" s="513">
        <f>'S2'!D22*Legend!$B$38</f>
        <v>99.295398043339716</v>
      </c>
      <c r="J108" s="411" t="s">
        <v>409</v>
      </c>
      <c r="K108" s="477">
        <f t="shared" ref="K108:T117" si="24">$I108*K$145</f>
        <v>80.39787489401354</v>
      </c>
      <c r="L108" s="477">
        <f t="shared" si="24"/>
        <v>83.411896270282682</v>
      </c>
      <c r="M108" s="477">
        <f t="shared" si="24"/>
        <v>80.389475086224891</v>
      </c>
      <c r="N108" s="477">
        <f t="shared" si="24"/>
        <v>81.675180050400542</v>
      </c>
      <c r="O108" s="477">
        <f t="shared" si="24"/>
        <v>96.813100614475758</v>
      </c>
      <c r="P108" s="477">
        <f t="shared" si="24"/>
        <v>82.861480214025633</v>
      </c>
      <c r="Q108" s="477">
        <f t="shared" si="24"/>
        <v>84.699335828701891</v>
      </c>
      <c r="R108" s="477">
        <f t="shared" si="24"/>
        <v>81.455723386730284</v>
      </c>
      <c r="S108" s="477">
        <f t="shared" si="24"/>
        <v>84.70743510060403</v>
      </c>
      <c r="T108" s="477">
        <f t="shared" si="24"/>
        <v>97.08520663614334</v>
      </c>
      <c r="U108" s="477">
        <f t="shared" ref="U108:AD117" si="25">$I108*U$145</f>
        <v>88.341632228582668</v>
      </c>
      <c r="V108" s="477">
        <f t="shared" si="25"/>
        <v>85.25446676261619</v>
      </c>
      <c r="W108" s="477">
        <f t="shared" si="25"/>
        <v>84.909117894150199</v>
      </c>
      <c r="X108" s="477">
        <f t="shared" si="25"/>
        <v>97.574533601582317</v>
      </c>
      <c r="Y108" s="477">
        <f t="shared" si="25"/>
        <v>91.173589806008934</v>
      </c>
      <c r="Z108" s="477">
        <f t="shared" si="25"/>
        <v>94.575537041683631</v>
      </c>
      <c r="AA108" s="477">
        <f t="shared" si="25"/>
        <v>99.295398043339716</v>
      </c>
      <c r="AB108" s="477">
        <f t="shared" si="25"/>
        <v>83.316212542468207</v>
      </c>
      <c r="AC108" s="477">
        <f t="shared" si="25"/>
        <v>81.811487638830911</v>
      </c>
      <c r="AD108" s="477">
        <f t="shared" si="25"/>
        <v>94.38782759272776</v>
      </c>
      <c r="AE108" s="477">
        <f t="shared" ref="AE108:AL117" si="26">$I108*AE$145</f>
        <v>83.9434754005663</v>
      </c>
      <c r="AF108" s="477">
        <f t="shared" si="26"/>
        <v>87.626647820568834</v>
      </c>
      <c r="AG108" s="477">
        <f t="shared" si="26"/>
        <v>87.153476893065331</v>
      </c>
      <c r="AH108" s="477">
        <f t="shared" si="26"/>
        <v>86.814006437624258</v>
      </c>
      <c r="AI108" s="477">
        <f t="shared" si="26"/>
        <v>81.258442810673174</v>
      </c>
      <c r="AJ108" s="477">
        <f t="shared" si="26"/>
        <v>89.378913688966094</v>
      </c>
      <c r="AK108" s="477">
        <f t="shared" si="26"/>
        <v>94.784193677154576</v>
      </c>
      <c r="AL108" s="477">
        <f t="shared" si="26"/>
        <v>101.85979082192324</v>
      </c>
    </row>
    <row r="109" spans="1:38" x14ac:dyDescent="0.3">
      <c r="A109" s="201"/>
      <c r="B109" s="201"/>
      <c r="D109" s="285"/>
      <c r="E109" s="285"/>
      <c r="F109" s="411"/>
      <c r="G109" s="608"/>
      <c r="H109" s="424">
        <v>2050</v>
      </c>
      <c r="I109" s="513">
        <f>'S2'!G22*Legend!$B$38</f>
        <v>117.70463893575972</v>
      </c>
      <c r="J109" s="411" t="s">
        <v>409</v>
      </c>
      <c r="K109" s="477">
        <f t="shared" si="24"/>
        <v>95.303538956274849</v>
      </c>
      <c r="L109" s="477">
        <f t="shared" si="24"/>
        <v>98.8763560739783</v>
      </c>
      <c r="M109" s="477">
        <f t="shared" si="24"/>
        <v>95.293581834772993</v>
      </c>
      <c r="N109" s="477">
        <f t="shared" si="24"/>
        <v>96.817654869055573</v>
      </c>
      <c r="O109" s="477">
        <f t="shared" si="24"/>
        <v>114.76212671109379</v>
      </c>
      <c r="P109" s="477">
        <f t="shared" si="24"/>
        <v>98.22389357880904</v>
      </c>
      <c r="Q109" s="477">
        <f t="shared" si="24"/>
        <v>100.40248529407775</v>
      </c>
      <c r="R109" s="477">
        <f t="shared" si="24"/>
        <v>96.557511218208035</v>
      </c>
      <c r="S109" s="477">
        <f t="shared" si="24"/>
        <v>100.41208616072082</v>
      </c>
      <c r="T109" s="477">
        <f t="shared" si="24"/>
        <v>115.08468084415289</v>
      </c>
      <c r="U109" s="477">
        <f t="shared" si="25"/>
        <v>104.72005882812877</v>
      </c>
      <c r="V109" s="477">
        <f t="shared" si="25"/>
        <v>101.06053679924351</v>
      </c>
      <c r="W109" s="477">
        <f t="shared" si="25"/>
        <v>100.65116068846021</v>
      </c>
      <c r="X109" s="477">
        <f t="shared" si="25"/>
        <v>115.66472840852629</v>
      </c>
      <c r="Y109" s="477">
        <f t="shared" si="25"/>
        <v>108.07705774953754</v>
      </c>
      <c r="Z109" s="477">
        <f t="shared" si="25"/>
        <v>112.10972168909719</v>
      </c>
      <c r="AA109" s="477">
        <f t="shared" si="25"/>
        <v>117.70463893575972</v>
      </c>
      <c r="AB109" s="477">
        <f t="shared" si="25"/>
        <v>98.762932704352295</v>
      </c>
      <c r="AC109" s="477">
        <f t="shared" si="25"/>
        <v>96.979233711545305</v>
      </c>
      <c r="AD109" s="477">
        <f t="shared" si="25"/>
        <v>111.88721114631717</v>
      </c>
      <c r="AE109" s="477">
        <f t="shared" si="26"/>
        <v>99.506489300983517</v>
      </c>
      <c r="AF109" s="477">
        <f t="shared" si="26"/>
        <v>103.8725172174568</v>
      </c>
      <c r="AG109" s="477">
        <f t="shared" si="26"/>
        <v>103.31162099996655</v>
      </c>
      <c r="AH109" s="477">
        <f t="shared" si="26"/>
        <v>102.90921315252925</v>
      </c>
      <c r="AI109" s="477">
        <f t="shared" si="26"/>
        <v>96.32365507349823</v>
      </c>
      <c r="AJ109" s="477">
        <f t="shared" si="26"/>
        <v>105.94965095601266</v>
      </c>
      <c r="AK109" s="477">
        <f t="shared" si="26"/>
        <v>112.3570630002115</v>
      </c>
      <c r="AL109" s="477">
        <f t="shared" si="26"/>
        <v>120.74446688388777</v>
      </c>
    </row>
    <row r="110" spans="1:38" x14ac:dyDescent="0.3">
      <c r="A110" s="208" t="str">
        <f>Legend!A$46</f>
        <v>Air conditioning</v>
      </c>
      <c r="B110" s="208" t="str">
        <f>'SRV_New Techs'!K$23</f>
        <v>S-AC_ELC01</v>
      </c>
      <c r="C110" s="208" t="str">
        <f>'SRV_New Techs'!C$23</f>
        <v>Electricity</v>
      </c>
      <c r="D110" s="425" t="str">
        <f>'SRV_New Techs'!D$23</f>
        <v>SRVELC</v>
      </c>
      <c r="E110" s="425" t="str">
        <f>'SRV_New Techs'!F$23</f>
        <v>Air conditioning (Ord.)</v>
      </c>
      <c r="F110" s="426"/>
      <c r="G110" s="426"/>
      <c r="H110" s="428">
        <v>2020</v>
      </c>
      <c r="I110" s="514">
        <f>'S2'!B24*Legend!$B$38</f>
        <v>174.04260510000003</v>
      </c>
      <c r="J110" s="413" t="s">
        <v>409</v>
      </c>
      <c r="K110" s="478">
        <f t="shared" si="24"/>
        <v>140.91947730498643</v>
      </c>
      <c r="L110" s="478">
        <f t="shared" si="24"/>
        <v>146.20238207690758</v>
      </c>
      <c r="M110" s="478">
        <f t="shared" si="24"/>
        <v>140.90475432226333</v>
      </c>
      <c r="N110" s="478">
        <f t="shared" si="24"/>
        <v>143.15830731429085</v>
      </c>
      <c r="O110" s="478">
        <f t="shared" si="24"/>
        <v>169.6916933793587</v>
      </c>
      <c r="P110" s="478">
        <f t="shared" si="24"/>
        <v>145.23762594311341</v>
      </c>
      <c r="Q110" s="478">
        <f t="shared" si="24"/>
        <v>148.45897542434824</v>
      </c>
      <c r="R110" s="478">
        <f t="shared" si="24"/>
        <v>142.77364890912432</v>
      </c>
      <c r="S110" s="478">
        <f t="shared" si="24"/>
        <v>148.47317163493844</v>
      </c>
      <c r="T110" s="478">
        <f t="shared" si="24"/>
        <v>170.16863432332622</v>
      </c>
      <c r="U110" s="478">
        <f t="shared" si="25"/>
        <v>154.84310567079649</v>
      </c>
      <c r="V110" s="478">
        <f t="shared" si="25"/>
        <v>149.43199568323143</v>
      </c>
      <c r="W110" s="478">
        <f t="shared" si="25"/>
        <v>148.82667642452898</v>
      </c>
      <c r="X110" s="478">
        <f t="shared" si="25"/>
        <v>171.02631495595236</v>
      </c>
      <c r="Y110" s="478">
        <f t="shared" si="25"/>
        <v>159.80689335905191</v>
      </c>
      <c r="Z110" s="478">
        <f t="shared" si="25"/>
        <v>165.76974532376371</v>
      </c>
      <c r="AA110" s="478">
        <f t="shared" si="25"/>
        <v>174.04260510000003</v>
      </c>
      <c r="AB110" s="478">
        <f t="shared" si="25"/>
        <v>146.03466992123202</v>
      </c>
      <c r="AC110" s="478">
        <f t="shared" si="25"/>
        <v>143.39722400381322</v>
      </c>
      <c r="AD110" s="478">
        <f t="shared" si="25"/>
        <v>165.44073267925117</v>
      </c>
      <c r="AE110" s="478">
        <f t="shared" si="26"/>
        <v>147.13412129619115</v>
      </c>
      <c r="AF110" s="478">
        <f t="shared" si="26"/>
        <v>153.58989805565307</v>
      </c>
      <c r="AG110" s="478">
        <f t="shared" si="26"/>
        <v>152.76053534093444</v>
      </c>
      <c r="AH110" s="478">
        <f t="shared" si="26"/>
        <v>152.1655196243585</v>
      </c>
      <c r="AI110" s="478">
        <f t="shared" si="26"/>
        <v>142.42786022133819</v>
      </c>
      <c r="AJ110" s="478">
        <f t="shared" si="26"/>
        <v>156.66122787126608</v>
      </c>
      <c r="AK110" s="478">
        <f t="shared" si="26"/>
        <v>166.13547369712612</v>
      </c>
      <c r="AL110" s="478">
        <f t="shared" si="26"/>
        <v>178.53741159132909</v>
      </c>
    </row>
    <row r="111" spans="1:38" x14ac:dyDescent="0.3">
      <c r="A111" s="201" t="str">
        <f>Legend!A$46</f>
        <v>Air conditioning</v>
      </c>
      <c r="B111" s="201" t="str">
        <f>'SRV_New Techs'!K$24</f>
        <v>S-AC_ELC02</v>
      </c>
      <c r="C111" s="201" t="str">
        <f>'SRV_New Techs'!C$24</f>
        <v>Electricity</v>
      </c>
      <c r="D111" s="422" t="str">
        <f>'SRV_New Techs'!D$24</f>
        <v>SRVELC</v>
      </c>
      <c r="E111" s="422" t="str">
        <f>'SRV_New Techs'!F$24</f>
        <v>Air conditioning (Imp.)</v>
      </c>
      <c r="F111" s="411"/>
      <c r="G111" s="608"/>
      <c r="H111" s="429">
        <v>2030</v>
      </c>
      <c r="I111" s="513">
        <f>'S2'!D24*Legend!$B$38</f>
        <v>225.57533126562791</v>
      </c>
      <c r="J111" s="411" t="s">
        <v>409</v>
      </c>
      <c r="K111" s="477">
        <f t="shared" si="24"/>
        <v>182.64469068701294</v>
      </c>
      <c r="L111" s="477">
        <f t="shared" si="24"/>
        <v>189.49182442927201</v>
      </c>
      <c r="M111" s="477">
        <f t="shared" si="24"/>
        <v>182.62560833816465</v>
      </c>
      <c r="N111" s="477">
        <f t="shared" si="24"/>
        <v>185.5464216781464</v>
      </c>
      <c r="O111" s="477">
        <f t="shared" si="24"/>
        <v>219.93614681348038</v>
      </c>
      <c r="P111" s="477">
        <f t="shared" si="24"/>
        <v>188.24141115060311</v>
      </c>
      <c r="Q111" s="477">
        <f t="shared" si="24"/>
        <v>192.41657835138358</v>
      </c>
      <c r="R111" s="477">
        <f t="shared" si="24"/>
        <v>185.0478687685316</v>
      </c>
      <c r="S111" s="477">
        <f t="shared" si="24"/>
        <v>192.43497795477242</v>
      </c>
      <c r="T111" s="477">
        <f t="shared" si="24"/>
        <v>220.55430643806079</v>
      </c>
      <c r="U111" s="477">
        <f t="shared" si="25"/>
        <v>200.69100227395148</v>
      </c>
      <c r="V111" s="477">
        <f t="shared" si="25"/>
        <v>193.67770270136461</v>
      </c>
      <c r="W111" s="477">
        <f t="shared" si="25"/>
        <v>192.89315289400673</v>
      </c>
      <c r="X111" s="477">
        <f t="shared" si="25"/>
        <v>221.66593995281769</v>
      </c>
      <c r="Y111" s="477">
        <f t="shared" si="25"/>
        <v>207.12453072790163</v>
      </c>
      <c r="Z111" s="477">
        <f t="shared" si="25"/>
        <v>214.85293899009079</v>
      </c>
      <c r="AA111" s="477">
        <f t="shared" si="25"/>
        <v>225.57533126562791</v>
      </c>
      <c r="AB111" s="477">
        <f t="shared" si="25"/>
        <v>189.27445394661319</v>
      </c>
      <c r="AC111" s="477">
        <f t="shared" si="25"/>
        <v>185.8560798296831</v>
      </c>
      <c r="AD111" s="477">
        <f t="shared" si="25"/>
        <v>214.42650813866877</v>
      </c>
      <c r="AE111" s="477">
        <f t="shared" si="26"/>
        <v>190.69944472961345</v>
      </c>
      <c r="AF111" s="477">
        <f t="shared" si="26"/>
        <v>199.06672916698346</v>
      </c>
      <c r="AG111" s="477">
        <f t="shared" si="26"/>
        <v>197.99179829586416</v>
      </c>
      <c r="AH111" s="477">
        <f t="shared" si="26"/>
        <v>197.22060283313391</v>
      </c>
      <c r="AI111" s="477">
        <f t="shared" si="26"/>
        <v>184.59969461168967</v>
      </c>
      <c r="AJ111" s="477">
        <f t="shared" si="26"/>
        <v>203.04745699040828</v>
      </c>
      <c r="AK111" s="477">
        <f t="shared" si="26"/>
        <v>215.32695682570673</v>
      </c>
      <c r="AL111" s="477">
        <f t="shared" si="26"/>
        <v>231.40101666417658</v>
      </c>
    </row>
    <row r="112" spans="1:38" x14ac:dyDescent="0.3">
      <c r="A112" s="201"/>
      <c r="B112" s="201"/>
      <c r="D112" s="287"/>
      <c r="E112" s="287"/>
      <c r="F112" s="411"/>
      <c r="G112" s="608"/>
      <c r="H112" s="427">
        <v>2050</v>
      </c>
      <c r="I112" s="513">
        <f>'S2'!G24*Legend!$B$38</f>
        <v>204.00598400000004</v>
      </c>
      <c r="J112" s="411" t="s">
        <v>409</v>
      </c>
      <c r="K112" s="477">
        <f t="shared" si="24"/>
        <v>165.18033969815258</v>
      </c>
      <c r="L112" s="477">
        <f t="shared" si="24"/>
        <v>171.37275554802355</v>
      </c>
      <c r="M112" s="477">
        <f t="shared" si="24"/>
        <v>165.16308198946618</v>
      </c>
      <c r="N112" s="477">
        <f t="shared" si="24"/>
        <v>167.80460930612847</v>
      </c>
      <c r="O112" s="477">
        <f t="shared" si="24"/>
        <v>198.9060142175633</v>
      </c>
      <c r="P112" s="477">
        <f t="shared" si="24"/>
        <v>170.24190586738567</v>
      </c>
      <c r="Q112" s="477">
        <f t="shared" si="24"/>
        <v>174.01784665125069</v>
      </c>
      <c r="R112" s="477">
        <f t="shared" si="24"/>
        <v>167.35372765904683</v>
      </c>
      <c r="S112" s="477">
        <f t="shared" si="24"/>
        <v>174.03448689809633</v>
      </c>
      <c r="T112" s="477">
        <f t="shared" si="24"/>
        <v>199.46506587349592</v>
      </c>
      <c r="U112" s="477">
        <f t="shared" si="25"/>
        <v>181.50107624415705</v>
      </c>
      <c r="V112" s="477">
        <f t="shared" si="25"/>
        <v>175.15838321843978</v>
      </c>
      <c r="W112" s="477">
        <f t="shared" si="25"/>
        <v>174.4488514866274</v>
      </c>
      <c r="X112" s="477">
        <f t="shared" si="25"/>
        <v>200.47040580917493</v>
      </c>
      <c r="Y112" s="477">
        <f t="shared" si="25"/>
        <v>187.31943543918172</v>
      </c>
      <c r="Z112" s="477">
        <f t="shared" si="25"/>
        <v>194.30885898756185</v>
      </c>
      <c r="AA112" s="477">
        <f t="shared" si="25"/>
        <v>204.00598400000004</v>
      </c>
      <c r="AB112" s="477">
        <f t="shared" si="25"/>
        <v>171.1761698710412</v>
      </c>
      <c r="AC112" s="477">
        <f t="shared" si="25"/>
        <v>168.08465817296786</v>
      </c>
      <c r="AD112" s="477">
        <f t="shared" si="25"/>
        <v>193.92320314051418</v>
      </c>
      <c r="AE112" s="477">
        <f t="shared" si="26"/>
        <v>172.46490408344749</v>
      </c>
      <c r="AF112" s="477">
        <f t="shared" si="26"/>
        <v>180.03211493702926</v>
      </c>
      <c r="AG112" s="477">
        <f t="shared" si="26"/>
        <v>179.05996816519786</v>
      </c>
      <c r="AH112" s="477">
        <f t="shared" si="26"/>
        <v>178.36251384540191</v>
      </c>
      <c r="AI112" s="477">
        <f t="shared" si="26"/>
        <v>166.94840758545138</v>
      </c>
      <c r="AJ112" s="477">
        <f t="shared" si="26"/>
        <v>183.63220849379175</v>
      </c>
      <c r="AK112" s="477">
        <f t="shared" si="26"/>
        <v>194.73755158637493</v>
      </c>
      <c r="AL112" s="477">
        <f t="shared" si="26"/>
        <v>209.27462164551395</v>
      </c>
    </row>
    <row r="113" spans="1:38" x14ac:dyDescent="0.3">
      <c r="A113" s="201" t="str">
        <f>Legend!A$46</f>
        <v>Air conditioning</v>
      </c>
      <c r="B113" s="201" t="str">
        <f>'SRV_New Techs'!K$25</f>
        <v>S-AC_ELC03</v>
      </c>
      <c r="C113" s="201" t="str">
        <f>'SRV_New Techs'!C$25</f>
        <v>Electricity</v>
      </c>
      <c r="D113" s="287" t="str">
        <f>'SRV_New Techs'!D$25</f>
        <v>SRVELC</v>
      </c>
      <c r="E113" s="287" t="str">
        <f>'SRV_New Techs'!F$25</f>
        <v>Air conditioning (Adv.)</v>
      </c>
      <c r="F113" s="411"/>
      <c r="G113" s="608"/>
      <c r="H113" s="427">
        <v>2030</v>
      </c>
      <c r="I113" s="513">
        <f>'S2'!E24*Legend!$B$38</f>
        <v>292.44853547405359</v>
      </c>
      <c r="J113" s="411" t="s">
        <v>409</v>
      </c>
      <c r="K113" s="477">
        <f t="shared" si="24"/>
        <v>236.79084057569307</v>
      </c>
      <c r="L113" s="477">
        <f t="shared" si="24"/>
        <v>245.66784952823966</v>
      </c>
      <c r="M113" s="477">
        <f t="shared" si="24"/>
        <v>236.76610114632916</v>
      </c>
      <c r="N113" s="477">
        <f t="shared" si="24"/>
        <v>240.55280769299887</v>
      </c>
      <c r="O113" s="477">
        <f t="shared" si="24"/>
        <v>285.13757986093026</v>
      </c>
      <c r="P113" s="477">
        <f t="shared" si="24"/>
        <v>244.04674348782152</v>
      </c>
      <c r="Q113" s="477">
        <f t="shared" si="24"/>
        <v>249.45966486702025</v>
      </c>
      <c r="R113" s="477">
        <f t="shared" si="24"/>
        <v>239.90645568520114</v>
      </c>
      <c r="S113" s="477">
        <f t="shared" si="24"/>
        <v>249.48351914680421</v>
      </c>
      <c r="T113" s="477">
        <f t="shared" si="24"/>
        <v>285.93899673521094</v>
      </c>
      <c r="U113" s="477">
        <f t="shared" si="25"/>
        <v>260.18709301472381</v>
      </c>
      <c r="V113" s="477">
        <f t="shared" si="25"/>
        <v>251.0946573421873</v>
      </c>
      <c r="W113" s="477">
        <f t="shared" si="25"/>
        <v>250.07752288479364</v>
      </c>
      <c r="X113" s="477">
        <f t="shared" si="25"/>
        <v>287.38018089107823</v>
      </c>
      <c r="Y113" s="477">
        <f t="shared" si="25"/>
        <v>268.52788082929573</v>
      </c>
      <c r="Z113" s="477">
        <f t="shared" si="25"/>
        <v>278.54742359198076</v>
      </c>
      <c r="AA113" s="477">
        <f t="shared" si="25"/>
        <v>292.44853547405359</v>
      </c>
      <c r="AB113" s="477">
        <f t="shared" si="25"/>
        <v>245.3860382195642</v>
      </c>
      <c r="AC113" s="477">
        <f t="shared" si="25"/>
        <v>240.95426592163764</v>
      </c>
      <c r="AD113" s="477">
        <f t="shared" si="25"/>
        <v>277.99457467326425</v>
      </c>
      <c r="AE113" s="477">
        <f t="shared" si="26"/>
        <v>247.23347634683762</v>
      </c>
      <c r="AF113" s="477">
        <f t="shared" si="26"/>
        <v>258.08129408415135</v>
      </c>
      <c r="AG113" s="477">
        <f t="shared" si="26"/>
        <v>256.68769329797095</v>
      </c>
      <c r="AH113" s="477">
        <f t="shared" si="26"/>
        <v>255.68787216338902</v>
      </c>
      <c r="AI113" s="477">
        <f t="shared" si="26"/>
        <v>239.32541752349098</v>
      </c>
      <c r="AJ113" s="477">
        <f t="shared" si="26"/>
        <v>263.24213332818437</v>
      </c>
      <c r="AK113" s="477">
        <f t="shared" si="26"/>
        <v>279.16196695111796</v>
      </c>
      <c r="AL113" s="477">
        <f t="shared" si="26"/>
        <v>300.00128139435958</v>
      </c>
    </row>
    <row r="114" spans="1:38" x14ac:dyDescent="0.3">
      <c r="A114" s="201"/>
      <c r="B114" s="201"/>
      <c r="D114" s="287"/>
      <c r="E114" s="287"/>
      <c r="F114" s="411"/>
      <c r="G114" s="608"/>
      <c r="H114" s="427">
        <v>2050</v>
      </c>
      <c r="I114" s="513">
        <f>'S2'!H24*Legend!$B$38</f>
        <v>288.12663593502822</v>
      </c>
      <c r="J114" s="411" t="s">
        <v>409</v>
      </c>
      <c r="K114" s="477">
        <f t="shared" si="24"/>
        <v>233.29146854748089</v>
      </c>
      <c r="L114" s="477">
        <f t="shared" si="24"/>
        <v>242.03729017560562</v>
      </c>
      <c r="M114" s="477">
        <f t="shared" si="24"/>
        <v>233.26709472544749</v>
      </c>
      <c r="N114" s="477">
        <f t="shared" si="24"/>
        <v>236.99784009162454</v>
      </c>
      <c r="O114" s="477">
        <f t="shared" si="24"/>
        <v>280.92372400091654</v>
      </c>
      <c r="P114" s="477">
        <f t="shared" si="24"/>
        <v>240.4401413673119</v>
      </c>
      <c r="Q114" s="477">
        <f t="shared" si="24"/>
        <v>245.77306883450274</v>
      </c>
      <c r="R114" s="477">
        <f t="shared" si="24"/>
        <v>236.36104008394204</v>
      </c>
      <c r="S114" s="477">
        <f t="shared" si="24"/>
        <v>245.79657058798449</v>
      </c>
      <c r="T114" s="477">
        <f t="shared" si="24"/>
        <v>281.71329727606997</v>
      </c>
      <c r="U114" s="477">
        <f t="shared" si="25"/>
        <v>256.34196356130428</v>
      </c>
      <c r="V114" s="477">
        <f t="shared" si="25"/>
        <v>247.38389885929789</v>
      </c>
      <c r="W114" s="477">
        <f t="shared" si="25"/>
        <v>246.38179594560955</v>
      </c>
      <c r="X114" s="477">
        <f t="shared" si="25"/>
        <v>283.13318314391944</v>
      </c>
      <c r="Y114" s="477">
        <f t="shared" si="25"/>
        <v>264.55948850176924</v>
      </c>
      <c r="Z114" s="477">
        <f t="shared" si="25"/>
        <v>274.43095920392199</v>
      </c>
      <c r="AA114" s="477">
        <f t="shared" si="25"/>
        <v>288.12663593502822</v>
      </c>
      <c r="AB114" s="477">
        <f t="shared" si="25"/>
        <v>241.75964356607315</v>
      </c>
      <c r="AC114" s="477">
        <f t="shared" si="25"/>
        <v>237.39336544003714</v>
      </c>
      <c r="AD114" s="477">
        <f t="shared" si="25"/>
        <v>273.88628046627025</v>
      </c>
      <c r="AE114" s="477">
        <f t="shared" si="26"/>
        <v>243.57977965205683</v>
      </c>
      <c r="AF114" s="477">
        <f t="shared" si="26"/>
        <v>254.26728481197185</v>
      </c>
      <c r="AG114" s="477">
        <f t="shared" si="26"/>
        <v>252.89427911130144</v>
      </c>
      <c r="AH114" s="477">
        <f t="shared" si="26"/>
        <v>251.9092336585114</v>
      </c>
      <c r="AI114" s="477">
        <f t="shared" si="26"/>
        <v>235.7885886930946</v>
      </c>
      <c r="AJ114" s="477">
        <f t="shared" si="26"/>
        <v>259.35185549574823</v>
      </c>
      <c r="AK114" s="477">
        <f t="shared" si="26"/>
        <v>275.03642064149557</v>
      </c>
      <c r="AL114" s="477">
        <f t="shared" si="26"/>
        <v>295.56776492055133</v>
      </c>
    </row>
    <row r="115" spans="1:38" x14ac:dyDescent="0.3">
      <c r="A115" s="201" t="str">
        <f>Legend!A$46</f>
        <v>Air conditioning</v>
      </c>
      <c r="B115" s="201" t="str">
        <f>'SRV_New Techs'!K$26</f>
        <v>S-AC_GAS01</v>
      </c>
      <c r="C115" s="201" t="str">
        <f>'SRV_New Techs'!C$26</f>
        <v>Natural gas, Biogas</v>
      </c>
      <c r="D115" s="287" t="str">
        <f>'SRV_New Techs'!D$26</f>
        <v>SRVGAS, SRVBGS, SRVH2G, SRVH2B, SRVEFUM</v>
      </c>
      <c r="E115" s="287" t="str">
        <f>'SRV_New Techs'!F$23</f>
        <v>Air conditioning (Ord.)</v>
      </c>
      <c r="F115" s="424"/>
      <c r="G115" s="608"/>
      <c r="H115" s="427">
        <v>2020</v>
      </c>
      <c r="I115" s="513">
        <f>'S2'!B25*Legend!$B$38</f>
        <v>736.3340985000001</v>
      </c>
      <c r="J115" s="411" t="s">
        <v>409</v>
      </c>
      <c r="K115" s="477">
        <f t="shared" si="24"/>
        <v>596.19778859801943</v>
      </c>
      <c r="L115" s="477">
        <f t="shared" si="24"/>
        <v>618.54853955614738</v>
      </c>
      <c r="M115" s="477">
        <f t="shared" si="24"/>
        <v>596.13549905572938</v>
      </c>
      <c r="N115" s="477">
        <f t="shared" si="24"/>
        <v>605.66976171430736</v>
      </c>
      <c r="O115" s="477">
        <f t="shared" si="24"/>
        <v>717.92639506651744</v>
      </c>
      <c r="P115" s="477">
        <f t="shared" si="24"/>
        <v>614.4668789900951</v>
      </c>
      <c r="Q115" s="477">
        <f t="shared" si="24"/>
        <v>628.09566525685796</v>
      </c>
      <c r="R115" s="477">
        <f t="shared" si="24"/>
        <v>604.04236076937207</v>
      </c>
      <c r="S115" s="477">
        <f t="shared" si="24"/>
        <v>628.15572614781649</v>
      </c>
      <c r="T115" s="477">
        <f t="shared" si="24"/>
        <v>719.94422213714927</v>
      </c>
      <c r="U115" s="477">
        <f t="shared" si="25"/>
        <v>655.1054470687543</v>
      </c>
      <c r="V115" s="477">
        <f t="shared" si="25"/>
        <v>632.212289429056</v>
      </c>
      <c r="W115" s="477">
        <f t="shared" si="25"/>
        <v>629.65132333454574</v>
      </c>
      <c r="X115" s="477">
        <f t="shared" si="25"/>
        <v>723.57287096749076</v>
      </c>
      <c r="Y115" s="477">
        <f t="shared" si="25"/>
        <v>676.10608728829652</v>
      </c>
      <c r="Z115" s="477">
        <f t="shared" si="25"/>
        <v>701.33353790823105</v>
      </c>
      <c r="AA115" s="477">
        <f t="shared" si="25"/>
        <v>736.3340985000001</v>
      </c>
      <c r="AB115" s="477">
        <f t="shared" si="25"/>
        <v>617.83898812828932</v>
      </c>
      <c r="AC115" s="477">
        <f t="shared" si="25"/>
        <v>606.68056309305587</v>
      </c>
      <c r="AD115" s="477">
        <f t="shared" si="25"/>
        <v>699.94156133529327</v>
      </c>
      <c r="AE115" s="477">
        <f t="shared" si="26"/>
        <v>622.4905131761933</v>
      </c>
      <c r="AF115" s="477">
        <f t="shared" si="26"/>
        <v>649.80341485083989</v>
      </c>
      <c r="AG115" s="477">
        <f t="shared" si="26"/>
        <v>646.29457259626099</v>
      </c>
      <c r="AH115" s="477">
        <f t="shared" si="26"/>
        <v>643.77719841074747</v>
      </c>
      <c r="AI115" s="477">
        <f t="shared" si="26"/>
        <v>602.57940862873852</v>
      </c>
      <c r="AJ115" s="477">
        <f t="shared" si="26"/>
        <v>662.79750253227951</v>
      </c>
      <c r="AK115" s="477">
        <f t="shared" si="26"/>
        <v>702.88085025707198</v>
      </c>
      <c r="AL115" s="477">
        <f t="shared" si="26"/>
        <v>755.35058750177677</v>
      </c>
    </row>
    <row r="116" spans="1:38" x14ac:dyDescent="0.3">
      <c r="A116" s="201" t="str">
        <f>Legend!A$46</f>
        <v>Air conditioning</v>
      </c>
      <c r="B116" s="201" t="str">
        <f>'SRV_New Techs'!K$27</f>
        <v>S-AC_GAS02</v>
      </c>
      <c r="C116" s="201" t="str">
        <f>'SRV_New Techs'!C$27</f>
        <v>Natural gas, Biogas</v>
      </c>
      <c r="D116" s="287" t="str">
        <f>'SRV_New Techs'!D$27</f>
        <v>SRVGAS, SRVBGS, SRVH2G, SRVH2B, SRVEFUM</v>
      </c>
      <c r="E116" s="287" t="str">
        <f>'SRV_New Techs'!F$24</f>
        <v>Air conditioning (Imp.)</v>
      </c>
      <c r="F116" s="411"/>
      <c r="G116" s="608"/>
      <c r="H116" s="427">
        <v>2030</v>
      </c>
      <c r="I116" s="513">
        <f>'S2'!D25*Legend!$B$38</f>
        <v>668.11959760000013</v>
      </c>
      <c r="J116" s="411" t="s">
        <v>409</v>
      </c>
      <c r="K116" s="477">
        <f t="shared" si="24"/>
        <v>540.96561251144976</v>
      </c>
      <c r="L116" s="477">
        <f t="shared" si="24"/>
        <v>561.24577441977715</v>
      </c>
      <c r="M116" s="477">
        <f t="shared" si="24"/>
        <v>540.9090935155017</v>
      </c>
      <c r="N116" s="477">
        <f t="shared" si="24"/>
        <v>549.56009547757071</v>
      </c>
      <c r="O116" s="477">
        <f t="shared" si="24"/>
        <v>651.41719656251985</v>
      </c>
      <c r="P116" s="477">
        <f t="shared" si="24"/>
        <v>557.54224171568808</v>
      </c>
      <c r="Q116" s="477">
        <f t="shared" si="24"/>
        <v>569.908447782846</v>
      </c>
      <c r="R116" s="477">
        <f t="shared" si="24"/>
        <v>548.08345808337833</v>
      </c>
      <c r="S116" s="477">
        <f t="shared" si="24"/>
        <v>569.96294459126557</v>
      </c>
      <c r="T116" s="477">
        <f t="shared" si="24"/>
        <v>653.24809073569918</v>
      </c>
      <c r="U116" s="477">
        <f t="shared" si="25"/>
        <v>594.41602469961435</v>
      </c>
      <c r="V116" s="477">
        <f t="shared" si="25"/>
        <v>573.64370504039027</v>
      </c>
      <c r="W116" s="477">
        <f t="shared" si="25"/>
        <v>571.31998861870477</v>
      </c>
      <c r="X116" s="477">
        <f t="shared" si="25"/>
        <v>656.54057902504792</v>
      </c>
      <c r="Y116" s="477">
        <f t="shared" si="25"/>
        <v>613.47115106332012</v>
      </c>
      <c r="Z116" s="477">
        <f t="shared" si="25"/>
        <v>636.36151318426505</v>
      </c>
      <c r="AA116" s="477">
        <f t="shared" si="25"/>
        <v>668.11959760000013</v>
      </c>
      <c r="AB116" s="477">
        <f t="shared" si="25"/>
        <v>560.60195632765988</v>
      </c>
      <c r="AC116" s="477">
        <f t="shared" si="25"/>
        <v>550.47725551646977</v>
      </c>
      <c r="AD116" s="477">
        <f t="shared" si="25"/>
        <v>635.09849028518397</v>
      </c>
      <c r="AE116" s="477">
        <f t="shared" si="26"/>
        <v>564.82256087329051</v>
      </c>
      <c r="AF116" s="477">
        <f t="shared" si="26"/>
        <v>589.60517641877084</v>
      </c>
      <c r="AG116" s="477">
        <f t="shared" si="26"/>
        <v>586.42139574102305</v>
      </c>
      <c r="AH116" s="477">
        <f t="shared" si="26"/>
        <v>584.13723284369132</v>
      </c>
      <c r="AI116" s="477">
        <f t="shared" si="26"/>
        <v>546.75603484235319</v>
      </c>
      <c r="AJ116" s="477">
        <f t="shared" si="26"/>
        <v>601.39548281716793</v>
      </c>
      <c r="AK116" s="477">
        <f t="shared" si="26"/>
        <v>637.76548144537787</v>
      </c>
      <c r="AL116" s="477">
        <f t="shared" si="26"/>
        <v>685.3743858890582</v>
      </c>
    </row>
    <row r="117" spans="1:38" x14ac:dyDescent="0.3">
      <c r="A117" s="201"/>
      <c r="B117" s="201"/>
      <c r="D117" s="287"/>
      <c r="E117" s="287"/>
      <c r="F117" s="411"/>
      <c r="G117" s="608"/>
      <c r="H117" s="427">
        <v>2050</v>
      </c>
      <c r="I117" s="513">
        <f>'S2'!G25*Legend!$B$38</f>
        <v>447.69113188800009</v>
      </c>
      <c r="J117" s="411" t="s">
        <v>409</v>
      </c>
      <c r="K117" s="477">
        <f t="shared" si="24"/>
        <v>362.48825546759588</v>
      </c>
      <c r="L117" s="477">
        <f t="shared" si="24"/>
        <v>376.07751205013767</v>
      </c>
      <c r="M117" s="477">
        <f t="shared" si="24"/>
        <v>362.4503834258835</v>
      </c>
      <c r="N117" s="477">
        <f t="shared" si="24"/>
        <v>368.24721512229894</v>
      </c>
      <c r="O117" s="477">
        <f t="shared" si="24"/>
        <v>436.49924820044265</v>
      </c>
      <c r="P117" s="477">
        <f t="shared" si="24"/>
        <v>373.59586242597788</v>
      </c>
      <c r="Q117" s="477">
        <f t="shared" si="24"/>
        <v>381.88216447616963</v>
      </c>
      <c r="R117" s="477">
        <f t="shared" si="24"/>
        <v>367.2577553477783</v>
      </c>
      <c r="S117" s="477">
        <f t="shared" si="24"/>
        <v>381.91868149787246</v>
      </c>
      <c r="T117" s="477">
        <f t="shared" si="24"/>
        <v>437.72608705938683</v>
      </c>
      <c r="U117" s="477">
        <f t="shared" si="25"/>
        <v>398.30411181780266</v>
      </c>
      <c r="V117" s="477">
        <f t="shared" si="25"/>
        <v>384.38507197286606</v>
      </c>
      <c r="W117" s="477">
        <f t="shared" si="25"/>
        <v>382.82800458740383</v>
      </c>
      <c r="X117" s="477">
        <f t="shared" si="25"/>
        <v>439.93230554823441</v>
      </c>
      <c r="Y117" s="477">
        <f t="shared" si="25"/>
        <v>411.07250107128431</v>
      </c>
      <c r="Z117" s="477">
        <f t="shared" si="25"/>
        <v>426.41079104820449</v>
      </c>
      <c r="AA117" s="477">
        <f t="shared" si="25"/>
        <v>447.69113188800009</v>
      </c>
      <c r="AB117" s="477">
        <f t="shared" si="25"/>
        <v>375.6461047819999</v>
      </c>
      <c r="AC117" s="477">
        <f t="shared" si="25"/>
        <v>368.86178236057799</v>
      </c>
      <c r="AD117" s="477">
        <f t="shared" si="25"/>
        <v>425.56446929185836</v>
      </c>
      <c r="AE117" s="477">
        <f t="shared" si="26"/>
        <v>378.47423201112554</v>
      </c>
      <c r="AF117" s="477">
        <f t="shared" si="26"/>
        <v>395.0804762293107</v>
      </c>
      <c r="AG117" s="477">
        <f t="shared" si="26"/>
        <v>392.94710013852671</v>
      </c>
      <c r="AH117" s="477">
        <f t="shared" si="26"/>
        <v>391.41653663373449</v>
      </c>
      <c r="AI117" s="477">
        <f t="shared" si="26"/>
        <v>366.36828044627299</v>
      </c>
      <c r="AJ117" s="477">
        <f t="shared" si="26"/>
        <v>402.98088153962601</v>
      </c>
      <c r="AK117" s="477">
        <f t="shared" si="26"/>
        <v>427.35155695629976</v>
      </c>
      <c r="AL117" s="477">
        <f t="shared" si="26"/>
        <v>459.25315720108034</v>
      </c>
    </row>
    <row r="118" spans="1:38" x14ac:dyDescent="0.3">
      <c r="A118" s="201" t="str">
        <f>Legend!A$46</f>
        <v>Air conditioning</v>
      </c>
      <c r="B118" s="201" t="str">
        <f>'SRV_New Techs'!K$28</f>
        <v>S-AC_GAS03</v>
      </c>
      <c r="C118" s="201" t="str">
        <f>'SRV_New Techs'!C$28</f>
        <v>Natural gas, Biogas</v>
      </c>
      <c r="D118" s="287" t="str">
        <f>'SRV_New Techs'!D$28</f>
        <v>SRVGAS, SRVBGS, SRVH2G, SRVH2B, SRVEFUM</v>
      </c>
      <c r="E118" s="287" t="str">
        <f>'SRV_New Techs'!F$25</f>
        <v>Air conditioning (Adv.)</v>
      </c>
      <c r="F118" s="411"/>
      <c r="G118" s="608"/>
      <c r="H118" s="427">
        <v>2030</v>
      </c>
      <c r="I118" s="513">
        <f>'S2'!E25*Legend!$B$38</f>
        <v>732.49623592600017</v>
      </c>
      <c r="J118" s="411" t="s">
        <v>409</v>
      </c>
      <c r="K118" s="477">
        <f t="shared" ref="K118:T127" si="27">$I118*K$145</f>
        <v>593.09033345744797</v>
      </c>
      <c r="L118" s="477">
        <f t="shared" si="27"/>
        <v>615.32458959240034</v>
      </c>
      <c r="M118" s="477">
        <f t="shared" si="27"/>
        <v>593.02836857580269</v>
      </c>
      <c r="N118" s="477">
        <f t="shared" si="27"/>
        <v>602.51293750173591</v>
      </c>
      <c r="O118" s="477">
        <f t="shared" si="27"/>
        <v>714.18447567404962</v>
      </c>
      <c r="P118" s="477">
        <f t="shared" si="27"/>
        <v>611.26420313596498</v>
      </c>
      <c r="Q118" s="477">
        <f t="shared" si="27"/>
        <v>624.82195451673135</v>
      </c>
      <c r="R118" s="477">
        <f t="shared" si="27"/>
        <v>600.89401876778641</v>
      </c>
      <c r="S118" s="477">
        <f t="shared" si="27"/>
        <v>624.88170236304609</v>
      </c>
      <c r="T118" s="477">
        <f t="shared" si="27"/>
        <v>716.1917855854042</v>
      </c>
      <c r="U118" s="477">
        <f t="shared" ref="U118:AD127" si="28">$I118*U$145</f>
        <v>651.69095807191115</v>
      </c>
      <c r="V118" s="477">
        <f t="shared" si="28"/>
        <v>628.91712234475915</v>
      </c>
      <c r="W118" s="477">
        <f t="shared" si="28"/>
        <v>626.36950431595358</v>
      </c>
      <c r="X118" s="477">
        <f t="shared" si="28"/>
        <v>719.80152145820568</v>
      </c>
      <c r="Y118" s="477">
        <f t="shared" si="28"/>
        <v>672.58214040909695</v>
      </c>
      <c r="Z118" s="477">
        <f t="shared" si="28"/>
        <v>697.67810249852755</v>
      </c>
      <c r="AA118" s="477">
        <f t="shared" si="28"/>
        <v>732.49623592600017</v>
      </c>
      <c r="AB118" s="477">
        <f t="shared" si="28"/>
        <v>614.61873643259037</v>
      </c>
      <c r="AC118" s="477">
        <f t="shared" si="28"/>
        <v>603.518470461177</v>
      </c>
      <c r="AD118" s="477">
        <f t="shared" si="28"/>
        <v>696.29338107621243</v>
      </c>
      <c r="AE118" s="477">
        <f t="shared" ref="AE118:AL127" si="29">$I118*AE$145</f>
        <v>619.24601716812344</v>
      </c>
      <c r="AF118" s="477">
        <f t="shared" si="29"/>
        <v>646.41656068858708</v>
      </c>
      <c r="AG118" s="477">
        <f t="shared" si="29"/>
        <v>642.92600694515329</v>
      </c>
      <c r="AH118" s="477">
        <f t="shared" si="29"/>
        <v>640.42175361903094</v>
      </c>
      <c r="AI118" s="477">
        <f t="shared" si="29"/>
        <v>599.43869171103722</v>
      </c>
      <c r="AJ118" s="477">
        <f t="shared" si="29"/>
        <v>659.34292160999019</v>
      </c>
      <c r="AK118" s="477">
        <f t="shared" si="29"/>
        <v>699.21735006785332</v>
      </c>
      <c r="AL118" s="477">
        <f t="shared" si="29"/>
        <v>751.41360868207062</v>
      </c>
    </row>
    <row r="119" spans="1:38" x14ac:dyDescent="0.3">
      <c r="A119" s="201"/>
      <c r="B119" s="201"/>
      <c r="D119" s="287"/>
      <c r="E119" s="287"/>
      <c r="F119" s="411"/>
      <c r="G119" s="608"/>
      <c r="H119" s="427">
        <v>2050</v>
      </c>
      <c r="I119" s="513">
        <f>'S2'!H25*Legend!$B$38</f>
        <v>494.08209264959982</v>
      </c>
      <c r="J119" s="411" t="s">
        <v>409</v>
      </c>
      <c r="K119" s="477">
        <f t="shared" si="27"/>
        <v>400.05026471495552</v>
      </c>
      <c r="L119" s="477">
        <f t="shared" si="27"/>
        <v>415.04767666175798</v>
      </c>
      <c r="M119" s="477">
        <f t="shared" si="27"/>
        <v>400.00846827028789</v>
      </c>
      <c r="N119" s="477">
        <f t="shared" si="27"/>
        <v>406.40598327851228</v>
      </c>
      <c r="O119" s="477">
        <f t="shared" si="27"/>
        <v>481.73047583351627</v>
      </c>
      <c r="P119" s="477">
        <f t="shared" si="27"/>
        <v>412.30887182022116</v>
      </c>
      <c r="Q119" s="477">
        <f t="shared" si="27"/>
        <v>421.45382280466379</v>
      </c>
      <c r="R119" s="477">
        <f t="shared" si="27"/>
        <v>405.31399301744528</v>
      </c>
      <c r="S119" s="477">
        <f t="shared" si="27"/>
        <v>421.4941238184993</v>
      </c>
      <c r="T119" s="477">
        <f t="shared" si="27"/>
        <v>483.0844430390195</v>
      </c>
      <c r="U119" s="477">
        <f t="shared" si="28"/>
        <v>439.5774565557237</v>
      </c>
      <c r="V119" s="477">
        <f t="shared" si="28"/>
        <v>424.21608831673905</v>
      </c>
      <c r="W119" s="477">
        <f t="shared" si="28"/>
        <v>422.49767341546266</v>
      </c>
      <c r="X119" s="477">
        <f t="shared" si="28"/>
        <v>485.51927582924054</v>
      </c>
      <c r="Y119" s="477">
        <f t="shared" si="28"/>
        <v>453.66894069015393</v>
      </c>
      <c r="Z119" s="477">
        <f t="shared" si="28"/>
        <v>470.59662558197579</v>
      </c>
      <c r="AA119" s="477">
        <f t="shared" si="28"/>
        <v>494.08209264959982</v>
      </c>
      <c r="AB119" s="477">
        <f t="shared" si="28"/>
        <v>414.57156581067443</v>
      </c>
      <c r="AC119" s="477">
        <f t="shared" si="28"/>
        <v>407.08423362911066</v>
      </c>
      <c r="AD119" s="477">
        <f t="shared" si="28"/>
        <v>469.66260568601103</v>
      </c>
      <c r="AE119" s="477">
        <f t="shared" si="29"/>
        <v>417.69275119970126</v>
      </c>
      <c r="AF119" s="477">
        <f t="shared" si="29"/>
        <v>436.01977916599088</v>
      </c>
      <c r="AG119" s="477">
        <f t="shared" si="29"/>
        <v>433.66533689929247</v>
      </c>
      <c r="AH119" s="477">
        <f t="shared" si="29"/>
        <v>431.97617228217865</v>
      </c>
      <c r="AI119" s="477">
        <f t="shared" si="29"/>
        <v>404.3323483312044</v>
      </c>
      <c r="AJ119" s="477">
        <f t="shared" si="29"/>
        <v>444.73884575111401</v>
      </c>
      <c r="AK119" s="477">
        <f t="shared" si="29"/>
        <v>471.63487618704119</v>
      </c>
      <c r="AL119" s="477">
        <f t="shared" si="29"/>
        <v>506.84220616326991</v>
      </c>
    </row>
    <row r="120" spans="1:38" x14ac:dyDescent="0.3">
      <c r="A120" s="201" t="str">
        <f>Legend!A$46</f>
        <v>Air conditioning</v>
      </c>
      <c r="B120" s="201" t="str">
        <f>'SRV_New Techs'!K$29</f>
        <v>S-AC_HET01</v>
      </c>
      <c r="C120" s="201" t="str">
        <f>'SRV_New Techs'!C$29</f>
        <v>Heat</v>
      </c>
      <c r="D120" s="287" t="str">
        <f>'SRV_New Techs'!D$29</f>
        <v>SRVHET</v>
      </c>
      <c r="E120" s="287" t="str">
        <f>'SRV_New Techs'!F$23</f>
        <v>Air conditioning (Ord.)</v>
      </c>
      <c r="F120" s="424"/>
      <c r="G120" s="608"/>
      <c r="H120" s="427">
        <v>2020</v>
      </c>
      <c r="I120" s="513">
        <f>'S2'!B26*Legend!$B$38</f>
        <v>197.59481622682907</v>
      </c>
      <c r="J120" s="411" t="s">
        <v>409</v>
      </c>
      <c r="K120" s="477">
        <f t="shared" si="27"/>
        <v>159.9893210335519</v>
      </c>
      <c r="L120" s="477">
        <f t="shared" si="27"/>
        <v>165.98713172451357</v>
      </c>
      <c r="M120" s="477">
        <f t="shared" si="27"/>
        <v>159.97260567202412</v>
      </c>
      <c r="N120" s="477">
        <f t="shared" si="27"/>
        <v>162.53111937078913</v>
      </c>
      <c r="O120" s="477">
        <f t="shared" si="27"/>
        <v>192.6551199877081</v>
      </c>
      <c r="P120" s="477">
        <f t="shared" si="27"/>
        <v>164.89182054567183</v>
      </c>
      <c r="Q120" s="477">
        <f t="shared" si="27"/>
        <v>168.54909721296409</v>
      </c>
      <c r="R120" s="477">
        <f t="shared" si="27"/>
        <v>162.0944072977004</v>
      </c>
      <c r="S120" s="477">
        <f t="shared" si="27"/>
        <v>168.56521451723609</v>
      </c>
      <c r="T120" s="477">
        <f t="shared" si="27"/>
        <v>193.1966026788007</v>
      </c>
      <c r="U120" s="477">
        <f t="shared" si="28"/>
        <v>175.79715605516697</v>
      </c>
      <c r="V120" s="477">
        <f t="shared" si="28"/>
        <v>169.65379085466483</v>
      </c>
      <c r="W120" s="477">
        <f t="shared" si="28"/>
        <v>168.96655713041011</v>
      </c>
      <c r="X120" s="477">
        <f t="shared" si="28"/>
        <v>194.17034842851356</v>
      </c>
      <c r="Y120" s="477">
        <f t="shared" si="28"/>
        <v>181.43266533455449</v>
      </c>
      <c r="Z120" s="477">
        <f t="shared" si="28"/>
        <v>188.20243666427021</v>
      </c>
      <c r="AA120" s="477">
        <f t="shared" si="28"/>
        <v>197.59481622682907</v>
      </c>
      <c r="AB120" s="477">
        <f t="shared" si="28"/>
        <v>165.7967240219819</v>
      </c>
      <c r="AC120" s="477">
        <f t="shared" si="28"/>
        <v>162.80236731799477</v>
      </c>
      <c r="AD120" s="477">
        <f t="shared" si="28"/>
        <v>187.82890058101401</v>
      </c>
      <c r="AE120" s="477">
        <f t="shared" si="29"/>
        <v>167.04495799469541</v>
      </c>
      <c r="AF120" s="477">
        <f t="shared" si="29"/>
        <v>174.37435887130476</v>
      </c>
      <c r="AG120" s="477">
        <f t="shared" si="29"/>
        <v>173.4327631447523</v>
      </c>
      <c r="AH120" s="477">
        <f t="shared" si="29"/>
        <v>172.75722728328125</v>
      </c>
      <c r="AI120" s="477">
        <f t="shared" si="29"/>
        <v>161.70182496317858</v>
      </c>
      <c r="AJ120" s="477">
        <f t="shared" si="29"/>
        <v>177.86131455172185</v>
      </c>
      <c r="AK120" s="477">
        <f t="shared" si="29"/>
        <v>188.61765701035708</v>
      </c>
      <c r="AL120" s="477">
        <f t="shared" si="29"/>
        <v>202.69787971015842</v>
      </c>
    </row>
    <row r="121" spans="1:38" x14ac:dyDescent="0.3">
      <c r="A121" s="201" t="str">
        <f>Legend!A$46</f>
        <v>Air conditioning</v>
      </c>
      <c r="B121" s="201" t="str">
        <f>'SRV_New Techs'!K$30</f>
        <v>S-AC_HET02</v>
      </c>
      <c r="C121" s="201" t="str">
        <f>'SRV_New Techs'!C$30</f>
        <v>Heat</v>
      </c>
      <c r="D121" s="287" t="str">
        <f>'SRV_New Techs'!D$30</f>
        <v>SRVHET</v>
      </c>
      <c r="E121" s="287" t="str">
        <f>'SRV_New Techs'!F$24</f>
        <v>Air conditioning (Imp.)</v>
      </c>
      <c r="F121" s="211"/>
      <c r="G121" s="608"/>
      <c r="H121" s="427">
        <v>2030</v>
      </c>
      <c r="I121" s="513">
        <f>'S2'!D26*Legend!$B$38</f>
        <v>208.40486303000003</v>
      </c>
      <c r="J121" s="411" t="s">
        <v>409</v>
      </c>
      <c r="K121" s="477">
        <f t="shared" si="27"/>
        <v>168.742040772894</v>
      </c>
      <c r="L121" s="477">
        <f t="shared" si="27"/>
        <v>175.06798058952779</v>
      </c>
      <c r="M121" s="477">
        <f t="shared" si="27"/>
        <v>168.72441094486402</v>
      </c>
      <c r="N121" s="477">
        <f t="shared" si="27"/>
        <v>171.42289619429187</v>
      </c>
      <c r="O121" s="477">
        <f t="shared" si="27"/>
        <v>203.19492514912949</v>
      </c>
      <c r="P121" s="477">
        <f t="shared" si="27"/>
        <v>173.91274696265117</v>
      </c>
      <c r="Q121" s="477">
        <f t="shared" si="27"/>
        <v>177.77010646966826</v>
      </c>
      <c r="R121" s="477">
        <f t="shared" si="27"/>
        <v>170.96229241169502</v>
      </c>
      <c r="S121" s="477">
        <f t="shared" si="27"/>
        <v>177.78710552183654</v>
      </c>
      <c r="T121" s="477">
        <f t="shared" si="27"/>
        <v>203.76603135639317</v>
      </c>
      <c r="U121" s="477">
        <f t="shared" si="28"/>
        <v>185.41469320067168</v>
      </c>
      <c r="V121" s="477">
        <f t="shared" si="28"/>
        <v>178.93523585658735</v>
      </c>
      <c r="W121" s="477">
        <f t="shared" si="28"/>
        <v>178.21040484680779</v>
      </c>
      <c r="X121" s="477">
        <f t="shared" si="28"/>
        <v>204.79304893443526</v>
      </c>
      <c r="Y121" s="477">
        <f t="shared" si="28"/>
        <v>191.35851076583907</v>
      </c>
      <c r="Z121" s="477">
        <f t="shared" si="28"/>
        <v>198.49864375948115</v>
      </c>
      <c r="AA121" s="477">
        <f t="shared" si="28"/>
        <v>208.40486303000003</v>
      </c>
      <c r="AB121" s="477">
        <f t="shared" si="28"/>
        <v>174.86715603388552</v>
      </c>
      <c r="AC121" s="477">
        <f t="shared" si="28"/>
        <v>171.70898361482247</v>
      </c>
      <c r="AD121" s="477">
        <f t="shared" si="28"/>
        <v>198.10467220823151</v>
      </c>
      <c r="AE121" s="477">
        <f t="shared" si="29"/>
        <v>176.18367857774683</v>
      </c>
      <c r="AF121" s="477">
        <f t="shared" si="29"/>
        <v>183.91405741535894</v>
      </c>
      <c r="AG121" s="477">
        <f t="shared" si="29"/>
        <v>182.92094872875992</v>
      </c>
      <c r="AH121" s="477">
        <f t="shared" si="29"/>
        <v>182.20845555019338</v>
      </c>
      <c r="AI121" s="477">
        <f t="shared" si="29"/>
        <v>170.54823262401266</v>
      </c>
      <c r="AJ121" s="477">
        <f t="shared" si="29"/>
        <v>187.59177798943912</v>
      </c>
      <c r="AK121" s="477">
        <f t="shared" si="29"/>
        <v>198.93658004245614</v>
      </c>
      <c r="AL121" s="477">
        <f t="shared" si="29"/>
        <v>213.78710567474533</v>
      </c>
    </row>
    <row r="122" spans="1:38" x14ac:dyDescent="0.3">
      <c r="A122" s="201"/>
      <c r="B122" s="201"/>
      <c r="D122" s="287"/>
      <c r="E122" s="287"/>
      <c r="F122" s="211"/>
      <c r="G122" s="608"/>
      <c r="H122" s="427">
        <v>2050</v>
      </c>
      <c r="I122" s="513">
        <f>'S2'!G26*Legend!$B$38</f>
        <v>192.53064740000002</v>
      </c>
      <c r="J122" s="411" t="s">
        <v>409</v>
      </c>
      <c r="K122" s="477">
        <f t="shared" si="27"/>
        <v>155.8889455901315</v>
      </c>
      <c r="L122" s="477">
        <f t="shared" si="27"/>
        <v>161.73303804844721</v>
      </c>
      <c r="M122" s="477">
        <f t="shared" si="27"/>
        <v>155.87265862755868</v>
      </c>
      <c r="N122" s="477">
        <f t="shared" si="27"/>
        <v>158.36560003265873</v>
      </c>
      <c r="O122" s="477">
        <f t="shared" si="27"/>
        <v>187.71755091782535</v>
      </c>
      <c r="P122" s="477">
        <f t="shared" si="27"/>
        <v>160.66579866234522</v>
      </c>
      <c r="Q122" s="477">
        <f t="shared" si="27"/>
        <v>164.22934277711781</v>
      </c>
      <c r="R122" s="477">
        <f t="shared" si="27"/>
        <v>157.94008047822544</v>
      </c>
      <c r="S122" s="477">
        <f t="shared" si="27"/>
        <v>164.24504701007842</v>
      </c>
      <c r="T122" s="477">
        <f t="shared" si="27"/>
        <v>188.24515591811175</v>
      </c>
      <c r="U122" s="477">
        <f t="shared" si="28"/>
        <v>171.29164070542319</v>
      </c>
      <c r="V122" s="477">
        <f t="shared" si="28"/>
        <v>165.30572416240253</v>
      </c>
      <c r="W122" s="477">
        <f t="shared" si="28"/>
        <v>164.63610359050458</v>
      </c>
      <c r="X122" s="477">
        <f t="shared" si="28"/>
        <v>189.19394548240882</v>
      </c>
      <c r="Y122" s="477">
        <f t="shared" si="28"/>
        <v>176.78271719572774</v>
      </c>
      <c r="Z122" s="477">
        <f t="shared" si="28"/>
        <v>183.37898566951148</v>
      </c>
      <c r="AA122" s="477">
        <f t="shared" si="28"/>
        <v>192.53064740000002</v>
      </c>
      <c r="AB122" s="477">
        <f t="shared" si="28"/>
        <v>161.54751031579511</v>
      </c>
      <c r="AC122" s="477">
        <f t="shared" si="28"/>
        <v>158.6298961507384</v>
      </c>
      <c r="AD122" s="477">
        <f t="shared" si="28"/>
        <v>183.01502296386025</v>
      </c>
      <c r="AE122" s="477">
        <f t="shared" si="29"/>
        <v>162.76375322875356</v>
      </c>
      <c r="AF122" s="477">
        <f t="shared" si="29"/>
        <v>169.90530847182134</v>
      </c>
      <c r="AG122" s="477">
        <f t="shared" si="29"/>
        <v>168.98784495590547</v>
      </c>
      <c r="AH122" s="477">
        <f t="shared" si="29"/>
        <v>168.32962244159805</v>
      </c>
      <c r="AI122" s="477">
        <f t="shared" si="29"/>
        <v>157.55755965876972</v>
      </c>
      <c r="AJ122" s="477">
        <f t="shared" si="29"/>
        <v>173.30289676601595</v>
      </c>
      <c r="AK122" s="477">
        <f t="shared" si="29"/>
        <v>183.78356430964132</v>
      </c>
      <c r="AL122" s="477">
        <f t="shared" si="29"/>
        <v>197.50292417795376</v>
      </c>
    </row>
    <row r="123" spans="1:38" x14ac:dyDescent="0.3">
      <c r="A123" s="201" t="str">
        <f>Legend!A$46</f>
        <v>Air conditioning</v>
      </c>
      <c r="B123" s="201" t="str">
        <f>'SRV_New Techs'!K$31</f>
        <v>S-AC_HET03</v>
      </c>
      <c r="C123" s="201" t="str">
        <f>'SRV_New Techs'!C$31</f>
        <v>Heat</v>
      </c>
      <c r="D123" s="287" t="str">
        <f>'SRV_New Techs'!D$31</f>
        <v>SRVHET</v>
      </c>
      <c r="E123" s="287" t="str">
        <f>'SRV_New Techs'!F$25</f>
        <v>Air conditioning (Adv.)</v>
      </c>
      <c r="F123" s="211"/>
      <c r="G123" s="608"/>
      <c r="H123" s="427">
        <v>2030</v>
      </c>
      <c r="I123" s="513">
        <f>'S2'!E26*Legend!$B$38</f>
        <v>238.11323445000005</v>
      </c>
      <c r="J123" s="411" t="s">
        <v>409</v>
      </c>
      <c r="K123" s="477">
        <f t="shared" si="27"/>
        <v>192.79642774143747</v>
      </c>
      <c r="L123" s="477">
        <f t="shared" si="27"/>
        <v>200.02413811620872</v>
      </c>
      <c r="M123" s="477">
        <f t="shared" si="27"/>
        <v>192.77628475958005</v>
      </c>
      <c r="N123" s="477">
        <f t="shared" si="27"/>
        <v>195.85944242449682</v>
      </c>
      <c r="O123" s="477">
        <f t="shared" si="27"/>
        <v>232.16061346956218</v>
      </c>
      <c r="P123" s="477">
        <f t="shared" si="27"/>
        <v>198.70422450458923</v>
      </c>
      <c r="Q123" s="477">
        <f t="shared" si="27"/>
        <v>203.11145538825667</v>
      </c>
      <c r="R123" s="477">
        <f t="shared" si="27"/>
        <v>195.33317900204372</v>
      </c>
      <c r="S123" s="477">
        <f t="shared" si="27"/>
        <v>203.13087767637182</v>
      </c>
      <c r="T123" s="477">
        <f t="shared" si="27"/>
        <v>232.81313157422102</v>
      </c>
      <c r="U123" s="477">
        <f t="shared" si="28"/>
        <v>211.84578742872708</v>
      </c>
      <c r="V123" s="477">
        <f t="shared" si="28"/>
        <v>204.44267541277267</v>
      </c>
      <c r="W123" s="477">
        <f t="shared" si="28"/>
        <v>203.61451884454792</v>
      </c>
      <c r="X123" s="477">
        <f t="shared" si="28"/>
        <v>233.98655178039638</v>
      </c>
      <c r="Y123" s="477">
        <f t="shared" si="28"/>
        <v>218.63690355166992</v>
      </c>
      <c r="Z123" s="477">
        <f t="shared" si="28"/>
        <v>226.79487134954485</v>
      </c>
      <c r="AA123" s="477">
        <f t="shared" si="28"/>
        <v>238.11323445000005</v>
      </c>
      <c r="AB123" s="477">
        <f t="shared" si="28"/>
        <v>199.79468577135589</v>
      </c>
      <c r="AC123" s="477">
        <f t="shared" si="28"/>
        <v>196.18631196126094</v>
      </c>
      <c r="AD123" s="477">
        <f t="shared" si="28"/>
        <v>226.34473866556891</v>
      </c>
      <c r="AE123" s="477">
        <f t="shared" si="29"/>
        <v>201.29888023489889</v>
      </c>
      <c r="AF123" s="477">
        <f t="shared" si="29"/>
        <v>210.13123415306384</v>
      </c>
      <c r="AG123" s="477">
        <f t="shared" si="29"/>
        <v>208.99655659281689</v>
      </c>
      <c r="AH123" s="477">
        <f t="shared" si="29"/>
        <v>208.18249662893004</v>
      </c>
      <c r="AI123" s="477">
        <f t="shared" si="29"/>
        <v>194.86009447864402</v>
      </c>
      <c r="AJ123" s="477">
        <f t="shared" si="29"/>
        <v>214.33321835134757</v>
      </c>
      <c r="AK123" s="477">
        <f t="shared" si="29"/>
        <v>227.29523599222199</v>
      </c>
      <c r="AL123" s="477">
        <f t="shared" si="29"/>
        <v>244.26272245187332</v>
      </c>
    </row>
    <row r="124" spans="1:38" x14ac:dyDescent="0.3">
      <c r="A124" s="201"/>
      <c r="B124" s="201"/>
      <c r="D124" s="287"/>
      <c r="E124" s="287"/>
      <c r="F124" s="211"/>
      <c r="G124" s="608"/>
      <c r="H124" s="427">
        <v>2050</v>
      </c>
      <c r="I124" s="513">
        <f>'S2'!H26*Legend!$B$38</f>
        <v>195.88706886825179</v>
      </c>
      <c r="J124" s="411" t="s">
        <v>409</v>
      </c>
      <c r="K124" s="477">
        <f t="shared" si="27"/>
        <v>158.60658566825782</v>
      </c>
      <c r="L124" s="477">
        <f t="shared" si="27"/>
        <v>164.55255924344729</v>
      </c>
      <c r="M124" s="477">
        <f t="shared" si="27"/>
        <v>158.59001477213172</v>
      </c>
      <c r="N124" s="477">
        <f t="shared" si="27"/>
        <v>161.1264160739504</v>
      </c>
      <c r="O124" s="477">
        <f t="shared" si="27"/>
        <v>190.99006480783075</v>
      </c>
      <c r="P124" s="477">
        <f t="shared" si="27"/>
        <v>163.46671448082137</v>
      </c>
      <c r="Q124" s="477">
        <f t="shared" si="27"/>
        <v>167.09238250226235</v>
      </c>
      <c r="R124" s="477">
        <f t="shared" si="27"/>
        <v>160.69347836045023</v>
      </c>
      <c r="S124" s="477">
        <f t="shared" si="27"/>
        <v>167.1083605099459</v>
      </c>
      <c r="T124" s="477">
        <f t="shared" si="27"/>
        <v>191.5268676411564</v>
      </c>
      <c r="U124" s="477">
        <f t="shared" si="28"/>
        <v>174.27779874290846</v>
      </c>
      <c r="V124" s="477">
        <f t="shared" si="28"/>
        <v>168.18752863819006</v>
      </c>
      <c r="W124" s="477">
        <f t="shared" si="28"/>
        <v>167.50623445020318</v>
      </c>
      <c r="X124" s="477">
        <f t="shared" si="28"/>
        <v>192.49219762489039</v>
      </c>
      <c r="Y124" s="477">
        <f t="shared" si="28"/>
        <v>179.8646021591064</v>
      </c>
      <c r="Z124" s="477">
        <f t="shared" si="28"/>
        <v>186.57586456977629</v>
      </c>
      <c r="AA124" s="477">
        <f t="shared" si="28"/>
        <v>195.88706886825179</v>
      </c>
      <c r="AB124" s="477">
        <f t="shared" si="28"/>
        <v>164.3637971724016</v>
      </c>
      <c r="AC124" s="477">
        <f t="shared" si="28"/>
        <v>161.39531971388013</v>
      </c>
      <c r="AD124" s="477">
        <f t="shared" si="28"/>
        <v>186.20555683669494</v>
      </c>
      <c r="AE124" s="477">
        <f t="shared" si="29"/>
        <v>165.60124306721664</v>
      </c>
      <c r="AF124" s="477">
        <f t="shared" si="29"/>
        <v>172.86729832967481</v>
      </c>
      <c r="AG124" s="477">
        <f t="shared" si="29"/>
        <v>171.93384050696807</v>
      </c>
      <c r="AH124" s="477">
        <f t="shared" si="29"/>
        <v>171.26414308096349</v>
      </c>
      <c r="AI124" s="477">
        <f t="shared" si="29"/>
        <v>160.30428898662245</v>
      </c>
      <c r="AJ124" s="477">
        <f t="shared" si="29"/>
        <v>176.32411739281406</v>
      </c>
      <c r="AK124" s="477">
        <f t="shared" si="29"/>
        <v>186.9874963022406</v>
      </c>
      <c r="AL124" s="477">
        <f t="shared" si="29"/>
        <v>200.94602824323093</v>
      </c>
    </row>
    <row r="125" spans="1:38" x14ac:dyDescent="0.3">
      <c r="A125" s="208" t="str">
        <f>Legend!$A$48</f>
        <v>Street lighting</v>
      </c>
      <c r="B125" s="208" t="str">
        <f>'SRV_New Techs'!K$32</f>
        <v>S-SLIG_ELC01</v>
      </c>
      <c r="C125" s="208" t="str">
        <f>'SRV_New Techs'!C$32</f>
        <v>Electricity</v>
      </c>
      <c r="D125" s="288" t="str">
        <f>'SRV_New Techs'!D$32</f>
        <v>SRVELC</v>
      </c>
      <c r="E125" s="288" t="str">
        <f>'SRV_New Techs'!F$32</f>
        <v>Street lights (Ord.)</v>
      </c>
      <c r="F125" s="426"/>
      <c r="G125" s="426"/>
      <c r="H125" s="426">
        <v>2020</v>
      </c>
      <c r="I125" s="549">
        <f>I130*5</f>
        <v>57.376683000000014</v>
      </c>
      <c r="J125" s="413" t="s">
        <v>664</v>
      </c>
      <c r="K125" s="478">
        <f t="shared" si="27"/>
        <v>46.456970540105416</v>
      </c>
      <c r="L125" s="478">
        <f t="shared" si="27"/>
        <v>48.198587497881626</v>
      </c>
      <c r="M125" s="478">
        <f t="shared" si="27"/>
        <v>46.452116809537365</v>
      </c>
      <c r="N125" s="478">
        <f t="shared" si="27"/>
        <v>47.195046367348631</v>
      </c>
      <c r="O125" s="478">
        <f t="shared" si="27"/>
        <v>55.942316498689678</v>
      </c>
      <c r="P125" s="478">
        <f t="shared" si="27"/>
        <v>47.880536025202225</v>
      </c>
      <c r="Q125" s="478">
        <f t="shared" si="27"/>
        <v>48.942519370664257</v>
      </c>
      <c r="R125" s="478">
        <f t="shared" si="27"/>
        <v>47.068235904106928</v>
      </c>
      <c r="S125" s="478">
        <f t="shared" si="27"/>
        <v>48.947199440089598</v>
      </c>
      <c r="T125" s="478">
        <f t="shared" si="27"/>
        <v>56.099549776920732</v>
      </c>
      <c r="U125" s="478">
        <f t="shared" si="28"/>
        <v>51.047177693669177</v>
      </c>
      <c r="V125" s="478">
        <f t="shared" si="28"/>
        <v>49.263295280186185</v>
      </c>
      <c r="W125" s="478">
        <f t="shared" si="28"/>
        <v>49.063739480613954</v>
      </c>
      <c r="X125" s="478">
        <f t="shared" si="28"/>
        <v>56.382301633830458</v>
      </c>
      <c r="Y125" s="478">
        <f t="shared" si="28"/>
        <v>52.683591217269864</v>
      </c>
      <c r="Z125" s="478">
        <f t="shared" si="28"/>
        <v>54.649366590251773</v>
      </c>
      <c r="AA125" s="478">
        <f t="shared" si="28"/>
        <v>57.376683000000014</v>
      </c>
      <c r="AB125" s="478">
        <f t="shared" si="28"/>
        <v>48.143297776230341</v>
      </c>
      <c r="AC125" s="478">
        <f t="shared" si="28"/>
        <v>47.273810111147213</v>
      </c>
      <c r="AD125" s="478">
        <f t="shared" si="28"/>
        <v>54.540900883269614</v>
      </c>
      <c r="AE125" s="478">
        <f t="shared" si="29"/>
        <v>48.505754273469613</v>
      </c>
      <c r="AF125" s="478">
        <f t="shared" si="29"/>
        <v>50.634032326039481</v>
      </c>
      <c r="AG125" s="478">
        <f t="shared" si="29"/>
        <v>50.360616046461899</v>
      </c>
      <c r="AH125" s="478">
        <f t="shared" si="29"/>
        <v>50.164457019019288</v>
      </c>
      <c r="AI125" s="478">
        <f t="shared" si="29"/>
        <v>46.9542396334082</v>
      </c>
      <c r="AJ125" s="478">
        <f t="shared" si="29"/>
        <v>51.646558638878929</v>
      </c>
      <c r="AK125" s="478">
        <f t="shared" si="29"/>
        <v>54.769936383667954</v>
      </c>
      <c r="AL125" s="478">
        <f t="shared" si="29"/>
        <v>58.858487337800796</v>
      </c>
    </row>
    <row r="126" spans="1:38" x14ac:dyDescent="0.3">
      <c r="A126" s="201" t="str">
        <f>Legend!$A$48</f>
        <v>Street lighting</v>
      </c>
      <c r="B126" s="201" t="str">
        <f>'SRV_New Techs'!K$33</f>
        <v>S-SLIG_ELC02</v>
      </c>
      <c r="C126" s="201" t="str">
        <f>'SRV_New Techs'!C$33</f>
        <v>Electricity</v>
      </c>
      <c r="D126" s="287" t="str">
        <f>'SRV_New Techs'!D$33</f>
        <v>SRVELC</v>
      </c>
      <c r="E126" s="287" t="str">
        <f>'SRV_New Techs'!F$33</f>
        <v>Street lights (Imp.)</v>
      </c>
      <c r="F126" s="427"/>
      <c r="G126" s="427"/>
      <c r="H126" s="427">
        <v>2030</v>
      </c>
      <c r="I126" s="550">
        <f t="shared" ref="I126:I129" si="30">I131*5</f>
        <v>79.052318800000009</v>
      </c>
      <c r="J126" s="411" t="s">
        <v>664</v>
      </c>
      <c r="K126" s="477">
        <f t="shared" si="27"/>
        <v>64.007381633034129</v>
      </c>
      <c r="L126" s="477">
        <f t="shared" si="27"/>
        <v>66.406942774859118</v>
      </c>
      <c r="M126" s="477">
        <f t="shared" si="27"/>
        <v>64.000694270918132</v>
      </c>
      <c r="N126" s="477">
        <f t="shared" si="27"/>
        <v>65.024286106124777</v>
      </c>
      <c r="O126" s="477">
        <f t="shared" si="27"/>
        <v>77.076080509305768</v>
      </c>
      <c r="P126" s="477">
        <f t="shared" si="27"/>
        <v>65.968738523611947</v>
      </c>
      <c r="Q126" s="477">
        <f t="shared" si="27"/>
        <v>67.431915577359632</v>
      </c>
      <c r="R126" s="477">
        <f t="shared" si="27"/>
        <v>64.849569467880642</v>
      </c>
      <c r="S126" s="477">
        <f t="shared" si="27"/>
        <v>67.438363673012333</v>
      </c>
      <c r="T126" s="477">
        <f t="shared" si="27"/>
        <v>77.292713025979666</v>
      </c>
      <c r="U126" s="477">
        <f t="shared" si="28"/>
        <v>70.331667044610853</v>
      </c>
      <c r="V126" s="477">
        <f t="shared" si="28"/>
        <v>67.873873497145411</v>
      </c>
      <c r="W126" s="477">
        <f t="shared" si="28"/>
        <v>67.598929951068115</v>
      </c>
      <c r="X126" s="477">
        <f t="shared" si="28"/>
        <v>77.682282251055284</v>
      </c>
      <c r="Y126" s="477">
        <f t="shared" si="28"/>
        <v>72.586281232682907</v>
      </c>
      <c r="Z126" s="477">
        <f t="shared" si="28"/>
        <v>75.294682857680215</v>
      </c>
      <c r="AA126" s="477">
        <f t="shared" si="28"/>
        <v>79.052318800000009</v>
      </c>
      <c r="AB126" s="477">
        <f t="shared" si="28"/>
        <v>66.330765825028465</v>
      </c>
      <c r="AC126" s="477">
        <f t="shared" si="28"/>
        <v>65.132805042025041</v>
      </c>
      <c r="AD126" s="477">
        <f t="shared" si="28"/>
        <v>75.145241216949245</v>
      </c>
      <c r="AE126" s="477">
        <f t="shared" si="29"/>
        <v>66.830150332335904</v>
      </c>
      <c r="AF126" s="477">
        <f t="shared" si="29"/>
        <v>69.762444538098833</v>
      </c>
      <c r="AG126" s="477">
        <f t="shared" si="29"/>
        <v>69.385737664014172</v>
      </c>
      <c r="AH126" s="477">
        <f t="shared" si="29"/>
        <v>69.115474115093235</v>
      </c>
      <c r="AI126" s="477">
        <f t="shared" si="29"/>
        <v>64.6925079393624</v>
      </c>
      <c r="AJ126" s="477">
        <f t="shared" si="29"/>
        <v>71.157480791344298</v>
      </c>
      <c r="AK126" s="477">
        <f t="shared" si="29"/>
        <v>75.460801239720283</v>
      </c>
      <c r="AL126" s="477">
        <f t="shared" si="29"/>
        <v>81.093915887636641</v>
      </c>
    </row>
    <row r="127" spans="1:38" x14ac:dyDescent="0.3">
      <c r="A127" s="201"/>
      <c r="B127" s="201"/>
      <c r="D127" s="287"/>
      <c r="E127" s="287"/>
      <c r="F127" s="427"/>
      <c r="G127" s="427"/>
      <c r="H127" s="427">
        <v>2050</v>
      </c>
      <c r="I127" s="550">
        <f t="shared" si="30"/>
        <v>78.502905184340008</v>
      </c>
      <c r="J127" s="411" t="s">
        <v>664</v>
      </c>
      <c r="K127" s="477">
        <f t="shared" si="27"/>
        <v>63.562530330684538</v>
      </c>
      <c r="L127" s="477">
        <f t="shared" si="27"/>
        <v>65.945414522573842</v>
      </c>
      <c r="M127" s="477">
        <f t="shared" si="27"/>
        <v>63.555889445735254</v>
      </c>
      <c r="N127" s="477">
        <f t="shared" si="27"/>
        <v>64.57236731768721</v>
      </c>
      <c r="O127" s="477">
        <f t="shared" si="27"/>
        <v>76.54040174976609</v>
      </c>
      <c r="P127" s="477">
        <f t="shared" si="27"/>
        <v>65.510255790872847</v>
      </c>
      <c r="Q127" s="477">
        <f t="shared" si="27"/>
        <v>66.963263764096979</v>
      </c>
      <c r="R127" s="477">
        <f t="shared" si="27"/>
        <v>64.398864960078868</v>
      </c>
      <c r="S127" s="477">
        <f t="shared" si="27"/>
        <v>66.969667045484897</v>
      </c>
      <c r="T127" s="477">
        <f t="shared" si="27"/>
        <v>76.75552867044911</v>
      </c>
      <c r="U127" s="477">
        <f t="shared" si="28"/>
        <v>69.842861958650801</v>
      </c>
      <c r="V127" s="477">
        <f t="shared" si="28"/>
        <v>67.402150076340249</v>
      </c>
      <c r="W127" s="477">
        <f t="shared" si="28"/>
        <v>67.129117387908181</v>
      </c>
      <c r="X127" s="477">
        <f t="shared" si="28"/>
        <v>77.142390389410451</v>
      </c>
      <c r="Y127" s="477">
        <f t="shared" si="28"/>
        <v>72.08180657811576</v>
      </c>
      <c r="Z127" s="477">
        <f t="shared" si="28"/>
        <v>74.771384811819331</v>
      </c>
      <c r="AA127" s="477">
        <f t="shared" si="28"/>
        <v>78.502905184340008</v>
      </c>
      <c r="AB127" s="477">
        <f t="shared" si="28"/>
        <v>65.869767002544506</v>
      </c>
      <c r="AC127" s="477">
        <f t="shared" si="28"/>
        <v>64.680132046982976</v>
      </c>
      <c r="AD127" s="477">
        <f t="shared" si="28"/>
        <v>74.622981790491437</v>
      </c>
      <c r="AE127" s="477">
        <f t="shared" si="29"/>
        <v>66.365680787526159</v>
      </c>
      <c r="AF127" s="477">
        <f t="shared" si="29"/>
        <v>69.277595548559049</v>
      </c>
      <c r="AG127" s="477">
        <f t="shared" si="29"/>
        <v>68.90350678724927</v>
      </c>
      <c r="AH127" s="477">
        <f t="shared" si="29"/>
        <v>68.635121569993345</v>
      </c>
      <c r="AI127" s="477">
        <f t="shared" si="29"/>
        <v>64.242895009183826</v>
      </c>
      <c r="AJ127" s="477">
        <f t="shared" si="29"/>
        <v>70.662936299844461</v>
      </c>
      <c r="AK127" s="477">
        <f t="shared" si="29"/>
        <v>74.936348671104227</v>
      </c>
      <c r="AL127" s="477">
        <f t="shared" si="29"/>
        <v>80.530313172217575</v>
      </c>
    </row>
    <row r="128" spans="1:38" x14ac:dyDescent="0.3">
      <c r="A128" s="201" t="str">
        <f>Legend!$A$48</f>
        <v>Street lighting</v>
      </c>
      <c r="B128" s="201" t="str">
        <f>'SRV_New Techs'!K$34</f>
        <v>S-SLIG_ELC03</v>
      </c>
      <c r="C128" s="201" t="str">
        <f>'SRV_New Techs'!C$34</f>
        <v>Electricity</v>
      </c>
      <c r="D128" s="287" t="str">
        <f>'SRV_New Techs'!D$34</f>
        <v>SRVELC</v>
      </c>
      <c r="E128" s="287" t="str">
        <f>'SRV_New Techs'!F$34</f>
        <v>Street lights (Adv.)</v>
      </c>
      <c r="F128" s="427"/>
      <c r="G128" s="427"/>
      <c r="H128" s="427">
        <v>2030</v>
      </c>
      <c r="I128" s="550">
        <f t="shared" si="30"/>
        <v>144.79548214588996</v>
      </c>
      <c r="J128" s="411" t="s">
        <v>664</v>
      </c>
      <c r="K128" s="477">
        <f t="shared" ref="K128:T137" si="31">$I128*K$145</f>
        <v>117.23855574557993</v>
      </c>
      <c r="L128" s="477">
        <f t="shared" si="31"/>
        <v>121.63369073647273</v>
      </c>
      <c r="M128" s="477">
        <f t="shared" si="31"/>
        <v>117.22630689777171</v>
      </c>
      <c r="N128" s="477">
        <f t="shared" si="31"/>
        <v>119.10115985021086</v>
      </c>
      <c r="O128" s="477">
        <f t="shared" si="31"/>
        <v>141.17572271972824</v>
      </c>
      <c r="P128" s="477">
        <f t="shared" si="31"/>
        <v>120.83105778653687</v>
      </c>
      <c r="Q128" s="477">
        <f t="shared" si="31"/>
        <v>123.51107312546959</v>
      </c>
      <c r="R128" s="477">
        <f t="shared" si="31"/>
        <v>118.78114166152912</v>
      </c>
      <c r="S128" s="477">
        <f t="shared" si="31"/>
        <v>123.5228837229717</v>
      </c>
      <c r="T128" s="477">
        <f t="shared" si="31"/>
        <v>141.57251575725613</v>
      </c>
      <c r="U128" s="477">
        <f t="shared" ref="U128:AD137" si="32">$I128*U$145</f>
        <v>128.82237731208244</v>
      </c>
      <c r="V128" s="477">
        <f t="shared" si="32"/>
        <v>124.32058144926054</v>
      </c>
      <c r="W128" s="477">
        <f t="shared" si="32"/>
        <v>123.81698352928197</v>
      </c>
      <c r="X128" s="477">
        <f t="shared" si="32"/>
        <v>142.28606679067659</v>
      </c>
      <c r="Y128" s="477">
        <f t="shared" si="32"/>
        <v>132.9520214941941</v>
      </c>
      <c r="Z128" s="477">
        <f t="shared" si="32"/>
        <v>137.91284143077763</v>
      </c>
      <c r="AA128" s="477">
        <f t="shared" si="32"/>
        <v>144.79548214588996</v>
      </c>
      <c r="AB128" s="477">
        <f t="shared" si="32"/>
        <v>121.49416189852631</v>
      </c>
      <c r="AC128" s="477">
        <f t="shared" si="32"/>
        <v>119.29992760154516</v>
      </c>
      <c r="AD128" s="477">
        <f t="shared" si="32"/>
        <v>137.63911796825582</v>
      </c>
      <c r="AE128" s="477">
        <f t="shared" ref="AE128:AL137" si="33">$I128*AE$145</f>
        <v>122.40885512459988</v>
      </c>
      <c r="AF128" s="477">
        <f t="shared" si="33"/>
        <v>127.77976593103966</v>
      </c>
      <c r="AG128" s="477">
        <f t="shared" si="33"/>
        <v>127.08977410931008</v>
      </c>
      <c r="AH128" s="477">
        <f t="shared" si="33"/>
        <v>126.59474826482511</v>
      </c>
      <c r="AI128" s="477">
        <f t="shared" si="33"/>
        <v>118.49346129878219</v>
      </c>
      <c r="AJ128" s="477">
        <f t="shared" si="33"/>
        <v>130.33497177402973</v>
      </c>
      <c r="AK128" s="477">
        <f t="shared" si="33"/>
        <v>138.21711069935708</v>
      </c>
      <c r="AL128" s="477">
        <f t="shared" si="33"/>
        <v>148.53495543572333</v>
      </c>
    </row>
    <row r="129" spans="1:38" x14ac:dyDescent="0.3">
      <c r="A129" s="201"/>
      <c r="B129" s="201"/>
      <c r="D129" s="287"/>
      <c r="E129" s="287"/>
      <c r="F129" s="427"/>
      <c r="G129" s="427"/>
      <c r="H129" s="427">
        <v>2050</v>
      </c>
      <c r="I129" s="550">
        <f t="shared" si="30"/>
        <v>142.65564743437437</v>
      </c>
      <c r="J129" s="411" t="s">
        <v>664</v>
      </c>
      <c r="K129" s="477">
        <f t="shared" si="31"/>
        <v>115.5059662518029</v>
      </c>
      <c r="L129" s="477">
        <f t="shared" si="31"/>
        <v>119.83614850884014</v>
      </c>
      <c r="M129" s="477">
        <f t="shared" si="31"/>
        <v>115.49389842144998</v>
      </c>
      <c r="N129" s="477">
        <f t="shared" si="31"/>
        <v>117.34104418739989</v>
      </c>
      <c r="O129" s="477">
        <f t="shared" si="31"/>
        <v>139.08938198988005</v>
      </c>
      <c r="P129" s="477">
        <f t="shared" si="31"/>
        <v>119.04537712959301</v>
      </c>
      <c r="Q129" s="477">
        <f t="shared" si="31"/>
        <v>121.68578633051195</v>
      </c>
      <c r="R129" s="477">
        <f t="shared" si="31"/>
        <v>117.0257553315558</v>
      </c>
      <c r="S129" s="477">
        <f t="shared" si="31"/>
        <v>121.69742238716425</v>
      </c>
      <c r="T129" s="477">
        <f t="shared" si="31"/>
        <v>139.48031109089274</v>
      </c>
      <c r="U129" s="477">
        <f t="shared" si="32"/>
        <v>126.91859833702705</v>
      </c>
      <c r="V129" s="477">
        <f t="shared" si="32"/>
        <v>122.483331477104</v>
      </c>
      <c r="W129" s="477">
        <f t="shared" si="32"/>
        <v>121.98717589091822</v>
      </c>
      <c r="X129" s="477">
        <f t="shared" si="32"/>
        <v>140.18331703514937</v>
      </c>
      <c r="Y129" s="477">
        <f t="shared" si="32"/>
        <v>130.98721329477254</v>
      </c>
      <c r="Z129" s="477">
        <f t="shared" si="32"/>
        <v>135.87472062145582</v>
      </c>
      <c r="AA129" s="477">
        <f t="shared" si="32"/>
        <v>142.65564743437437</v>
      </c>
      <c r="AB129" s="477">
        <f t="shared" si="32"/>
        <v>119.69868167342496</v>
      </c>
      <c r="AC129" s="477">
        <f t="shared" si="32"/>
        <v>117.53687448428097</v>
      </c>
      <c r="AD129" s="477">
        <f t="shared" si="32"/>
        <v>135.60504233325699</v>
      </c>
      <c r="AE129" s="477">
        <f t="shared" si="33"/>
        <v>120.59985726561567</v>
      </c>
      <c r="AF129" s="477">
        <f t="shared" si="33"/>
        <v>125.89139500595043</v>
      </c>
      <c r="AG129" s="477">
        <f t="shared" si="33"/>
        <v>125.21160010769469</v>
      </c>
      <c r="AH129" s="477">
        <f t="shared" si="33"/>
        <v>124.72388991608388</v>
      </c>
      <c r="AI129" s="477">
        <f t="shared" si="33"/>
        <v>116.7423264027411</v>
      </c>
      <c r="AJ129" s="477">
        <f t="shared" si="33"/>
        <v>128.40883918623621</v>
      </c>
      <c r="AK129" s="477">
        <f t="shared" si="33"/>
        <v>136.17449329985922</v>
      </c>
      <c r="AL129" s="477">
        <f t="shared" si="33"/>
        <v>146.33985757214123</v>
      </c>
    </row>
    <row r="130" spans="1:38" x14ac:dyDescent="0.3">
      <c r="A130" s="208" t="str">
        <f>Legend!$A$49</f>
        <v>Lighting</v>
      </c>
      <c r="B130" s="208" t="str">
        <f>'SRV_New Techs'!K$35</f>
        <v>S-LIG_ELC01</v>
      </c>
      <c r="C130" s="208" t="str">
        <f>'SRV_New Techs'!C$35</f>
        <v>Electricity</v>
      </c>
      <c r="D130" s="288" t="str">
        <f>'SRV_New Techs'!D$35</f>
        <v>SRVELC</v>
      </c>
      <c r="E130" s="288" t="str">
        <f>'SRV_New Techs'!F$35</f>
        <v>Office lighting (Ord.)</v>
      </c>
      <c r="F130" s="426"/>
      <c r="G130" s="288"/>
      <c r="H130" s="426">
        <v>2020</v>
      </c>
      <c r="I130" s="514">
        <f>'S2'!B11*Legend!$B$38</f>
        <v>11.475336600000002</v>
      </c>
      <c r="J130" s="413" t="s">
        <v>664</v>
      </c>
      <c r="K130" s="478">
        <f t="shared" si="31"/>
        <v>9.2913941080210822</v>
      </c>
      <c r="L130" s="478">
        <f t="shared" si="31"/>
        <v>9.6397174995763244</v>
      </c>
      <c r="M130" s="478">
        <f t="shared" si="31"/>
        <v>9.2904233619074716</v>
      </c>
      <c r="N130" s="478">
        <f t="shared" si="31"/>
        <v>9.4390092734697255</v>
      </c>
      <c r="O130" s="478">
        <f t="shared" si="31"/>
        <v>11.188463299737936</v>
      </c>
      <c r="P130" s="478">
        <f t="shared" si="31"/>
        <v>9.5761072050404437</v>
      </c>
      <c r="Q130" s="478">
        <f t="shared" si="31"/>
        <v>9.7885038741328518</v>
      </c>
      <c r="R130" s="478">
        <f t="shared" si="31"/>
        <v>9.4136471808213837</v>
      </c>
      <c r="S130" s="478">
        <f t="shared" si="31"/>
        <v>9.7894398880179185</v>
      </c>
      <c r="T130" s="478">
        <f t="shared" si="31"/>
        <v>11.219909955384146</v>
      </c>
      <c r="U130" s="478">
        <f t="shared" si="32"/>
        <v>10.209435538733834</v>
      </c>
      <c r="V130" s="478">
        <f t="shared" si="32"/>
        <v>9.8526590560372362</v>
      </c>
      <c r="W130" s="478">
        <f t="shared" si="32"/>
        <v>9.8127478961227901</v>
      </c>
      <c r="X130" s="478">
        <f t="shared" si="32"/>
        <v>11.27646032676609</v>
      </c>
      <c r="Y130" s="478">
        <f t="shared" si="32"/>
        <v>10.536718243453972</v>
      </c>
      <c r="Z130" s="478">
        <f t="shared" si="32"/>
        <v>10.929873318050355</v>
      </c>
      <c r="AA130" s="478">
        <f t="shared" si="32"/>
        <v>11.475336600000002</v>
      </c>
      <c r="AB130" s="478">
        <f t="shared" si="32"/>
        <v>9.6286595552460668</v>
      </c>
      <c r="AC130" s="478">
        <f t="shared" si="32"/>
        <v>9.454762022229442</v>
      </c>
      <c r="AD130" s="478">
        <f t="shared" si="32"/>
        <v>10.908180176653923</v>
      </c>
      <c r="AE130" s="478">
        <f t="shared" si="33"/>
        <v>9.7011508546939211</v>
      </c>
      <c r="AF130" s="478">
        <f t="shared" si="33"/>
        <v>10.126806465207896</v>
      </c>
      <c r="AG130" s="478">
        <f t="shared" si="33"/>
        <v>10.07212320929238</v>
      </c>
      <c r="AH130" s="478">
        <f t="shared" si="33"/>
        <v>10.032891403803857</v>
      </c>
      <c r="AI130" s="478">
        <f t="shared" si="33"/>
        <v>9.3908479266816389</v>
      </c>
      <c r="AJ130" s="478">
        <f t="shared" si="33"/>
        <v>10.329311727775785</v>
      </c>
      <c r="AK130" s="478">
        <f t="shared" si="33"/>
        <v>10.95398727673359</v>
      </c>
      <c r="AL130" s="478">
        <f t="shared" si="33"/>
        <v>11.771697467560159</v>
      </c>
    </row>
    <row r="131" spans="1:38" x14ac:dyDescent="0.3">
      <c r="A131" s="201" t="str">
        <f>Legend!$A$49</f>
        <v>Lighting</v>
      </c>
      <c r="B131" s="201" t="str">
        <f>'SRV_New Techs'!K$36</f>
        <v>S-LIG_ELC02</v>
      </c>
      <c r="C131" s="201" t="str">
        <f>'SRV_New Techs'!C$36</f>
        <v>Electricity</v>
      </c>
      <c r="D131" s="287" t="str">
        <f>'SRV_New Techs'!D$36</f>
        <v>SRVELC</v>
      </c>
      <c r="E131" s="287" t="str">
        <f>'SRV_New Techs'!F$36</f>
        <v>Office lighting (Imp.)</v>
      </c>
      <c r="F131" s="427"/>
      <c r="G131" s="608"/>
      <c r="H131" s="427">
        <v>2030</v>
      </c>
      <c r="I131" s="513">
        <f>'S2'!D11*Legend!$B$38</f>
        <v>15.810463760000003</v>
      </c>
      <c r="J131" s="411" t="s">
        <v>664</v>
      </c>
      <c r="K131" s="477">
        <f t="shared" si="31"/>
        <v>12.801476326606826</v>
      </c>
      <c r="L131" s="477">
        <f t="shared" si="31"/>
        <v>13.281388554971825</v>
      </c>
      <c r="M131" s="477">
        <f t="shared" si="31"/>
        <v>12.800138854183627</v>
      </c>
      <c r="N131" s="477">
        <f t="shared" si="31"/>
        <v>13.004857221224956</v>
      </c>
      <c r="O131" s="477">
        <f t="shared" si="31"/>
        <v>15.415216101861155</v>
      </c>
      <c r="P131" s="477">
        <f t="shared" si="31"/>
        <v>13.193747704722389</v>
      </c>
      <c r="Q131" s="477">
        <f t="shared" si="31"/>
        <v>13.486383115471927</v>
      </c>
      <c r="R131" s="477">
        <f t="shared" si="31"/>
        <v>12.969913893576129</v>
      </c>
      <c r="S131" s="477">
        <f t="shared" si="31"/>
        <v>13.487672734602466</v>
      </c>
      <c r="T131" s="477">
        <f t="shared" si="31"/>
        <v>15.458542605195934</v>
      </c>
      <c r="U131" s="477">
        <f t="shared" si="32"/>
        <v>14.066333408922171</v>
      </c>
      <c r="V131" s="477">
        <f t="shared" si="32"/>
        <v>13.574774699429081</v>
      </c>
      <c r="W131" s="477">
        <f t="shared" si="32"/>
        <v>13.519785990213622</v>
      </c>
      <c r="X131" s="477">
        <f t="shared" si="32"/>
        <v>15.536456450211057</v>
      </c>
      <c r="Y131" s="477">
        <f t="shared" si="32"/>
        <v>14.517256246536583</v>
      </c>
      <c r="Z131" s="477">
        <f t="shared" si="32"/>
        <v>15.058936571536044</v>
      </c>
      <c r="AA131" s="477">
        <f t="shared" si="32"/>
        <v>15.810463760000003</v>
      </c>
      <c r="AB131" s="477">
        <f t="shared" si="32"/>
        <v>13.266153165005692</v>
      </c>
      <c r="AC131" s="477">
        <f t="shared" si="32"/>
        <v>13.026561008405009</v>
      </c>
      <c r="AD131" s="477">
        <f t="shared" si="32"/>
        <v>15.029048243389848</v>
      </c>
      <c r="AE131" s="477">
        <f t="shared" si="33"/>
        <v>13.366030066467181</v>
      </c>
      <c r="AF131" s="477">
        <f t="shared" si="33"/>
        <v>13.952488907619767</v>
      </c>
      <c r="AG131" s="477">
        <f t="shared" si="33"/>
        <v>13.877147532802834</v>
      </c>
      <c r="AH131" s="477">
        <f t="shared" si="33"/>
        <v>13.823094823018648</v>
      </c>
      <c r="AI131" s="477">
        <f t="shared" si="33"/>
        <v>12.93850158787248</v>
      </c>
      <c r="AJ131" s="477">
        <f t="shared" si="33"/>
        <v>14.231496158268861</v>
      </c>
      <c r="AK131" s="477">
        <f t="shared" si="33"/>
        <v>15.092160247944056</v>
      </c>
      <c r="AL131" s="477">
        <f t="shared" si="33"/>
        <v>16.218783177527332</v>
      </c>
    </row>
    <row r="132" spans="1:38" x14ac:dyDescent="0.3">
      <c r="A132" s="201"/>
      <c r="B132" s="201"/>
      <c r="D132" s="287"/>
      <c r="E132" s="287"/>
      <c r="F132" s="427"/>
      <c r="G132" s="608"/>
      <c r="H132" s="427">
        <v>2050</v>
      </c>
      <c r="I132" s="513">
        <f>'S2'!G11*Legend!$B$38</f>
        <v>15.700581036868002</v>
      </c>
      <c r="J132" s="411" t="s">
        <v>664</v>
      </c>
      <c r="K132" s="477">
        <f t="shared" si="31"/>
        <v>12.712506066136907</v>
      </c>
      <c r="L132" s="477">
        <f t="shared" si="31"/>
        <v>13.18908290451477</v>
      </c>
      <c r="M132" s="477">
        <f t="shared" si="31"/>
        <v>12.71117788914705</v>
      </c>
      <c r="N132" s="477">
        <f t="shared" si="31"/>
        <v>12.914473463537442</v>
      </c>
      <c r="O132" s="477">
        <f t="shared" si="31"/>
        <v>15.308080349953219</v>
      </c>
      <c r="P132" s="477">
        <f t="shared" si="31"/>
        <v>13.102051158174568</v>
      </c>
      <c r="Q132" s="477">
        <f t="shared" si="31"/>
        <v>13.392652752819398</v>
      </c>
      <c r="R132" s="477">
        <f t="shared" si="31"/>
        <v>12.879772992015774</v>
      </c>
      <c r="S132" s="477">
        <f t="shared" si="31"/>
        <v>13.393933409096979</v>
      </c>
      <c r="T132" s="477">
        <f t="shared" si="31"/>
        <v>15.35110573408982</v>
      </c>
      <c r="U132" s="477">
        <f t="shared" si="32"/>
        <v>13.968572391730161</v>
      </c>
      <c r="V132" s="477">
        <f t="shared" si="32"/>
        <v>13.480430015268048</v>
      </c>
      <c r="W132" s="477">
        <f t="shared" si="32"/>
        <v>13.425823477581638</v>
      </c>
      <c r="X132" s="477">
        <f t="shared" si="32"/>
        <v>15.42847807788209</v>
      </c>
      <c r="Y132" s="477">
        <f t="shared" si="32"/>
        <v>14.416361315623153</v>
      </c>
      <c r="Z132" s="477">
        <f t="shared" si="32"/>
        <v>14.954276962363867</v>
      </c>
      <c r="AA132" s="477">
        <f t="shared" si="32"/>
        <v>15.700581036868002</v>
      </c>
      <c r="AB132" s="477">
        <f t="shared" si="32"/>
        <v>13.173953400508902</v>
      </c>
      <c r="AC132" s="477">
        <f t="shared" si="32"/>
        <v>12.936026409396595</v>
      </c>
      <c r="AD132" s="477">
        <f t="shared" si="32"/>
        <v>14.924596358098288</v>
      </c>
      <c r="AE132" s="477">
        <f t="shared" si="33"/>
        <v>13.273136157505233</v>
      </c>
      <c r="AF132" s="477">
        <f t="shared" si="33"/>
        <v>13.855519109711809</v>
      </c>
      <c r="AG132" s="477">
        <f t="shared" si="33"/>
        <v>13.780701357449853</v>
      </c>
      <c r="AH132" s="477">
        <f t="shared" si="33"/>
        <v>13.727024313998667</v>
      </c>
      <c r="AI132" s="477">
        <f t="shared" si="33"/>
        <v>12.848579001836766</v>
      </c>
      <c r="AJ132" s="477">
        <f t="shared" si="33"/>
        <v>14.13258725996889</v>
      </c>
      <c r="AK132" s="477">
        <f t="shared" si="33"/>
        <v>14.987269734220845</v>
      </c>
      <c r="AL132" s="477">
        <f t="shared" si="33"/>
        <v>16.106062634443514</v>
      </c>
    </row>
    <row r="133" spans="1:38" x14ac:dyDescent="0.3">
      <c r="A133" s="201" t="str">
        <f>Legend!$A$49</f>
        <v>Lighting</v>
      </c>
      <c r="B133" s="201" t="str">
        <f>'SRV_New Techs'!K$37</f>
        <v>S-LIG_ELC03</v>
      </c>
      <c r="C133" s="201" t="str">
        <f>'SRV_New Techs'!C$37</f>
        <v>Electricity</v>
      </c>
      <c r="D133" s="287" t="str">
        <f>'SRV_New Techs'!D$37</f>
        <v>SRVELC</v>
      </c>
      <c r="E133" s="287" t="str">
        <f>'SRV_New Techs'!F$37</f>
        <v>Office lighting (Adv.)</v>
      </c>
      <c r="F133" s="427"/>
      <c r="G133" s="608"/>
      <c r="H133" s="427">
        <v>2030</v>
      </c>
      <c r="I133" s="513">
        <f>'S2'!E11*Legend!$B$38</f>
        <v>28.959096429177993</v>
      </c>
      <c r="J133" s="411" t="s">
        <v>664</v>
      </c>
      <c r="K133" s="477">
        <f t="shared" si="31"/>
        <v>23.447711149115985</v>
      </c>
      <c r="L133" s="477">
        <f t="shared" si="31"/>
        <v>24.326738147294545</v>
      </c>
      <c r="M133" s="477">
        <f t="shared" si="31"/>
        <v>23.445261379554342</v>
      </c>
      <c r="N133" s="477">
        <f t="shared" si="31"/>
        <v>23.820231970042173</v>
      </c>
      <c r="O133" s="477">
        <f t="shared" si="31"/>
        <v>28.235144543945648</v>
      </c>
      <c r="P133" s="477">
        <f t="shared" si="31"/>
        <v>24.166211557307378</v>
      </c>
      <c r="Q133" s="477">
        <f t="shared" si="31"/>
        <v>24.702214625093919</v>
      </c>
      <c r="R133" s="477">
        <f t="shared" si="31"/>
        <v>23.756228332305824</v>
      </c>
      <c r="S133" s="477">
        <f t="shared" si="31"/>
        <v>24.704576744594341</v>
      </c>
      <c r="T133" s="477">
        <f t="shared" si="31"/>
        <v>28.314503151451223</v>
      </c>
      <c r="U133" s="477">
        <f t="shared" si="32"/>
        <v>25.764475462416485</v>
      </c>
      <c r="V133" s="477">
        <f t="shared" si="32"/>
        <v>24.86411628985211</v>
      </c>
      <c r="W133" s="477">
        <f t="shared" si="32"/>
        <v>24.763396705856394</v>
      </c>
      <c r="X133" s="477">
        <f t="shared" si="32"/>
        <v>28.45721335813532</v>
      </c>
      <c r="Y133" s="477">
        <f t="shared" si="32"/>
        <v>26.590404298838823</v>
      </c>
      <c r="Z133" s="477">
        <f t="shared" si="32"/>
        <v>27.582568286155524</v>
      </c>
      <c r="AA133" s="477">
        <f t="shared" si="32"/>
        <v>28.959096429177993</v>
      </c>
      <c r="AB133" s="477">
        <f t="shared" si="32"/>
        <v>24.298832379705264</v>
      </c>
      <c r="AC133" s="477">
        <f t="shared" si="32"/>
        <v>23.859985520309035</v>
      </c>
      <c r="AD133" s="477">
        <f t="shared" si="32"/>
        <v>27.527823593651163</v>
      </c>
      <c r="AE133" s="477">
        <f t="shared" si="33"/>
        <v>24.481771024919979</v>
      </c>
      <c r="AF133" s="477">
        <f t="shared" si="33"/>
        <v>25.555953186207933</v>
      </c>
      <c r="AG133" s="477">
        <f t="shared" si="33"/>
        <v>25.417954821862018</v>
      </c>
      <c r="AH133" s="477">
        <f t="shared" si="33"/>
        <v>25.318949652965024</v>
      </c>
      <c r="AI133" s="477">
        <f t="shared" si="33"/>
        <v>23.698692259756438</v>
      </c>
      <c r="AJ133" s="477">
        <f t="shared" si="33"/>
        <v>26.066994354805946</v>
      </c>
      <c r="AK133" s="477">
        <f t="shared" si="33"/>
        <v>27.643422139871419</v>
      </c>
      <c r="AL133" s="477">
        <f t="shared" si="33"/>
        <v>29.706991087144665</v>
      </c>
    </row>
    <row r="134" spans="1:38" x14ac:dyDescent="0.3">
      <c r="A134" s="201"/>
      <c r="B134" s="201"/>
      <c r="D134" s="287"/>
      <c r="E134" s="287"/>
      <c r="F134" s="427"/>
      <c r="G134" s="608"/>
      <c r="H134" s="427">
        <v>2050</v>
      </c>
      <c r="I134" s="513">
        <f>'S2'!H11*Legend!$B$38</f>
        <v>28.531129486874875</v>
      </c>
      <c r="J134" s="411" t="s">
        <v>664</v>
      </c>
      <c r="K134" s="477">
        <f t="shared" si="31"/>
        <v>23.101193250360581</v>
      </c>
      <c r="L134" s="477">
        <f t="shared" si="31"/>
        <v>23.96722970176803</v>
      </c>
      <c r="M134" s="477">
        <f t="shared" si="31"/>
        <v>23.098779684289994</v>
      </c>
      <c r="N134" s="477">
        <f t="shared" si="31"/>
        <v>23.468208837479978</v>
      </c>
      <c r="O134" s="477">
        <f t="shared" si="31"/>
        <v>27.817876397976015</v>
      </c>
      <c r="P134" s="477">
        <f t="shared" si="31"/>
        <v>23.8090754259186</v>
      </c>
      <c r="Q134" s="477">
        <f t="shared" si="31"/>
        <v>24.337157266102388</v>
      </c>
      <c r="R134" s="477">
        <f t="shared" si="31"/>
        <v>23.405151066311159</v>
      </c>
      <c r="S134" s="477">
        <f t="shared" si="31"/>
        <v>24.339484477432851</v>
      </c>
      <c r="T134" s="477">
        <f t="shared" si="31"/>
        <v>27.89606221817855</v>
      </c>
      <c r="U134" s="477">
        <f t="shared" si="32"/>
        <v>25.383719667405408</v>
      </c>
      <c r="V134" s="477">
        <f t="shared" si="32"/>
        <v>24.496666295420802</v>
      </c>
      <c r="W134" s="477">
        <f t="shared" si="32"/>
        <v>24.397435178183645</v>
      </c>
      <c r="X134" s="477">
        <f t="shared" si="32"/>
        <v>28.036663407029874</v>
      </c>
      <c r="Y134" s="477">
        <f t="shared" si="32"/>
        <v>26.197442658954508</v>
      </c>
      <c r="Z134" s="477">
        <f t="shared" si="32"/>
        <v>27.174944124291162</v>
      </c>
      <c r="AA134" s="477">
        <f t="shared" si="32"/>
        <v>28.531129486874875</v>
      </c>
      <c r="AB134" s="477">
        <f t="shared" si="32"/>
        <v>23.939736334684991</v>
      </c>
      <c r="AC134" s="477">
        <f t="shared" si="32"/>
        <v>23.507374896856195</v>
      </c>
      <c r="AD134" s="477">
        <f t="shared" si="32"/>
        <v>27.121008466651396</v>
      </c>
      <c r="AE134" s="477">
        <f t="shared" si="33"/>
        <v>24.119971453123135</v>
      </c>
      <c r="AF134" s="477">
        <f t="shared" si="33"/>
        <v>25.178279001190088</v>
      </c>
      <c r="AG134" s="477">
        <f t="shared" si="33"/>
        <v>25.042320021538938</v>
      </c>
      <c r="AH134" s="477">
        <f t="shared" si="33"/>
        <v>24.944777983216774</v>
      </c>
      <c r="AI134" s="477">
        <f t="shared" si="33"/>
        <v>23.348465280548218</v>
      </c>
      <c r="AJ134" s="477">
        <f t="shared" si="33"/>
        <v>25.681767837247243</v>
      </c>
      <c r="AK134" s="477">
        <f t="shared" si="33"/>
        <v>27.234898659971844</v>
      </c>
      <c r="AL134" s="477">
        <f t="shared" si="33"/>
        <v>29.267971514428247</v>
      </c>
    </row>
    <row r="135" spans="1:38" x14ac:dyDescent="0.3">
      <c r="A135" s="414" t="str">
        <f>Legend!$A$50</f>
        <v>Electric Appliances</v>
      </c>
      <c r="B135" s="208" t="str">
        <f>'SRV_New Techs'!K$38</f>
        <v>S-EAP_ELC01</v>
      </c>
      <c r="C135" s="208" t="str">
        <f>'SRV_New Techs'!C$38</f>
        <v>Electricity</v>
      </c>
      <c r="D135" s="288" t="str">
        <f>'SRV_New Techs'!D$36</f>
        <v>SRVELC</v>
      </c>
      <c r="E135" s="288" t="str">
        <f>'SRV_New Techs'!F$38</f>
        <v>Appl.(Ord.)</v>
      </c>
      <c r="F135" s="426"/>
      <c r="G135" s="426"/>
      <c r="H135" s="426">
        <v>2020</v>
      </c>
      <c r="I135" s="307">
        <f>'S2'!$B$42*Legend!$B$38/('Key Inputs_BY Techs'!H$135/8760*31.54)</f>
        <v>32.433736652663292</v>
      </c>
      <c r="J135" s="426" t="s">
        <v>409</v>
      </c>
      <c r="K135" s="478">
        <f t="shared" si="31"/>
        <v>26.261071037834576</v>
      </c>
      <c r="L135" s="478">
        <f t="shared" si="31"/>
        <v>27.24556757553659</v>
      </c>
      <c r="M135" s="478">
        <f t="shared" si="31"/>
        <v>26.258327334106927</v>
      </c>
      <c r="N135" s="478">
        <f t="shared" si="31"/>
        <v>26.67828855127123</v>
      </c>
      <c r="O135" s="478">
        <f t="shared" si="31"/>
        <v>31.622921824505635</v>
      </c>
      <c r="P135" s="478">
        <f t="shared" si="31"/>
        <v>27.065780296671491</v>
      </c>
      <c r="Q135" s="478">
        <f t="shared" si="31"/>
        <v>27.66609537860521</v>
      </c>
      <c r="R135" s="478">
        <f t="shared" si="31"/>
        <v>26.606605474548516</v>
      </c>
      <c r="S135" s="478">
        <f t="shared" si="31"/>
        <v>27.668740915630377</v>
      </c>
      <c r="T135" s="478">
        <f t="shared" si="31"/>
        <v>31.711802228051809</v>
      </c>
      <c r="U135" s="478">
        <f t="shared" si="32"/>
        <v>28.855810960319431</v>
      </c>
      <c r="V135" s="478">
        <f t="shared" si="32"/>
        <v>27.847422719782337</v>
      </c>
      <c r="W135" s="478">
        <f t="shared" si="32"/>
        <v>27.734618355493147</v>
      </c>
      <c r="X135" s="478">
        <f t="shared" si="32"/>
        <v>31.871635435298408</v>
      </c>
      <c r="Y135" s="478">
        <f t="shared" si="32"/>
        <v>29.780838384426911</v>
      </c>
      <c r="Z135" s="478">
        <f t="shared" si="32"/>
        <v>30.892046586643591</v>
      </c>
      <c r="AA135" s="478">
        <f t="shared" si="32"/>
        <v>32.433736652663292</v>
      </c>
      <c r="AB135" s="478">
        <f t="shared" si="32"/>
        <v>27.214313550767734</v>
      </c>
      <c r="AC135" s="478">
        <f t="shared" si="32"/>
        <v>26.722811907982894</v>
      </c>
      <c r="AD135" s="478">
        <f t="shared" si="32"/>
        <v>30.830733384273486</v>
      </c>
      <c r="AE135" s="478">
        <f t="shared" si="33"/>
        <v>27.419201982179938</v>
      </c>
      <c r="AF135" s="478">
        <f t="shared" si="33"/>
        <v>28.622269260933127</v>
      </c>
      <c r="AG135" s="478">
        <f t="shared" si="33"/>
        <v>28.467713243667887</v>
      </c>
      <c r="AH135" s="478">
        <f t="shared" si="33"/>
        <v>28.35682899756889</v>
      </c>
      <c r="AI135" s="478">
        <f t="shared" si="33"/>
        <v>26.542165970033619</v>
      </c>
      <c r="AJ135" s="478">
        <f t="shared" si="33"/>
        <v>29.194627404824555</v>
      </c>
      <c r="AK135" s="478">
        <f t="shared" si="33"/>
        <v>30.960201954355007</v>
      </c>
      <c r="AL135" s="478">
        <f t="shared" si="33"/>
        <v>33.271367013118336</v>
      </c>
    </row>
    <row r="136" spans="1:38" x14ac:dyDescent="0.3">
      <c r="A136" s="201" t="str">
        <f>Legend!$A$50</f>
        <v>Electric Appliances</v>
      </c>
      <c r="B136" s="201" t="str">
        <f>'SRV_New Techs'!K$39</f>
        <v>S-EAP_ELC02</v>
      </c>
      <c r="C136" s="201" t="str">
        <f>'SRV_New Techs'!C$39</f>
        <v>Electricity</v>
      </c>
      <c r="D136" s="287" t="str">
        <f>'SRV_New Techs'!D$39</f>
        <v>SRVELC</v>
      </c>
      <c r="E136" s="287" t="str">
        <f>'SRV_New Techs'!F$39</f>
        <v>Appl.(Imp.)</v>
      </c>
      <c r="F136" s="427"/>
      <c r="G136" s="608"/>
      <c r="H136" s="427">
        <v>2030</v>
      </c>
      <c r="I136" s="306">
        <f>'S2'!$D$42*Legend!$B$38/('Key Inputs_BY Techs'!H$135/8760*31.54)</f>
        <v>33.233472624920729</v>
      </c>
      <c r="J136" s="427" t="s">
        <v>409</v>
      </c>
      <c r="K136" s="479">
        <f t="shared" si="31"/>
        <v>26.908604296301718</v>
      </c>
      <c r="L136" s="479">
        <f t="shared" si="31"/>
        <v>27.917376091097754</v>
      </c>
      <c r="M136" s="479">
        <f t="shared" si="31"/>
        <v>26.905792939605444</v>
      </c>
      <c r="N136" s="479">
        <f t="shared" si="31"/>
        <v>27.336109364864207</v>
      </c>
      <c r="O136" s="479">
        <f t="shared" si="31"/>
        <v>32.402665102370143</v>
      </c>
      <c r="P136" s="479">
        <f t="shared" si="31"/>
        <v>27.733155701246943</v>
      </c>
      <c r="Q136" s="479">
        <f t="shared" si="31"/>
        <v>28.348273072872175</v>
      </c>
      <c r="R136" s="479">
        <f t="shared" si="31"/>
        <v>27.262658760222301</v>
      </c>
      <c r="S136" s="479">
        <f t="shared" si="31"/>
        <v>28.350983842317142</v>
      </c>
      <c r="T136" s="479">
        <f t="shared" si="31"/>
        <v>32.493737077510609</v>
      </c>
      <c r="U136" s="479">
        <f t="shared" si="32"/>
        <v>29.567324107286197</v>
      </c>
      <c r="V136" s="479">
        <f t="shared" si="32"/>
        <v>28.534071499174217</v>
      </c>
      <c r="W136" s="479">
        <f t="shared" si="32"/>
        <v>28.418485657409402</v>
      </c>
      <c r="X136" s="479">
        <f t="shared" si="32"/>
        <v>32.657511377538633</v>
      </c>
      <c r="Y136" s="479">
        <f t="shared" si="32"/>
        <v>30.515160426782632</v>
      </c>
      <c r="Z136" s="479">
        <f t="shared" si="32"/>
        <v>31.653768283300543</v>
      </c>
      <c r="AA136" s="479">
        <f t="shared" si="32"/>
        <v>33.233472624920729</v>
      </c>
      <c r="AB136" s="479">
        <f t="shared" si="32"/>
        <v>27.885351419142818</v>
      </c>
      <c r="AC136" s="479">
        <f t="shared" si="32"/>
        <v>27.381730557768762</v>
      </c>
      <c r="AD136" s="479">
        <f t="shared" si="32"/>
        <v>31.59094324854323</v>
      </c>
      <c r="AE136" s="479">
        <f t="shared" si="33"/>
        <v>28.095291894069295</v>
      </c>
      <c r="AF136" s="479">
        <f t="shared" si="33"/>
        <v>29.328023845449273</v>
      </c>
      <c r="AG136" s="479">
        <f t="shared" si="33"/>
        <v>29.169656857895301</v>
      </c>
      <c r="AH136" s="479">
        <f t="shared" si="33"/>
        <v>29.056038479700714</v>
      </c>
      <c r="AI136" s="479">
        <f t="shared" si="33"/>
        <v>27.196630336418</v>
      </c>
      <c r="AJ136" s="479">
        <f t="shared" si="33"/>
        <v>29.914494929875012</v>
      </c>
      <c r="AK136" s="479">
        <f t="shared" si="33"/>
        <v>31.723604194325389</v>
      </c>
      <c r="AL136" s="479">
        <f t="shared" si="33"/>
        <v>34.091756884674666</v>
      </c>
    </row>
    <row r="137" spans="1:38" x14ac:dyDescent="0.3">
      <c r="A137" s="201"/>
      <c r="B137" s="201"/>
      <c r="D137" s="287"/>
      <c r="E137" s="287"/>
      <c r="F137" s="427"/>
      <c r="G137" s="608"/>
      <c r="H137" s="427">
        <v>2050</v>
      </c>
      <c r="I137" s="306">
        <f>'S2'!$G$42*Legend!$B$38/('Key Inputs_BY Techs'!H$135/8760*31.54)</f>
        <v>31.989438890298032</v>
      </c>
      <c r="J137" s="427" t="s">
        <v>409</v>
      </c>
      <c r="K137" s="479">
        <f t="shared" si="31"/>
        <v>25.901330338686151</v>
      </c>
      <c r="L137" s="479">
        <f t="shared" si="31"/>
        <v>26.872340622447041</v>
      </c>
      <c r="M137" s="479">
        <f t="shared" si="31"/>
        <v>25.89862421994107</v>
      </c>
      <c r="N137" s="479">
        <f t="shared" si="31"/>
        <v>26.312832543719562</v>
      </c>
      <c r="O137" s="479">
        <f t="shared" si="31"/>
        <v>31.189731114580891</v>
      </c>
      <c r="P137" s="479">
        <f t="shared" si="31"/>
        <v>26.695016183018449</v>
      </c>
      <c r="Q137" s="479">
        <f t="shared" si="31"/>
        <v>27.287107770679103</v>
      </c>
      <c r="R137" s="479">
        <f t="shared" si="31"/>
        <v>26.242131426951953</v>
      </c>
      <c r="S137" s="479">
        <f t="shared" si="31"/>
        <v>27.289717067471049</v>
      </c>
      <c r="T137" s="479">
        <f t="shared" si="31"/>
        <v>31.27739397835246</v>
      </c>
      <c r="U137" s="479">
        <f t="shared" si="32"/>
        <v>28.460525878671209</v>
      </c>
      <c r="V137" s="479">
        <f t="shared" si="32"/>
        <v>27.46595117567572</v>
      </c>
      <c r="W137" s="479">
        <f t="shared" si="32"/>
        <v>27.354692076650768</v>
      </c>
      <c r="X137" s="479">
        <f t="shared" si="32"/>
        <v>31.435037689609381</v>
      </c>
      <c r="Y137" s="479">
        <f t="shared" si="32"/>
        <v>29.372881694229275</v>
      </c>
      <c r="Z137" s="479">
        <f t="shared" si="32"/>
        <v>30.4688678662786</v>
      </c>
      <c r="AA137" s="479">
        <f t="shared" si="32"/>
        <v>31.989438890298032</v>
      </c>
      <c r="AB137" s="479">
        <f t="shared" si="32"/>
        <v>26.841514735003784</v>
      </c>
      <c r="AC137" s="479">
        <f t="shared" si="32"/>
        <v>26.356745991435176</v>
      </c>
      <c r="AD137" s="479">
        <f t="shared" si="32"/>
        <v>30.408394570790279</v>
      </c>
      <c r="AE137" s="479">
        <f t="shared" si="33"/>
        <v>27.043596475574727</v>
      </c>
      <c r="AF137" s="479">
        <f t="shared" si="33"/>
        <v>28.230183380646363</v>
      </c>
      <c r="AG137" s="479">
        <f t="shared" si="33"/>
        <v>28.077744569097085</v>
      </c>
      <c r="AH137" s="479">
        <f t="shared" si="33"/>
        <v>27.968379285273418</v>
      </c>
      <c r="AI137" s="479">
        <f t="shared" si="33"/>
        <v>26.178574655375616</v>
      </c>
      <c r="AJ137" s="479">
        <f t="shared" si="33"/>
        <v>28.794701002018734</v>
      </c>
      <c r="AK137" s="479">
        <f t="shared" si="33"/>
        <v>30.536089598815888</v>
      </c>
      <c r="AL137" s="479">
        <f t="shared" si="33"/>
        <v>32.81559486225369</v>
      </c>
    </row>
    <row r="138" spans="1:38" x14ac:dyDescent="0.3">
      <c r="A138" s="201" t="str">
        <f>Legend!$A$50</f>
        <v>Electric Appliances</v>
      </c>
      <c r="B138" s="201" t="str">
        <f>'SRV_New Techs'!K$40</f>
        <v>S-EAP_ELC03</v>
      </c>
      <c r="C138" s="201" t="str">
        <f>'SRV_New Techs'!C$40</f>
        <v>Electricity</v>
      </c>
      <c r="D138" s="287" t="str">
        <f>'SRV_New Techs'!D$40</f>
        <v>SRVELC</v>
      </c>
      <c r="E138" s="287" t="str">
        <f>'SRV_New Techs'!F$40</f>
        <v>Appl.(Adv.)</v>
      </c>
      <c r="F138" s="427"/>
      <c r="G138" s="608"/>
      <c r="H138" s="427">
        <v>2030</v>
      </c>
      <c r="I138" s="306">
        <f>'S2'!$E$42*Legend!$B$38/('Key Inputs_BY Techs'!H$135/8760*31.54)</f>
        <v>43.926005545339265</v>
      </c>
      <c r="J138" s="427" t="s">
        <v>409</v>
      </c>
      <c r="K138" s="479">
        <f t="shared" ref="K138:T144" si="34">$I138*K$145</f>
        <v>35.566174948878327</v>
      </c>
      <c r="L138" s="479">
        <f t="shared" si="34"/>
        <v>36.899508842459007</v>
      </c>
      <c r="M138" s="479">
        <f t="shared" si="34"/>
        <v>35.562459066664502</v>
      </c>
      <c r="N138" s="479">
        <f t="shared" si="34"/>
        <v>36.131225439516946</v>
      </c>
      <c r="O138" s="479">
        <f t="shared" si="34"/>
        <v>42.827894124527319</v>
      </c>
      <c r="P138" s="479">
        <f t="shared" si="34"/>
        <v>36.656017409665331</v>
      </c>
      <c r="Q138" s="479">
        <f t="shared" si="34"/>
        <v>37.469042560000759</v>
      </c>
      <c r="R138" s="479">
        <f t="shared" si="34"/>
        <v>36.034142847420036</v>
      </c>
      <c r="S138" s="479">
        <f t="shared" si="34"/>
        <v>37.472625492034844</v>
      </c>
      <c r="T138" s="479">
        <f t="shared" si="34"/>
        <v>42.948267584448118</v>
      </c>
      <c r="U138" s="479">
        <f t="shared" ref="U138:AD144" si="35">$I138*U$145</f>
        <v>39.080310906889309</v>
      </c>
      <c r="V138" s="479">
        <f t="shared" si="35"/>
        <v>37.71461974647687</v>
      </c>
      <c r="W138" s="479">
        <f t="shared" si="35"/>
        <v>37.561845331848986</v>
      </c>
      <c r="X138" s="479">
        <f t="shared" si="35"/>
        <v>43.164734605286036</v>
      </c>
      <c r="Y138" s="479">
        <f t="shared" si="35"/>
        <v>40.33310395371204</v>
      </c>
      <c r="Z138" s="479">
        <f t="shared" si="35"/>
        <v>41.838047345690534</v>
      </c>
      <c r="AA138" s="479">
        <f t="shared" si="35"/>
        <v>43.926005545339265</v>
      </c>
      <c r="AB138" s="479">
        <f t="shared" si="35"/>
        <v>36.857180556945281</v>
      </c>
      <c r="AC138" s="479">
        <f t="shared" si="35"/>
        <v>36.191524788764234</v>
      </c>
      <c r="AD138" s="479">
        <f t="shared" si="35"/>
        <v>41.75500899287433</v>
      </c>
      <c r="AE138" s="479">
        <f t="shared" ref="AE138:AL144" si="36">$I138*AE$145</f>
        <v>37.1346672514563</v>
      </c>
      <c r="AF138" s="479">
        <f t="shared" si="36"/>
        <v>38.764018211657465</v>
      </c>
      <c r="AG138" s="479">
        <f t="shared" si="36"/>
        <v>38.55469825126675</v>
      </c>
      <c r="AH138" s="479">
        <f t="shared" si="36"/>
        <v>38.404524311668105</v>
      </c>
      <c r="AI138" s="479">
        <f t="shared" si="36"/>
        <v>35.946870447604589</v>
      </c>
      <c r="AJ138" s="479">
        <f t="shared" si="36"/>
        <v>39.53918042228208</v>
      </c>
      <c r="AK138" s="479">
        <f t="shared" si="36"/>
        <v>41.930352253142217</v>
      </c>
      <c r="AL138" s="479">
        <f t="shared" si="36"/>
        <v>45.060434065010661</v>
      </c>
    </row>
    <row r="139" spans="1:38" x14ac:dyDescent="0.3">
      <c r="A139" s="234"/>
      <c r="B139" s="234"/>
      <c r="C139" s="234"/>
      <c r="D139" s="291"/>
      <c r="E139" s="291"/>
      <c r="F139" s="427"/>
      <c r="G139" s="608"/>
      <c r="H139" s="430">
        <v>2050</v>
      </c>
      <c r="I139" s="306">
        <f>'S2'!$H$42*Legend!$B$38/('Key Inputs_BY Techs'!H$135/8760*31.54)</f>
        <v>40.867404625104726</v>
      </c>
      <c r="J139" s="427" t="s">
        <v>409</v>
      </c>
      <c r="K139" s="479">
        <f t="shared" si="34"/>
        <v>33.089675342840188</v>
      </c>
      <c r="L139" s="479">
        <f t="shared" si="34"/>
        <v>34.330168191047953</v>
      </c>
      <c r="M139" s="479">
        <f t="shared" si="34"/>
        <v>33.086218200309553</v>
      </c>
      <c r="N139" s="479">
        <f t="shared" si="34"/>
        <v>33.615380941331431</v>
      </c>
      <c r="O139" s="479">
        <f t="shared" si="34"/>
        <v>39.845755531347507</v>
      </c>
      <c r="P139" s="479">
        <f t="shared" si="34"/>
        <v>34.103631250500179</v>
      </c>
      <c r="Q139" s="479">
        <f t="shared" si="34"/>
        <v>34.860044845969256</v>
      </c>
      <c r="R139" s="479">
        <f t="shared" si="34"/>
        <v>33.525058283397442</v>
      </c>
      <c r="S139" s="479">
        <f t="shared" si="34"/>
        <v>34.863378295741505</v>
      </c>
      <c r="T139" s="479">
        <f t="shared" si="34"/>
        <v>39.957747296399525</v>
      </c>
      <c r="U139" s="479">
        <f t="shared" si="35"/>
        <v>36.359119361723955</v>
      </c>
      <c r="V139" s="479">
        <f t="shared" si="35"/>
        <v>35.088522307596278</v>
      </c>
      <c r="W139" s="479">
        <f t="shared" si="35"/>
        <v>34.946385690768771</v>
      </c>
      <c r="X139" s="479">
        <f t="shared" si="35"/>
        <v>40.15914155519328</v>
      </c>
      <c r="Y139" s="479">
        <f t="shared" si="35"/>
        <v>37.524679483123492</v>
      </c>
      <c r="Z139" s="479">
        <f t="shared" si="35"/>
        <v>38.924832530829612</v>
      </c>
      <c r="AA139" s="479">
        <f t="shared" si="35"/>
        <v>40.867404625104726</v>
      </c>
      <c r="AB139" s="479">
        <f t="shared" si="35"/>
        <v>34.290787256002744</v>
      </c>
      <c r="AC139" s="479">
        <f t="shared" si="35"/>
        <v>33.671481601378382</v>
      </c>
      <c r="AD139" s="479">
        <f t="shared" si="35"/>
        <v>38.847576201195018</v>
      </c>
      <c r="AE139" s="479">
        <f t="shared" si="36"/>
        <v>34.548952342535813</v>
      </c>
      <c r="AF139" s="479">
        <f t="shared" si="36"/>
        <v>36.064850365589933</v>
      </c>
      <c r="AG139" s="479">
        <f t="shared" si="36"/>
        <v>35.870105512030037</v>
      </c>
      <c r="AH139" s="479">
        <f t="shared" si="36"/>
        <v>35.730388297192704</v>
      </c>
      <c r="AI139" s="479">
        <f t="shared" si="36"/>
        <v>33.443862726651894</v>
      </c>
      <c r="AJ139" s="479">
        <f t="shared" si="36"/>
        <v>36.786037446418135</v>
      </c>
      <c r="AK139" s="479">
        <f t="shared" si="36"/>
        <v>39.01071017790629</v>
      </c>
      <c r="AL139" s="479">
        <f t="shared" si="36"/>
        <v>41.922842030716687</v>
      </c>
    </row>
    <row r="140" spans="1:38" x14ac:dyDescent="0.3">
      <c r="A140" s="203" t="str">
        <f>Legend!$A$47</f>
        <v>Cooking</v>
      </c>
      <c r="B140" s="201" t="str">
        <f>'SRV_New Techs'!K41</f>
        <v>S-CK_ELC01</v>
      </c>
      <c r="C140" s="201" t="str">
        <f>'SRV_New Techs'!C41</f>
        <v>Electricity</v>
      </c>
      <c r="D140" s="201" t="str">
        <f>'SRV_New Techs'!M41</f>
        <v>SRVELC</v>
      </c>
      <c r="E140" s="201" t="str">
        <f>'SRV_New Techs'!F41</f>
        <v>Cooking system (Ord.)</v>
      </c>
      <c r="F140" s="288"/>
      <c r="G140" s="288"/>
      <c r="H140" s="228">
        <v>2020</v>
      </c>
      <c r="I140" s="307">
        <f>Legend!$B$38*'S2'!D41</f>
        <v>238.43199380000004</v>
      </c>
      <c r="J140" s="426" t="s">
        <v>409</v>
      </c>
      <c r="K140" s="478">
        <f t="shared" si="34"/>
        <v>193.05452202221585</v>
      </c>
      <c r="L140" s="478">
        <f t="shared" si="34"/>
        <v>200.29190804675252</v>
      </c>
      <c r="M140" s="478">
        <f t="shared" si="34"/>
        <v>193.03435207518859</v>
      </c>
      <c r="N140" s="478">
        <f t="shared" si="34"/>
        <v>196.12163712653765</v>
      </c>
      <c r="O140" s="478">
        <f t="shared" si="34"/>
        <v>232.47140411677711</v>
      </c>
      <c r="P140" s="478">
        <f t="shared" si="34"/>
        <v>198.970227482507</v>
      </c>
      <c r="Q140" s="478">
        <f t="shared" si="34"/>
        <v>203.38335827364924</v>
      </c>
      <c r="R140" s="478">
        <f t="shared" si="34"/>
        <v>195.59466920151098</v>
      </c>
      <c r="S140" s="478">
        <f t="shared" si="34"/>
        <v>203.40280656215009</v>
      </c>
      <c r="T140" s="478">
        <f t="shared" si="34"/>
        <v>233.12479573964836</v>
      </c>
      <c r="U140" s="478">
        <f t="shared" si="35"/>
        <v>212.12938286035856</v>
      </c>
      <c r="V140" s="478">
        <f t="shared" si="35"/>
        <v>204.71636038655149</v>
      </c>
      <c r="W140" s="478">
        <f t="shared" si="35"/>
        <v>203.88709517499575</v>
      </c>
      <c r="X140" s="478">
        <f t="shared" si="35"/>
        <v>234.29978678947322</v>
      </c>
      <c r="Y140" s="478">
        <f t="shared" si="35"/>
        <v>218.92959016954364</v>
      </c>
      <c r="Z140" s="478">
        <f t="shared" si="35"/>
        <v>227.09847894171293</v>
      </c>
      <c r="AA140" s="478">
        <f t="shared" si="35"/>
        <v>238.43199380000004</v>
      </c>
      <c r="AB140" s="478">
        <f t="shared" si="35"/>
        <v>200.0621485367794</v>
      </c>
      <c r="AC140" s="478">
        <f t="shared" si="35"/>
        <v>196.44894423965619</v>
      </c>
      <c r="AD140" s="478">
        <f t="shared" si="35"/>
        <v>226.64774367047593</v>
      </c>
      <c r="AE140" s="478">
        <f t="shared" si="36"/>
        <v>201.56835664752927</v>
      </c>
      <c r="AF140" s="478">
        <f t="shared" si="36"/>
        <v>210.41253433265294</v>
      </c>
      <c r="AG140" s="478">
        <f t="shared" si="36"/>
        <v>209.27633779307502</v>
      </c>
      <c r="AH140" s="478">
        <f t="shared" si="36"/>
        <v>208.46118805681348</v>
      </c>
      <c r="AI140" s="478">
        <f t="shared" si="36"/>
        <v>195.12095136549627</v>
      </c>
      <c r="AJ140" s="478">
        <f t="shared" si="36"/>
        <v>214.6201436771191</v>
      </c>
      <c r="AK140" s="478">
        <f t="shared" si="36"/>
        <v>227.59951341657569</v>
      </c>
      <c r="AL140" s="478">
        <f t="shared" si="36"/>
        <v>244.58971404819442</v>
      </c>
    </row>
    <row r="141" spans="1:38" x14ac:dyDescent="0.3">
      <c r="A141" s="203" t="str">
        <f>Legend!$A$47</f>
        <v>Cooking</v>
      </c>
      <c r="B141" s="201" t="str">
        <f>'SRV_New Techs'!K42</f>
        <v>S-CK_GAS01</v>
      </c>
      <c r="C141" s="201" t="str">
        <f>'SRV_New Techs'!C42</f>
        <v>Natural gas,Biogas</v>
      </c>
      <c r="D141" s="201" t="str">
        <f>'SRV_New Techs'!M42</f>
        <v>SRVGAS, SRVBGS, SRVH2G, SRVH2B, SRVEFUM</v>
      </c>
      <c r="E141" s="201" t="str">
        <f>'SRV_New Techs'!F42</f>
        <v>Cooking system (Ord.)</v>
      </c>
      <c r="F141" s="287"/>
      <c r="G141" s="608"/>
      <c r="H141" s="211">
        <v>2020</v>
      </c>
      <c r="I141" s="306">
        <f>Legend!$B$38*'S2'!D42</f>
        <v>248.88380722684926</v>
      </c>
      <c r="J141" s="427" t="s">
        <v>409</v>
      </c>
      <c r="K141" s="477">
        <f t="shared" si="34"/>
        <v>201.5171860012718</v>
      </c>
      <c r="L141" s="477">
        <f t="shared" si="34"/>
        <v>209.07182730359636</v>
      </c>
      <c r="M141" s="477">
        <f t="shared" si="34"/>
        <v>201.49613189218306</v>
      </c>
      <c r="N141" s="477">
        <f t="shared" si="34"/>
        <v>204.71874998687895</v>
      </c>
      <c r="O141" s="477">
        <f t="shared" si="34"/>
        <v>242.66193142052614</v>
      </c>
      <c r="P141" s="477">
        <f t="shared" si="34"/>
        <v>207.69221005708258</v>
      </c>
      <c r="Q141" s="477">
        <f t="shared" si="34"/>
        <v>212.29879315687762</v>
      </c>
      <c r="R141" s="477">
        <f t="shared" si="34"/>
        <v>204.16868209801549</v>
      </c>
      <c r="S141" s="477">
        <f t="shared" si="34"/>
        <v>212.31909397309357</v>
      </c>
      <c r="T141" s="477">
        <f t="shared" si="34"/>
        <v>243.3439648679616</v>
      </c>
      <c r="U141" s="477">
        <f t="shared" si="35"/>
        <v>221.42820512273033</v>
      </c>
      <c r="V141" s="477">
        <f t="shared" si="35"/>
        <v>213.69022823911254</v>
      </c>
      <c r="W141" s="477">
        <f t="shared" si="35"/>
        <v>212.82461167581741</v>
      </c>
      <c r="X141" s="477">
        <f t="shared" si="35"/>
        <v>244.57046237476507</v>
      </c>
      <c r="Y141" s="477">
        <f t="shared" si="35"/>
        <v>228.52650371122218</v>
      </c>
      <c r="Z141" s="477">
        <f t="shared" si="35"/>
        <v>237.05348075833584</v>
      </c>
      <c r="AA141" s="477">
        <f t="shared" si="35"/>
        <v>248.88380722684926</v>
      </c>
      <c r="AB141" s="477">
        <f t="shared" si="35"/>
        <v>208.83199614387101</v>
      </c>
      <c r="AC141" s="477">
        <f t="shared" si="35"/>
        <v>205.06040480906569</v>
      </c>
      <c r="AD141" s="477">
        <f t="shared" si="35"/>
        <v>236.5829872286337</v>
      </c>
      <c r="AE141" s="477">
        <f t="shared" si="36"/>
        <v>210.40422981564004</v>
      </c>
      <c r="AF141" s="477">
        <f t="shared" si="36"/>
        <v>219.63609748148147</v>
      </c>
      <c r="AG141" s="477">
        <f t="shared" si="36"/>
        <v>218.45009506619601</v>
      </c>
      <c r="AH141" s="477">
        <f t="shared" si="36"/>
        <v>217.59921273875591</v>
      </c>
      <c r="AI141" s="477">
        <f t="shared" si="36"/>
        <v>203.67419854864124</v>
      </c>
      <c r="AJ141" s="477">
        <f t="shared" si="36"/>
        <v>224.0281499752941</v>
      </c>
      <c r="AK141" s="477">
        <f t="shared" si="36"/>
        <v>237.57647838826111</v>
      </c>
      <c r="AL141" s="477">
        <f t="shared" si="36"/>
        <v>255.31145493797817</v>
      </c>
    </row>
    <row r="142" spans="1:38" x14ac:dyDescent="0.3">
      <c r="A142" s="203" t="str">
        <f>Legend!$A$47</f>
        <v>Cooking</v>
      </c>
      <c r="B142" s="201" t="str">
        <f>'SRV_New Techs'!K43</f>
        <v>S-CK_LPG01</v>
      </c>
      <c r="C142" s="201" t="str">
        <f>'SRV_New Techs'!C43</f>
        <v>LPG</v>
      </c>
      <c r="D142" s="201" t="str">
        <f>'SRV_New Techs'!M43</f>
        <v>SRVLPG</v>
      </c>
      <c r="E142" s="201" t="str">
        <f>'SRV_New Techs'!F43</f>
        <v>Cooking system (Ord.)</v>
      </c>
      <c r="F142" s="287"/>
      <c r="G142" s="608"/>
      <c r="H142" s="211">
        <v>2020</v>
      </c>
      <c r="I142" s="606">
        <f>Legend!$B$38*'S2'!D42</f>
        <v>248.88380722684926</v>
      </c>
      <c r="J142" s="427" t="s">
        <v>409</v>
      </c>
      <c r="K142" s="477">
        <f t="shared" si="34"/>
        <v>201.5171860012718</v>
      </c>
      <c r="L142" s="477">
        <f t="shared" si="34"/>
        <v>209.07182730359636</v>
      </c>
      <c r="M142" s="477">
        <f t="shared" si="34"/>
        <v>201.49613189218306</v>
      </c>
      <c r="N142" s="477">
        <f t="shared" si="34"/>
        <v>204.71874998687895</v>
      </c>
      <c r="O142" s="477">
        <f t="shared" si="34"/>
        <v>242.66193142052614</v>
      </c>
      <c r="P142" s="477">
        <f t="shared" si="34"/>
        <v>207.69221005708258</v>
      </c>
      <c r="Q142" s="477">
        <f t="shared" si="34"/>
        <v>212.29879315687762</v>
      </c>
      <c r="R142" s="477">
        <f t="shared" si="34"/>
        <v>204.16868209801549</v>
      </c>
      <c r="S142" s="477">
        <f t="shared" si="34"/>
        <v>212.31909397309357</v>
      </c>
      <c r="T142" s="477">
        <f t="shared" si="34"/>
        <v>243.3439648679616</v>
      </c>
      <c r="U142" s="477">
        <f t="shared" si="35"/>
        <v>221.42820512273033</v>
      </c>
      <c r="V142" s="477">
        <f t="shared" si="35"/>
        <v>213.69022823911254</v>
      </c>
      <c r="W142" s="477">
        <f t="shared" si="35"/>
        <v>212.82461167581741</v>
      </c>
      <c r="X142" s="477">
        <f t="shared" si="35"/>
        <v>244.57046237476507</v>
      </c>
      <c r="Y142" s="477">
        <f t="shared" si="35"/>
        <v>228.52650371122218</v>
      </c>
      <c r="Z142" s="477">
        <f t="shared" si="35"/>
        <v>237.05348075833584</v>
      </c>
      <c r="AA142" s="477">
        <f t="shared" si="35"/>
        <v>248.88380722684926</v>
      </c>
      <c r="AB142" s="477">
        <f t="shared" si="35"/>
        <v>208.83199614387101</v>
      </c>
      <c r="AC142" s="477">
        <f t="shared" si="35"/>
        <v>205.06040480906569</v>
      </c>
      <c r="AD142" s="477">
        <f t="shared" si="35"/>
        <v>236.5829872286337</v>
      </c>
      <c r="AE142" s="477">
        <f t="shared" si="36"/>
        <v>210.40422981564004</v>
      </c>
      <c r="AF142" s="477">
        <f t="shared" si="36"/>
        <v>219.63609748148147</v>
      </c>
      <c r="AG142" s="477">
        <f t="shared" si="36"/>
        <v>218.45009506619601</v>
      </c>
      <c r="AH142" s="477">
        <f t="shared" si="36"/>
        <v>217.59921273875591</v>
      </c>
      <c r="AI142" s="477">
        <f t="shared" si="36"/>
        <v>203.67419854864124</v>
      </c>
      <c r="AJ142" s="477">
        <f t="shared" si="36"/>
        <v>224.0281499752941</v>
      </c>
      <c r="AK142" s="477">
        <f t="shared" si="36"/>
        <v>237.57647838826111</v>
      </c>
      <c r="AL142" s="477">
        <f t="shared" si="36"/>
        <v>255.31145493797817</v>
      </c>
    </row>
    <row r="143" spans="1:38" x14ac:dyDescent="0.3">
      <c r="A143" s="203" t="str">
        <f>Legend!$A$47</f>
        <v>Cooking</v>
      </c>
      <c r="B143" s="201" t="str">
        <f>'SRV_New Techs'!K44</f>
        <v>S-CK_BIO01</v>
      </c>
      <c r="C143" s="201" t="str">
        <f>'SRV_New Techs'!C44</f>
        <v>Biomass</v>
      </c>
      <c r="D143" s="201" t="str">
        <f>'SRV_New Techs'!M44</f>
        <v>SRVBIO</v>
      </c>
      <c r="E143" s="201" t="str">
        <f>'SRV_New Techs'!F44</f>
        <v>Cooking system (Ord.)</v>
      </c>
      <c r="F143" s="287"/>
      <c r="G143" s="608"/>
      <c r="H143" s="211">
        <v>2021</v>
      </c>
      <c r="I143" s="657">
        <f>I142</f>
        <v>248.88380722684926</v>
      </c>
      <c r="J143" s="427" t="s">
        <v>409</v>
      </c>
      <c r="K143" s="477">
        <f t="shared" si="34"/>
        <v>201.5171860012718</v>
      </c>
      <c r="L143" s="477">
        <f t="shared" si="34"/>
        <v>209.07182730359636</v>
      </c>
      <c r="M143" s="477">
        <f t="shared" si="34"/>
        <v>201.49613189218306</v>
      </c>
      <c r="N143" s="477">
        <f t="shared" si="34"/>
        <v>204.71874998687895</v>
      </c>
      <c r="O143" s="477">
        <f t="shared" si="34"/>
        <v>242.66193142052614</v>
      </c>
      <c r="P143" s="477">
        <f t="shared" si="34"/>
        <v>207.69221005708258</v>
      </c>
      <c r="Q143" s="477">
        <f t="shared" si="34"/>
        <v>212.29879315687762</v>
      </c>
      <c r="R143" s="477">
        <f t="shared" si="34"/>
        <v>204.16868209801549</v>
      </c>
      <c r="S143" s="477">
        <f t="shared" si="34"/>
        <v>212.31909397309357</v>
      </c>
      <c r="T143" s="477">
        <f t="shared" si="34"/>
        <v>243.3439648679616</v>
      </c>
      <c r="U143" s="477">
        <f t="shared" si="35"/>
        <v>221.42820512273033</v>
      </c>
      <c r="V143" s="477">
        <f t="shared" si="35"/>
        <v>213.69022823911254</v>
      </c>
      <c r="W143" s="477">
        <f t="shared" si="35"/>
        <v>212.82461167581741</v>
      </c>
      <c r="X143" s="477">
        <f t="shared" si="35"/>
        <v>244.57046237476507</v>
      </c>
      <c r="Y143" s="477">
        <f t="shared" si="35"/>
        <v>228.52650371122218</v>
      </c>
      <c r="Z143" s="477">
        <f t="shared" si="35"/>
        <v>237.05348075833584</v>
      </c>
      <c r="AA143" s="477">
        <f t="shared" si="35"/>
        <v>248.88380722684926</v>
      </c>
      <c r="AB143" s="477">
        <f t="shared" si="35"/>
        <v>208.83199614387101</v>
      </c>
      <c r="AC143" s="477">
        <f t="shared" si="35"/>
        <v>205.06040480906569</v>
      </c>
      <c r="AD143" s="477">
        <f t="shared" si="35"/>
        <v>236.5829872286337</v>
      </c>
      <c r="AE143" s="477">
        <f t="shared" si="36"/>
        <v>210.40422981564004</v>
      </c>
      <c r="AF143" s="477">
        <f t="shared" si="36"/>
        <v>219.63609748148147</v>
      </c>
      <c r="AG143" s="477">
        <f t="shared" si="36"/>
        <v>218.45009506619601</v>
      </c>
      <c r="AH143" s="477">
        <f t="shared" si="36"/>
        <v>217.59921273875591</v>
      </c>
      <c r="AI143" s="477">
        <f t="shared" si="36"/>
        <v>203.67419854864124</v>
      </c>
      <c r="AJ143" s="477">
        <f t="shared" si="36"/>
        <v>224.0281499752941</v>
      </c>
      <c r="AK143" s="477">
        <f t="shared" si="36"/>
        <v>237.57647838826111</v>
      </c>
      <c r="AL143" s="477">
        <f t="shared" si="36"/>
        <v>255.31145493797817</v>
      </c>
    </row>
    <row r="144" spans="1:38" x14ac:dyDescent="0.3">
      <c r="A144" s="234" t="str">
        <f>Legend!$A$47</f>
        <v>Cooking</v>
      </c>
      <c r="B144" s="201" t="str">
        <f>'SRV_New Techs'!K45</f>
        <v>S-CK_COA01</v>
      </c>
      <c r="C144" s="234" t="str">
        <f>'SRV_New Techs'!C45</f>
        <v>Coal</v>
      </c>
      <c r="D144" s="234" t="str">
        <f>'SRV_New Techs'!M45</f>
        <v>SRVCOA</v>
      </c>
      <c r="E144" s="201" t="str">
        <f>'SRV_New Techs'!F45</f>
        <v>Cooking system (Ord.)</v>
      </c>
      <c r="F144" s="291"/>
      <c r="G144" s="291"/>
      <c r="H144" s="282">
        <v>2020</v>
      </c>
      <c r="I144" s="434">
        <f>I142</f>
        <v>248.88380722684926</v>
      </c>
      <c r="J144" s="430" t="s">
        <v>409</v>
      </c>
      <c r="K144" s="480">
        <f t="shared" si="34"/>
        <v>201.5171860012718</v>
      </c>
      <c r="L144" s="480">
        <f t="shared" si="34"/>
        <v>209.07182730359636</v>
      </c>
      <c r="M144" s="480">
        <f t="shared" si="34"/>
        <v>201.49613189218306</v>
      </c>
      <c r="N144" s="480">
        <f t="shared" si="34"/>
        <v>204.71874998687895</v>
      </c>
      <c r="O144" s="480">
        <f t="shared" si="34"/>
        <v>242.66193142052614</v>
      </c>
      <c r="P144" s="480">
        <f t="shared" si="34"/>
        <v>207.69221005708258</v>
      </c>
      <c r="Q144" s="480">
        <f t="shared" si="34"/>
        <v>212.29879315687762</v>
      </c>
      <c r="R144" s="480">
        <f t="shared" si="34"/>
        <v>204.16868209801549</v>
      </c>
      <c r="S144" s="480">
        <f t="shared" si="34"/>
        <v>212.31909397309357</v>
      </c>
      <c r="T144" s="480">
        <f t="shared" si="34"/>
        <v>243.3439648679616</v>
      </c>
      <c r="U144" s="480">
        <f t="shared" si="35"/>
        <v>221.42820512273033</v>
      </c>
      <c r="V144" s="480">
        <f t="shared" si="35"/>
        <v>213.69022823911254</v>
      </c>
      <c r="W144" s="480">
        <f t="shared" si="35"/>
        <v>212.82461167581741</v>
      </c>
      <c r="X144" s="480">
        <f t="shared" si="35"/>
        <v>244.57046237476507</v>
      </c>
      <c r="Y144" s="480">
        <f t="shared" si="35"/>
        <v>228.52650371122218</v>
      </c>
      <c r="Z144" s="480">
        <f t="shared" si="35"/>
        <v>237.05348075833584</v>
      </c>
      <c r="AA144" s="480">
        <f t="shared" si="35"/>
        <v>248.88380722684926</v>
      </c>
      <c r="AB144" s="480">
        <f t="shared" si="35"/>
        <v>208.83199614387101</v>
      </c>
      <c r="AC144" s="480">
        <f t="shared" si="35"/>
        <v>205.06040480906569</v>
      </c>
      <c r="AD144" s="480">
        <f t="shared" si="35"/>
        <v>236.5829872286337</v>
      </c>
      <c r="AE144" s="480">
        <f t="shared" si="36"/>
        <v>210.40422981564004</v>
      </c>
      <c r="AF144" s="480">
        <f t="shared" si="36"/>
        <v>219.63609748148147</v>
      </c>
      <c r="AG144" s="480">
        <f t="shared" si="36"/>
        <v>218.45009506619601</v>
      </c>
      <c r="AH144" s="480">
        <f t="shared" si="36"/>
        <v>217.59921273875591</v>
      </c>
      <c r="AI144" s="480">
        <f t="shared" si="36"/>
        <v>203.67419854864124</v>
      </c>
      <c r="AJ144" s="480">
        <f t="shared" si="36"/>
        <v>224.0281499752941</v>
      </c>
      <c r="AK144" s="480">
        <f t="shared" si="36"/>
        <v>237.57647838826111</v>
      </c>
      <c r="AL144" s="480">
        <f t="shared" si="36"/>
        <v>255.31145493797817</v>
      </c>
    </row>
    <row r="145" spans="1:38" s="296" customFormat="1" ht="18" x14ac:dyDescent="0.3">
      <c r="A145" s="292"/>
      <c r="B145" s="292"/>
      <c r="C145" s="290" t="s">
        <v>445</v>
      </c>
      <c r="D145" s="293"/>
      <c r="E145" s="294"/>
      <c r="F145" s="295"/>
      <c r="G145" s="295"/>
      <c r="H145" s="295"/>
      <c r="I145" s="295"/>
      <c r="J145" s="295"/>
      <c r="K145" s="476">
        <f>0.8+0.2*'S6'!B24/'S6'!$R$24</f>
        <v>0.80968379681525693</v>
      </c>
      <c r="L145" s="476">
        <f>0.8+0.2*'S6'!C24/'S6'!$R$24</f>
        <v>0.84003788608486851</v>
      </c>
      <c r="M145" s="476">
        <f>0.8+0.2*'S6'!D24/'S6'!$R$24</f>
        <v>0.8095992026854768</v>
      </c>
      <c r="N145" s="476">
        <f>0.8+0.2*'S6'!E24/'S6'!$R$24</f>
        <v>0.82254748618613283</v>
      </c>
      <c r="O145" s="476">
        <f>0.8+0.2*'S6'!F24/'S6'!$R$24</f>
        <v>0.97500088143278807</v>
      </c>
      <c r="P145" s="476">
        <f>0.8+0.2*'S6'!G24/'S6'!$R$24</f>
        <v>0.8344946678984948</v>
      </c>
      <c r="Q145" s="476">
        <f>0.8+0.2*'S6'!H24/'S6'!$R$24</f>
        <v>0.85300363861508421</v>
      </c>
      <c r="R145" s="476">
        <f>0.8+0.2*'S6'!I24/'S6'!$R$24</f>
        <v>0.82033734686452531</v>
      </c>
      <c r="S145" s="476">
        <f>0.8+0.2*'S6'!J24/'S6'!$R$24</f>
        <v>0.85308520605991789</v>
      </c>
      <c r="T145" s="476">
        <f>0.8+0.2*'S6'!K24/'S6'!$R$24</f>
        <v>0.97774125034242076</v>
      </c>
      <c r="U145" s="476">
        <f>0.8+0.2*'S6'!L24/'S6'!$R$24</f>
        <v>0.88968506063114805</v>
      </c>
      <c r="V145" s="476">
        <f>0.8+0.2*'S6'!M24/'S6'!$R$24</f>
        <v>0.85859434014660929</v>
      </c>
      <c r="W145" s="476">
        <f>0.8+0.2*'S6'!N24/'S6'!$R$24</f>
        <v>0.8551163454432168</v>
      </c>
      <c r="X145" s="476">
        <f>0.8+0.2*'S6'!O24/'S6'!$R$24</f>
        <v>0.98266924272758049</v>
      </c>
      <c r="Y145" s="476">
        <f>0.8+0.2*'S6'!P24/'S6'!$R$24</f>
        <v>0.91820559263193813</v>
      </c>
      <c r="Z145" s="476">
        <f>0.8+0.2*'S6'!Q24/'S6'!$R$24</f>
        <v>0.95246646778538524</v>
      </c>
      <c r="AA145" s="476">
        <f>0.8+0.2*'S6'!R24/'S6'!$R$24</f>
        <v>1</v>
      </c>
      <c r="AB145" s="476">
        <f>0.8+0.2*'S6'!S24/'S6'!$R$24</f>
        <v>0.83907425907193567</v>
      </c>
      <c r="AC145" s="476">
        <f>0.8+0.2*'S6'!T24/'S6'!$R$24</f>
        <v>0.82392023448178775</v>
      </c>
      <c r="AD145" s="476">
        <f>0.8+0.2*'S6'!U24/'S6'!$R$24</f>
        <v>0.95057605339907159</v>
      </c>
      <c r="AE145" s="476">
        <f>0.8+0.2*'S6'!V24/'S6'!$R$24</f>
        <v>0.84539139833980292</v>
      </c>
      <c r="AF145" s="476">
        <f>0.8+0.2*'S6'!W24/'S6'!$R$24</f>
        <v>0.88248448112693212</v>
      </c>
      <c r="AG145" s="476">
        <f>0.8+0.2*'S6'!X24/'S6'!$R$24</f>
        <v>0.87771919555652755</v>
      </c>
      <c r="AH145" s="476">
        <f>0.8+0.2*'S6'!Y24/'S6'!$R$24</f>
        <v>0.87430040211664517</v>
      </c>
      <c r="AI145" s="476">
        <f>0.8+0.2*'S6'!Z24/'S6'!$R$24</f>
        <v>0.8183505420382734</v>
      </c>
      <c r="AJ145" s="476">
        <f>0.8+0.2*'S6'!AA24/'S6'!$R$24</f>
        <v>0.90013148091671524</v>
      </c>
      <c r="AK145" s="476">
        <f>0.8+0.2*'S6'!AB24/'S6'!$R$24</f>
        <v>0.95456784045302756</v>
      </c>
      <c r="AL145" s="476">
        <f>0.8+0.2*'S6'!AC24/'S6'!$R$24</f>
        <v>1.0258258975654062</v>
      </c>
    </row>
    <row r="146" spans="1:38" x14ac:dyDescent="0.3">
      <c r="B146" s="201"/>
    </row>
  </sheetData>
  <phoneticPr fontId="93"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59999389629810485"/>
  </sheetPr>
  <dimension ref="B1:S92"/>
  <sheetViews>
    <sheetView showGridLines="0" topLeftCell="C1" zoomScale="70" zoomScaleNormal="70" workbookViewId="0">
      <pane ySplit="1" topLeftCell="A36" activePane="bottomLeft" state="frozen"/>
      <selection pane="bottomLeft" activeCell="K58" sqref="K58:R62"/>
    </sheetView>
  </sheetViews>
  <sheetFormatPr defaultColWidth="9" defaultRowHeight="14.4" x14ac:dyDescent="0.3"/>
  <cols>
    <col min="1" max="1" width="1.8984375" style="3" bestFit="1" customWidth="1"/>
    <col min="2" max="2" width="20.19921875" style="3" customWidth="1"/>
    <col min="3" max="3" width="10.59765625" style="3" customWidth="1"/>
    <col min="4" max="4" width="44.59765625" style="3" bestFit="1" customWidth="1"/>
    <col min="5" max="5" width="4.3984375" style="3" bestFit="1" customWidth="1"/>
    <col min="6" max="6" width="7.59765625" style="3" bestFit="1" customWidth="1"/>
    <col min="7" max="7" width="8.09765625" style="3" bestFit="1" customWidth="1"/>
    <col min="8" max="8" width="6.69921875" style="3" bestFit="1" customWidth="1"/>
    <col min="9" max="9" width="7" style="3" bestFit="1" customWidth="1"/>
    <col min="10" max="10" width="9" style="3"/>
    <col min="11" max="11" width="12.59765625" style="3" customWidth="1"/>
    <col min="12" max="12" width="16.3984375" style="3" customWidth="1"/>
    <col min="13" max="13" width="60.19921875" style="3" bestFit="1" customWidth="1"/>
    <col min="14" max="14" width="12.09765625" style="3" customWidth="1"/>
    <col min="15" max="15" width="11.59765625" style="3" customWidth="1"/>
    <col min="16" max="16" width="17.5" style="3" customWidth="1"/>
    <col min="17" max="17" width="15.69921875" style="3" customWidth="1"/>
    <col min="18" max="16384" width="9" style="3"/>
  </cols>
  <sheetData>
    <row r="1" spans="2:18" ht="25.8" x14ac:dyDescent="0.3">
      <c r="B1" s="4" t="s">
        <v>44</v>
      </c>
      <c r="K1" s="4" t="s">
        <v>45</v>
      </c>
    </row>
    <row r="3" spans="2:18" x14ac:dyDescent="0.3">
      <c r="B3" s="95" t="s">
        <v>46</v>
      </c>
      <c r="C3" s="55"/>
      <c r="D3" s="55"/>
      <c r="E3" s="55"/>
      <c r="F3" s="55"/>
      <c r="G3" s="55"/>
      <c r="H3" s="55"/>
      <c r="I3" s="55"/>
      <c r="K3" s="95" t="s">
        <v>47</v>
      </c>
      <c r="L3" s="55"/>
      <c r="M3" s="55"/>
      <c r="N3" s="55"/>
      <c r="O3" s="55"/>
      <c r="P3" s="55"/>
      <c r="Q3" s="55"/>
      <c r="R3" s="55"/>
    </row>
    <row r="4" spans="2:18" ht="15" thickBot="1" x14ac:dyDescent="0.35">
      <c r="B4" s="96" t="s">
        <v>48</v>
      </c>
      <c r="C4" s="96" t="s">
        <v>41</v>
      </c>
      <c r="D4" s="96" t="s">
        <v>42</v>
      </c>
      <c r="E4" s="96" t="s">
        <v>49</v>
      </c>
      <c r="F4" s="96" t="s">
        <v>50</v>
      </c>
      <c r="G4" s="96" t="s">
        <v>51</v>
      </c>
      <c r="H4" s="96" t="s">
        <v>52</v>
      </c>
      <c r="I4" s="96" t="s">
        <v>53</v>
      </c>
      <c r="K4" s="96" t="s">
        <v>54</v>
      </c>
      <c r="L4" s="96" t="s">
        <v>38</v>
      </c>
      <c r="M4" s="96" t="s">
        <v>39</v>
      </c>
      <c r="N4" s="96" t="s">
        <v>55</v>
      </c>
      <c r="O4" s="96" t="s">
        <v>56</v>
      </c>
      <c r="P4" s="96" t="s">
        <v>57</v>
      </c>
      <c r="Q4" s="96" t="s">
        <v>58</v>
      </c>
      <c r="R4" s="96" t="s">
        <v>59</v>
      </c>
    </row>
    <row r="5" spans="2:18" ht="27.6" x14ac:dyDescent="0.3">
      <c r="B5" s="1" t="s">
        <v>68</v>
      </c>
      <c r="C5" s="1" t="s">
        <v>60</v>
      </c>
      <c r="D5" s="1" t="s">
        <v>30</v>
      </c>
      <c r="E5" s="1"/>
      <c r="F5" s="1"/>
      <c r="G5" s="1"/>
      <c r="H5" s="1"/>
      <c r="I5" s="1"/>
      <c r="J5" s="5"/>
      <c r="K5" s="1" t="s">
        <v>69</v>
      </c>
      <c r="L5" s="1" t="s">
        <v>61</v>
      </c>
      <c r="M5" s="1" t="s">
        <v>30</v>
      </c>
      <c r="N5" s="1" t="s">
        <v>62</v>
      </c>
      <c r="O5" s="1" t="s">
        <v>63</v>
      </c>
      <c r="P5" s="1" t="s">
        <v>64</v>
      </c>
      <c r="Q5" s="1" t="s">
        <v>65</v>
      </c>
      <c r="R5" s="1" t="s">
        <v>66</v>
      </c>
    </row>
    <row r="6" spans="2:18" x14ac:dyDescent="0.3">
      <c r="B6" s="2" t="s">
        <v>83</v>
      </c>
      <c r="C6" s="2"/>
      <c r="D6" s="2"/>
      <c r="E6" s="2"/>
      <c r="F6" s="2"/>
      <c r="G6" s="2"/>
      <c r="H6" s="2"/>
      <c r="I6" s="2"/>
      <c r="K6" s="6" t="s">
        <v>180</v>
      </c>
      <c r="L6" s="2"/>
      <c r="M6" s="6"/>
      <c r="N6" s="6"/>
      <c r="O6" s="6"/>
      <c r="P6" s="6"/>
      <c r="Q6" s="6"/>
      <c r="R6" s="6"/>
    </row>
    <row r="7" spans="2:18" s="49" customFormat="1" x14ac:dyDescent="0.3">
      <c r="B7" s="49" t="s">
        <v>71</v>
      </c>
      <c r="C7" s="53" t="str">
        <f>Legend!B60</f>
        <v>SRVBGS</v>
      </c>
      <c r="D7" s="53" t="str">
        <f>Legend!A60&amp;" ("&amp;Legend!$C$4&amp;")"</f>
        <v>Biogas (SRV)</v>
      </c>
      <c r="E7" s="49" t="s">
        <v>15</v>
      </c>
      <c r="K7" s="49" t="s">
        <v>76</v>
      </c>
      <c r="L7" s="56" t="str">
        <f>"FT-"&amp;Legend!B60</f>
        <v>FT-SRVBGS</v>
      </c>
      <c r="M7" s="56" t="str">
        <f>Legend!$C$4&amp;" fuel Tech: "&amp;Legend!A60</f>
        <v>SRV fuel Tech: Biogas</v>
      </c>
      <c r="N7" s="49" t="s">
        <v>15</v>
      </c>
      <c r="O7" s="49" t="s">
        <v>172</v>
      </c>
    </row>
    <row r="8" spans="2:18" s="49" customFormat="1" x14ac:dyDescent="0.3">
      <c r="B8" s="49" t="s">
        <v>71</v>
      </c>
      <c r="C8" s="53" t="str">
        <f>Legend!B61</f>
        <v>SRVCOA</v>
      </c>
      <c r="D8" s="53" t="str">
        <f>Legend!A61&amp;" ("&amp;Legend!$C$4&amp;")"</f>
        <v>Coal (SRV)</v>
      </c>
      <c r="E8" s="49" t="s">
        <v>15</v>
      </c>
      <c r="K8" s="49" t="s">
        <v>76</v>
      </c>
      <c r="L8" s="49" t="str">
        <f>"FT-"&amp;Legend!B61</f>
        <v>FT-SRVCOA</v>
      </c>
      <c r="M8" s="49" t="str">
        <f>Legend!$C$4&amp;" fuel Tech: "&amp;Legend!A61</f>
        <v>SRV fuel Tech: Coal</v>
      </c>
      <c r="N8" s="49" t="s">
        <v>15</v>
      </c>
      <c r="O8" s="49" t="s">
        <v>172</v>
      </c>
    </row>
    <row r="9" spans="2:18" s="49" customFormat="1" x14ac:dyDescent="0.3">
      <c r="B9" s="49" t="s">
        <v>71</v>
      </c>
      <c r="C9" s="53" t="str">
        <f>Legend!B62</f>
        <v>SRVOIL</v>
      </c>
      <c r="D9" s="53" t="str">
        <f>Legend!A62&amp;" ("&amp;Legend!$C$4&amp;")"</f>
        <v>Oil (SRV)</v>
      </c>
      <c r="E9" s="49" t="s">
        <v>15</v>
      </c>
      <c r="K9" s="49" t="s">
        <v>76</v>
      </c>
      <c r="L9" s="49" t="str">
        <f>"FT-"&amp;Legend!B62</f>
        <v>FT-SRVOIL</v>
      </c>
      <c r="M9" s="49" t="str">
        <f>Legend!$C$4&amp;" fuel Tech: "&amp;Legend!A62</f>
        <v>SRV fuel Tech: Oil</v>
      </c>
      <c r="N9" s="49" t="s">
        <v>15</v>
      </c>
      <c r="O9" s="49" t="s">
        <v>172</v>
      </c>
    </row>
    <row r="10" spans="2:18" s="49" customFormat="1" x14ac:dyDescent="0.3">
      <c r="B10" s="49" t="s">
        <v>71</v>
      </c>
      <c r="C10" s="53" t="str">
        <f>Legend!B63</f>
        <v>SRVELC</v>
      </c>
      <c r="D10" s="53" t="str">
        <f>Legend!A63&amp;" ("&amp;Legend!$C$4&amp;")"</f>
        <v>Electricity (SRV)</v>
      </c>
      <c r="E10" s="49" t="s">
        <v>15</v>
      </c>
      <c r="G10" s="49" t="s">
        <v>173</v>
      </c>
      <c r="I10" s="49" t="s">
        <v>16</v>
      </c>
      <c r="K10" s="49" t="s">
        <v>76</v>
      </c>
      <c r="L10" s="49" t="str">
        <f>"FT-"&amp;Legend!B63</f>
        <v>FT-SRVELC</v>
      </c>
      <c r="M10" s="49" t="str">
        <f>Legend!$C$4&amp;" fuel Tech: "&amp;Legend!A63</f>
        <v>SRV fuel Tech: Electricity</v>
      </c>
      <c r="N10" s="49" t="s">
        <v>15</v>
      </c>
      <c r="O10" s="49" t="s">
        <v>172</v>
      </c>
      <c r="P10" s="49" t="s">
        <v>173</v>
      </c>
    </row>
    <row r="11" spans="2:18" s="49" customFormat="1" x14ac:dyDescent="0.3">
      <c r="B11" s="49" t="s">
        <v>71</v>
      </c>
      <c r="C11" s="53" t="str">
        <f>Legend!B64</f>
        <v>SRVGEO</v>
      </c>
      <c r="D11" s="53" t="str">
        <f>Legend!A64&amp;" ("&amp;Legend!$C$4&amp;")"</f>
        <v>Geothermal (SRV)</v>
      </c>
      <c r="E11" s="49" t="s">
        <v>15</v>
      </c>
      <c r="K11" s="49" t="s">
        <v>76</v>
      </c>
      <c r="L11" s="49" t="str">
        <f>"FT-"&amp;Legend!B64</f>
        <v>FT-SRVGEO</v>
      </c>
      <c r="M11" s="49" t="str">
        <f>Legend!$C$4&amp;" fuel Tech: "&amp;Legend!A64</f>
        <v>SRV fuel Tech: Geothermal</v>
      </c>
      <c r="N11" s="49" t="s">
        <v>15</v>
      </c>
      <c r="O11" s="49" t="s">
        <v>172</v>
      </c>
    </row>
    <row r="12" spans="2:18" s="49" customFormat="1" x14ac:dyDescent="0.3">
      <c r="B12" s="49" t="s">
        <v>71</v>
      </c>
      <c r="C12" s="53" t="str">
        <f>Legend!B65</f>
        <v>SRVHET</v>
      </c>
      <c r="D12" s="53" t="str">
        <f>Legend!A65&amp;" ("&amp;Legend!$C$4&amp;")"</f>
        <v>Heat (SRV)</v>
      </c>
      <c r="E12" s="49" t="s">
        <v>15</v>
      </c>
      <c r="G12" s="49" t="s">
        <v>173</v>
      </c>
      <c r="I12" s="49" t="s">
        <v>72</v>
      </c>
      <c r="K12" s="49" t="s">
        <v>76</v>
      </c>
      <c r="L12" s="49" t="str">
        <f>"FT-"&amp;Legend!B65</f>
        <v>FT-SRVHET</v>
      </c>
      <c r="M12" s="49" t="str">
        <f>Legend!$C$4&amp;" fuel Tech: "&amp;Legend!A65</f>
        <v>SRV fuel Tech: Heat</v>
      </c>
      <c r="N12" s="49" t="s">
        <v>15</v>
      </c>
      <c r="O12" s="49" t="s">
        <v>172</v>
      </c>
      <c r="P12" s="49" t="s">
        <v>173</v>
      </c>
    </row>
    <row r="13" spans="2:18" s="49" customFormat="1" x14ac:dyDescent="0.3">
      <c r="B13" s="49" t="s">
        <v>71</v>
      </c>
      <c r="C13" s="53" t="str">
        <f>Legend!B66</f>
        <v>SRVBLQ</v>
      </c>
      <c r="D13" s="53" t="str">
        <f>Legend!A66&amp;" ("&amp;Legend!$C$4&amp;")"</f>
        <v>Liquid biofuels (SRV)</v>
      </c>
      <c r="E13" s="49" t="s">
        <v>15</v>
      </c>
      <c r="K13" s="49" t="s">
        <v>76</v>
      </c>
      <c r="L13" s="49" t="str">
        <f>"FT-"&amp;Legend!B66</f>
        <v>FT-SRVBLQ</v>
      </c>
      <c r="M13" s="49" t="str">
        <f>Legend!$C$4&amp;" fuel Tech: "&amp;Legend!A66</f>
        <v>SRV fuel Tech: Liquid biofuels</v>
      </c>
      <c r="N13" s="49" t="s">
        <v>15</v>
      </c>
      <c r="O13" s="49" t="s">
        <v>172</v>
      </c>
    </row>
    <row r="14" spans="2:18" s="49" customFormat="1" x14ac:dyDescent="0.3">
      <c r="B14" s="49" t="s">
        <v>71</v>
      </c>
      <c r="C14" s="53" t="str">
        <f>Legend!B67</f>
        <v>SRVLPG</v>
      </c>
      <c r="D14" s="53" t="str">
        <f>Legend!A67&amp;" ("&amp;Legend!$C$4&amp;")"</f>
        <v>LPG (SRV)</v>
      </c>
      <c r="E14" s="49" t="s">
        <v>15</v>
      </c>
      <c r="K14" s="49" t="s">
        <v>76</v>
      </c>
      <c r="L14" s="49" t="str">
        <f>"FT-"&amp;Legend!B67</f>
        <v>FT-SRVLPG</v>
      </c>
      <c r="M14" s="49" t="str">
        <f>Legend!$C$4&amp;" fuel Tech: "&amp;Legend!A67</f>
        <v>SRV fuel Tech: LPG</v>
      </c>
      <c r="N14" s="49" t="s">
        <v>15</v>
      </c>
      <c r="O14" s="49" t="s">
        <v>172</v>
      </c>
    </row>
    <row r="15" spans="2:18" s="49" customFormat="1" x14ac:dyDescent="0.3">
      <c r="B15" s="49" t="s">
        <v>71</v>
      </c>
      <c r="C15" s="53" t="str">
        <f>Legend!B68</f>
        <v>SRVGAS</v>
      </c>
      <c r="D15" s="53" t="str">
        <f>Legend!A68&amp;" ("&amp;Legend!$C$4&amp;")"</f>
        <v>Natural gas (SRV)</v>
      </c>
      <c r="E15" s="49" t="s">
        <v>15</v>
      </c>
      <c r="K15" s="49" t="s">
        <v>76</v>
      </c>
      <c r="L15" s="49" t="str">
        <f>"FT-"&amp;Legend!B68</f>
        <v>FT-SRVGAS</v>
      </c>
      <c r="M15" s="49" t="str">
        <f>Legend!$C$4&amp;" fuel Tech: "&amp;Legend!A68</f>
        <v>SRV fuel Tech: Natural gas</v>
      </c>
      <c r="N15" s="49" t="s">
        <v>15</v>
      </c>
      <c r="O15" s="49" t="s">
        <v>172</v>
      </c>
    </row>
    <row r="16" spans="2:18" s="49" customFormat="1" x14ac:dyDescent="0.3">
      <c r="B16" s="49" t="s">
        <v>71</v>
      </c>
      <c r="C16" s="53" t="str">
        <f>Legend!B69</f>
        <v>SRVSOL</v>
      </c>
      <c r="D16" s="53" t="str">
        <f>Legend!A69&amp;" ("&amp;Legend!$C$4&amp;")"</f>
        <v>Solar (SRV)</v>
      </c>
      <c r="E16" s="49" t="s">
        <v>15</v>
      </c>
      <c r="K16" s="49" t="s">
        <v>76</v>
      </c>
      <c r="L16" s="49" t="str">
        <f>"FT-"&amp;Legend!B69</f>
        <v>FT-SRVSOL</v>
      </c>
      <c r="M16" s="49" t="str">
        <f>Legend!$C$4&amp;" fuel Tech: "&amp;Legend!A69</f>
        <v>SRV fuel Tech: Solar</v>
      </c>
      <c r="N16" s="49" t="s">
        <v>15</v>
      </c>
      <c r="O16" s="49" t="s">
        <v>172</v>
      </c>
    </row>
    <row r="17" spans="2:18" s="49" customFormat="1" x14ac:dyDescent="0.3">
      <c r="B17" s="49" t="s">
        <v>71</v>
      </c>
      <c r="C17" s="53" t="str">
        <f>Legend!B70</f>
        <v>SRVBIO</v>
      </c>
      <c r="D17" s="53" t="str">
        <f>Legend!A70&amp;" ("&amp;Legend!$C$4&amp;")"</f>
        <v>Biomass (SRV)</v>
      </c>
      <c r="E17" s="49" t="s">
        <v>15</v>
      </c>
      <c r="K17" s="49" t="s">
        <v>76</v>
      </c>
      <c r="L17" s="49" t="str">
        <f>"FT-"&amp;Legend!B70</f>
        <v>FT-SRVBIO</v>
      </c>
      <c r="M17" s="49" t="str">
        <f>Legend!$C$4&amp;" fuel Tech: "&amp;Legend!A70</f>
        <v>SRV fuel Tech: Biomass</v>
      </c>
      <c r="N17" s="49" t="s">
        <v>15</v>
      </c>
      <c r="O17" s="49" t="s">
        <v>172</v>
      </c>
    </row>
    <row r="18" spans="2:18" s="49" customFormat="1" x14ac:dyDescent="0.3">
      <c r="B18" s="49" t="s">
        <v>71</v>
      </c>
      <c r="C18" s="53" t="str">
        <f>Legend!B71</f>
        <v>SRVWAS</v>
      </c>
      <c r="D18" s="53" t="str">
        <f>Legend!A71&amp;" ("&amp;Legend!$C$4&amp;")"</f>
        <v>Waste (SRV)</v>
      </c>
      <c r="E18" s="49" t="s">
        <v>15</v>
      </c>
      <c r="K18" s="49" t="s">
        <v>76</v>
      </c>
      <c r="L18" s="49" t="str">
        <f>"FT-"&amp;Legend!B71</f>
        <v>FT-SRVWAS</v>
      </c>
      <c r="M18" s="49" t="str">
        <f>Legend!$C$4&amp;" fuel Tech: "&amp;Legend!A71</f>
        <v>SRV fuel Tech: Waste</v>
      </c>
      <c r="N18" s="49" t="s">
        <v>15</v>
      </c>
      <c r="O18" s="49" t="s">
        <v>172</v>
      </c>
    </row>
    <row r="19" spans="2:18" s="49" customFormat="1" x14ac:dyDescent="0.3">
      <c r="B19" s="49" t="s">
        <v>71</v>
      </c>
      <c r="C19" s="53" t="str">
        <f>Legend!B72</f>
        <v>SRVH2G</v>
      </c>
      <c r="D19" s="53" t="str">
        <f>Legend!A72&amp;" ("&amp;Legend!$C$4&amp;")"</f>
        <v>Hydrogen (SRV)</v>
      </c>
      <c r="E19" s="49" t="s">
        <v>15</v>
      </c>
      <c r="K19" s="6" t="s">
        <v>440</v>
      </c>
      <c r="L19" s="2"/>
      <c r="M19" s="6"/>
      <c r="N19" s="6"/>
      <c r="O19" s="6"/>
      <c r="P19" s="6"/>
      <c r="Q19" s="6"/>
      <c r="R19" s="6"/>
    </row>
    <row r="20" spans="2:18" s="49" customFormat="1" x14ac:dyDescent="0.3">
      <c r="B20" s="49" t="s">
        <v>71</v>
      </c>
      <c r="C20" s="53" t="str">
        <f>Legend!B73</f>
        <v>SRVH2B</v>
      </c>
      <c r="D20" s="53" t="str">
        <f>Legend!A73&amp;" ("&amp;Legend!$C$4&amp;")"</f>
        <v>Natural gas blend H2 (SRV)</v>
      </c>
      <c r="E20" s="49" t="s">
        <v>15</v>
      </c>
      <c r="K20" s="49" t="s">
        <v>75</v>
      </c>
      <c r="L20" s="49" t="str">
        <f>'SRV_BY Techs'!I6</f>
        <v>S-TH-STV_BIO00</v>
      </c>
      <c r="M20" s="49" t="str">
        <f>'SRV_BY Techs'!J6</f>
        <v>SRV Thermal uses technology: Biomass, Waste - Existing</v>
      </c>
      <c r="N20" s="49" t="str">
        <f>'Key Inputs_BY Techs'!F49</f>
        <v>PJ</v>
      </c>
      <c r="O20" s="49" t="str">
        <f>'Key Inputs_BY Techs'!F77</f>
        <v>GW</v>
      </c>
    </row>
    <row r="21" spans="2:18" s="49" customFormat="1" x14ac:dyDescent="0.3">
      <c r="B21" s="49" t="s">
        <v>71</v>
      </c>
      <c r="C21" s="53" t="str">
        <f>Legend!B74</f>
        <v>SRVEFUM</v>
      </c>
      <c r="D21" s="53" t="str">
        <f>Legend!A74&amp;" ("&amp;Legend!$C$4&amp;")"</f>
        <v>Synthetic methane (SRV)</v>
      </c>
      <c r="E21" s="49" t="s">
        <v>15</v>
      </c>
      <c r="K21" s="49" t="s">
        <v>75</v>
      </c>
      <c r="L21" s="49" t="str">
        <f>'SRV_BY Techs'!I7</f>
        <v>S-TH-STV_COA00</v>
      </c>
      <c r="M21" s="49" t="str">
        <f>'SRV_BY Techs'!J7</f>
        <v>SRV Thermal uses technology: Coal - Existing</v>
      </c>
      <c r="N21" s="49" t="str">
        <f>'Key Inputs_BY Techs'!F50</f>
        <v>PJ</v>
      </c>
      <c r="O21" s="49" t="str">
        <f>'Key Inputs_BY Techs'!F78</f>
        <v>GW</v>
      </c>
    </row>
    <row r="22" spans="2:18" s="49" customFormat="1" x14ac:dyDescent="0.3">
      <c r="B22" s="100" t="s">
        <v>81</v>
      </c>
      <c r="C22" s="100"/>
      <c r="D22" s="101"/>
      <c r="E22" s="101"/>
      <c r="F22" s="101"/>
      <c r="G22" s="101"/>
      <c r="H22" s="101"/>
      <c r="I22" s="101"/>
      <c r="K22" s="49" t="s">
        <v>75</v>
      </c>
      <c r="L22" s="49" t="str">
        <f>'SRV_BY Techs'!I8</f>
        <v>S-TH-RST_ELC00</v>
      </c>
      <c r="M22" s="49" t="str">
        <f>'SRV_BY Techs'!J8</f>
        <v>SRV Thermal uses technology: Electricity - Existing</v>
      </c>
      <c r="N22" s="49" t="str">
        <f>'Key Inputs_BY Techs'!F51</f>
        <v>PJ</v>
      </c>
      <c r="O22" s="49" t="str">
        <f>'Key Inputs_BY Techs'!F79</f>
        <v>GW</v>
      </c>
    </row>
    <row r="23" spans="2:18" s="49" customFormat="1" x14ac:dyDescent="0.3">
      <c r="B23" s="49" t="s">
        <v>67</v>
      </c>
      <c r="C23" s="53" t="str">
        <f>LEFT(Legend!$C$4)&amp;"-"&amp;Legend!B45</f>
        <v>S-TH</v>
      </c>
      <c r="D23" s="53" t="str">
        <f>"Demand for "&amp;Legend!A45&amp;" ("&amp;Legend!$C$4&amp;")"</f>
        <v>Demand for Thermal uses (SRV)</v>
      </c>
      <c r="E23" s="49" t="s">
        <v>15</v>
      </c>
      <c r="K23" s="49" t="s">
        <v>75</v>
      </c>
      <c r="L23" s="49" t="str">
        <f>'SRV_BY Techs'!I9</f>
        <v>S-TH-HPA_ELC00</v>
      </c>
      <c r="M23" s="49" t="str">
        <f>'SRV_BY Techs'!J9</f>
        <v>SRV Thermal uses technology: Electricity (Heat Pump) - Existing</v>
      </c>
      <c r="N23" s="49" t="str">
        <f>'Key Inputs_BY Techs'!F52</f>
        <v>PJ</v>
      </c>
      <c r="O23" s="49" t="str">
        <f>'Key Inputs_BY Techs'!F80</f>
        <v>GW</v>
      </c>
    </row>
    <row r="24" spans="2:18" s="49" customFormat="1" x14ac:dyDescent="0.3">
      <c r="B24" s="49" t="s">
        <v>67</v>
      </c>
      <c r="C24" s="53" t="str">
        <f>LEFT(Legend!$C$4)&amp;"-"&amp;Legend!B46</f>
        <v>S-AC</v>
      </c>
      <c r="D24" s="53" t="str">
        <f>"Demand for "&amp;Legend!A46&amp;" ("&amp;Legend!$C$4&amp;")"</f>
        <v>Demand for Air conditioning (SRV)</v>
      </c>
      <c r="E24" s="49" t="s">
        <v>15</v>
      </c>
      <c r="K24" s="49" t="s">
        <v>75</v>
      </c>
      <c r="L24" s="49" t="str">
        <f>'SRV_BY Techs'!I10</f>
        <v>S-TH-HPA_GAS00</v>
      </c>
      <c r="M24" s="49" t="str">
        <f>'SRV_BY Techs'!J10</f>
        <v>SRV Thermal uses technology: Natural gas, Biogas - Existing</v>
      </c>
      <c r="N24" s="49" t="str">
        <f>'Key Inputs_BY Techs'!F53</f>
        <v>PJ</v>
      </c>
      <c r="O24" s="49" t="str">
        <f>'Key Inputs_BY Techs'!F81</f>
        <v>GW</v>
      </c>
    </row>
    <row r="25" spans="2:18" s="49" customFormat="1" x14ac:dyDescent="0.3">
      <c r="B25" s="49" t="s">
        <v>67</v>
      </c>
      <c r="C25" s="53" t="str">
        <f>LEFT(Legend!$C$4)&amp;"-"&amp;Legend!B47</f>
        <v>S-CK</v>
      </c>
      <c r="D25" s="53" t="str">
        <f>"Demand for "&amp;Legend!A47&amp;" ("&amp;Legend!$C$4&amp;")"</f>
        <v>Demand for Cooking (SRV)</v>
      </c>
      <c r="E25" s="49" t="s">
        <v>15</v>
      </c>
      <c r="K25" s="49" t="s">
        <v>75</v>
      </c>
      <c r="L25" s="49" t="str">
        <f>'SRV_BY Techs'!I11</f>
        <v>S-TH-HEX_GEO00</v>
      </c>
      <c r="M25" s="49" t="str">
        <f>'SRV_BY Techs'!J11</f>
        <v>SRV Thermal uses technology: Geothermal - Existing</v>
      </c>
      <c r="N25" s="49" t="str">
        <f>'Key Inputs_BY Techs'!F54</f>
        <v>PJ</v>
      </c>
      <c r="O25" s="49" t="str">
        <f>'Key Inputs_BY Techs'!F82</f>
        <v>GW</v>
      </c>
    </row>
    <row r="26" spans="2:18" s="49" customFormat="1" x14ac:dyDescent="0.3">
      <c r="B26" s="49" t="s">
        <v>67</v>
      </c>
      <c r="C26" s="53" t="str">
        <f>LEFT(Legend!$C$4)&amp;"-"&amp;Legend!B48</f>
        <v>S-SLIG</v>
      </c>
      <c r="D26" s="53" t="str">
        <f>"Demand for "&amp;Legend!A48&amp;" ("&amp;Legend!$C$4&amp;")"</f>
        <v>Demand for Street lighting (SRV)</v>
      </c>
      <c r="E26" s="49" t="s">
        <v>162</v>
      </c>
      <c r="K26" s="49" t="s">
        <v>75</v>
      </c>
      <c r="L26" s="49" t="str">
        <f>'SRV_BY Techs'!I12</f>
        <v>S-TH-HEX_HET00</v>
      </c>
      <c r="M26" s="49" t="str">
        <f>'SRV_BY Techs'!J12</f>
        <v>SRV Thermal uses technology: Heat - Existing</v>
      </c>
      <c r="N26" s="49" t="str">
        <f>'Key Inputs_BY Techs'!F55</f>
        <v>PJ</v>
      </c>
      <c r="O26" s="49" t="str">
        <f>'Key Inputs_BY Techs'!F83</f>
        <v>GW</v>
      </c>
    </row>
    <row r="27" spans="2:18" s="49" customFormat="1" x14ac:dyDescent="0.3">
      <c r="B27" s="49" t="s">
        <v>67</v>
      </c>
      <c r="C27" s="53" t="str">
        <f>LEFT(Legend!$C$4)&amp;"-"&amp;Legend!B49</f>
        <v>S-LIG</v>
      </c>
      <c r="D27" s="53" t="str">
        <f>"Demand for "&amp;Legend!A49&amp;" ("&amp;Legend!$C$4&amp;")"</f>
        <v>Demand for Lighting (SRV)</v>
      </c>
      <c r="E27" s="49" t="s">
        <v>162</v>
      </c>
      <c r="K27" s="49" t="s">
        <v>75</v>
      </c>
      <c r="L27" s="49" t="str">
        <f>'SRV_BY Techs'!I13</f>
        <v>S-TH-BLR_LPG00</v>
      </c>
      <c r="M27" s="49" t="str">
        <f>'SRV_BY Techs'!J13</f>
        <v>SRV Thermal uses technology: LPG - Existing</v>
      </c>
      <c r="N27" s="49" t="str">
        <f>'Key Inputs_BY Techs'!F56</f>
        <v>PJ</v>
      </c>
      <c r="O27" s="49" t="str">
        <f>'Key Inputs_BY Techs'!F84</f>
        <v>GW</v>
      </c>
    </row>
    <row r="28" spans="2:18" s="49" customFormat="1" x14ac:dyDescent="0.3">
      <c r="B28" s="49" t="s">
        <v>67</v>
      </c>
      <c r="C28" s="53" t="str">
        <f>LEFT(Legend!$C$4)&amp;"-"&amp;Legend!B50</f>
        <v>S-EAP</v>
      </c>
      <c r="D28" s="53" t="str">
        <f>"Demand for "&amp;Legend!A50&amp;" ("&amp;Legend!$C$4&amp;")"</f>
        <v>Demand for Electric Appliances (SRV)</v>
      </c>
      <c r="E28" s="49" t="s">
        <v>15</v>
      </c>
      <c r="K28" s="49" t="s">
        <v>75</v>
      </c>
      <c r="L28" s="49" t="str">
        <f>'SRV_BY Techs'!I14</f>
        <v>S-TH-BLR_OIL00</v>
      </c>
      <c r="M28" s="49" t="str">
        <f>'SRV_BY Techs'!J14</f>
        <v>SRV Thermal uses technology: Oil, Liquid biofuels - Existing</v>
      </c>
      <c r="N28" s="49" t="str">
        <f>'Key Inputs_BY Techs'!F57</f>
        <v>PJ</v>
      </c>
      <c r="O28" s="49" t="str">
        <f>'Key Inputs_BY Techs'!F85</f>
        <v>GW</v>
      </c>
    </row>
    <row r="29" spans="2:18" s="49" customFormat="1" x14ac:dyDescent="0.3">
      <c r="B29" s="51" t="s">
        <v>67</v>
      </c>
      <c r="C29" s="102" t="str">
        <f>LEFT(Legend!$C$4)&amp;"-"&amp;Legend!B51</f>
        <v>S-OTH</v>
      </c>
      <c r="D29" s="102" t="str">
        <f>"Demand for "&amp;Legend!A51&amp;" ("&amp;Legend!$C$4&amp;")"</f>
        <v>Demand for Other uses (SRV)</v>
      </c>
      <c r="E29" s="51" t="s">
        <v>15</v>
      </c>
      <c r="F29" s="51"/>
      <c r="G29" s="51"/>
      <c r="H29" s="51"/>
      <c r="I29" s="51"/>
      <c r="K29" s="49" t="s">
        <v>75</v>
      </c>
      <c r="L29" s="49" t="str">
        <f>'SRV_BY Techs'!I15</f>
        <v>S-TH-STV_SOL00</v>
      </c>
      <c r="M29" s="49" t="str">
        <f>'SRV_BY Techs'!J15</f>
        <v>SRV Thermal uses technology: Solar - Existing</v>
      </c>
      <c r="N29" s="49" t="str">
        <f>'Key Inputs_BY Techs'!F58</f>
        <v>PJ</v>
      </c>
      <c r="O29" s="49" t="str">
        <f>'Key Inputs_BY Techs'!F86</f>
        <v>GW</v>
      </c>
    </row>
    <row r="30" spans="2:18" s="49" customFormat="1" x14ac:dyDescent="0.3">
      <c r="B30" s="57" t="s">
        <v>82</v>
      </c>
      <c r="C30" s="57"/>
      <c r="D30" s="58"/>
      <c r="E30" s="58"/>
      <c r="F30" s="58"/>
      <c r="G30" s="58"/>
      <c r="H30" s="58"/>
      <c r="I30" s="58"/>
      <c r="K30" s="49" t="s">
        <v>75</v>
      </c>
      <c r="L30" s="49" t="str">
        <f>'SRV_BY Techs'!I16</f>
        <v>S-AC_GAS00</v>
      </c>
      <c r="M30" s="49" t="str">
        <f>'SRV_BY Techs'!J16</f>
        <v>SRV Air conditioning technology: Natural gas, Biogas - Existing</v>
      </c>
      <c r="N30" s="49" t="str">
        <f>'Key Inputs_BY Techs'!F59</f>
        <v>PJ</v>
      </c>
      <c r="O30" s="49" t="str">
        <f>'Key Inputs_BY Techs'!F87</f>
        <v>GW</v>
      </c>
    </row>
    <row r="31" spans="2:18" s="49" customFormat="1" x14ac:dyDescent="0.3">
      <c r="B31" s="49" t="s">
        <v>73</v>
      </c>
      <c r="C31" s="53" t="str">
        <f>Legend!B76</f>
        <v>SRVCO2e</v>
      </c>
      <c r="D31" s="53" t="str">
        <f>Legend!A76&amp;" emissions ("&amp;Legend!$C$4&amp;")"</f>
        <v>CO2eq emissions (SRV)</v>
      </c>
      <c r="E31" s="49" t="s">
        <v>74</v>
      </c>
      <c r="K31" s="49" t="s">
        <v>75</v>
      </c>
      <c r="L31" s="49" t="str">
        <f>'SRV_BY Techs'!I17</f>
        <v>S-AC_ELC00</v>
      </c>
      <c r="M31" s="49" t="str">
        <f>'SRV_BY Techs'!J17</f>
        <v>SRV Air conditioning technology: Electricity - Existing</v>
      </c>
      <c r="N31" s="49" t="str">
        <f>'Key Inputs_BY Techs'!F60</f>
        <v>PJ</v>
      </c>
      <c r="O31" s="49" t="str">
        <f>'Key Inputs_BY Techs'!F88</f>
        <v>GW</v>
      </c>
    </row>
    <row r="32" spans="2:18" s="49" customFormat="1" x14ac:dyDescent="0.3">
      <c r="B32" s="49" t="s">
        <v>73</v>
      </c>
      <c r="C32" s="53" t="str">
        <f>Legend!B77</f>
        <v>SRVCO2</v>
      </c>
      <c r="D32" s="53" t="str">
        <f>Legend!A77&amp;" emissions ("&amp;Legend!$C$4&amp;")"</f>
        <v>CO2 emissions (SRV)</v>
      </c>
      <c r="E32" s="49" t="s">
        <v>74</v>
      </c>
      <c r="K32" s="49" t="s">
        <v>75</v>
      </c>
      <c r="L32" s="49" t="str">
        <f>'SRV_BY Techs'!I18</f>
        <v>S-CK_BIO00</v>
      </c>
      <c r="M32" s="49" t="str">
        <f>'SRV_BY Techs'!J18</f>
        <v>SRV Cooking technology: Biomass - Existing</v>
      </c>
      <c r="N32" s="49" t="str">
        <f>'Key Inputs_BY Techs'!F61</f>
        <v>PJ</v>
      </c>
      <c r="O32" s="49" t="str">
        <f>'Key Inputs_BY Techs'!F89</f>
        <v>GW</v>
      </c>
    </row>
    <row r="33" spans="2:19" s="49" customFormat="1" x14ac:dyDescent="0.3">
      <c r="B33" s="49" t="s">
        <v>73</v>
      </c>
      <c r="C33" s="53" t="str">
        <f>Legend!B78</f>
        <v>SRVCH4</v>
      </c>
      <c r="D33" s="53" t="str">
        <f>Legend!A78&amp;" emissions ("&amp;Legend!$C$4&amp;")"</f>
        <v>CH4 emissions (SRV)</v>
      </c>
      <c r="E33" s="49" t="s">
        <v>74</v>
      </c>
      <c r="K33" s="49" t="s">
        <v>75</v>
      </c>
      <c r="L33" s="49" t="str">
        <f>'SRV_BY Techs'!I19</f>
        <v>S-CK_COA00</v>
      </c>
      <c r="M33" s="49" t="str">
        <f>'SRV_BY Techs'!J19</f>
        <v>SRV Cooking technology: Coal - Existing</v>
      </c>
      <c r="N33" s="49" t="str">
        <f>'Key Inputs_BY Techs'!F62</f>
        <v>PJ</v>
      </c>
      <c r="O33" s="49" t="str">
        <f>'Key Inputs_BY Techs'!F90</f>
        <v>GW</v>
      </c>
    </row>
    <row r="34" spans="2:19" s="49" customFormat="1" x14ac:dyDescent="0.3">
      <c r="B34" s="51" t="s">
        <v>73</v>
      </c>
      <c r="C34" s="102" t="str">
        <f>Legend!B79</f>
        <v>SRVN2O</v>
      </c>
      <c r="D34" s="102" t="str">
        <f>Legend!A79&amp;" emissions ("&amp;Legend!$C$4&amp;")"</f>
        <v>N2O emissions (SRV)</v>
      </c>
      <c r="E34" s="51" t="s">
        <v>74</v>
      </c>
      <c r="F34" s="51"/>
      <c r="G34" s="51"/>
      <c r="H34" s="51"/>
      <c r="I34" s="51"/>
      <c r="K34" s="49" t="s">
        <v>75</v>
      </c>
      <c r="L34" s="49" t="str">
        <f>'SRV_BY Techs'!I20</f>
        <v>S-CK_ELC00</v>
      </c>
      <c r="M34" s="49" t="str">
        <f>'SRV_BY Techs'!J20</f>
        <v>SRV Cooking technology: Electricity - Existing</v>
      </c>
      <c r="N34" s="49" t="str">
        <f>'Key Inputs_BY Techs'!F63</f>
        <v>PJ</v>
      </c>
      <c r="O34" s="49" t="str">
        <f>'Key Inputs_BY Techs'!F91</f>
        <v>GW</v>
      </c>
    </row>
    <row r="35" spans="2:19" s="49" customFormat="1" x14ac:dyDescent="0.3">
      <c r="K35" s="49" t="s">
        <v>75</v>
      </c>
      <c r="L35" s="49" t="str">
        <f>'SRV_BY Techs'!I21</f>
        <v>S-CK_GAS00</v>
      </c>
      <c r="M35" s="49" t="str">
        <f>'SRV_BY Techs'!J21</f>
        <v>SRV Cooking technology: Natural gas, Biogas - Existing</v>
      </c>
      <c r="N35" s="49" t="str">
        <f>'Key Inputs_BY Techs'!F64</f>
        <v>PJ</v>
      </c>
      <c r="O35" s="49" t="str">
        <f>'Key Inputs_BY Techs'!F92</f>
        <v>GW</v>
      </c>
    </row>
    <row r="36" spans="2:19" s="49" customFormat="1" x14ac:dyDescent="0.3">
      <c r="K36" s="49" t="s">
        <v>75</v>
      </c>
      <c r="L36" s="49" t="str">
        <f>'SRV_BY Techs'!I22</f>
        <v>S-CK_LPG00</v>
      </c>
      <c r="M36" s="49" t="str">
        <f>'SRV_BY Techs'!J22</f>
        <v>SRV Cooking technology: LPG - Existing</v>
      </c>
      <c r="N36" s="49" t="str">
        <f>'Key Inputs_BY Techs'!F65</f>
        <v>PJ</v>
      </c>
      <c r="O36" s="49" t="str">
        <f>'Key Inputs_BY Techs'!F93</f>
        <v>GW</v>
      </c>
    </row>
    <row r="37" spans="2:19" s="49" customFormat="1" x14ac:dyDescent="0.3">
      <c r="K37" s="49" t="s">
        <v>75</v>
      </c>
      <c r="L37" s="49" t="str">
        <f>'SRV_BY Techs'!I23</f>
        <v>S-CK_OIL00</v>
      </c>
      <c r="M37" s="49" t="str">
        <f>'SRV_BY Techs'!J23</f>
        <v>SRV Cooking technology: Oil, Liquid biofuels - Existing</v>
      </c>
      <c r="N37" s="49" t="str">
        <f>'Key Inputs_BY Techs'!F66</f>
        <v>PJ</v>
      </c>
      <c r="O37" s="49" t="str">
        <f>'Key Inputs_BY Techs'!F94</f>
        <v>GW</v>
      </c>
    </row>
    <row r="38" spans="2:19" s="49" customFormat="1" x14ac:dyDescent="0.3">
      <c r="K38" s="49" t="s">
        <v>75</v>
      </c>
      <c r="L38" s="49" t="str">
        <f>'SRV_BY Techs'!I24</f>
        <v>S-CK_SOL00</v>
      </c>
      <c r="M38" s="49" t="str">
        <f>'SRV_BY Techs'!J24</f>
        <v>SRV Cooking technology: Solar - Existing</v>
      </c>
      <c r="N38" s="49" t="str">
        <f>'Key Inputs_BY Techs'!F67</f>
        <v>PJ</v>
      </c>
      <c r="O38" s="49" t="str">
        <f>'Key Inputs_BY Techs'!F95</f>
        <v>GW</v>
      </c>
    </row>
    <row r="39" spans="2:19" s="49" customFormat="1" x14ac:dyDescent="0.3">
      <c r="K39" s="49" t="s">
        <v>75</v>
      </c>
      <c r="L39" s="49" t="str">
        <f>'SRV_BY Techs'!I25</f>
        <v>S-LIG_ELC00</v>
      </c>
      <c r="M39" s="49" t="str">
        <f>'SRV_BY Techs'!J25</f>
        <v>SRV Lighting technology: Electricity - Existing</v>
      </c>
      <c r="N39" s="49" t="str">
        <f>'Key Inputs_BY Techs'!F68</f>
        <v>Munits</v>
      </c>
      <c r="O39" s="49" t="str">
        <f>'Key Inputs_BY Techs'!F96</f>
        <v>Munits-y</v>
      </c>
    </row>
    <row r="40" spans="2:19" s="49" customFormat="1" x14ac:dyDescent="0.3">
      <c r="K40" s="49" t="s">
        <v>75</v>
      </c>
      <c r="L40" s="49" t="str">
        <f>'SRV_BY Techs'!I26</f>
        <v>S-SLIG_ELC00</v>
      </c>
      <c r="M40" s="49" t="str">
        <f>'SRV_BY Techs'!J26</f>
        <v>SRV Street lighting technology: Electricity - Existing</v>
      </c>
      <c r="N40" s="49" t="str">
        <f>'Key Inputs_BY Techs'!F69</f>
        <v>Munits</v>
      </c>
      <c r="O40" s="49" t="str">
        <f>'Key Inputs_BY Techs'!F97</f>
        <v>Munits-y</v>
      </c>
    </row>
    <row r="41" spans="2:19" s="49" customFormat="1" x14ac:dyDescent="0.3">
      <c r="K41" s="49" t="s">
        <v>75</v>
      </c>
      <c r="L41" s="49" t="str">
        <f>'SRV_BY Techs'!I27</f>
        <v>S-EAP_ELC00</v>
      </c>
      <c r="M41" s="49" t="str">
        <f>'SRV_BY Techs'!J27</f>
        <v>SRV Electric Appliances technology: Electricity - Existing</v>
      </c>
      <c r="N41" s="49" t="str">
        <f>'Key Inputs_BY Techs'!F70</f>
        <v>PJ</v>
      </c>
      <c r="O41" s="49" t="str">
        <f>'Key Inputs_BY Techs'!F98</f>
        <v>GW</v>
      </c>
    </row>
    <row r="42" spans="2:19" s="49" customFormat="1" x14ac:dyDescent="0.3">
      <c r="B42" s="3"/>
      <c r="C42" s="3"/>
      <c r="D42" s="3"/>
      <c r="E42" s="3"/>
      <c r="F42" s="3"/>
      <c r="G42" s="3"/>
      <c r="H42" s="3"/>
      <c r="I42" s="3"/>
      <c r="K42" s="51" t="s">
        <v>75</v>
      </c>
      <c r="L42" s="51" t="str">
        <f>'SRV_BY Techs'!I28</f>
        <v>S-OTH_00</v>
      </c>
      <c r="M42" s="51" t="str">
        <f>'SRV_BY Techs'!J28</f>
        <v>SRV Other uses</v>
      </c>
      <c r="N42" s="51" t="str">
        <f>'Key Inputs_BY Techs'!F71</f>
        <v>PJ</v>
      </c>
      <c r="O42" s="51" t="str">
        <f>'Key Inputs_BY Techs'!F99</f>
        <v>PJ-y</v>
      </c>
      <c r="P42" s="51"/>
      <c r="Q42" s="51"/>
      <c r="R42" s="51"/>
    </row>
    <row r="43" spans="2:19" s="49" customFormat="1" x14ac:dyDescent="0.3">
      <c r="B43" s="3"/>
      <c r="C43" s="3"/>
      <c r="D43" s="3"/>
      <c r="E43" s="3"/>
      <c r="F43" s="3"/>
      <c r="G43" s="3"/>
      <c r="H43" s="3"/>
      <c r="I43" s="3"/>
      <c r="K43" s="3"/>
      <c r="L43" s="3"/>
      <c r="M43" s="3"/>
      <c r="N43" s="3"/>
      <c r="O43" s="3"/>
      <c r="P43" s="3"/>
      <c r="Q43" s="3"/>
      <c r="R43" s="3"/>
    </row>
    <row r="44" spans="2:19" x14ac:dyDescent="0.3">
      <c r="K44" s="95" t="s">
        <v>47</v>
      </c>
      <c r="L44" s="95"/>
      <c r="M44" s="215"/>
      <c r="N44" s="215"/>
      <c r="O44" s="215"/>
      <c r="P44" s="215"/>
      <c r="Q44" s="215"/>
      <c r="R44" s="215"/>
      <c r="S44" s="49"/>
    </row>
    <row r="45" spans="2:19" ht="15" thickBot="1" x14ac:dyDescent="0.35">
      <c r="K45" s="216" t="s">
        <v>54</v>
      </c>
      <c r="L45" s="216" t="s">
        <v>38</v>
      </c>
      <c r="M45" s="216" t="s">
        <v>39</v>
      </c>
      <c r="N45" s="216" t="s">
        <v>55</v>
      </c>
      <c r="O45" s="216" t="s">
        <v>56</v>
      </c>
      <c r="P45" s="216" t="s">
        <v>57</v>
      </c>
      <c r="Q45" s="216" t="s">
        <v>58</v>
      </c>
      <c r="R45" s="216" t="s">
        <v>59</v>
      </c>
    </row>
    <row r="46" spans="2:19" ht="27.6" x14ac:dyDescent="0.3">
      <c r="K46" s="218" t="s">
        <v>383</v>
      </c>
      <c r="L46" s="218" t="s">
        <v>248</v>
      </c>
      <c r="M46" s="218" t="s">
        <v>384</v>
      </c>
      <c r="N46" s="218" t="s">
        <v>385</v>
      </c>
      <c r="O46" s="218" t="s">
        <v>386</v>
      </c>
      <c r="P46" s="218" t="s">
        <v>387</v>
      </c>
      <c r="Q46" s="218" t="s">
        <v>388</v>
      </c>
      <c r="R46" s="218" t="s">
        <v>66</v>
      </c>
    </row>
    <row r="47" spans="2:19" x14ac:dyDescent="0.3">
      <c r="K47" s="6" t="s">
        <v>439</v>
      </c>
      <c r="L47" s="219"/>
      <c r="M47" s="219"/>
      <c r="N47" s="219"/>
      <c r="O47" s="219"/>
      <c r="P47" s="219"/>
      <c r="Q47" s="219"/>
      <c r="R47" s="219"/>
    </row>
    <row r="48" spans="2:19" x14ac:dyDescent="0.3">
      <c r="K48" s="405" t="s">
        <v>75</v>
      </c>
      <c r="L48" s="203" t="str">
        <f>'SRV_New Techs'!K6</f>
        <v>S-TH-HPA_ELC01</v>
      </c>
      <c r="M48" s="203" t="str">
        <f>'SRV_New Techs'!L6</f>
        <v>SRV Thermal uses technology: Electricity Heat Pump Air (Ord.) -New</v>
      </c>
      <c r="N48" s="203" t="s">
        <v>15</v>
      </c>
      <c r="O48" s="203" t="s">
        <v>181</v>
      </c>
      <c r="P48" s="203"/>
      <c r="Q48" s="203"/>
      <c r="R48" s="603" t="s">
        <v>692</v>
      </c>
    </row>
    <row r="49" spans="11:18" x14ac:dyDescent="0.3">
      <c r="K49" s="405" t="s">
        <v>75</v>
      </c>
      <c r="L49" s="203" t="str">
        <f>'SRV_New Techs'!K7</f>
        <v>S-TH-HPA_ELC02</v>
      </c>
      <c r="M49" s="203" t="str">
        <f>'SRV_New Techs'!L7</f>
        <v>SRV Thermal uses technology: Electricity Heat Pump Air (Imp.) -New</v>
      </c>
      <c r="N49" s="203" t="s">
        <v>15</v>
      </c>
      <c r="O49" s="203" t="s">
        <v>181</v>
      </c>
      <c r="P49" s="203"/>
      <c r="Q49" s="203"/>
      <c r="R49" s="203" t="s">
        <v>692</v>
      </c>
    </row>
    <row r="50" spans="11:18" x14ac:dyDescent="0.3">
      <c r="K50" s="405" t="s">
        <v>75</v>
      </c>
      <c r="L50" s="203" t="str">
        <f>'SRV_New Techs'!K8</f>
        <v>S-TH-HPA_ELC03</v>
      </c>
      <c r="M50" s="203" t="str">
        <f>'SRV_New Techs'!L8</f>
        <v>SRV Thermal uses technology: Electricity Heat Pump Air (Adv.) -New</v>
      </c>
      <c r="N50" s="203" t="s">
        <v>15</v>
      </c>
      <c r="O50" s="203" t="s">
        <v>181</v>
      </c>
      <c r="P50" s="203"/>
      <c r="Q50" s="203"/>
      <c r="R50" s="203" t="s">
        <v>692</v>
      </c>
    </row>
    <row r="51" spans="11:18" x14ac:dyDescent="0.3">
      <c r="K51" s="405" t="s">
        <v>75</v>
      </c>
      <c r="L51" s="203" t="str">
        <f>'SRV_New Techs'!K9</f>
        <v>S-TH-HPA_ELC04</v>
      </c>
      <c r="M51" s="203" t="str">
        <f>'SRV_New Techs'!L9</f>
        <v>SRV Thermal uses technology: Electricity Heat Pump Wat. (Ord.) -New</v>
      </c>
      <c r="N51" s="203" t="s">
        <v>15</v>
      </c>
      <c r="O51" s="203" t="s">
        <v>181</v>
      </c>
      <c r="P51" s="203"/>
      <c r="Q51" s="203"/>
      <c r="R51" s="203" t="s">
        <v>692</v>
      </c>
    </row>
    <row r="52" spans="11:18" x14ac:dyDescent="0.3">
      <c r="K52" s="405" t="s">
        <v>75</v>
      </c>
      <c r="L52" s="203" t="str">
        <f>'SRV_New Techs'!K10</f>
        <v>S-TH-HPA_ELC05</v>
      </c>
      <c r="M52" s="203" t="str">
        <f>'SRV_New Techs'!L10</f>
        <v>SRV Thermal uses technology: Electricity Heat Pump Wat. (Imp.) -New</v>
      </c>
      <c r="N52" s="203" t="s">
        <v>15</v>
      </c>
      <c r="O52" s="203" t="s">
        <v>181</v>
      </c>
      <c r="P52" s="203"/>
      <c r="Q52" s="203"/>
      <c r="R52" s="203" t="s">
        <v>692</v>
      </c>
    </row>
    <row r="53" spans="11:18" x14ac:dyDescent="0.3">
      <c r="K53" s="405" t="s">
        <v>75</v>
      </c>
      <c r="L53" s="203" t="str">
        <f>'SRV_New Techs'!K11</f>
        <v>S-TH-HPA_ELC06</v>
      </c>
      <c r="M53" s="203" t="str">
        <f>'SRV_New Techs'!L11</f>
        <v>SRV Thermal uses technology: Electricity Heat Pump Wat. (Adv.) -New</v>
      </c>
      <c r="N53" s="203" t="s">
        <v>15</v>
      </c>
      <c r="O53" s="203" t="s">
        <v>181</v>
      </c>
      <c r="P53" s="203"/>
      <c r="Q53" s="203"/>
      <c r="R53" s="203" t="s">
        <v>692</v>
      </c>
    </row>
    <row r="54" spans="11:18" x14ac:dyDescent="0.3">
      <c r="K54" s="405" t="s">
        <v>75</v>
      </c>
      <c r="L54" s="203" t="str">
        <f>'SRV_New Techs'!K12</f>
        <v>S-TH-BLR_GAS01</v>
      </c>
      <c r="M54" s="203" t="str">
        <f>'SRV_New Techs'!L12</f>
        <v>SRV Thermal uses technology: Natural gas, Biogas Boiler (Ord.) -New</v>
      </c>
      <c r="N54" s="203" t="s">
        <v>15</v>
      </c>
      <c r="O54" s="203" t="s">
        <v>181</v>
      </c>
      <c r="P54" s="203"/>
      <c r="Q54" s="203"/>
      <c r="R54" s="203" t="s">
        <v>692</v>
      </c>
    </row>
    <row r="55" spans="11:18" x14ac:dyDescent="0.3">
      <c r="K55" s="405" t="s">
        <v>75</v>
      </c>
      <c r="L55" s="203" t="str">
        <f>'SRV_New Techs'!K13</f>
        <v>S-TH-BLR_GAS02</v>
      </c>
      <c r="M55" s="203" t="str">
        <f>'SRV_New Techs'!L13</f>
        <v>SRV Thermal uses technology: Natural gas, Biogas Boiler cond. (Ord.) -New</v>
      </c>
      <c r="N55" s="203" t="s">
        <v>15</v>
      </c>
      <c r="O55" s="203" t="s">
        <v>181</v>
      </c>
      <c r="P55" s="203"/>
      <c r="Q55" s="203"/>
      <c r="R55" s="203" t="s">
        <v>692</v>
      </c>
    </row>
    <row r="56" spans="11:18" x14ac:dyDescent="0.3">
      <c r="K56" s="405" t="s">
        <v>75</v>
      </c>
      <c r="L56" s="203" t="str">
        <f>'SRV_New Techs'!K14</f>
        <v>S-TH-HPG_ELC01</v>
      </c>
      <c r="M56" s="203" t="str">
        <f>'SRV_New Techs'!L14</f>
        <v>SRV Thermal uses technology: Electricity Ground Heat Pump (Ord.) -New</v>
      </c>
      <c r="N56" s="203" t="s">
        <v>15</v>
      </c>
      <c r="O56" s="203" t="s">
        <v>181</v>
      </c>
      <c r="P56" s="203"/>
      <c r="Q56" s="203"/>
      <c r="R56" s="203" t="s">
        <v>692</v>
      </c>
    </row>
    <row r="57" spans="11:18" x14ac:dyDescent="0.3">
      <c r="K57" s="405" t="s">
        <v>75</v>
      </c>
      <c r="L57" s="203" t="str">
        <f>'SRV_New Techs'!K15</f>
        <v>S-TH-HPG_ELC02</v>
      </c>
      <c r="M57" s="203" t="str">
        <f>'SRV_New Techs'!L15</f>
        <v>SRV Thermal uses technology: Electricity Ground Heat Pump (Imp.) -New</v>
      </c>
      <c r="N57" s="203" t="s">
        <v>15</v>
      </c>
      <c r="O57" s="203" t="s">
        <v>181</v>
      </c>
      <c r="P57" s="203"/>
      <c r="Q57" s="203"/>
      <c r="R57" s="203" t="s">
        <v>692</v>
      </c>
    </row>
    <row r="58" spans="11:18" x14ac:dyDescent="0.3">
      <c r="K58" s="405" t="s">
        <v>75</v>
      </c>
      <c r="L58" s="203" t="str">
        <f>'SRV_New Techs'!K16</f>
        <v>S-TH-HPG_ELC03</v>
      </c>
      <c r="M58" s="203" t="str">
        <f>'SRV_New Techs'!L16</f>
        <v>SRV Thermal uses technology: Electricity Ground Heat Pump (Adv.) -New</v>
      </c>
      <c r="N58" s="203" t="s">
        <v>15</v>
      </c>
      <c r="O58" s="203" t="s">
        <v>181</v>
      </c>
      <c r="P58" s="203"/>
      <c r="Q58" s="203"/>
      <c r="R58" s="203" t="s">
        <v>692</v>
      </c>
    </row>
    <row r="59" spans="11:18" x14ac:dyDescent="0.3">
      <c r="K59" s="405" t="s">
        <v>75</v>
      </c>
      <c r="L59" s="203" t="str">
        <f>'SRV_New Techs'!K17</f>
        <v>S-TH-STV_COA01</v>
      </c>
      <c r="M59" s="203" t="str">
        <f>'SRV_New Techs'!L17</f>
        <v>SRV Thermal uses technology: Coal Thermal uses technology: Coal -New</v>
      </c>
      <c r="N59" s="203" t="s">
        <v>15</v>
      </c>
      <c r="O59" s="203" t="s">
        <v>181</v>
      </c>
      <c r="P59" s="203"/>
      <c r="Q59" s="203"/>
      <c r="R59" s="203" t="s">
        <v>692</v>
      </c>
    </row>
    <row r="60" spans="11:18" x14ac:dyDescent="0.3">
      <c r="K60" s="405" t="s">
        <v>75</v>
      </c>
      <c r="L60" s="203" t="str">
        <f>'SRV_New Techs'!K18</f>
        <v>S-TH-STV_OIL01</v>
      </c>
      <c r="M60" s="203" t="str">
        <f>'SRV_New Techs'!L18</f>
        <v>SRV Thermal uses technology: Oil Thermal uses technology: Oil -New</v>
      </c>
      <c r="N60" s="203" t="s">
        <v>15</v>
      </c>
      <c r="O60" s="203" t="s">
        <v>181</v>
      </c>
      <c r="P60" s="203"/>
      <c r="Q60" s="203"/>
      <c r="R60" s="203" t="s">
        <v>692</v>
      </c>
    </row>
    <row r="61" spans="11:18" x14ac:dyDescent="0.3">
      <c r="K61" s="405" t="s">
        <v>75</v>
      </c>
      <c r="L61" s="203" t="str">
        <f>'SRV_New Techs'!K19</f>
        <v>S-TH-STV_LPG01</v>
      </c>
      <c r="M61" s="203" t="str">
        <f>'SRV_New Techs'!L19</f>
        <v>SRV Thermal uses technology: LPG Thermal uses technology: LPG -New</v>
      </c>
      <c r="N61" s="203" t="s">
        <v>15</v>
      </c>
      <c r="O61" s="203" t="s">
        <v>181</v>
      </c>
      <c r="P61" s="203"/>
      <c r="Q61" s="203"/>
      <c r="R61" s="203" t="s">
        <v>692</v>
      </c>
    </row>
    <row r="62" spans="11:18" x14ac:dyDescent="0.3">
      <c r="K62" s="405" t="s">
        <v>75</v>
      </c>
      <c r="L62" s="203" t="str">
        <f>'SRV_New Techs'!K20</f>
        <v>S-TH-STV_BIO01</v>
      </c>
      <c r="M62" s="203" t="str">
        <f>'SRV_New Techs'!L20</f>
        <v>SRV Thermal uses technology: Biomass Thermal uses technology: Biomass -New</v>
      </c>
      <c r="N62" s="203" t="s">
        <v>15</v>
      </c>
      <c r="O62" s="203" t="s">
        <v>181</v>
      </c>
      <c r="P62" s="203"/>
      <c r="Q62" s="203"/>
      <c r="R62" s="203" t="s">
        <v>692</v>
      </c>
    </row>
    <row r="63" spans="11:18" x14ac:dyDescent="0.3">
      <c r="K63" s="405" t="s">
        <v>75</v>
      </c>
      <c r="L63" s="203" t="str">
        <f>'SRV_New Techs'!K21</f>
        <v>S-TH-HEX_HET01</v>
      </c>
      <c r="M63" s="203" t="str">
        <f>'SRV_New Techs'!L21</f>
        <v>SRV Thermal uses technology: Heat District Heat (Ord.) -New</v>
      </c>
      <c r="N63" s="203" t="s">
        <v>15</v>
      </c>
      <c r="O63" s="203" t="s">
        <v>181</v>
      </c>
      <c r="P63" s="203"/>
      <c r="Q63" s="203"/>
      <c r="R63" s="203" t="s">
        <v>692</v>
      </c>
    </row>
    <row r="64" spans="11:18" x14ac:dyDescent="0.3">
      <c r="K64" s="407" t="s">
        <v>75</v>
      </c>
      <c r="L64" s="230" t="str">
        <f>'SRV_New Techs'!K22</f>
        <v>S-TH-HEX_HET02</v>
      </c>
      <c r="M64" s="230" t="str">
        <f>'SRV_New Techs'!L22</f>
        <v>SRV Thermal uses technology: Heat District Heat (Imp.) -New</v>
      </c>
      <c r="N64" s="230" t="s">
        <v>15</v>
      </c>
      <c r="O64" s="230" t="s">
        <v>181</v>
      </c>
      <c r="P64" s="230"/>
      <c r="Q64" s="230"/>
      <c r="R64" s="230" t="s">
        <v>692</v>
      </c>
    </row>
    <row r="65" spans="11:18" x14ac:dyDescent="0.3">
      <c r="K65" s="405" t="s">
        <v>75</v>
      </c>
      <c r="L65" s="203" t="str">
        <f>'SRV_New Techs'!K23</f>
        <v>S-AC_ELC01</v>
      </c>
      <c r="M65" s="203" t="str">
        <f>'SRV_New Techs'!L23</f>
        <v>SRV Air conditioning tech: Electricity - Air conditioning (Ord.)</v>
      </c>
      <c r="N65" s="203" t="s">
        <v>15</v>
      </c>
      <c r="O65" s="203" t="s">
        <v>181</v>
      </c>
      <c r="P65" s="203"/>
      <c r="Q65" s="203"/>
      <c r="R65" s="203" t="s">
        <v>692</v>
      </c>
    </row>
    <row r="66" spans="11:18" x14ac:dyDescent="0.3">
      <c r="K66" s="405" t="s">
        <v>75</v>
      </c>
      <c r="L66" s="203" t="str">
        <f>'SRV_New Techs'!K24</f>
        <v>S-AC_ELC02</v>
      </c>
      <c r="M66" s="203" t="str">
        <f>'SRV_New Techs'!L24</f>
        <v>SRV Air conditioning tech: Electricity - Air conditioning (Imp.)</v>
      </c>
      <c r="N66" s="203" t="s">
        <v>15</v>
      </c>
      <c r="O66" s="203" t="s">
        <v>181</v>
      </c>
      <c r="P66" s="203"/>
      <c r="Q66" s="203"/>
      <c r="R66" s="203" t="s">
        <v>692</v>
      </c>
    </row>
    <row r="67" spans="11:18" x14ac:dyDescent="0.3">
      <c r="K67" s="405" t="s">
        <v>75</v>
      </c>
      <c r="L67" s="203" t="str">
        <f>'SRV_New Techs'!K25</f>
        <v>S-AC_ELC03</v>
      </c>
      <c r="M67" s="203" t="str">
        <f>'SRV_New Techs'!L25</f>
        <v>SRV Air conditioning tech: Electricity - Air conditioning (Adv.)</v>
      </c>
      <c r="N67" s="203" t="s">
        <v>15</v>
      </c>
      <c r="O67" s="203" t="s">
        <v>181</v>
      </c>
      <c r="P67" s="203"/>
      <c r="Q67" s="203"/>
      <c r="R67" s="203" t="s">
        <v>692</v>
      </c>
    </row>
    <row r="68" spans="11:18" x14ac:dyDescent="0.3">
      <c r="K68" s="405" t="s">
        <v>75</v>
      </c>
      <c r="L68" s="203" t="str">
        <f>'SRV_New Techs'!K26</f>
        <v>S-AC_GAS01</v>
      </c>
      <c r="M68" s="203" t="str">
        <f>'SRV_New Techs'!L26</f>
        <v>SRV Air conditioning tech: Natural gas, Biogas - Air conditioning (Ord.)</v>
      </c>
      <c r="N68" s="203" t="s">
        <v>15</v>
      </c>
      <c r="O68" s="203" t="s">
        <v>181</v>
      </c>
      <c r="P68" s="203"/>
      <c r="Q68" s="203"/>
      <c r="R68" s="203" t="s">
        <v>692</v>
      </c>
    </row>
    <row r="69" spans="11:18" x14ac:dyDescent="0.3">
      <c r="K69" s="405" t="s">
        <v>75</v>
      </c>
      <c r="L69" s="203" t="str">
        <f>'SRV_New Techs'!K27</f>
        <v>S-AC_GAS02</v>
      </c>
      <c r="M69" s="203" t="str">
        <f>'SRV_New Techs'!L27</f>
        <v>SRV Air conditioning tech: Natural gas, Biogas - Air conditioning (Imp.)</v>
      </c>
      <c r="N69" s="203" t="s">
        <v>15</v>
      </c>
      <c r="O69" s="203" t="s">
        <v>181</v>
      </c>
      <c r="P69" s="203"/>
      <c r="Q69" s="203"/>
      <c r="R69" s="203" t="s">
        <v>692</v>
      </c>
    </row>
    <row r="70" spans="11:18" x14ac:dyDescent="0.3">
      <c r="K70" s="405" t="s">
        <v>75</v>
      </c>
      <c r="L70" s="203" t="str">
        <f>'SRV_New Techs'!K28</f>
        <v>S-AC_GAS03</v>
      </c>
      <c r="M70" s="203" t="str">
        <f>'SRV_New Techs'!L28</f>
        <v>SRV Air conditioning tech: Natural gas, Biogas - Air conditioning (Adv.)</v>
      </c>
      <c r="N70" s="203" t="s">
        <v>15</v>
      </c>
      <c r="O70" s="203" t="s">
        <v>181</v>
      </c>
      <c r="P70" s="203"/>
      <c r="Q70" s="203"/>
      <c r="R70" s="203" t="s">
        <v>692</v>
      </c>
    </row>
    <row r="71" spans="11:18" x14ac:dyDescent="0.3">
      <c r="K71" s="405" t="s">
        <v>75</v>
      </c>
      <c r="L71" s="203" t="str">
        <f>'SRV_New Techs'!K29</f>
        <v>S-AC_HET01</v>
      </c>
      <c r="M71" s="203" t="str">
        <f>'SRV_New Techs'!L29</f>
        <v>SRV Air conditioning tech: Heat - Air conditioning (Ord.)</v>
      </c>
      <c r="N71" s="203" t="s">
        <v>15</v>
      </c>
      <c r="O71" s="203" t="s">
        <v>181</v>
      </c>
      <c r="P71" s="203"/>
      <c r="Q71" s="203"/>
      <c r="R71" s="203" t="s">
        <v>692</v>
      </c>
    </row>
    <row r="72" spans="11:18" x14ac:dyDescent="0.3">
      <c r="K72" s="405" t="s">
        <v>75</v>
      </c>
      <c r="L72" s="203" t="str">
        <f>'SRV_New Techs'!K30</f>
        <v>S-AC_HET02</v>
      </c>
      <c r="M72" s="203" t="str">
        <f>'SRV_New Techs'!L30</f>
        <v>SRV Air conditioning tech: Heat - Air conditioning (Imp.)</v>
      </c>
      <c r="N72" s="203" t="s">
        <v>15</v>
      </c>
      <c r="O72" s="203" t="s">
        <v>181</v>
      </c>
      <c r="P72" s="203"/>
      <c r="Q72" s="203"/>
      <c r="R72" s="203" t="s">
        <v>692</v>
      </c>
    </row>
    <row r="73" spans="11:18" x14ac:dyDescent="0.3">
      <c r="K73" s="407" t="s">
        <v>75</v>
      </c>
      <c r="L73" s="230" t="str">
        <f>'SRV_New Techs'!K31</f>
        <v>S-AC_HET03</v>
      </c>
      <c r="M73" s="230" t="str">
        <f>'SRV_New Techs'!L31</f>
        <v>SRV Air conditioning tech: Heat - Air conditioning (Adv.)</v>
      </c>
      <c r="N73" s="230" t="s">
        <v>15</v>
      </c>
      <c r="O73" s="230" t="s">
        <v>181</v>
      </c>
      <c r="P73" s="230"/>
      <c r="Q73" s="230"/>
      <c r="R73" s="230" t="s">
        <v>692</v>
      </c>
    </row>
    <row r="74" spans="11:18" x14ac:dyDescent="0.3">
      <c r="K74" s="405" t="s">
        <v>75</v>
      </c>
      <c r="L74" s="203" t="str">
        <f>'SRV_New Techs'!K32</f>
        <v>S-SLIG_ELC01</v>
      </c>
      <c r="M74" s="203" t="str">
        <f>'SRV_New Techs'!L32</f>
        <v>SRV Street lighting tech: Electricity - Street lights (Ord.)</v>
      </c>
      <c r="N74" s="203" t="s">
        <v>15</v>
      </c>
      <c r="O74" s="556" t="s">
        <v>181</v>
      </c>
      <c r="P74" s="203"/>
      <c r="Q74" s="203"/>
      <c r="R74" s="203" t="s">
        <v>692</v>
      </c>
    </row>
    <row r="75" spans="11:18" x14ac:dyDescent="0.3">
      <c r="K75" s="405" t="s">
        <v>75</v>
      </c>
      <c r="L75" s="203" t="str">
        <f>'SRV_New Techs'!K33</f>
        <v>S-SLIG_ELC02</v>
      </c>
      <c r="M75" s="203" t="str">
        <f>'SRV_New Techs'!L33</f>
        <v>SRV Street lighting tech: Electricity - Street lights (Imp.)</v>
      </c>
      <c r="N75" s="203" t="s">
        <v>15</v>
      </c>
      <c r="O75" s="203" t="s">
        <v>181</v>
      </c>
      <c r="P75" s="406"/>
      <c r="Q75" s="406"/>
      <c r="R75" s="406" t="s">
        <v>692</v>
      </c>
    </row>
    <row r="76" spans="11:18" x14ac:dyDescent="0.3">
      <c r="K76" s="407" t="s">
        <v>75</v>
      </c>
      <c r="L76" s="230" t="str">
        <f>'SRV_New Techs'!K34</f>
        <v>S-SLIG_ELC03</v>
      </c>
      <c r="M76" s="230" t="str">
        <f>'SRV_New Techs'!L34</f>
        <v>SRV Street lighting tech: Electricity - Street lights (Adv.)</v>
      </c>
      <c r="N76" s="230" t="s">
        <v>15</v>
      </c>
      <c r="O76" s="230" t="s">
        <v>181</v>
      </c>
      <c r="P76" s="481"/>
      <c r="Q76" s="481"/>
      <c r="R76" s="481" t="s">
        <v>692</v>
      </c>
    </row>
    <row r="77" spans="11:18" x14ac:dyDescent="0.3">
      <c r="K77" s="405" t="s">
        <v>75</v>
      </c>
      <c r="L77" s="203" t="str">
        <f>'SRV_New Techs'!K35</f>
        <v>S-LIG_ELC01</v>
      </c>
      <c r="M77" s="203" t="str">
        <f>'SRV_New Techs'!L35</f>
        <v>SRV Lighting tech: Electricity - Office lighting (Ord.)</v>
      </c>
      <c r="N77" s="203" t="s">
        <v>15</v>
      </c>
      <c r="O77" s="203" t="s">
        <v>181</v>
      </c>
      <c r="P77" s="203"/>
      <c r="Q77" s="203"/>
      <c r="R77" s="203" t="s">
        <v>692</v>
      </c>
    </row>
    <row r="78" spans="11:18" x14ac:dyDescent="0.3">
      <c r="K78" s="405" t="s">
        <v>75</v>
      </c>
      <c r="L78" s="203" t="str">
        <f>'SRV_New Techs'!K36</f>
        <v>S-LIG_ELC02</v>
      </c>
      <c r="M78" s="203" t="str">
        <f>'SRV_New Techs'!L36</f>
        <v>SRV Lighting tech: Electricity - Office lighting (Imp.)</v>
      </c>
      <c r="N78" s="203" t="s">
        <v>15</v>
      </c>
      <c r="O78" s="203" t="s">
        <v>181</v>
      </c>
      <c r="P78" s="406"/>
      <c r="Q78" s="406"/>
      <c r="R78" s="406" t="s">
        <v>692</v>
      </c>
    </row>
    <row r="79" spans="11:18" x14ac:dyDescent="0.3">
      <c r="K79" s="407" t="s">
        <v>75</v>
      </c>
      <c r="L79" s="230" t="str">
        <f>'SRV_New Techs'!K37</f>
        <v>S-LIG_ELC03</v>
      </c>
      <c r="M79" s="230" t="str">
        <f>'SRV_New Techs'!L37</f>
        <v>SRV Lighting tech: Electricity - Office lighting (Adv.)</v>
      </c>
      <c r="N79" s="230" t="s">
        <v>15</v>
      </c>
      <c r="O79" s="230" t="s">
        <v>181</v>
      </c>
      <c r="P79" s="481"/>
      <c r="Q79" s="481"/>
      <c r="R79" s="481" t="s">
        <v>692</v>
      </c>
    </row>
    <row r="80" spans="11:18" x14ac:dyDescent="0.3">
      <c r="K80" s="405" t="s">
        <v>75</v>
      </c>
      <c r="L80" s="203" t="str">
        <f>'SRV_New Techs'!K38</f>
        <v>S-EAP_ELC01</v>
      </c>
      <c r="M80" s="203" t="str">
        <f>'SRV_New Techs'!L38</f>
        <v>SRV Electric Appliances tech: Electricity - Appl.(Ord.)</v>
      </c>
      <c r="N80" s="203" t="s">
        <v>15</v>
      </c>
      <c r="O80" s="556" t="s">
        <v>181</v>
      </c>
      <c r="P80" s="203"/>
      <c r="Q80" s="203"/>
      <c r="R80" s="203" t="s">
        <v>692</v>
      </c>
    </row>
    <row r="81" spans="11:18" x14ac:dyDescent="0.3">
      <c r="K81" s="405" t="s">
        <v>75</v>
      </c>
      <c r="L81" s="203" t="str">
        <f>'SRV_New Techs'!K39</f>
        <v>S-EAP_ELC02</v>
      </c>
      <c r="M81" s="203" t="str">
        <f>'SRV_New Techs'!L39</f>
        <v>SRV Electric Appliances tech: Electricity - Appl.(Imp.)</v>
      </c>
      <c r="N81" s="203" t="s">
        <v>15</v>
      </c>
      <c r="O81" s="203" t="s">
        <v>181</v>
      </c>
      <c r="P81" s="203"/>
      <c r="Q81" s="203"/>
      <c r="R81" s="203" t="s">
        <v>692</v>
      </c>
    </row>
    <row r="82" spans="11:18" x14ac:dyDescent="0.3">
      <c r="K82" s="407" t="s">
        <v>75</v>
      </c>
      <c r="L82" s="230" t="str">
        <f>'SRV_New Techs'!K40</f>
        <v>S-EAP_ELC03</v>
      </c>
      <c r="M82" s="230" t="str">
        <f>'SRV_New Techs'!L40</f>
        <v>SRV Electric Appliances tech: Electricity - Appl.(Adv.)</v>
      </c>
      <c r="N82" s="230" t="s">
        <v>15</v>
      </c>
      <c r="O82" s="230" t="s">
        <v>181</v>
      </c>
      <c r="P82" s="230"/>
      <c r="Q82" s="230"/>
      <c r="R82" s="230" t="s">
        <v>692</v>
      </c>
    </row>
    <row r="83" spans="11:18" x14ac:dyDescent="0.3">
      <c r="K83" s="408" t="s">
        <v>75</v>
      </c>
      <c r="L83" s="203" t="str">
        <f>'SRV_New Techs'!K41</f>
        <v>S-CK_ELC01</v>
      </c>
      <c r="M83" s="203" t="str">
        <f>'SRV_New Techs'!L41</f>
        <v>SRV Cooking tech: Electricity - Cooking system (Ord.)</v>
      </c>
      <c r="N83" s="203" t="s">
        <v>15</v>
      </c>
      <c r="O83" s="203" t="s">
        <v>181</v>
      </c>
      <c r="P83" s="203"/>
      <c r="Q83" s="203"/>
      <c r="R83" s="203" t="s">
        <v>692</v>
      </c>
    </row>
    <row r="84" spans="11:18" x14ac:dyDescent="0.3">
      <c r="K84" s="408" t="s">
        <v>75</v>
      </c>
      <c r="L84" s="203" t="str">
        <f>'SRV_New Techs'!K42</f>
        <v>S-CK_GAS01</v>
      </c>
      <c r="M84" s="203" t="str">
        <f>'SRV_New Techs'!L42</f>
        <v>SRV Cooking tech: Natural gas,Biogas - Cooking system (Ord.)</v>
      </c>
      <c r="N84" s="203" t="s">
        <v>15</v>
      </c>
      <c r="O84" s="203" t="s">
        <v>181</v>
      </c>
      <c r="P84" s="203"/>
      <c r="Q84" s="203"/>
      <c r="R84" s="203" t="s">
        <v>692</v>
      </c>
    </row>
    <row r="85" spans="11:18" x14ac:dyDescent="0.3">
      <c r="K85" s="408" t="s">
        <v>75</v>
      </c>
      <c r="L85" s="203" t="str">
        <f>'SRV_New Techs'!K43</f>
        <v>S-CK_LPG01</v>
      </c>
      <c r="M85" s="203" t="str">
        <f>'SRV_New Techs'!L43</f>
        <v>SRV Cooking tech: LPG - Cooking system (Ord.)</v>
      </c>
      <c r="N85" s="203" t="s">
        <v>15</v>
      </c>
      <c r="O85" s="203" t="s">
        <v>181</v>
      </c>
      <c r="P85" s="203"/>
      <c r="Q85" s="203"/>
      <c r="R85" s="203" t="s">
        <v>692</v>
      </c>
    </row>
    <row r="86" spans="11:18" x14ac:dyDescent="0.3">
      <c r="K86" s="408" t="s">
        <v>75</v>
      </c>
      <c r="L86" s="203" t="str">
        <f>'SRV_New Techs'!K44</f>
        <v>S-CK_BIO01</v>
      </c>
      <c r="M86" s="203" t="str">
        <f>'SRV_New Techs'!L44</f>
        <v>SRV Cooking tech: Biomass - Cooking system (Ord.)</v>
      </c>
      <c r="N86" s="203" t="s">
        <v>15</v>
      </c>
      <c r="O86" s="203" t="s">
        <v>181</v>
      </c>
      <c r="P86" s="203"/>
      <c r="Q86" s="203"/>
      <c r="R86" s="203" t="s">
        <v>692</v>
      </c>
    </row>
    <row r="87" spans="11:18" x14ac:dyDescent="0.3">
      <c r="K87" s="273" t="s">
        <v>75</v>
      </c>
      <c r="L87" s="431" t="str">
        <f>'SRV_New Techs'!K45</f>
        <v>S-CK_COA01</v>
      </c>
      <c r="M87" s="431" t="str">
        <f>'SRV_New Techs'!L45</f>
        <v>SRV Cooking tech: Coal - Cooking system (Ord.)</v>
      </c>
      <c r="N87" s="230" t="s">
        <v>15</v>
      </c>
      <c r="O87" s="230" t="s">
        <v>181</v>
      </c>
      <c r="P87" s="230"/>
      <c r="Q87" s="230"/>
      <c r="R87" s="230" t="s">
        <v>692</v>
      </c>
    </row>
    <row r="88" spans="11:18" x14ac:dyDescent="0.3">
      <c r="K88" s="408"/>
      <c r="L88" s="203"/>
      <c r="M88" s="203"/>
      <c r="N88" s="203"/>
      <c r="O88" s="203"/>
      <c r="P88" s="203"/>
      <c r="Q88" s="203"/>
      <c r="R88" s="203"/>
    </row>
    <row r="89" spans="11:18" x14ac:dyDescent="0.3">
      <c r="K89" s="408"/>
      <c r="L89" s="203"/>
      <c r="M89" s="203"/>
      <c r="N89" s="203"/>
      <c r="O89" s="203"/>
      <c r="P89" s="203"/>
      <c r="Q89" s="203"/>
      <c r="R89" s="203"/>
    </row>
    <row r="90" spans="11:18" x14ac:dyDescent="0.3">
      <c r="K90" s="408"/>
      <c r="L90" s="203"/>
      <c r="M90" s="203"/>
      <c r="N90" s="203"/>
      <c r="O90" s="203"/>
      <c r="P90" s="203"/>
      <c r="Q90" s="203"/>
      <c r="R90" s="203"/>
    </row>
    <row r="91" spans="11:18" x14ac:dyDescent="0.3">
      <c r="K91" s="408"/>
      <c r="L91" s="203"/>
      <c r="M91" s="203"/>
      <c r="N91" s="203"/>
      <c r="O91" s="203"/>
      <c r="P91" s="203"/>
      <c r="Q91" s="203"/>
      <c r="R91" s="203"/>
    </row>
    <row r="92" spans="11:18" x14ac:dyDescent="0.3">
      <c r="K92" s="408"/>
      <c r="L92" s="203"/>
      <c r="M92" s="203"/>
      <c r="N92" s="203"/>
      <c r="O92" s="203"/>
      <c r="P92" s="203"/>
      <c r="Q92" s="203"/>
      <c r="R92" s="203"/>
    </row>
  </sheetData>
  <pageMargins left="0.7" right="0.7" top="0.75" bottom="0.75" header="0.3" footer="0.3"/>
  <pageSetup paperSize="9"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59999389629810485"/>
  </sheetPr>
  <dimension ref="B1:AJ47"/>
  <sheetViews>
    <sheetView showGridLines="0" topLeftCell="P1" workbookViewId="0">
      <pane ySplit="1" topLeftCell="A18" activePane="bottomLeft" state="frozen"/>
      <selection pane="bottomLeft" activeCell="AI21" sqref="AI21"/>
    </sheetView>
  </sheetViews>
  <sheetFormatPr defaultColWidth="9" defaultRowHeight="14.4" x14ac:dyDescent="0.3"/>
  <cols>
    <col min="1" max="1" width="1.69921875" style="93" customWidth="1"/>
    <col min="2" max="2" width="17.09765625" style="93" bestFit="1" customWidth="1"/>
    <col min="3" max="3" width="24.19921875" style="93" bestFit="1" customWidth="1"/>
    <col min="4" max="4" width="11.5" style="93" customWidth="1"/>
    <col min="5" max="5" width="12.69921875" style="93" bestFit="1" customWidth="1"/>
    <col min="6" max="6" width="11" style="93" customWidth="1"/>
    <col min="7" max="29" width="8.8984375" style="93" customWidth="1"/>
    <col min="30" max="31" width="9" style="93"/>
    <col min="32" max="32" width="10.19921875" style="93" bestFit="1" customWidth="1"/>
    <col min="33" max="16384" width="9" style="93"/>
  </cols>
  <sheetData>
    <row r="1" spans="2:36" ht="25.8" x14ac:dyDescent="0.3">
      <c r="B1" s="59" t="s">
        <v>174</v>
      </c>
      <c r="C1" s="4"/>
      <c r="D1" s="94"/>
      <c r="E1" s="8"/>
    </row>
    <row r="3" spans="2:36" x14ac:dyDescent="0.3">
      <c r="B3" s="95" t="s">
        <v>37</v>
      </c>
    </row>
    <row r="4" spans="2:36" ht="15" thickBot="1" x14ac:dyDescent="0.35">
      <c r="B4" s="96" t="s">
        <v>38</v>
      </c>
      <c r="C4" s="96" t="s">
        <v>179</v>
      </c>
      <c r="D4" s="96" t="s">
        <v>40</v>
      </c>
      <c r="E4" s="96" t="s">
        <v>178</v>
      </c>
    </row>
    <row r="5" spans="2:36" ht="27.6" x14ac:dyDescent="0.3">
      <c r="B5" s="1" t="s">
        <v>84</v>
      </c>
      <c r="C5" s="1" t="s">
        <v>30</v>
      </c>
      <c r="D5" s="1" t="s">
        <v>85</v>
      </c>
      <c r="E5" s="1" t="s">
        <v>86</v>
      </c>
    </row>
    <row r="6" spans="2:36" s="49" customFormat="1" x14ac:dyDescent="0.3">
      <c r="B6" s="49" t="str">
        <f>'Commodities &amp; Processes'!L7</f>
        <v>FT-SRVBGS</v>
      </c>
      <c r="C6" s="49" t="str">
        <f>'Commodities &amp; Processes'!M7</f>
        <v>SRV fuel Tech: Biogas</v>
      </c>
      <c r="D6" s="85">
        <v>1</v>
      </c>
      <c r="E6" s="85">
        <v>1</v>
      </c>
    </row>
    <row r="7" spans="2:36" s="49" customFormat="1" x14ac:dyDescent="0.3">
      <c r="B7" s="49" t="str">
        <f>'Commodities &amp; Processes'!L8</f>
        <v>FT-SRVCOA</v>
      </c>
      <c r="C7" s="49" t="str">
        <f>'Commodities &amp; Processes'!M8</f>
        <v>SRV fuel Tech: Coal</v>
      </c>
      <c r="D7" s="85">
        <v>1</v>
      </c>
      <c r="E7" s="85">
        <v>1</v>
      </c>
    </row>
    <row r="8" spans="2:36" s="49" customFormat="1" x14ac:dyDescent="0.3">
      <c r="B8" s="49" t="str">
        <f>'Commodities &amp; Processes'!L9</f>
        <v>FT-SRVOIL</v>
      </c>
      <c r="C8" s="49" t="str">
        <f>'Commodities &amp; Processes'!M9</f>
        <v>SRV fuel Tech: Oil</v>
      </c>
      <c r="D8" s="85">
        <v>1</v>
      </c>
      <c r="E8" s="85">
        <v>1</v>
      </c>
    </row>
    <row r="9" spans="2:36" s="49" customFormat="1" x14ac:dyDescent="0.3">
      <c r="B9" s="49" t="str">
        <f>'Commodities &amp; Processes'!L10</f>
        <v>FT-SRVELC</v>
      </c>
      <c r="C9" s="49" t="str">
        <f>'Commodities &amp; Processes'!M10</f>
        <v>SRV fuel Tech: Electricity</v>
      </c>
      <c r="D9" s="85">
        <v>1</v>
      </c>
      <c r="E9" s="85">
        <v>1</v>
      </c>
    </row>
    <row r="10" spans="2:36" s="49" customFormat="1" x14ac:dyDescent="0.3">
      <c r="B10" s="49" t="str">
        <f>'Commodities &amp; Processes'!L11</f>
        <v>FT-SRVGEO</v>
      </c>
      <c r="C10" s="49" t="str">
        <f>'Commodities &amp; Processes'!M11</f>
        <v>SRV fuel Tech: Geothermal</v>
      </c>
      <c r="D10" s="85">
        <v>1</v>
      </c>
      <c r="E10" s="85">
        <v>1</v>
      </c>
    </row>
    <row r="11" spans="2:36" s="49" customFormat="1" x14ac:dyDescent="0.3">
      <c r="B11" s="49" t="str">
        <f>'Commodities &amp; Processes'!L12</f>
        <v>FT-SRVHET</v>
      </c>
      <c r="C11" s="49" t="str">
        <f>'Commodities &amp; Processes'!M12</f>
        <v>SRV fuel Tech: Heat</v>
      </c>
      <c r="D11" s="85">
        <v>1</v>
      </c>
      <c r="E11" s="85">
        <v>1</v>
      </c>
    </row>
    <row r="12" spans="2:36" s="49" customFormat="1" x14ac:dyDescent="0.3">
      <c r="B12" s="49" t="str">
        <f>'Commodities &amp; Processes'!L13</f>
        <v>FT-SRVBLQ</v>
      </c>
      <c r="C12" s="49" t="str">
        <f>'Commodities &amp; Processes'!M13</f>
        <v>SRV fuel Tech: Liquid biofuels</v>
      </c>
      <c r="D12" s="85">
        <v>1</v>
      </c>
      <c r="E12" s="85">
        <v>1</v>
      </c>
    </row>
    <row r="13" spans="2:36" s="49" customFormat="1" x14ac:dyDescent="0.3">
      <c r="B13" s="49" t="str">
        <f>'Commodities &amp; Processes'!L14</f>
        <v>FT-SRVLPG</v>
      </c>
      <c r="C13" s="49" t="str">
        <f>'Commodities &amp; Processes'!M14</f>
        <v>SRV fuel Tech: LPG</v>
      </c>
      <c r="D13" s="85">
        <v>1</v>
      </c>
      <c r="E13" s="85">
        <v>1</v>
      </c>
    </row>
    <row r="14" spans="2:36" s="49" customFormat="1" x14ac:dyDescent="0.3">
      <c r="B14" s="49" t="str">
        <f>'Commodities &amp; Processes'!L15</f>
        <v>FT-SRVGAS</v>
      </c>
      <c r="C14" s="49" t="str">
        <f>'Commodities &amp; Processes'!M15</f>
        <v>SRV fuel Tech: Natural gas</v>
      </c>
      <c r="D14" s="85">
        <v>1</v>
      </c>
      <c r="E14" s="85">
        <v>1</v>
      </c>
    </row>
    <row r="15" spans="2:36" s="49" customFormat="1" x14ac:dyDescent="0.3">
      <c r="B15" s="49" t="str">
        <f>'Commodities &amp; Processes'!L16</f>
        <v>FT-SRVSOL</v>
      </c>
      <c r="C15" s="49" t="str">
        <f>'Commodities &amp; Processes'!M16</f>
        <v>SRV fuel Tech: Solar</v>
      </c>
      <c r="D15" s="85">
        <v>1</v>
      </c>
      <c r="E15" s="85">
        <v>1</v>
      </c>
    </row>
    <row r="16" spans="2:36" s="49" customFormat="1" x14ac:dyDescent="0.3">
      <c r="B16" s="49" t="str">
        <f>'Commodities &amp; Processes'!L17</f>
        <v>FT-SRVBIO</v>
      </c>
      <c r="C16" s="49" t="str">
        <f>'Commodities &amp; Processes'!M17</f>
        <v>SRV fuel Tech: Biomass</v>
      </c>
      <c r="D16" s="85">
        <v>1</v>
      </c>
      <c r="E16" s="85">
        <v>1</v>
      </c>
      <c r="AE16" s="93"/>
      <c r="AF16" s="93"/>
      <c r="AG16" s="93"/>
      <c r="AH16" s="93"/>
      <c r="AI16" s="93"/>
      <c r="AJ16" s="93"/>
    </row>
    <row r="17" spans="2:36" x14ac:dyDescent="0.3">
      <c r="B17" s="51" t="str">
        <f>'Commodities &amp; Processes'!L18</f>
        <v>FT-SRVWAS</v>
      </c>
      <c r="C17" s="51" t="str">
        <f>'Commodities &amp; Processes'!M18</f>
        <v>SRV fuel Tech: Waste</v>
      </c>
      <c r="D17" s="97">
        <v>1</v>
      </c>
      <c r="E17" s="97">
        <v>1</v>
      </c>
    </row>
    <row r="19" spans="2:36" x14ac:dyDescent="0.3">
      <c r="B19" s="95" t="s">
        <v>37</v>
      </c>
      <c r="C19" s="95"/>
    </row>
    <row r="20" spans="2:36" ht="15" thickBot="1" x14ac:dyDescent="0.35">
      <c r="B20" s="96" t="s">
        <v>38</v>
      </c>
      <c r="C20" s="96" t="s">
        <v>179</v>
      </c>
      <c r="D20" s="99" t="s">
        <v>175</v>
      </c>
      <c r="E20" s="99" t="s">
        <v>176</v>
      </c>
      <c r="F20" s="96" t="s">
        <v>448</v>
      </c>
      <c r="G20" s="96" t="s">
        <v>43</v>
      </c>
      <c r="H20" s="96" t="s">
        <v>50</v>
      </c>
      <c r="I20" s="96" t="s">
        <v>457</v>
      </c>
      <c r="J20" s="96" t="s">
        <v>458</v>
      </c>
      <c r="K20" s="96" t="s">
        <v>460</v>
      </c>
      <c r="L20" s="96" t="s">
        <v>459</v>
      </c>
      <c r="M20" s="96" t="s">
        <v>461</v>
      </c>
      <c r="N20" s="96" t="s">
        <v>463</v>
      </c>
      <c r="O20" s="96" t="s">
        <v>464</v>
      </c>
      <c r="P20" s="96" t="s">
        <v>465</v>
      </c>
      <c r="Q20" s="96" t="s">
        <v>1</v>
      </c>
      <c r="R20" s="96" t="s">
        <v>2</v>
      </c>
      <c r="S20" s="96" t="s">
        <v>707</v>
      </c>
      <c r="T20" s="96" t="s">
        <v>3</v>
      </c>
      <c r="U20" s="96" t="s">
        <v>467</v>
      </c>
      <c r="V20" s="96" t="s">
        <v>468</v>
      </c>
      <c r="W20" s="96" t="s">
        <v>469</v>
      </c>
      <c r="X20" s="96" t="s">
        <v>708</v>
      </c>
      <c r="Y20" s="96" t="s">
        <v>470</v>
      </c>
      <c r="Z20" s="96" t="s">
        <v>5</v>
      </c>
      <c r="AA20" s="96" t="s">
        <v>6</v>
      </c>
      <c r="AB20" s="96" t="s">
        <v>7</v>
      </c>
      <c r="AC20" s="96" t="s">
        <v>8</v>
      </c>
      <c r="AD20" s="96" t="s">
        <v>709</v>
      </c>
      <c r="AE20" s="96" t="s">
        <v>9</v>
      </c>
      <c r="AF20" s="96" t="s">
        <v>10</v>
      </c>
      <c r="AG20" s="96" t="s">
        <v>710</v>
      </c>
      <c r="AH20" s="96" t="s">
        <v>11</v>
      </c>
      <c r="AI20" s="96" t="s">
        <v>711</v>
      </c>
      <c r="AJ20" s="96" t="s">
        <v>13</v>
      </c>
    </row>
    <row r="21" spans="2:36" customFormat="1" ht="55.2" x14ac:dyDescent="0.3">
      <c r="B21" s="1" t="s">
        <v>177</v>
      </c>
      <c r="C21" s="1" t="s">
        <v>30</v>
      </c>
      <c r="D21" s="2" t="s">
        <v>184</v>
      </c>
      <c r="E21" s="2" t="s">
        <v>185</v>
      </c>
      <c r="F21" s="1" t="s">
        <v>87</v>
      </c>
      <c r="G21" s="1" t="s">
        <v>655</v>
      </c>
      <c r="H21" s="1" t="s">
        <v>654</v>
      </c>
      <c r="I21" s="1" t="s">
        <v>477</v>
      </c>
      <c r="J21" s="1" t="s">
        <v>478</v>
      </c>
      <c r="K21" s="1" t="s">
        <v>480</v>
      </c>
      <c r="L21" s="1" t="s">
        <v>479</v>
      </c>
      <c r="M21" s="1" t="s">
        <v>481</v>
      </c>
      <c r="N21" s="1" t="s">
        <v>482</v>
      </c>
      <c r="O21" s="1" t="s">
        <v>483</v>
      </c>
      <c r="P21" s="1" t="s">
        <v>484</v>
      </c>
      <c r="Q21" s="1" t="s">
        <v>90</v>
      </c>
      <c r="R21" s="1" t="s">
        <v>91</v>
      </c>
      <c r="S21" s="1" t="s">
        <v>715</v>
      </c>
      <c r="T21" s="1" t="s">
        <v>716</v>
      </c>
      <c r="U21" s="1" t="s">
        <v>485</v>
      </c>
      <c r="V21" s="1" t="s">
        <v>486</v>
      </c>
      <c r="W21" s="1" t="s">
        <v>487</v>
      </c>
      <c r="X21" s="1" t="s">
        <v>717</v>
      </c>
      <c r="Y21" s="1" t="s">
        <v>488</v>
      </c>
      <c r="Z21" s="1" t="s">
        <v>718</v>
      </c>
      <c r="AA21" s="1" t="s">
        <v>92</v>
      </c>
      <c r="AB21" s="1" t="s">
        <v>93</v>
      </c>
      <c r="AC21" s="1" t="s">
        <v>94</v>
      </c>
      <c r="AD21" s="1" t="s">
        <v>719</v>
      </c>
      <c r="AE21" s="1" t="s">
        <v>720</v>
      </c>
      <c r="AF21" s="1" t="s">
        <v>95</v>
      </c>
      <c r="AG21" s="1" t="s">
        <v>721</v>
      </c>
      <c r="AH21" s="1" t="s">
        <v>722</v>
      </c>
      <c r="AI21" s="1" t="s">
        <v>769</v>
      </c>
      <c r="AJ21" s="1" t="s">
        <v>489</v>
      </c>
    </row>
    <row r="22" spans="2:36" s="49" customFormat="1" x14ac:dyDescent="0.3">
      <c r="B22" s="49" t="str">
        <f>B6</f>
        <v>FT-SRVBGS</v>
      </c>
      <c r="C22" s="49" t="str">
        <f>C6</f>
        <v>SRV fuel Tech: Biogas</v>
      </c>
      <c r="D22" s="468" t="s">
        <v>749</v>
      </c>
      <c r="E22" s="49" t="str">
        <f>Legend!B60</f>
        <v>SRVBGS</v>
      </c>
      <c r="F22" s="85">
        <v>1</v>
      </c>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row>
    <row r="23" spans="2:36" s="49" customFormat="1" x14ac:dyDescent="0.3">
      <c r="B23" s="49" t="str">
        <f>B7</f>
        <v>FT-SRVCOA</v>
      </c>
      <c r="C23" s="49" t="str">
        <f>C7</f>
        <v>SRV fuel Tech: Coal</v>
      </c>
      <c r="D23" s="468" t="s">
        <v>635</v>
      </c>
      <c r="E23" s="49" t="str">
        <f>Legend!B61</f>
        <v>SRVCOA</v>
      </c>
      <c r="F23" s="85">
        <v>1</v>
      </c>
      <c r="G23" s="49" t="s">
        <v>70</v>
      </c>
      <c r="H23" s="49" t="s">
        <v>78</v>
      </c>
      <c r="I23" s="199">
        <f>1-SUM(I24:I25)</f>
        <v>1</v>
      </c>
      <c r="J23" s="199">
        <f t="shared" ref="J23:W23" si="0">1-SUM(J24:J25)</f>
        <v>1</v>
      </c>
      <c r="K23" s="199">
        <f t="shared" si="0"/>
        <v>1</v>
      </c>
      <c r="L23" s="199">
        <f t="shared" si="0"/>
        <v>1</v>
      </c>
      <c r="M23" s="199">
        <f t="shared" si="0"/>
        <v>0.49722393584207281</v>
      </c>
      <c r="N23" s="199">
        <f t="shared" si="0"/>
        <v>0.86871747780838693</v>
      </c>
      <c r="O23" s="199">
        <f t="shared" si="0"/>
        <v>1</v>
      </c>
      <c r="P23" s="199">
        <f t="shared" si="0"/>
        <v>1</v>
      </c>
      <c r="Q23" s="199">
        <f t="shared" si="0"/>
        <v>1</v>
      </c>
      <c r="R23" s="199">
        <f t="shared" si="0"/>
        <v>1</v>
      </c>
      <c r="S23" s="199">
        <f t="shared" si="0"/>
        <v>1</v>
      </c>
      <c r="T23" s="199">
        <f t="shared" si="0"/>
        <v>1</v>
      </c>
      <c r="U23" s="199">
        <f t="shared" si="0"/>
        <v>0.89950692650857011</v>
      </c>
      <c r="V23" s="199">
        <f t="shared" si="0"/>
        <v>1</v>
      </c>
      <c r="W23" s="199">
        <f t="shared" si="0"/>
        <v>0.89909511784511786</v>
      </c>
      <c r="X23" s="199">
        <f>1-SUM(X24:X25)</f>
        <v>0.99667774086378735</v>
      </c>
      <c r="Y23" s="199">
        <f t="shared" ref="Y23" si="1">1-SUM(Y24:Y25)</f>
        <v>0.32407407407407407</v>
      </c>
      <c r="Z23" s="199">
        <f t="shared" ref="Z23" si="2">1-SUM(Z24:Z25)</f>
        <v>1</v>
      </c>
      <c r="AA23" s="199">
        <f t="shared" ref="AA23" si="3">1-SUM(AA24:AA25)</f>
        <v>1</v>
      </c>
      <c r="AB23" s="199">
        <f t="shared" ref="AB23" si="4">1-SUM(AB24:AB25)</f>
        <v>2.3310023310022521E-3</v>
      </c>
      <c r="AC23" s="199">
        <f t="shared" ref="AC23" si="5">1-SUM(AC24:AC25)</f>
        <v>1</v>
      </c>
      <c r="AD23" s="199">
        <f t="shared" ref="AD23" si="6">1-SUM(AD24:AD25)</f>
        <v>0.94479786579109382</v>
      </c>
      <c r="AE23" s="199">
        <f t="shared" ref="AE23" si="7">1-SUM(AE24:AE25)</f>
        <v>1</v>
      </c>
      <c r="AF23" s="199">
        <f t="shared" ref="AF23" si="8">1-SUM(AF24:AF25)</f>
        <v>1</v>
      </c>
      <c r="AG23" s="199">
        <f t="shared" ref="AG23" si="9">1-SUM(AG24:AG25)</f>
        <v>1</v>
      </c>
      <c r="AH23" s="199">
        <f t="shared" ref="AH23" si="10">1-SUM(AH24:AH25)</f>
        <v>0.96927340643451021</v>
      </c>
      <c r="AI23" s="199">
        <f t="shared" ref="AI23" si="11">1-SUM(AI24:AI25)</f>
        <v>1</v>
      </c>
      <c r="AJ23" s="199">
        <f t="shared" ref="AJ23" si="12">1-SUM(AJ24:AJ25)</f>
        <v>1</v>
      </c>
    </row>
    <row r="24" spans="2:36" s="49" customFormat="1" x14ac:dyDescent="0.3">
      <c r="D24" s="468" t="s">
        <v>649</v>
      </c>
      <c r="G24" s="49" t="s">
        <v>70</v>
      </c>
      <c r="H24" s="49" t="s">
        <v>78</v>
      </c>
      <c r="I24" s="199">
        <f>IFERROR(SUMIFS('S1'!E:E,'S1'!$C:$C,'Fuel Techs'!$D24)/SUMIFS('S1'!E:E,'S1'!$C:$C,'Fuel Techs'!$E23),0%)</f>
        <v>0</v>
      </c>
      <c r="J24" s="199">
        <f>IFERROR(SUMIFS('S1'!F:F,'S1'!$C:$C,'Fuel Techs'!$D24)/SUMIFS('S1'!F:F,'S1'!$C:$C,'Fuel Techs'!$E23),0%)</f>
        <v>0</v>
      </c>
      <c r="K24" s="199">
        <f>IFERROR(SUMIFS('S1'!G:G,'S1'!$C:$C,'Fuel Techs'!$D24)/SUMIFS('S1'!G:G,'S1'!$C:$C,'Fuel Techs'!$E23),0%)</f>
        <v>0</v>
      </c>
      <c r="L24" s="199">
        <f>IFERROR(SUMIFS('S1'!H:H,'S1'!$C:$C,'Fuel Techs'!$D24)/SUMIFS('S1'!H:H,'S1'!$C:$C,'Fuel Techs'!$E23),0%)</f>
        <v>0</v>
      </c>
      <c r="M24" s="199">
        <f>IFERROR(SUMIFS('S1'!I:I,'S1'!$C:$C,'Fuel Techs'!$D24)/SUMIFS('S1'!I:I,'S1'!$C:$C,'Fuel Techs'!$E23),0%)</f>
        <v>0</v>
      </c>
      <c r="N24" s="199">
        <f>IFERROR(SUMIFS('S1'!J:J,'S1'!$C:$C,'Fuel Techs'!$D24)/SUMIFS('S1'!J:J,'S1'!$C:$C,'Fuel Techs'!$E23),0%)</f>
        <v>0</v>
      </c>
      <c r="O24" s="199">
        <f>IFERROR(SUMIFS('S1'!K:K,'S1'!$C:$C,'Fuel Techs'!$D24)/SUMIFS('S1'!K:K,'S1'!$C:$C,'Fuel Techs'!$E23),0%)</f>
        <v>0</v>
      </c>
      <c r="P24" s="199">
        <f>IFERROR(SUMIFS('S1'!L:L,'S1'!$C:$C,'Fuel Techs'!$D24)/SUMIFS('S1'!L:L,'S1'!$C:$C,'Fuel Techs'!$E23),0%)</f>
        <v>0</v>
      </c>
      <c r="Q24" s="199">
        <f>IFERROR(SUMIFS('S1'!M:M,'S1'!$C:$C,'Fuel Techs'!$D24)/SUMIFS('S1'!M:M,'S1'!$C:$C,'Fuel Techs'!$E23),0%)</f>
        <v>0</v>
      </c>
      <c r="R24" s="199">
        <f>IFERROR(SUMIFS('S1'!N:N,'S1'!$C:$C,'Fuel Techs'!$D24)/SUMIFS('S1'!N:N,'S1'!$C:$C,'Fuel Techs'!$E23),0%)</f>
        <v>0</v>
      </c>
      <c r="S24" s="199">
        <f>IFERROR(SUMIFS('S1'!O:O,'S1'!$C:$C,'Fuel Techs'!$D24)/SUMIFS('S1'!O:O,'S1'!$C:$C,'Fuel Techs'!$E23),0%)</f>
        <v>0</v>
      </c>
      <c r="T24" s="199">
        <f>IFERROR(SUMIFS('S1'!P:P,'S1'!$C:$C,'Fuel Techs'!$D24)/SUMIFS('S1'!P:P,'S1'!$C:$C,'Fuel Techs'!$E23),0%)</f>
        <v>0</v>
      </c>
      <c r="U24" s="199">
        <f>IFERROR(SUMIFS('S1'!Q:Q,'S1'!$C:$C,'Fuel Techs'!$D24)/SUMIFS('S1'!Q:Q,'S1'!$C:$C,'Fuel Techs'!$E23),0%)</f>
        <v>0</v>
      </c>
      <c r="V24" s="199">
        <f>IFERROR(SUMIFS('S1'!R:R,'S1'!$C:$C,'Fuel Techs'!$D24)/SUMIFS('S1'!R:R,'S1'!$C:$C,'Fuel Techs'!$E23),0%)</f>
        <v>0</v>
      </c>
      <c r="W24" s="199">
        <f>IFERROR(SUMIFS('S1'!S:S,'S1'!$C:$C,'Fuel Techs'!$D24)/SUMIFS('S1'!S:S,'S1'!$C:$C,'Fuel Techs'!$E23),0%)</f>
        <v>4.5033670033670037E-2</v>
      </c>
      <c r="X24" s="199">
        <f>IFERROR(SUMIFS('S1'!T:T,'S1'!$C:$C,'Fuel Techs'!$D24)/SUMIFS('S1'!T:T,'S1'!$C:$C,'Fuel Techs'!$E23),0%)</f>
        <v>6.6445182724252495E-4</v>
      </c>
      <c r="Y24" s="199">
        <f>IFERROR(SUMIFS('S1'!U:U,'S1'!$C:$C,'Fuel Techs'!$D24)/SUMIFS('S1'!U:U,'S1'!$C:$C,'Fuel Techs'!$E23),0%)</f>
        <v>0</v>
      </c>
      <c r="Z24" s="199">
        <f>IFERROR(SUMIFS('S1'!V:V,'S1'!$C:$C,'Fuel Techs'!$D24)/SUMIFS('S1'!V:V,'S1'!$C:$C,'Fuel Techs'!$E23),0%)</f>
        <v>0</v>
      </c>
      <c r="AA24" s="199">
        <f>IFERROR(SUMIFS('S1'!W:W,'S1'!$C:$C,'Fuel Techs'!$D24)/SUMIFS('S1'!W:W,'S1'!$C:$C,'Fuel Techs'!$E23),0%)</f>
        <v>0</v>
      </c>
      <c r="AB24" s="199">
        <f>IFERROR(SUMIFS('S1'!X:X,'S1'!$C:$C,'Fuel Techs'!$D24)/SUMIFS('S1'!X:X,'S1'!$C:$C,'Fuel Techs'!$E23),0%)</f>
        <v>0.99766899766899775</v>
      </c>
      <c r="AC24" s="199">
        <f>IFERROR(SUMIFS('S1'!Y:Y,'S1'!$C:$C,'Fuel Techs'!$D24)/SUMIFS('S1'!Y:Y,'S1'!$C:$C,'Fuel Techs'!$E23),0%)</f>
        <v>0</v>
      </c>
      <c r="AD24" s="199">
        <f>IFERROR(SUMIFS('S1'!Z:Z,'S1'!$C:$C,'Fuel Techs'!$D24)/SUMIFS('S1'!Z:Z,'S1'!$C:$C,'Fuel Techs'!$E23),0%)</f>
        <v>0</v>
      </c>
      <c r="AE24" s="199">
        <f>IFERROR(SUMIFS('S1'!AA:AA,'S1'!$C:$C,'Fuel Techs'!$D24)/SUMIFS('S1'!AA:AA,'S1'!$C:$C,'Fuel Techs'!$E23),0%)</f>
        <v>0</v>
      </c>
      <c r="AF24" s="199">
        <f>IFERROR(SUMIFS('S1'!AB:AB,'S1'!$C:$C,'Fuel Techs'!$D24)/SUMIFS('S1'!AB:AB,'S1'!$C:$C,'Fuel Techs'!$E23),0%)</f>
        <v>0</v>
      </c>
      <c r="AG24" s="199">
        <f>IFERROR(SUMIFS('S1'!AC:AC,'S1'!$C:$C,'Fuel Techs'!$D24)/SUMIFS('S1'!AC:AC,'S1'!$C:$C,'Fuel Techs'!$E23),0%)</f>
        <v>0</v>
      </c>
      <c r="AH24" s="199">
        <f>IFERROR(SUMIFS('S1'!AD:AD,'S1'!$C:$C,'Fuel Techs'!$D24)/SUMIFS('S1'!AD:AD,'S1'!$C:$C,'Fuel Techs'!$E23),0%)</f>
        <v>0</v>
      </c>
      <c r="AI24" s="199">
        <f>IFERROR(SUMIFS('S1'!AE:AE,'S1'!$C:$C,'Fuel Techs'!$D24)/SUMIFS('S1'!AE:AE,'S1'!$C:$C,'Fuel Techs'!$E23),0%)</f>
        <v>0</v>
      </c>
      <c r="AJ24" s="199">
        <f>IFERROR(SUMIFS('S1'!AF:AF,'S1'!$C:$C,'Fuel Techs'!$D24)/SUMIFS('S1'!AF:AF,'S1'!$C:$C,'Fuel Techs'!$E23),0%)</f>
        <v>0</v>
      </c>
    </row>
    <row r="25" spans="2:36" s="49" customFormat="1" x14ac:dyDescent="0.3">
      <c r="D25" s="468" t="s">
        <v>745</v>
      </c>
      <c r="G25" s="49" t="s">
        <v>70</v>
      </c>
      <c r="H25" s="49" t="s">
        <v>78</v>
      </c>
      <c r="I25" s="199">
        <f>IFERROR(SUMIFS('S1'!E:E,'S1'!$C:$C,'Fuel Techs'!$D25)/SUMIFS('S1'!E:E,'S1'!$C:$C,'Fuel Techs'!$E23),0%)</f>
        <v>0</v>
      </c>
      <c r="J25" s="199">
        <f>IFERROR(SUMIFS('S1'!F:F,'S1'!$C:$C,'Fuel Techs'!$D25)/SUMIFS('S1'!F:F,'S1'!$C:$C,'Fuel Techs'!$E23),0%)</f>
        <v>0</v>
      </c>
      <c r="K25" s="199">
        <f>IFERROR(SUMIFS('S1'!G:G,'S1'!$C:$C,'Fuel Techs'!$D25)/SUMIFS('S1'!G:G,'S1'!$C:$C,'Fuel Techs'!$E23),0%)</f>
        <v>0</v>
      </c>
      <c r="L25" s="199">
        <f>IFERROR(SUMIFS('S1'!H:H,'S1'!$C:$C,'Fuel Techs'!$D25)/SUMIFS('S1'!H:H,'S1'!$C:$C,'Fuel Techs'!$E23),0%)</f>
        <v>0</v>
      </c>
      <c r="M25" s="199">
        <f>IFERROR(SUMIFS('S1'!I:I,'S1'!$C:$C,'Fuel Techs'!$D25)/SUMIFS('S1'!I:I,'S1'!$C:$C,'Fuel Techs'!$E23),0%)</f>
        <v>0.50277606415792719</v>
      </c>
      <c r="N25" s="199">
        <f>IFERROR(SUMIFS('S1'!J:J,'S1'!$C:$C,'Fuel Techs'!$D25)/SUMIFS('S1'!J:J,'S1'!$C:$C,'Fuel Techs'!$E23),0%)</f>
        <v>0.13128252219161307</v>
      </c>
      <c r="O25" s="199">
        <f>IFERROR(SUMIFS('S1'!K:K,'S1'!$C:$C,'Fuel Techs'!$D25)/SUMIFS('S1'!K:K,'S1'!$C:$C,'Fuel Techs'!$E23),0%)</f>
        <v>0</v>
      </c>
      <c r="P25" s="199">
        <f>IFERROR(SUMIFS('S1'!L:L,'S1'!$C:$C,'Fuel Techs'!$D25)/SUMIFS('S1'!L:L,'S1'!$C:$C,'Fuel Techs'!$E23),0%)</f>
        <v>0</v>
      </c>
      <c r="Q25" s="199">
        <f>IFERROR(SUMIFS('S1'!M:M,'S1'!$C:$C,'Fuel Techs'!$D25)/SUMIFS('S1'!M:M,'S1'!$C:$C,'Fuel Techs'!$E23),0%)</f>
        <v>0</v>
      </c>
      <c r="R25" s="199">
        <f>IFERROR(SUMIFS('S1'!N:N,'S1'!$C:$C,'Fuel Techs'!$D25)/SUMIFS('S1'!N:N,'S1'!$C:$C,'Fuel Techs'!$E23),0%)</f>
        <v>0</v>
      </c>
      <c r="S25" s="199">
        <f>IFERROR(SUMIFS('S1'!O:O,'S1'!$C:$C,'Fuel Techs'!$D25)/SUMIFS('S1'!O:O,'S1'!$C:$C,'Fuel Techs'!$E23),0%)</f>
        <v>0</v>
      </c>
      <c r="T25" s="199">
        <f>IFERROR(SUMIFS('S1'!P:P,'S1'!$C:$C,'Fuel Techs'!$D25)/SUMIFS('S1'!P:P,'S1'!$C:$C,'Fuel Techs'!$E23),0%)</f>
        <v>0</v>
      </c>
      <c r="U25" s="199">
        <f>IFERROR(SUMIFS('S1'!Q:Q,'S1'!$C:$C,'Fuel Techs'!$D25)/SUMIFS('S1'!Q:Q,'S1'!$C:$C,'Fuel Techs'!$E23),0%)</f>
        <v>0.10049307349142991</v>
      </c>
      <c r="V25" s="199">
        <f>IFERROR(SUMIFS('S1'!R:R,'S1'!$C:$C,'Fuel Techs'!$D25)/SUMIFS('S1'!R:R,'S1'!$C:$C,'Fuel Techs'!$E23),0%)</f>
        <v>0</v>
      </c>
      <c r="W25" s="199">
        <f>IFERROR(SUMIFS('S1'!S:S,'S1'!$C:$C,'Fuel Techs'!$D25)/SUMIFS('S1'!S:S,'S1'!$C:$C,'Fuel Techs'!$E23),0%)</f>
        <v>5.587121212121212E-2</v>
      </c>
      <c r="X25" s="199">
        <f>IFERROR(SUMIFS('S1'!T:T,'S1'!$C:$C,'Fuel Techs'!$D25)/SUMIFS('S1'!T:T,'S1'!$C:$C,'Fuel Techs'!$E23),0%)</f>
        <v>2.6578073089700998E-3</v>
      </c>
      <c r="Y25" s="199">
        <f>IFERROR(SUMIFS('S1'!U:U,'S1'!$C:$C,'Fuel Techs'!$D25)/SUMIFS('S1'!U:U,'S1'!$C:$C,'Fuel Techs'!$E23),0%)</f>
        <v>0.67592592592592593</v>
      </c>
      <c r="Z25" s="199">
        <f>IFERROR(SUMIFS('S1'!V:V,'S1'!$C:$C,'Fuel Techs'!$D25)/SUMIFS('S1'!V:V,'S1'!$C:$C,'Fuel Techs'!$E23),0%)</f>
        <v>0</v>
      </c>
      <c r="AA25" s="199">
        <f>IFERROR(SUMIFS('S1'!W:W,'S1'!$C:$C,'Fuel Techs'!$D25)/SUMIFS('S1'!W:W,'S1'!$C:$C,'Fuel Techs'!$E23),0%)</f>
        <v>0</v>
      </c>
      <c r="AB25" s="199">
        <f>IFERROR(SUMIFS('S1'!X:X,'S1'!$C:$C,'Fuel Techs'!$D25)/SUMIFS('S1'!X:X,'S1'!$C:$C,'Fuel Techs'!$E23),0%)</f>
        <v>0</v>
      </c>
      <c r="AC25" s="199">
        <f>IFERROR(SUMIFS('S1'!Y:Y,'S1'!$C:$C,'Fuel Techs'!$D25)/SUMIFS('S1'!Y:Y,'S1'!$C:$C,'Fuel Techs'!$E23),0%)</f>
        <v>0</v>
      </c>
      <c r="AD25" s="199">
        <f>IFERROR(SUMIFS('S1'!Z:Z,'S1'!$C:$C,'Fuel Techs'!$D25)/SUMIFS('S1'!Z:Z,'S1'!$C:$C,'Fuel Techs'!$E23),0%)</f>
        <v>5.5202134208906226E-2</v>
      </c>
      <c r="AE25" s="199">
        <f>IFERROR(SUMIFS('S1'!AA:AA,'S1'!$C:$C,'Fuel Techs'!$D25)/SUMIFS('S1'!AA:AA,'S1'!$C:$C,'Fuel Techs'!$E23),0%)</f>
        <v>0</v>
      </c>
      <c r="AF25" s="199">
        <f>IFERROR(SUMIFS('S1'!AB:AB,'S1'!$C:$C,'Fuel Techs'!$D25)/SUMIFS('S1'!AB:AB,'S1'!$C:$C,'Fuel Techs'!$E23),0%)</f>
        <v>0</v>
      </c>
      <c r="AG25" s="199">
        <f>IFERROR(SUMIFS('S1'!AC:AC,'S1'!$C:$C,'Fuel Techs'!$D25)/SUMIFS('S1'!AC:AC,'S1'!$C:$C,'Fuel Techs'!$E23),0%)</f>
        <v>0</v>
      </c>
      <c r="AH25" s="199">
        <f>IFERROR(SUMIFS('S1'!AD:AD,'S1'!$C:$C,'Fuel Techs'!$D25)/SUMIFS('S1'!AD:AD,'S1'!$C:$C,'Fuel Techs'!$E23),0%)</f>
        <v>3.0726593565489815E-2</v>
      </c>
      <c r="AI25" s="199">
        <f>IFERROR(SUMIFS('S1'!AE:AE,'S1'!$C:$C,'Fuel Techs'!$D25)/SUMIFS('S1'!AE:AE,'S1'!$C:$C,'Fuel Techs'!$E23),0%)</f>
        <v>0</v>
      </c>
      <c r="AJ25" s="199">
        <f>IFERROR(SUMIFS('S1'!AF:AF,'S1'!$C:$C,'Fuel Techs'!$D25)/SUMIFS('S1'!AF:AF,'S1'!$C:$C,'Fuel Techs'!$E23),0%)</f>
        <v>0</v>
      </c>
    </row>
    <row r="26" spans="2:36" s="49" customFormat="1" x14ac:dyDescent="0.3">
      <c r="B26" s="49" t="str">
        <f>B8</f>
        <v>FT-SRVOIL</v>
      </c>
      <c r="C26" s="49" t="str">
        <f>C8</f>
        <v>SRV fuel Tech: Oil</v>
      </c>
      <c r="D26" s="468" t="s">
        <v>650</v>
      </c>
      <c r="E26" s="49" t="str">
        <f>Legend!B62</f>
        <v>SRVOIL</v>
      </c>
      <c r="F26" s="85">
        <v>1</v>
      </c>
      <c r="G26" s="49" t="s">
        <v>70</v>
      </c>
      <c r="H26" s="49" t="s">
        <v>78</v>
      </c>
      <c r="I26" s="199">
        <f>IFERROR(SUMIFS('S1'!E:E,'S1'!$C:$C,'Fuel Techs'!$D26)/SUMIFS('S1'!E:E,'S1'!$C:$C,'Fuel Techs'!$E26),0%)</f>
        <v>0</v>
      </c>
      <c r="J26" s="199">
        <f>IFERROR(SUMIFS('S1'!F:F,'S1'!$C:$C,'Fuel Techs'!$D26)/SUMIFS('S1'!F:F,'S1'!$C:$C,'Fuel Techs'!$E26),0%)</f>
        <v>0</v>
      </c>
      <c r="K26" s="199">
        <f>IFERROR(SUMIFS('S1'!G:G,'S1'!$C:$C,'Fuel Techs'!$D26)/SUMIFS('S1'!G:G,'S1'!$C:$C,'Fuel Techs'!$E26),0%)</f>
        <v>0</v>
      </c>
      <c r="L26" s="199">
        <f>IFERROR(SUMIFS('S1'!H:H,'S1'!$C:$C,'Fuel Techs'!$D26)/SUMIFS('S1'!H:H,'S1'!$C:$C,'Fuel Techs'!$E26),0%)</f>
        <v>0</v>
      </c>
      <c r="M26" s="199">
        <f>IFERROR(SUMIFS('S1'!I:I,'S1'!$C:$C,'Fuel Techs'!$D26)/SUMIFS('S1'!I:I,'S1'!$C:$C,'Fuel Techs'!$E26),0%)</f>
        <v>0</v>
      </c>
      <c r="N26" s="199">
        <f>IFERROR(SUMIFS('S1'!J:J,'S1'!$C:$C,'Fuel Techs'!$D26)/SUMIFS('S1'!J:J,'S1'!$C:$C,'Fuel Techs'!$E26),0%)</f>
        <v>0</v>
      </c>
      <c r="O26" s="199">
        <f>IFERROR(SUMIFS('S1'!K:K,'S1'!$C:$C,'Fuel Techs'!$D26)/SUMIFS('S1'!K:K,'S1'!$C:$C,'Fuel Techs'!$E26),0%)</f>
        <v>0</v>
      </c>
      <c r="P26" s="199">
        <f>IFERROR(SUMIFS('S1'!L:L,'S1'!$C:$C,'Fuel Techs'!$D26)/SUMIFS('S1'!L:L,'S1'!$C:$C,'Fuel Techs'!$E26),0%)</f>
        <v>0</v>
      </c>
      <c r="Q26" s="199">
        <f>IFERROR(SUMIFS('S1'!M:M,'S1'!$C:$C,'Fuel Techs'!$D26)/SUMIFS('S1'!M:M,'S1'!$C:$C,'Fuel Techs'!$E26),0%)</f>
        <v>0</v>
      </c>
      <c r="R26" s="199">
        <f>IFERROR(SUMIFS('S1'!N:N,'S1'!$C:$C,'Fuel Techs'!$D26)/SUMIFS('S1'!N:N,'S1'!$C:$C,'Fuel Techs'!$E26),0%)</f>
        <v>0</v>
      </c>
      <c r="S26" s="199">
        <f>IFERROR(SUMIFS('S1'!O:O,'S1'!$C:$C,'Fuel Techs'!$D26)/SUMIFS('S1'!O:O,'S1'!$C:$C,'Fuel Techs'!$E26),0%)</f>
        <v>0</v>
      </c>
      <c r="T26" s="199">
        <f>IFERROR(SUMIFS('S1'!P:P,'S1'!$C:$C,'Fuel Techs'!$D26)/SUMIFS('S1'!P:P,'S1'!$C:$C,'Fuel Techs'!$E26),0%)</f>
        <v>0</v>
      </c>
      <c r="U26" s="199">
        <f>IFERROR(SUMIFS('S1'!Q:Q,'S1'!$C:$C,'Fuel Techs'!$D26)/SUMIFS('S1'!Q:Q,'S1'!$C:$C,'Fuel Techs'!$E26),0%)</f>
        <v>0</v>
      </c>
      <c r="V26" s="199">
        <f>IFERROR(SUMIFS('S1'!R:R,'S1'!$C:$C,'Fuel Techs'!$D26)/SUMIFS('S1'!R:R,'S1'!$C:$C,'Fuel Techs'!$E26),0%)</f>
        <v>0</v>
      </c>
      <c r="W26" s="199">
        <f>IFERROR(SUMIFS('S1'!S:S,'S1'!$C:$C,'Fuel Techs'!$D26)/SUMIFS('S1'!S:S,'S1'!$C:$C,'Fuel Techs'!$E26),0%)</f>
        <v>0</v>
      </c>
      <c r="X26" s="199">
        <f>IFERROR(SUMIFS('S1'!T:T,'S1'!$C:$C,'Fuel Techs'!$D26)/SUMIFS('S1'!T:T,'S1'!$C:$C,'Fuel Techs'!$E26),0%)</f>
        <v>0</v>
      </c>
      <c r="Y26" s="199">
        <f>IFERROR(SUMIFS('S1'!U:U,'S1'!$C:$C,'Fuel Techs'!$D26)/SUMIFS('S1'!U:U,'S1'!$C:$C,'Fuel Techs'!$E26),0%)</f>
        <v>0</v>
      </c>
      <c r="Z26" s="199">
        <f>IFERROR(SUMIFS('S1'!V:V,'S1'!$C:$C,'Fuel Techs'!$D26)/SUMIFS('S1'!V:V,'S1'!$C:$C,'Fuel Techs'!$E26),0%)</f>
        <v>0</v>
      </c>
      <c r="AA26" s="199">
        <f>IFERROR(SUMIFS('S1'!W:W,'S1'!$C:$C,'Fuel Techs'!$D26)/SUMIFS('S1'!W:W,'S1'!$C:$C,'Fuel Techs'!$E26),0%)</f>
        <v>0</v>
      </c>
      <c r="AB26" s="199">
        <f>IFERROR(SUMIFS('S1'!X:X,'S1'!$C:$C,'Fuel Techs'!$D26)/SUMIFS('S1'!X:X,'S1'!$C:$C,'Fuel Techs'!$E26),0%)</f>
        <v>0</v>
      </c>
      <c r="AC26" s="199">
        <f>IFERROR(SUMIFS('S1'!Y:Y,'S1'!$C:$C,'Fuel Techs'!$D26)/SUMIFS('S1'!Y:Y,'S1'!$C:$C,'Fuel Techs'!$E26),0%)</f>
        <v>0</v>
      </c>
      <c r="AD26" s="199">
        <f>IFERROR(SUMIFS('S1'!Z:Z,'S1'!$C:$C,'Fuel Techs'!$D26)/SUMIFS('S1'!Z:Z,'S1'!$C:$C,'Fuel Techs'!$E26),0%)</f>
        <v>0</v>
      </c>
      <c r="AE26" s="199">
        <f>IFERROR(SUMIFS('S1'!AA:AA,'S1'!$C:$C,'Fuel Techs'!$D26)/SUMIFS('S1'!AA:AA,'S1'!$C:$C,'Fuel Techs'!$E26),0%)</f>
        <v>0</v>
      </c>
      <c r="AF26" s="199">
        <f>IFERROR(SUMIFS('S1'!AB:AB,'S1'!$C:$C,'Fuel Techs'!$D26)/SUMIFS('S1'!AB:AB,'S1'!$C:$C,'Fuel Techs'!$E26),0%)</f>
        <v>0</v>
      </c>
      <c r="AG26" s="199">
        <f>IFERROR(SUMIFS('S1'!AC:AC,'S1'!$C:$C,'Fuel Techs'!$D26)/SUMIFS('S1'!AC:AC,'S1'!$C:$C,'Fuel Techs'!$E26),0%)</f>
        <v>0</v>
      </c>
      <c r="AH26" s="199">
        <f>IFERROR(SUMIFS('S1'!AD:AD,'S1'!$C:$C,'Fuel Techs'!$D26)/SUMIFS('S1'!AD:AD,'S1'!$C:$C,'Fuel Techs'!$E26),0%)</f>
        <v>0</v>
      </c>
      <c r="AI26" s="199">
        <f>IFERROR(SUMIFS('S1'!AE:AE,'S1'!$C:$C,'Fuel Techs'!$D26)/SUMIFS('S1'!AE:AE,'S1'!$C:$C,'Fuel Techs'!$E26),0%)</f>
        <v>0</v>
      </c>
      <c r="AJ26" s="199">
        <f>IFERROR(SUMIFS('S1'!AF:AF,'S1'!$C:$C,'Fuel Techs'!$D26)/SUMIFS('S1'!AF:AF,'S1'!$C:$C,'Fuel Techs'!$E26),0%)</f>
        <v>0</v>
      </c>
    </row>
    <row r="27" spans="2:36" s="49" customFormat="1" x14ac:dyDescent="0.3">
      <c r="D27" s="483" t="s">
        <v>636</v>
      </c>
      <c r="G27" s="49" t="s">
        <v>70</v>
      </c>
      <c r="H27" s="49" t="s">
        <v>78</v>
      </c>
      <c r="I27" s="199">
        <f t="shared" ref="I27:AJ27" si="13">1-SUM(I26,I28:I32)</f>
        <v>0.65986862683766034</v>
      </c>
      <c r="J27" s="199">
        <f t="shared" si="13"/>
        <v>0.99406858202038928</v>
      </c>
      <c r="K27" s="199">
        <f t="shared" si="13"/>
        <v>0.10729613733905585</v>
      </c>
      <c r="L27" s="199">
        <f t="shared" si="13"/>
        <v>0.7636337828246984</v>
      </c>
      <c r="M27" s="199">
        <f t="shared" si="13"/>
        <v>0.9654827726236217</v>
      </c>
      <c r="N27" s="199">
        <f t="shared" si="13"/>
        <v>0.73453093812375247</v>
      </c>
      <c r="O27" s="199">
        <f t="shared" si="13"/>
        <v>0.80360865033871809</v>
      </c>
      <c r="P27" s="199">
        <f t="shared" si="13"/>
        <v>0</v>
      </c>
      <c r="Q27" s="199">
        <f t="shared" si="13"/>
        <v>0.65140062249888842</v>
      </c>
      <c r="R27" s="199">
        <f t="shared" si="13"/>
        <v>0.35672488092537991</v>
      </c>
      <c r="S27" s="199">
        <f t="shared" si="13"/>
        <v>0.98541372953041972</v>
      </c>
      <c r="T27" s="199">
        <f t="shared" si="13"/>
        <v>1</v>
      </c>
      <c r="U27" s="199">
        <f t="shared" si="13"/>
        <v>0.76110353190844326</v>
      </c>
      <c r="V27" s="199">
        <f t="shared" si="13"/>
        <v>0.60964137214137215</v>
      </c>
      <c r="W27" s="199">
        <f t="shared" si="13"/>
        <v>0.55939748022733604</v>
      </c>
      <c r="X27" s="199">
        <f t="shared" si="13"/>
        <v>0.97586948026572884</v>
      </c>
      <c r="Y27" s="199">
        <f t="shared" si="13"/>
        <v>0.93955978922151151</v>
      </c>
      <c r="Z27" s="199">
        <f t="shared" si="13"/>
        <v>0.91469475424863622</v>
      </c>
      <c r="AA27" s="199">
        <f t="shared" si="13"/>
        <v>0</v>
      </c>
      <c r="AB27" s="199">
        <f t="shared" si="13"/>
        <v>0.6252838086691993</v>
      </c>
      <c r="AC27" s="199">
        <f t="shared" si="13"/>
        <v>0.80167492234069349</v>
      </c>
      <c r="AD27" s="199">
        <f t="shared" si="13"/>
        <v>0.52592994841162088</v>
      </c>
      <c r="AE27" s="199">
        <f t="shared" si="13"/>
        <v>0.84367273863991588</v>
      </c>
      <c r="AF27" s="199">
        <f t="shared" si="13"/>
        <v>1</v>
      </c>
      <c r="AG27" s="199">
        <f t="shared" si="13"/>
        <v>0</v>
      </c>
      <c r="AH27" s="199">
        <f t="shared" si="13"/>
        <v>0.90526487102286601</v>
      </c>
      <c r="AI27" s="199">
        <f t="shared" si="13"/>
        <v>0.40405188291077243</v>
      </c>
      <c r="AJ27" s="199">
        <f t="shared" si="13"/>
        <v>0.76426340972047335</v>
      </c>
    </row>
    <row r="28" spans="2:36" s="49" customFormat="1" x14ac:dyDescent="0.3">
      <c r="D28" s="483" t="s">
        <v>638</v>
      </c>
      <c r="G28" s="49" t="s">
        <v>70</v>
      </c>
      <c r="H28" s="49" t="s">
        <v>78</v>
      </c>
      <c r="I28" s="199">
        <f>IFERROR(SUMIFS('S1'!E:E,'S1'!$C:$C,'Fuel Techs'!$D28)/SUMIFS('S1'!E:E,'S1'!$C:$C,'Fuel Techs'!$E26),0%)</f>
        <v>9.6590553644041288E-2</v>
      </c>
      <c r="J28" s="199">
        <f>IFERROR(SUMIFS('S1'!F:F,'S1'!$C:$C,'Fuel Techs'!$D28)/SUMIFS('S1'!F:F,'S1'!$C:$C,'Fuel Techs'!$E26),0%)</f>
        <v>0</v>
      </c>
      <c r="K28" s="199">
        <f>IFERROR(SUMIFS('S1'!G:G,'S1'!$C:$C,'Fuel Techs'!$D28)/SUMIFS('S1'!G:G,'S1'!$C:$C,'Fuel Techs'!$E26),0%)</f>
        <v>0.43776824034334766</v>
      </c>
      <c r="L28" s="199">
        <f>IFERROR(SUMIFS('S1'!H:H,'S1'!$C:$C,'Fuel Techs'!$D28)/SUMIFS('S1'!H:H,'S1'!$C:$C,'Fuel Techs'!$E26),0%)</f>
        <v>8.7409510290986522E-2</v>
      </c>
      <c r="M28" s="199">
        <f>IFERROR(SUMIFS('S1'!I:I,'S1'!$C:$C,'Fuel Techs'!$D28)/SUMIFS('S1'!I:I,'S1'!$C:$C,'Fuel Techs'!$E26),0%)</f>
        <v>2.1584981101427543E-2</v>
      </c>
      <c r="N28" s="199">
        <f>IFERROR(SUMIFS('S1'!J:J,'S1'!$C:$C,'Fuel Techs'!$D28)/SUMIFS('S1'!J:J,'S1'!$C:$C,'Fuel Techs'!$E26),0%)</f>
        <v>0.22733480407605841</v>
      </c>
      <c r="O28" s="199">
        <f>IFERROR(SUMIFS('S1'!K:K,'S1'!$C:$C,'Fuel Techs'!$D28)/SUMIFS('S1'!K:K,'S1'!$C:$C,'Fuel Techs'!$E26),0%)</f>
        <v>7.8165711307972901E-4</v>
      </c>
      <c r="P28" s="199">
        <f>IFERROR(SUMIFS('S1'!L:L,'S1'!$C:$C,'Fuel Techs'!$D28)/SUMIFS('S1'!L:L,'S1'!$C:$C,'Fuel Techs'!$E26),0%)</f>
        <v>1</v>
      </c>
      <c r="Q28" s="199">
        <f>IFERROR(SUMIFS('S1'!M:M,'S1'!$C:$C,'Fuel Techs'!$D28)/SUMIFS('S1'!M:M,'S1'!$C:$C,'Fuel Techs'!$E26),0%)</f>
        <v>0</v>
      </c>
      <c r="R28" s="199">
        <f>IFERROR(SUMIFS('S1'!N:N,'S1'!$C:$C,'Fuel Techs'!$D28)/SUMIFS('S1'!N:N,'S1'!$C:$C,'Fuel Techs'!$E26),0%)</f>
        <v>0</v>
      </c>
      <c r="S28" s="199">
        <f>IFERROR(SUMIFS('S1'!O:O,'S1'!$C:$C,'Fuel Techs'!$D28)/SUMIFS('S1'!O:O,'S1'!$C:$C,'Fuel Techs'!$E26),0%)</f>
        <v>0</v>
      </c>
      <c r="T28" s="199">
        <f>IFERROR(SUMIFS('S1'!P:P,'S1'!$C:$C,'Fuel Techs'!$D28)/SUMIFS('S1'!P:P,'S1'!$C:$C,'Fuel Techs'!$E26),0%)</f>
        <v>0</v>
      </c>
      <c r="U28" s="199">
        <f>IFERROR(SUMIFS('S1'!Q:Q,'S1'!$C:$C,'Fuel Techs'!$D28)/SUMIFS('S1'!Q:Q,'S1'!$C:$C,'Fuel Techs'!$E26),0%)</f>
        <v>2.3343944217068365E-2</v>
      </c>
      <c r="V28" s="199">
        <f>IFERROR(SUMIFS('S1'!R:R,'S1'!$C:$C,'Fuel Techs'!$D28)/SUMIFS('S1'!R:R,'S1'!$C:$C,'Fuel Techs'!$E26),0%)</f>
        <v>0</v>
      </c>
      <c r="W28" s="199">
        <f>IFERROR(SUMIFS('S1'!S:S,'S1'!$C:$C,'Fuel Techs'!$D28)/SUMIFS('S1'!S:S,'S1'!$C:$C,'Fuel Techs'!$E26),0%)</f>
        <v>9.6856245777194858E-2</v>
      </c>
      <c r="X28" s="199">
        <f>IFERROR(SUMIFS('S1'!T:T,'S1'!$C:$C,'Fuel Techs'!$D28)/SUMIFS('S1'!T:T,'S1'!$C:$C,'Fuel Techs'!$E26),0%)</f>
        <v>1.4214536928487689E-2</v>
      </c>
      <c r="Y28" s="199">
        <f>IFERROR(SUMIFS('S1'!U:U,'S1'!$C:$C,'Fuel Techs'!$D28)/SUMIFS('S1'!U:U,'S1'!$C:$C,'Fuel Techs'!$E26),0%)</f>
        <v>3.8803694778355907E-2</v>
      </c>
      <c r="Z28" s="199">
        <f>IFERROR(SUMIFS('S1'!V:V,'S1'!$C:$C,'Fuel Techs'!$D28)/SUMIFS('S1'!V:V,'S1'!$C:$C,'Fuel Techs'!$E26),0%)</f>
        <v>7.1806670201579933E-3</v>
      </c>
      <c r="AA28" s="199">
        <f>IFERROR(SUMIFS('S1'!W:W,'S1'!$C:$C,'Fuel Techs'!$D28)/SUMIFS('S1'!W:W,'S1'!$C:$C,'Fuel Techs'!$E26),0%)</f>
        <v>0</v>
      </c>
      <c r="AB28" s="199">
        <f>IFERROR(SUMIFS('S1'!X:X,'S1'!$C:$C,'Fuel Techs'!$D28)/SUMIFS('S1'!X:X,'S1'!$C:$C,'Fuel Techs'!$E26),0%)</f>
        <v>0</v>
      </c>
      <c r="AC28" s="199">
        <f>IFERROR(SUMIFS('S1'!Y:Y,'S1'!$C:$C,'Fuel Techs'!$D28)/SUMIFS('S1'!Y:Y,'S1'!$C:$C,'Fuel Techs'!$E26),0%)</f>
        <v>0.12045588111829401</v>
      </c>
      <c r="AD28" s="199">
        <f>IFERROR(SUMIFS('S1'!Z:Z,'S1'!$C:$C,'Fuel Techs'!$D28)/SUMIFS('S1'!Z:Z,'S1'!$C:$C,'Fuel Techs'!$E26),0%)</f>
        <v>5.0502307901167526E-3</v>
      </c>
      <c r="AE28" s="199">
        <f>IFERROR(SUMIFS('S1'!AA:AA,'S1'!$C:$C,'Fuel Techs'!$D28)/SUMIFS('S1'!AA:AA,'S1'!$C:$C,'Fuel Techs'!$E26),0%)</f>
        <v>4.2200687714910923E-2</v>
      </c>
      <c r="AF28" s="199">
        <f>IFERROR(SUMIFS('S1'!AB:AB,'S1'!$C:$C,'Fuel Techs'!$D28)/SUMIFS('S1'!AB:AB,'S1'!$C:$C,'Fuel Techs'!$E26),0%)</f>
        <v>0</v>
      </c>
      <c r="AG28" s="199">
        <f>IFERROR(SUMIFS('S1'!AC:AC,'S1'!$C:$C,'Fuel Techs'!$D28)/SUMIFS('S1'!AC:AC,'S1'!$C:$C,'Fuel Techs'!$E26),0%)</f>
        <v>0</v>
      </c>
      <c r="AH28" s="199">
        <f>IFERROR(SUMIFS('S1'!AD:AD,'S1'!$C:$C,'Fuel Techs'!$D28)/SUMIFS('S1'!AD:AD,'S1'!$C:$C,'Fuel Techs'!$E26),0%)</f>
        <v>0</v>
      </c>
      <c r="AI28" s="199">
        <f>IFERROR(SUMIFS('S1'!AE:AE,'S1'!$C:$C,'Fuel Techs'!$D28)/SUMIFS('S1'!AE:AE,'S1'!$C:$C,'Fuel Techs'!$E26),0%)</f>
        <v>2.7430541949135937E-4</v>
      </c>
      <c r="AJ28" s="199">
        <f>IFERROR(SUMIFS('S1'!AF:AF,'S1'!$C:$C,'Fuel Techs'!$D28)/SUMIFS('S1'!AF:AF,'S1'!$C:$C,'Fuel Techs'!$E26),0%)</f>
        <v>0.20056660790732816</v>
      </c>
    </row>
    <row r="29" spans="2:36" s="49" customFormat="1" x14ac:dyDescent="0.3">
      <c r="D29" s="483" t="s">
        <v>651</v>
      </c>
      <c r="G29" s="49" t="s">
        <v>70</v>
      </c>
      <c r="H29" s="49" t="s">
        <v>78</v>
      </c>
      <c r="I29" s="199">
        <f>IFERROR(SUMIFS('S1'!E:E,'S1'!$C:$C,'Fuel Techs'!$D29)/SUMIFS('S1'!E:E,'S1'!$C:$C,'Fuel Techs'!$E26),0%)</f>
        <v>0.22558648733187361</v>
      </c>
      <c r="J29" s="199">
        <f>IFERROR(SUMIFS('S1'!F:F,'S1'!$C:$C,'Fuel Techs'!$D29)/SUMIFS('S1'!F:F,'S1'!$C:$C,'Fuel Techs'!$E26),0%)</f>
        <v>5.9314179796107506E-3</v>
      </c>
      <c r="K29" s="199">
        <f>IFERROR(SUMIFS('S1'!G:G,'S1'!$C:$C,'Fuel Techs'!$D29)/SUMIFS('S1'!G:G,'S1'!$C:$C,'Fuel Techs'!$E26),0%)</f>
        <v>0</v>
      </c>
      <c r="L29" s="199">
        <f>IFERROR(SUMIFS('S1'!H:H,'S1'!$C:$C,'Fuel Techs'!$D29)/SUMIFS('S1'!H:H,'S1'!$C:$C,'Fuel Techs'!$E26),0%)</f>
        <v>4.7551454932576294E-2</v>
      </c>
      <c r="M29" s="199">
        <f>IFERROR(SUMIFS('S1'!I:I,'S1'!$C:$C,'Fuel Techs'!$D29)/SUMIFS('S1'!I:I,'S1'!$C:$C,'Fuel Techs'!$E26),0%)</f>
        <v>1.2932246274950801E-2</v>
      </c>
      <c r="N29" s="199">
        <f>IFERROR(SUMIFS('S1'!J:J,'S1'!$C:$C,'Fuel Techs'!$D29)/SUMIFS('S1'!J:J,'S1'!$C:$C,'Fuel Techs'!$E26),0%)</f>
        <v>3.7538957173372557E-2</v>
      </c>
      <c r="O29" s="199">
        <f>IFERROR(SUMIFS('S1'!K:K,'S1'!$C:$C,'Fuel Techs'!$D29)/SUMIFS('S1'!K:K,'S1'!$C:$C,'Fuel Techs'!$E26),0%)</f>
        <v>0.14362949452840021</v>
      </c>
      <c r="P29" s="199">
        <f>IFERROR(SUMIFS('S1'!L:L,'S1'!$C:$C,'Fuel Techs'!$D29)/SUMIFS('S1'!L:L,'S1'!$C:$C,'Fuel Techs'!$E26),0%)</f>
        <v>0</v>
      </c>
      <c r="Q29" s="199">
        <f>IFERROR(SUMIFS('S1'!M:M,'S1'!$C:$C,'Fuel Techs'!$D29)/SUMIFS('S1'!M:M,'S1'!$C:$C,'Fuel Techs'!$E26),0%)</f>
        <v>0.34859937750111158</v>
      </c>
      <c r="R29" s="199">
        <f>IFERROR(SUMIFS('S1'!N:N,'S1'!$C:$C,'Fuel Techs'!$D29)/SUMIFS('S1'!N:N,'S1'!$C:$C,'Fuel Techs'!$E26),0%)</f>
        <v>2.3542753458834206E-2</v>
      </c>
      <c r="S29" s="199">
        <f>IFERROR(SUMIFS('S1'!O:O,'S1'!$C:$C,'Fuel Techs'!$D29)/SUMIFS('S1'!O:O,'S1'!$C:$C,'Fuel Techs'!$E26),0%)</f>
        <v>1.2200412102808806E-2</v>
      </c>
      <c r="T29" s="199">
        <f>IFERROR(SUMIFS('S1'!P:P,'S1'!$C:$C,'Fuel Techs'!$D29)/SUMIFS('S1'!P:P,'S1'!$C:$C,'Fuel Techs'!$E26),0%)</f>
        <v>0</v>
      </c>
      <c r="U29" s="199">
        <f>IFERROR(SUMIFS('S1'!Q:Q,'S1'!$C:$C,'Fuel Techs'!$D29)/SUMIFS('S1'!Q:Q,'S1'!$C:$C,'Fuel Techs'!$E26),0%)</f>
        <v>0.17280582082764892</v>
      </c>
      <c r="V29" s="199">
        <f>IFERROR(SUMIFS('S1'!R:R,'S1'!$C:$C,'Fuel Techs'!$D29)/SUMIFS('S1'!R:R,'S1'!$C:$C,'Fuel Techs'!$E26),0%)</f>
        <v>3.1973319473319474E-2</v>
      </c>
      <c r="W29" s="199">
        <f>IFERROR(SUMIFS('S1'!S:S,'S1'!$C:$C,'Fuel Techs'!$D29)/SUMIFS('S1'!S:S,'S1'!$C:$C,'Fuel Techs'!$E26),0%)</f>
        <v>1.077063709709471E-2</v>
      </c>
      <c r="X29" s="199">
        <f>IFERROR(SUMIFS('S1'!T:T,'S1'!$C:$C,'Fuel Techs'!$D29)/SUMIFS('S1'!T:T,'S1'!$C:$C,'Fuel Techs'!$E26),0%)</f>
        <v>9.1762965444090877E-3</v>
      </c>
      <c r="Y29" s="199">
        <f>IFERROR(SUMIFS('S1'!U:U,'S1'!$C:$C,'Fuel Techs'!$D29)/SUMIFS('S1'!U:U,'S1'!$C:$C,'Fuel Techs'!$E26),0%)</f>
        <v>7.201124909453311E-3</v>
      </c>
      <c r="Z29" s="199">
        <f>IFERROR(SUMIFS('S1'!V:V,'S1'!$C:$C,'Fuel Techs'!$D29)/SUMIFS('S1'!V:V,'S1'!$C:$C,'Fuel Techs'!$E26),0%)</f>
        <v>6.8957769769301971E-2</v>
      </c>
      <c r="AA29" s="199">
        <f>IFERROR(SUMIFS('S1'!W:W,'S1'!$C:$C,'Fuel Techs'!$D29)/SUMIFS('S1'!W:W,'S1'!$C:$C,'Fuel Techs'!$E26),0%)</f>
        <v>0</v>
      </c>
      <c r="AB29" s="199">
        <f>IFERROR(SUMIFS('S1'!X:X,'S1'!$C:$C,'Fuel Techs'!$D29)/SUMIFS('S1'!X:X,'S1'!$C:$C,'Fuel Techs'!$E26),0%)</f>
        <v>8.1943975367502961E-3</v>
      </c>
      <c r="AC29" s="199">
        <f>IFERROR(SUMIFS('S1'!Y:Y,'S1'!$C:$C,'Fuel Techs'!$D29)/SUMIFS('S1'!Y:Y,'S1'!$C:$C,'Fuel Techs'!$E26),0%)</f>
        <v>6.896985979346823E-2</v>
      </c>
      <c r="AD29" s="199">
        <f>IFERROR(SUMIFS('S1'!Z:Z,'S1'!$C:$C,'Fuel Techs'!$D29)/SUMIFS('S1'!Z:Z,'S1'!$C:$C,'Fuel Techs'!$E26),0%)</f>
        <v>0.46853108878631555</v>
      </c>
      <c r="AE29" s="199">
        <f>IFERROR(SUMIFS('S1'!AA:AA,'S1'!$C:$C,'Fuel Techs'!$D29)/SUMIFS('S1'!AA:AA,'S1'!$C:$C,'Fuel Techs'!$E26),0%)</f>
        <v>6.1809088067293766E-2</v>
      </c>
      <c r="AF29" s="199">
        <f>IFERROR(SUMIFS('S1'!AB:AB,'S1'!$C:$C,'Fuel Techs'!$D29)/SUMIFS('S1'!AB:AB,'S1'!$C:$C,'Fuel Techs'!$E26),0%)</f>
        <v>0</v>
      </c>
      <c r="AG29" s="199">
        <f>IFERROR(SUMIFS('S1'!AC:AC,'S1'!$C:$C,'Fuel Techs'!$D29)/SUMIFS('S1'!AC:AC,'S1'!$C:$C,'Fuel Techs'!$E26),0%)</f>
        <v>0</v>
      </c>
      <c r="AH29" s="199">
        <f>IFERROR(SUMIFS('S1'!AD:AD,'S1'!$C:$C,'Fuel Techs'!$D29)/SUMIFS('S1'!AD:AD,'S1'!$C:$C,'Fuel Techs'!$E26),0%)</f>
        <v>9.4735128977134014E-2</v>
      </c>
      <c r="AI29" s="199">
        <f>IFERROR(SUMIFS('S1'!AE:AE,'S1'!$C:$C,'Fuel Techs'!$D29)/SUMIFS('S1'!AE:AE,'S1'!$C:$C,'Fuel Techs'!$E26),0%)</f>
        <v>7.723656883106704E-2</v>
      </c>
      <c r="AJ29" s="199">
        <f>IFERROR(SUMIFS('S1'!AF:AF,'S1'!$C:$C,'Fuel Techs'!$D29)/SUMIFS('S1'!AF:AF,'S1'!$C:$C,'Fuel Techs'!$E26),0%)</f>
        <v>3.3006799294887944E-2</v>
      </c>
    </row>
    <row r="30" spans="2:36" s="49" customFormat="1" x14ac:dyDescent="0.3">
      <c r="D30" s="483" t="s">
        <v>640</v>
      </c>
      <c r="G30" s="49" t="s">
        <v>70</v>
      </c>
      <c r="H30" s="49" t="s">
        <v>78</v>
      </c>
      <c r="I30" s="199">
        <f>IFERROR(SUMIFS('S1'!E:E,'S1'!$C:$C,'Fuel Techs'!$D30)/SUMIFS('S1'!E:E,'S1'!$C:$C,'Fuel Techs'!$E26),0%)</f>
        <v>1.7954332186424771E-2</v>
      </c>
      <c r="J30" s="199">
        <f>IFERROR(SUMIFS('S1'!F:F,'S1'!$C:$C,'Fuel Techs'!$D30)/SUMIFS('S1'!F:F,'S1'!$C:$C,'Fuel Techs'!$E26),0%)</f>
        <v>0</v>
      </c>
      <c r="K30" s="199">
        <f>IFERROR(SUMIFS('S1'!G:G,'S1'!$C:$C,'Fuel Techs'!$D30)/SUMIFS('S1'!G:G,'S1'!$C:$C,'Fuel Techs'!$E26),0%)</f>
        <v>0.37660944206008584</v>
      </c>
      <c r="L30" s="199">
        <f>IFERROR(SUMIFS('S1'!H:H,'S1'!$C:$C,'Fuel Techs'!$D30)/SUMIFS('S1'!H:H,'S1'!$C:$C,'Fuel Techs'!$E26),0%)</f>
        <v>0.10140525195173881</v>
      </c>
      <c r="M30" s="199">
        <f>IFERROR(SUMIFS('S1'!I:I,'S1'!$C:$C,'Fuel Techs'!$D30)/SUMIFS('S1'!I:I,'S1'!$C:$C,'Fuel Techs'!$E26),0%)</f>
        <v>0</v>
      </c>
      <c r="N30" s="199">
        <f>IFERROR(SUMIFS('S1'!J:J,'S1'!$C:$C,'Fuel Techs'!$D30)/SUMIFS('S1'!J:J,'S1'!$C:$C,'Fuel Techs'!$E26),0%)</f>
        <v>5.9530062681654246E-4</v>
      </c>
      <c r="O30" s="199">
        <f>IFERROR(SUMIFS('S1'!K:K,'S1'!$C:$C,'Fuel Techs'!$D30)/SUMIFS('S1'!K:K,'S1'!$C:$C,'Fuel Techs'!$E26),0%)</f>
        <v>5.1980198019801985E-2</v>
      </c>
      <c r="P30" s="199">
        <f>IFERROR(SUMIFS('S1'!L:L,'S1'!$C:$C,'Fuel Techs'!$D30)/SUMIFS('S1'!L:L,'S1'!$C:$C,'Fuel Techs'!$E26),0%)</f>
        <v>0</v>
      </c>
      <c r="Q30" s="199">
        <f>IFERROR(SUMIFS('S1'!M:M,'S1'!$C:$C,'Fuel Techs'!$D30)/SUMIFS('S1'!M:M,'S1'!$C:$C,'Fuel Techs'!$E26),0%)</f>
        <v>0</v>
      </c>
      <c r="R30" s="199">
        <f>IFERROR(SUMIFS('S1'!N:N,'S1'!$C:$C,'Fuel Techs'!$D30)/SUMIFS('S1'!N:N,'S1'!$C:$C,'Fuel Techs'!$E26),0%)</f>
        <v>0.61973236561578593</v>
      </c>
      <c r="S30" s="199">
        <f>IFERROR(SUMIFS('S1'!O:O,'S1'!$C:$C,'Fuel Techs'!$D30)/SUMIFS('S1'!O:O,'S1'!$C:$C,'Fuel Techs'!$E26),0%)</f>
        <v>2.3858583667714997E-3</v>
      </c>
      <c r="T30" s="199">
        <f>IFERROR(SUMIFS('S1'!P:P,'S1'!$C:$C,'Fuel Techs'!$D30)/SUMIFS('S1'!P:P,'S1'!$C:$C,'Fuel Techs'!$E26),0%)</f>
        <v>0</v>
      </c>
      <c r="U30" s="199">
        <f>IFERROR(SUMIFS('S1'!Q:Q,'S1'!$C:$C,'Fuel Techs'!$D30)/SUMIFS('S1'!Q:Q,'S1'!$C:$C,'Fuel Techs'!$E26),0%)</f>
        <v>0</v>
      </c>
      <c r="V30" s="199">
        <f>IFERROR(SUMIFS('S1'!R:R,'S1'!$C:$C,'Fuel Techs'!$D30)/SUMIFS('S1'!R:R,'S1'!$C:$C,'Fuel Techs'!$E26),0%)</f>
        <v>0.30105682605682604</v>
      </c>
      <c r="W30" s="199">
        <f>IFERROR(SUMIFS('S1'!S:S,'S1'!$C:$C,'Fuel Techs'!$D30)/SUMIFS('S1'!S:S,'S1'!$C:$C,'Fuel Techs'!$E26),0%)</f>
        <v>5.5641667660267873E-4</v>
      </c>
      <c r="X30" s="199">
        <f>IFERROR(SUMIFS('S1'!T:T,'S1'!$C:$C,'Fuel Techs'!$D30)/SUMIFS('S1'!T:T,'S1'!$C:$C,'Fuel Techs'!$E26),0%)</f>
        <v>6.9781722771171774E-4</v>
      </c>
      <c r="Y30" s="199">
        <f>IFERROR(SUMIFS('S1'!U:U,'S1'!$C:$C,'Fuel Techs'!$D30)/SUMIFS('S1'!U:U,'S1'!$C:$C,'Fuel Techs'!$E26),0%)</f>
        <v>1.4369108547133991E-2</v>
      </c>
      <c r="Z30" s="199">
        <f>IFERROR(SUMIFS('S1'!V:V,'S1'!$C:$C,'Fuel Techs'!$D30)/SUMIFS('S1'!V:V,'S1'!$C:$C,'Fuel Techs'!$E26),0%)</f>
        <v>9.1668089619038207E-3</v>
      </c>
      <c r="AA30" s="199">
        <f>IFERROR(SUMIFS('S1'!W:W,'S1'!$C:$C,'Fuel Techs'!$D30)/SUMIFS('S1'!W:W,'S1'!$C:$C,'Fuel Techs'!$E26),0%)</f>
        <v>1</v>
      </c>
      <c r="AB30" s="199">
        <f>IFERROR(SUMIFS('S1'!X:X,'S1'!$C:$C,'Fuel Techs'!$D30)/SUMIFS('S1'!X:X,'S1'!$C:$C,'Fuel Techs'!$E26),0%)</f>
        <v>0.36652179379405042</v>
      </c>
      <c r="AC30" s="199">
        <f>IFERROR(SUMIFS('S1'!Y:Y,'S1'!$C:$C,'Fuel Techs'!$D30)/SUMIFS('S1'!Y:Y,'S1'!$C:$C,'Fuel Techs'!$E26),0%)</f>
        <v>7.115271597682815E-3</v>
      </c>
      <c r="AD30" s="199">
        <f>IFERROR(SUMIFS('S1'!Z:Z,'S1'!$C:$C,'Fuel Techs'!$D30)/SUMIFS('S1'!Z:Z,'S1'!$C:$C,'Fuel Techs'!$E26),0%)</f>
        <v>4.8873201194678251E-4</v>
      </c>
      <c r="AE30" s="199">
        <f>IFERROR(SUMIFS('S1'!AA:AA,'S1'!$C:$C,'Fuel Techs'!$D30)/SUMIFS('S1'!AA:AA,'S1'!$C:$C,'Fuel Techs'!$E26),0%)</f>
        <v>5.2317485577879463E-2</v>
      </c>
      <c r="AF30" s="199">
        <f>IFERROR(SUMIFS('S1'!AB:AB,'S1'!$C:$C,'Fuel Techs'!$D30)/SUMIFS('S1'!AB:AB,'S1'!$C:$C,'Fuel Techs'!$E26),0%)</f>
        <v>0</v>
      </c>
      <c r="AG30" s="199">
        <f>IFERROR(SUMIFS('S1'!AC:AC,'S1'!$C:$C,'Fuel Techs'!$D30)/SUMIFS('S1'!AC:AC,'S1'!$C:$C,'Fuel Techs'!$E26),0%)</f>
        <v>1</v>
      </c>
      <c r="AH30" s="199">
        <f>IFERROR(SUMIFS('S1'!AD:AD,'S1'!$C:$C,'Fuel Techs'!$D30)/SUMIFS('S1'!AD:AD,'S1'!$C:$C,'Fuel Techs'!$E26),0%)</f>
        <v>0</v>
      </c>
      <c r="AI30" s="199">
        <f>IFERROR(SUMIFS('S1'!AE:AE,'S1'!$C:$C,'Fuel Techs'!$D30)/SUMIFS('S1'!AE:AE,'S1'!$C:$C,'Fuel Techs'!$E26),0%)</f>
        <v>0.51843724283866921</v>
      </c>
      <c r="AJ30" s="199">
        <f>IFERROR(SUMIFS('S1'!AF:AF,'S1'!$C:$C,'Fuel Techs'!$D30)/SUMIFS('S1'!AF:AF,'S1'!$C:$C,'Fuel Techs'!$E26),0%)</f>
        <v>2.1631830773105017E-3</v>
      </c>
    </row>
    <row r="31" spans="2:36" s="49" customFormat="1" x14ac:dyDescent="0.3">
      <c r="D31" s="483" t="s">
        <v>652</v>
      </c>
      <c r="G31" s="49" t="s">
        <v>70</v>
      </c>
      <c r="H31" s="49" t="s">
        <v>78</v>
      </c>
      <c r="I31" s="199">
        <f>IFERROR(SUMIFS('S1'!E:E,'S1'!$C:$C,'Fuel Techs'!$D31)/SUMIFS('S1'!E:E,'S1'!$C:$C,'Fuel Techs'!$E26),0%)</f>
        <v>0</v>
      </c>
      <c r="J31" s="199">
        <f>IFERROR(SUMIFS('S1'!F:F,'S1'!$C:$C,'Fuel Techs'!$D31)/SUMIFS('S1'!F:F,'S1'!$C:$C,'Fuel Techs'!$E26),0%)</f>
        <v>0</v>
      </c>
      <c r="K31" s="199">
        <f>IFERROR(SUMIFS('S1'!G:G,'S1'!$C:$C,'Fuel Techs'!$D31)/SUMIFS('S1'!G:G,'S1'!$C:$C,'Fuel Techs'!$E26),0%)</f>
        <v>0</v>
      </c>
      <c r="L31" s="199">
        <f>IFERROR(SUMIFS('S1'!H:H,'S1'!$C:$C,'Fuel Techs'!$D31)/SUMIFS('S1'!H:H,'S1'!$C:$C,'Fuel Techs'!$E26),0%)</f>
        <v>0</v>
      </c>
      <c r="M31" s="199">
        <f>IFERROR(SUMIFS('S1'!I:I,'S1'!$C:$C,'Fuel Techs'!$D31)/SUMIFS('S1'!I:I,'S1'!$C:$C,'Fuel Techs'!$E26),0%)</f>
        <v>0</v>
      </c>
      <c r="N31" s="199">
        <f>IFERROR(SUMIFS('S1'!J:J,'S1'!$C:$C,'Fuel Techs'!$D31)/SUMIFS('S1'!J:J,'S1'!$C:$C,'Fuel Techs'!$E26),0%)</f>
        <v>0</v>
      </c>
      <c r="O31" s="199">
        <f>IFERROR(SUMIFS('S1'!K:K,'S1'!$C:$C,'Fuel Techs'!$D31)/SUMIFS('S1'!K:K,'S1'!$C:$C,'Fuel Techs'!$E26),0%)</f>
        <v>0</v>
      </c>
      <c r="P31" s="199">
        <f>IFERROR(SUMIFS('S1'!L:L,'S1'!$C:$C,'Fuel Techs'!$D31)/SUMIFS('S1'!L:L,'S1'!$C:$C,'Fuel Techs'!$E26),0%)</f>
        <v>0</v>
      </c>
      <c r="Q31" s="199">
        <f>IFERROR(SUMIFS('S1'!M:M,'S1'!$C:$C,'Fuel Techs'!$D31)/SUMIFS('S1'!M:M,'S1'!$C:$C,'Fuel Techs'!$E26),0%)</f>
        <v>0</v>
      </c>
      <c r="R31" s="199">
        <f>IFERROR(SUMIFS('S1'!N:N,'S1'!$C:$C,'Fuel Techs'!$D31)/SUMIFS('S1'!N:N,'S1'!$C:$C,'Fuel Techs'!$E26),0%)</f>
        <v>0</v>
      </c>
      <c r="S31" s="199">
        <f>IFERROR(SUMIFS('S1'!O:O,'S1'!$C:$C,'Fuel Techs'!$D31)/SUMIFS('S1'!O:O,'S1'!$C:$C,'Fuel Techs'!$E26),0%)</f>
        <v>0</v>
      </c>
      <c r="T31" s="199">
        <f>IFERROR(SUMIFS('S1'!P:P,'S1'!$C:$C,'Fuel Techs'!$D31)/SUMIFS('S1'!P:P,'S1'!$C:$C,'Fuel Techs'!$E26),0%)</f>
        <v>0</v>
      </c>
      <c r="U31" s="199">
        <f>IFERROR(SUMIFS('S1'!Q:Q,'S1'!$C:$C,'Fuel Techs'!$D31)/SUMIFS('S1'!Q:Q,'S1'!$C:$C,'Fuel Techs'!$E26),0%)</f>
        <v>0</v>
      </c>
      <c r="V31" s="199">
        <f>IFERROR(SUMIFS('S1'!R:R,'S1'!$C:$C,'Fuel Techs'!$D31)/SUMIFS('S1'!R:R,'S1'!$C:$C,'Fuel Techs'!$E26),0%)</f>
        <v>0</v>
      </c>
      <c r="W31" s="199">
        <f>IFERROR(SUMIFS('S1'!S:S,'S1'!$C:$C,'Fuel Techs'!$D31)/SUMIFS('S1'!S:S,'S1'!$C:$C,'Fuel Techs'!$E26),0%)</f>
        <v>0</v>
      </c>
      <c r="X31" s="199">
        <f>IFERROR(SUMIFS('S1'!T:T,'S1'!$C:$C,'Fuel Techs'!$D31)/SUMIFS('S1'!T:T,'S1'!$C:$C,'Fuel Techs'!$E26),0%)</f>
        <v>0</v>
      </c>
      <c r="Y31" s="199">
        <f>IFERROR(SUMIFS('S1'!U:U,'S1'!$C:$C,'Fuel Techs'!$D31)/SUMIFS('S1'!U:U,'S1'!$C:$C,'Fuel Techs'!$E26),0%)</f>
        <v>0</v>
      </c>
      <c r="Z31" s="199">
        <f>IFERROR(SUMIFS('S1'!V:V,'S1'!$C:$C,'Fuel Techs'!$D31)/SUMIFS('S1'!V:V,'S1'!$C:$C,'Fuel Techs'!$E26),0%)</f>
        <v>0</v>
      </c>
      <c r="AA31" s="199">
        <f>IFERROR(SUMIFS('S1'!W:W,'S1'!$C:$C,'Fuel Techs'!$D31)/SUMIFS('S1'!W:W,'S1'!$C:$C,'Fuel Techs'!$E26),0%)</f>
        <v>0</v>
      </c>
      <c r="AB31" s="199">
        <f>IFERROR(SUMIFS('S1'!X:X,'S1'!$C:$C,'Fuel Techs'!$D31)/SUMIFS('S1'!X:X,'S1'!$C:$C,'Fuel Techs'!$E26),0%)</f>
        <v>0</v>
      </c>
      <c r="AC31" s="199">
        <f>IFERROR(SUMIFS('S1'!Y:Y,'S1'!$C:$C,'Fuel Techs'!$D31)/SUMIFS('S1'!Y:Y,'S1'!$C:$C,'Fuel Techs'!$E26),0%)</f>
        <v>0</v>
      </c>
      <c r="AD31" s="199">
        <f>IFERROR(SUMIFS('S1'!Z:Z,'S1'!$C:$C,'Fuel Techs'!$D31)/SUMIFS('S1'!Z:Z,'S1'!$C:$C,'Fuel Techs'!$E26),0%)</f>
        <v>0</v>
      </c>
      <c r="AE31" s="199">
        <f>IFERROR(SUMIFS('S1'!AA:AA,'S1'!$C:$C,'Fuel Techs'!$D31)/SUMIFS('S1'!AA:AA,'S1'!$C:$C,'Fuel Techs'!$E26),0%)</f>
        <v>0</v>
      </c>
      <c r="AF31" s="199">
        <f>IFERROR(SUMIFS('S1'!AB:AB,'S1'!$C:$C,'Fuel Techs'!$D31)/SUMIFS('S1'!AB:AB,'S1'!$C:$C,'Fuel Techs'!$E26),0%)</f>
        <v>0</v>
      </c>
      <c r="AG31" s="199">
        <f>IFERROR(SUMIFS('S1'!AC:AC,'S1'!$C:$C,'Fuel Techs'!$D31)/SUMIFS('S1'!AC:AC,'S1'!$C:$C,'Fuel Techs'!$E26),0%)</f>
        <v>0</v>
      </c>
      <c r="AH31" s="199">
        <f>IFERROR(SUMIFS('S1'!AD:AD,'S1'!$C:$C,'Fuel Techs'!$D31)/SUMIFS('S1'!AD:AD,'S1'!$C:$C,'Fuel Techs'!$E26),0%)</f>
        <v>0</v>
      </c>
      <c r="AI31" s="199">
        <f>IFERROR(SUMIFS('S1'!AE:AE,'S1'!$C:$C,'Fuel Techs'!$D31)/SUMIFS('S1'!AE:AE,'S1'!$C:$C,'Fuel Techs'!$E26),0%)</f>
        <v>0</v>
      </c>
      <c r="AJ31" s="199">
        <f>IFERROR(SUMIFS('S1'!AF:AF,'S1'!$C:$C,'Fuel Techs'!$D31)/SUMIFS('S1'!AF:AF,'S1'!$C:$C,'Fuel Techs'!$E26),0%)</f>
        <v>0</v>
      </c>
    </row>
    <row r="32" spans="2:36" s="49" customFormat="1" x14ac:dyDescent="0.3">
      <c r="D32" s="483" t="s">
        <v>639</v>
      </c>
      <c r="G32" s="49" t="s">
        <v>70</v>
      </c>
      <c r="H32" s="49" t="s">
        <v>78</v>
      </c>
      <c r="I32" s="199">
        <f>IFERROR(SUMIFS('S1'!E:E,'S1'!$C:$C,'Fuel Techs'!$D32)/SUMIFS('S1'!E:E,'S1'!$C:$C,'Fuel Techs'!$E26),0%)</f>
        <v>0</v>
      </c>
      <c r="J32" s="199">
        <f>IFERROR(SUMIFS('S1'!F:F,'S1'!$C:$C,'Fuel Techs'!$D32)/SUMIFS('S1'!F:F,'S1'!$C:$C,'Fuel Techs'!$E26),0%)</f>
        <v>0</v>
      </c>
      <c r="K32" s="199">
        <f>IFERROR(SUMIFS('S1'!G:G,'S1'!$C:$C,'Fuel Techs'!$D32)/SUMIFS('S1'!G:G,'S1'!$C:$C,'Fuel Techs'!$E26),0%)</f>
        <v>7.832618025751073E-2</v>
      </c>
      <c r="L32" s="199">
        <f>IFERROR(SUMIFS('S1'!H:H,'S1'!$C:$C,'Fuel Techs'!$D32)/SUMIFS('S1'!H:H,'S1'!$C:$C,'Fuel Techs'!$E26),0%)</f>
        <v>0</v>
      </c>
      <c r="M32" s="199">
        <f>IFERROR(SUMIFS('S1'!I:I,'S1'!$C:$C,'Fuel Techs'!$D32)/SUMIFS('S1'!I:I,'S1'!$C:$C,'Fuel Techs'!$E26),0%)</f>
        <v>0</v>
      </c>
      <c r="N32" s="199">
        <f>IFERROR(SUMIFS('S1'!J:J,'S1'!$C:$C,'Fuel Techs'!$D32)/SUMIFS('S1'!J:J,'S1'!$C:$C,'Fuel Techs'!$E26),0%)</f>
        <v>0</v>
      </c>
      <c r="O32" s="199">
        <f>IFERROR(SUMIFS('S1'!K:K,'S1'!$C:$C,'Fuel Techs'!$D32)/SUMIFS('S1'!K:K,'S1'!$C:$C,'Fuel Techs'!$E26),0%)</f>
        <v>0</v>
      </c>
      <c r="P32" s="199">
        <f>IFERROR(SUMIFS('S1'!L:L,'S1'!$C:$C,'Fuel Techs'!$D32)/SUMIFS('S1'!L:L,'S1'!$C:$C,'Fuel Techs'!$E26),0%)</f>
        <v>0</v>
      </c>
      <c r="Q32" s="199">
        <f>IFERROR(SUMIFS('S1'!M:M,'S1'!$C:$C,'Fuel Techs'!$D32)/SUMIFS('S1'!M:M,'S1'!$C:$C,'Fuel Techs'!$E26),0%)</f>
        <v>0</v>
      </c>
      <c r="R32" s="199">
        <f>IFERROR(SUMIFS('S1'!N:N,'S1'!$C:$C,'Fuel Techs'!$D32)/SUMIFS('S1'!N:N,'S1'!$C:$C,'Fuel Techs'!$E26),0%)</f>
        <v>0</v>
      </c>
      <c r="S32" s="199">
        <f>IFERROR(SUMIFS('S1'!O:O,'S1'!$C:$C,'Fuel Techs'!$D32)/SUMIFS('S1'!O:O,'S1'!$C:$C,'Fuel Techs'!$E26),0%)</f>
        <v>0</v>
      </c>
      <c r="T32" s="199">
        <f>IFERROR(SUMIFS('S1'!P:P,'S1'!$C:$C,'Fuel Techs'!$D32)/SUMIFS('S1'!P:P,'S1'!$C:$C,'Fuel Techs'!$E26),0%)</f>
        <v>0</v>
      </c>
      <c r="U32" s="199">
        <f>IFERROR(SUMIFS('S1'!Q:Q,'S1'!$C:$C,'Fuel Techs'!$D32)/SUMIFS('S1'!Q:Q,'S1'!$C:$C,'Fuel Techs'!$E26),0%)</f>
        <v>4.2746703046839474E-2</v>
      </c>
      <c r="V32" s="199">
        <f>IFERROR(SUMIFS('S1'!R:R,'S1'!$C:$C,'Fuel Techs'!$D32)/SUMIFS('S1'!R:R,'S1'!$C:$C,'Fuel Techs'!$E26),0%)</f>
        <v>5.7328482328482332E-2</v>
      </c>
      <c r="W32" s="199">
        <f>IFERROR(SUMIFS('S1'!S:S,'S1'!$C:$C,'Fuel Techs'!$D32)/SUMIFS('S1'!S:S,'S1'!$C:$C,'Fuel Techs'!$E26),0%)</f>
        <v>0.33241922022177178</v>
      </c>
      <c r="X32" s="199">
        <f>IFERROR(SUMIFS('S1'!T:T,'S1'!$C:$C,'Fuel Techs'!$D32)/SUMIFS('S1'!T:T,'S1'!$C:$C,'Fuel Techs'!$E26),0%)</f>
        <v>4.1869033662703066E-5</v>
      </c>
      <c r="Y32" s="199">
        <f>IFERROR(SUMIFS('S1'!U:U,'S1'!$C:$C,'Fuel Techs'!$D32)/SUMIFS('S1'!U:U,'S1'!$C:$C,'Fuel Techs'!$E26),0%)</f>
        <v>6.6282543545263879E-5</v>
      </c>
      <c r="Z32" s="199">
        <f>IFERROR(SUMIFS('S1'!V:V,'S1'!$C:$C,'Fuel Techs'!$D32)/SUMIFS('S1'!V:V,'S1'!$C:$C,'Fuel Techs'!$E26),0%)</f>
        <v>0</v>
      </c>
      <c r="AA32" s="199">
        <f>IFERROR(SUMIFS('S1'!W:W,'S1'!$C:$C,'Fuel Techs'!$D32)/SUMIFS('S1'!W:W,'S1'!$C:$C,'Fuel Techs'!$E26),0%)</f>
        <v>0</v>
      </c>
      <c r="AB32" s="199">
        <f>IFERROR(SUMIFS('S1'!X:X,'S1'!$C:$C,'Fuel Techs'!$D32)/SUMIFS('S1'!X:X,'S1'!$C:$C,'Fuel Techs'!$E26),0%)</f>
        <v>0</v>
      </c>
      <c r="AC32" s="199">
        <f>IFERROR(SUMIFS('S1'!Y:Y,'S1'!$C:$C,'Fuel Techs'!$D32)/SUMIFS('S1'!Y:Y,'S1'!$C:$C,'Fuel Techs'!$E26),0%)</f>
        <v>1.7840651498614729E-3</v>
      </c>
      <c r="AD32" s="199">
        <f>IFERROR(SUMIFS('S1'!Z:Z,'S1'!$C:$C,'Fuel Techs'!$D32)/SUMIFS('S1'!Z:Z,'S1'!$C:$C,'Fuel Techs'!$E26),0%)</f>
        <v>0</v>
      </c>
      <c r="AE32" s="199">
        <f>IFERROR(SUMIFS('S1'!AA:AA,'S1'!$C:$C,'Fuel Techs'!$D32)/SUMIFS('S1'!AA:AA,'S1'!$C:$C,'Fuel Techs'!$E26),0%)</f>
        <v>0</v>
      </c>
      <c r="AF32" s="199">
        <f>IFERROR(SUMIFS('S1'!AB:AB,'S1'!$C:$C,'Fuel Techs'!$D32)/SUMIFS('S1'!AB:AB,'S1'!$C:$C,'Fuel Techs'!$E26),0%)</f>
        <v>0</v>
      </c>
      <c r="AG32" s="199">
        <f>IFERROR(SUMIFS('S1'!AC:AC,'S1'!$C:$C,'Fuel Techs'!$D32)/SUMIFS('S1'!AC:AC,'S1'!$C:$C,'Fuel Techs'!$E26),0%)</f>
        <v>0</v>
      </c>
      <c r="AH32" s="199">
        <f>IFERROR(SUMIFS('S1'!AD:AD,'S1'!$C:$C,'Fuel Techs'!$D32)/SUMIFS('S1'!AD:AD,'S1'!$C:$C,'Fuel Techs'!$E26),0%)</f>
        <v>0</v>
      </c>
      <c r="AI32" s="199">
        <f>IFERROR(SUMIFS('S1'!AE:AE,'S1'!$C:$C,'Fuel Techs'!$D32)/SUMIFS('S1'!AE:AE,'S1'!$C:$C,'Fuel Techs'!$E26),0%)</f>
        <v>0</v>
      </c>
      <c r="AJ32" s="199">
        <f>IFERROR(SUMIFS('S1'!AF:AF,'S1'!$C:$C,'Fuel Techs'!$D32)/SUMIFS('S1'!AF:AF,'S1'!$C:$C,'Fuel Techs'!$E26),0%)</f>
        <v>0</v>
      </c>
    </row>
    <row r="33" spans="2:36" s="49" customFormat="1" x14ac:dyDescent="0.3">
      <c r="B33" s="49" t="str">
        <f t="shared" ref="B33:C36" si="14">B9</f>
        <v>FT-SRVELC</v>
      </c>
      <c r="C33" s="49" t="str">
        <f t="shared" si="14"/>
        <v>SRV fuel Tech: Electricity</v>
      </c>
      <c r="D33" s="482" t="s">
        <v>637</v>
      </c>
      <c r="E33" s="49" t="str">
        <f>Legend!B63</f>
        <v>SRVELC</v>
      </c>
      <c r="F33" s="85">
        <v>1</v>
      </c>
      <c r="I33" s="199"/>
      <c r="J33" s="199"/>
      <c r="K33" s="199"/>
      <c r="L33" s="199"/>
      <c r="M33" s="199"/>
      <c r="N33" s="199"/>
      <c r="O33" s="199"/>
      <c r="P33" s="199"/>
      <c r="Q33" s="199"/>
      <c r="R33" s="199"/>
      <c r="S33" s="199"/>
      <c r="T33" s="199"/>
      <c r="U33" s="199"/>
      <c r="V33" s="199"/>
      <c r="W33" s="199"/>
      <c r="X33" s="199"/>
      <c r="Y33" s="199"/>
      <c r="Z33" s="199"/>
      <c r="AA33" s="199"/>
      <c r="AB33" s="199"/>
      <c r="AC33" s="199"/>
      <c r="AD33" s="199"/>
      <c r="AE33" s="199"/>
      <c r="AF33" s="199"/>
      <c r="AG33" s="199"/>
      <c r="AH33" s="199"/>
      <c r="AI33" s="199"/>
      <c r="AJ33" s="199"/>
    </row>
    <row r="34" spans="2:36" s="49" customFormat="1" x14ac:dyDescent="0.3">
      <c r="B34" s="49" t="str">
        <f t="shared" si="14"/>
        <v>FT-SRVGEO</v>
      </c>
      <c r="C34" s="49" t="str">
        <f t="shared" si="14"/>
        <v>SRV fuel Tech: Geothermal</v>
      </c>
      <c r="D34" s="468" t="s">
        <v>493</v>
      </c>
      <c r="E34" s="49" t="str">
        <f>Legend!B64</f>
        <v>SRVGEO</v>
      </c>
      <c r="F34" s="85">
        <v>1</v>
      </c>
      <c r="I34" s="199"/>
      <c r="J34" s="199"/>
      <c r="K34" s="199"/>
      <c r="L34" s="199"/>
      <c r="M34" s="199"/>
      <c r="N34" s="199"/>
      <c r="O34" s="199"/>
      <c r="P34" s="199"/>
      <c r="Q34" s="199"/>
      <c r="R34" s="199"/>
      <c r="S34" s="199"/>
      <c r="T34" s="199"/>
      <c r="U34" s="199"/>
      <c r="V34" s="199"/>
      <c r="W34" s="199"/>
      <c r="X34" s="199"/>
      <c r="Y34" s="199"/>
      <c r="Z34" s="199"/>
      <c r="AA34" s="199"/>
      <c r="AB34" s="199"/>
      <c r="AC34" s="199"/>
      <c r="AD34" s="199"/>
      <c r="AE34" s="199"/>
      <c r="AF34" s="199"/>
      <c r="AG34" s="199"/>
      <c r="AH34" s="199"/>
      <c r="AI34" s="199"/>
      <c r="AJ34" s="199"/>
    </row>
    <row r="35" spans="2:36" s="49" customFormat="1" x14ac:dyDescent="0.3">
      <c r="B35" s="49" t="str">
        <f t="shared" si="14"/>
        <v>FT-SRVHET</v>
      </c>
      <c r="C35" s="49" t="str">
        <f t="shared" si="14"/>
        <v>SRV fuel Tech: Heat</v>
      </c>
      <c r="D35" s="468" t="s">
        <v>644</v>
      </c>
      <c r="E35" s="49" t="str">
        <f>Legend!B65</f>
        <v>SRVHET</v>
      </c>
      <c r="F35" s="85">
        <v>1</v>
      </c>
      <c r="I35" s="199"/>
      <c r="J35" s="199"/>
      <c r="K35" s="199"/>
      <c r="L35" s="199"/>
      <c r="M35" s="199"/>
      <c r="N35" s="199"/>
      <c r="O35" s="199"/>
      <c r="P35" s="199"/>
      <c r="Q35" s="199"/>
      <c r="R35" s="199"/>
      <c r="S35" s="199"/>
      <c r="T35" s="199"/>
      <c r="U35" s="199"/>
      <c r="V35" s="199"/>
      <c r="W35" s="199"/>
      <c r="X35" s="199"/>
      <c r="Y35" s="199"/>
      <c r="Z35" s="199"/>
      <c r="AA35" s="199"/>
      <c r="AB35" s="199"/>
      <c r="AC35" s="199"/>
      <c r="AD35" s="199"/>
      <c r="AE35" s="199"/>
      <c r="AF35" s="199"/>
      <c r="AG35" s="199"/>
      <c r="AH35" s="199"/>
      <c r="AI35" s="199"/>
      <c r="AJ35" s="199"/>
    </row>
    <row r="36" spans="2:36" s="49" customFormat="1" x14ac:dyDescent="0.3">
      <c r="B36" s="49" t="str">
        <f t="shared" si="14"/>
        <v>FT-SRVBLQ</v>
      </c>
      <c r="C36" s="49" t="str">
        <f t="shared" si="14"/>
        <v>SRV fuel Tech: Liquid biofuels</v>
      </c>
      <c r="D36" s="468" t="s">
        <v>750</v>
      </c>
      <c r="E36" s="49" t="str">
        <f>Legend!B66</f>
        <v>SRVBLQ</v>
      </c>
      <c r="F36" s="85">
        <v>1</v>
      </c>
      <c r="G36" s="49" t="s">
        <v>70</v>
      </c>
      <c r="H36" s="49" t="s">
        <v>78</v>
      </c>
      <c r="I36" s="199">
        <f>IFERROR(SUMIFS('S1'!E:E,'S1'!$C:$C,'Fuel Techs'!$D36)/SUMIFS('S1'!E:E,'S1'!$C:$C,'Fuel Techs'!$E36),0%)</f>
        <v>0</v>
      </c>
      <c r="J36" s="199">
        <f>IFERROR(SUMIFS('S1'!F:F,'S1'!$C:$C,'Fuel Techs'!$D36)/SUMIFS('S1'!F:F,'S1'!$C:$C,'Fuel Techs'!$E36),0%)</f>
        <v>0</v>
      </c>
      <c r="K36" s="199">
        <f>IFERROR(SUMIFS('S1'!G:G,'S1'!$C:$C,'Fuel Techs'!$D36)/SUMIFS('S1'!G:G,'S1'!$C:$C,'Fuel Techs'!$E36),0%)</f>
        <v>0</v>
      </c>
      <c r="L36" s="199">
        <f>IFERROR(SUMIFS('S1'!H:H,'S1'!$C:$C,'Fuel Techs'!$D36)/SUMIFS('S1'!H:H,'S1'!$C:$C,'Fuel Techs'!$E36),0%)</f>
        <v>0</v>
      </c>
      <c r="M36" s="199">
        <f>IFERROR(SUMIFS('S1'!I:I,'S1'!$C:$C,'Fuel Techs'!$D36)/SUMIFS('S1'!I:I,'S1'!$C:$C,'Fuel Techs'!$E36),0%)</f>
        <v>0</v>
      </c>
      <c r="N36" s="199">
        <f>IFERROR(SUMIFS('S1'!J:J,'S1'!$C:$C,'Fuel Techs'!$D36)/SUMIFS('S1'!J:J,'S1'!$C:$C,'Fuel Techs'!$E36),0%)</f>
        <v>0</v>
      </c>
      <c r="O36" s="199">
        <f>IFERROR(SUMIFS('S1'!K:K,'S1'!$C:$C,'Fuel Techs'!$D36)/SUMIFS('S1'!K:K,'S1'!$C:$C,'Fuel Techs'!$E36),0%)</f>
        <v>0</v>
      </c>
      <c r="P36" s="199">
        <f>IFERROR(SUMIFS('S1'!L:L,'S1'!$C:$C,'Fuel Techs'!$D36)/SUMIFS('S1'!L:L,'S1'!$C:$C,'Fuel Techs'!$E36),0%)</f>
        <v>0</v>
      </c>
      <c r="Q36" s="199">
        <f>IFERROR(SUMIFS('S1'!M:M,'S1'!$C:$C,'Fuel Techs'!$D36)/SUMIFS('S1'!M:M,'S1'!$C:$C,'Fuel Techs'!$E36),0%)</f>
        <v>0</v>
      </c>
      <c r="R36" s="199">
        <f>IFERROR(SUMIFS('S1'!N:N,'S1'!$C:$C,'Fuel Techs'!$D36)/SUMIFS('S1'!N:N,'S1'!$C:$C,'Fuel Techs'!$E36),0%)</f>
        <v>0</v>
      </c>
      <c r="S36" s="199">
        <f>IFERROR(SUMIFS('S1'!O:O,'S1'!$C:$C,'Fuel Techs'!$D36)/SUMIFS('S1'!O:O,'S1'!$C:$C,'Fuel Techs'!$E36),0%)</f>
        <v>0</v>
      </c>
      <c r="T36" s="199">
        <f>IFERROR(SUMIFS('S1'!P:P,'S1'!$C:$C,'Fuel Techs'!$D36)/SUMIFS('S1'!P:P,'S1'!$C:$C,'Fuel Techs'!$E36),0%)</f>
        <v>0</v>
      </c>
      <c r="U36" s="199">
        <f>IFERROR(SUMIFS('S1'!Q:Q,'S1'!$C:$C,'Fuel Techs'!$D36)/SUMIFS('S1'!Q:Q,'S1'!$C:$C,'Fuel Techs'!$E36),0%)</f>
        <v>0</v>
      </c>
      <c r="V36" s="199">
        <f>IFERROR(SUMIFS('S1'!R:R,'S1'!$C:$C,'Fuel Techs'!$D36)/SUMIFS('S1'!R:R,'S1'!$C:$C,'Fuel Techs'!$E36),0%)</f>
        <v>0</v>
      </c>
      <c r="W36" s="199">
        <f>IFERROR(SUMIFS('S1'!S:S,'S1'!$C:$C,'Fuel Techs'!$D36)/SUMIFS('S1'!S:S,'S1'!$C:$C,'Fuel Techs'!$E36),0%)</f>
        <v>0</v>
      </c>
      <c r="X36" s="199">
        <f>IFERROR(SUMIFS('S1'!T:T,'S1'!$C:$C,'Fuel Techs'!$D36)/SUMIFS('S1'!T:T,'S1'!$C:$C,'Fuel Techs'!$E36),0%)</f>
        <v>0</v>
      </c>
      <c r="Y36" s="199">
        <f>IFERROR(SUMIFS('S1'!U:U,'S1'!$C:$C,'Fuel Techs'!$D36)/SUMIFS('S1'!U:U,'S1'!$C:$C,'Fuel Techs'!$E36),0%)</f>
        <v>0</v>
      </c>
      <c r="Z36" s="199">
        <f>IFERROR(SUMIFS('S1'!V:V,'S1'!$C:$C,'Fuel Techs'!$D36)/SUMIFS('S1'!V:V,'S1'!$C:$C,'Fuel Techs'!$E36),0%)</f>
        <v>0</v>
      </c>
      <c r="AA36" s="199">
        <f>IFERROR(SUMIFS('S1'!W:W,'S1'!$C:$C,'Fuel Techs'!$D36)/SUMIFS('S1'!W:W,'S1'!$C:$C,'Fuel Techs'!$E36),0%)</f>
        <v>0</v>
      </c>
      <c r="AB36" s="199">
        <f>IFERROR(SUMIFS('S1'!X:X,'S1'!$C:$C,'Fuel Techs'!$D36)/SUMIFS('S1'!X:X,'S1'!$C:$C,'Fuel Techs'!$E36),0%)</f>
        <v>0</v>
      </c>
      <c r="AC36" s="199">
        <f>IFERROR(SUMIFS('S1'!Y:Y,'S1'!$C:$C,'Fuel Techs'!$D36)/SUMIFS('S1'!Y:Y,'S1'!$C:$C,'Fuel Techs'!$E36),0%)</f>
        <v>0</v>
      </c>
      <c r="AD36" s="199">
        <f>IFERROR(SUMIFS('S1'!Z:Z,'S1'!$C:$C,'Fuel Techs'!$D36)/SUMIFS('S1'!Z:Z,'S1'!$C:$C,'Fuel Techs'!$E36),0%)</f>
        <v>0</v>
      </c>
      <c r="AE36" s="199">
        <f>IFERROR(SUMIFS('S1'!AA:AA,'S1'!$C:$C,'Fuel Techs'!$D36)/SUMIFS('S1'!AA:AA,'S1'!$C:$C,'Fuel Techs'!$E36),0%)</f>
        <v>0</v>
      </c>
      <c r="AF36" s="199">
        <f>IFERROR(SUMIFS('S1'!AB:AB,'S1'!$C:$C,'Fuel Techs'!$D36)/SUMIFS('S1'!AB:AB,'S1'!$C:$C,'Fuel Techs'!$E36),0%)</f>
        <v>0</v>
      </c>
      <c r="AG36" s="199">
        <f>IFERROR(SUMIFS('S1'!AC:AC,'S1'!$C:$C,'Fuel Techs'!$D36)/SUMIFS('S1'!AC:AC,'S1'!$C:$C,'Fuel Techs'!$E36),0%)</f>
        <v>0</v>
      </c>
      <c r="AH36" s="199">
        <f>IFERROR(SUMIFS('S1'!AD:AD,'S1'!$C:$C,'Fuel Techs'!$D36)/SUMIFS('S1'!AD:AD,'S1'!$C:$C,'Fuel Techs'!$E36),0%)</f>
        <v>0</v>
      </c>
      <c r="AI36" s="199">
        <f>IFERROR(SUMIFS('S1'!AE:AE,'S1'!$C:$C,'Fuel Techs'!$D36)/SUMIFS('S1'!AE:AE,'S1'!$C:$C,'Fuel Techs'!$E36),0%)</f>
        <v>0</v>
      </c>
      <c r="AJ36" s="199">
        <f>IFERROR(SUMIFS('S1'!AF:AF,'S1'!$C:$C,'Fuel Techs'!$D36)/SUMIFS('S1'!AF:AF,'S1'!$C:$C,'Fuel Techs'!$E36),0%)</f>
        <v>0</v>
      </c>
    </row>
    <row r="37" spans="2:36" s="49" customFormat="1" x14ac:dyDescent="0.3">
      <c r="D37" s="468" t="s">
        <v>594</v>
      </c>
      <c r="G37" s="49" t="s">
        <v>70</v>
      </c>
      <c r="H37" s="49" t="s">
        <v>78</v>
      </c>
      <c r="I37" s="199">
        <f>1-SUM(I36,I38)</f>
        <v>1</v>
      </c>
      <c r="J37" s="199">
        <f t="shared" ref="J37:AJ37" si="15">1-SUM(J36,J38)</f>
        <v>1</v>
      </c>
      <c r="K37" s="199">
        <f t="shared" si="15"/>
        <v>1</v>
      </c>
      <c r="L37" s="199">
        <f t="shared" si="15"/>
        <v>1</v>
      </c>
      <c r="M37" s="199">
        <f t="shared" si="15"/>
        <v>1</v>
      </c>
      <c r="N37" s="199">
        <f t="shared" si="15"/>
        <v>1</v>
      </c>
      <c r="O37" s="199">
        <f t="shared" si="15"/>
        <v>1</v>
      </c>
      <c r="P37" s="199">
        <f t="shared" si="15"/>
        <v>1</v>
      </c>
      <c r="Q37" s="199">
        <f t="shared" si="15"/>
        <v>1</v>
      </c>
      <c r="R37" s="199">
        <f t="shared" si="15"/>
        <v>1</v>
      </c>
      <c r="S37" s="199">
        <f t="shared" si="15"/>
        <v>1</v>
      </c>
      <c r="T37" s="199">
        <f t="shared" si="15"/>
        <v>1</v>
      </c>
      <c r="U37" s="199">
        <f t="shared" si="15"/>
        <v>1</v>
      </c>
      <c r="V37" s="199">
        <f t="shared" si="15"/>
        <v>1</v>
      </c>
      <c r="W37" s="199">
        <f t="shared" si="15"/>
        <v>1</v>
      </c>
      <c r="X37" s="199">
        <f t="shared" si="15"/>
        <v>0.97831138652207594</v>
      </c>
      <c r="Y37" s="199">
        <f t="shared" si="15"/>
        <v>0.94871794871794868</v>
      </c>
      <c r="Z37" s="199">
        <f t="shared" si="15"/>
        <v>1</v>
      </c>
      <c r="AA37" s="199">
        <f t="shared" si="15"/>
        <v>1</v>
      </c>
      <c r="AB37" s="199">
        <f t="shared" si="15"/>
        <v>1</v>
      </c>
      <c r="AC37" s="199">
        <f t="shared" si="15"/>
        <v>0.97297297297297303</v>
      </c>
      <c r="AD37" s="199">
        <f t="shared" si="15"/>
        <v>1</v>
      </c>
      <c r="AE37" s="199">
        <f t="shared" si="15"/>
        <v>1</v>
      </c>
      <c r="AF37" s="199">
        <f t="shared" si="15"/>
        <v>1</v>
      </c>
      <c r="AG37" s="199">
        <f t="shared" si="15"/>
        <v>1</v>
      </c>
      <c r="AH37" s="199">
        <f t="shared" si="15"/>
        <v>1</v>
      </c>
      <c r="AI37" s="199">
        <f t="shared" si="15"/>
        <v>1</v>
      </c>
      <c r="AJ37" s="199">
        <f t="shared" si="15"/>
        <v>1</v>
      </c>
    </row>
    <row r="38" spans="2:36" s="49" customFormat="1" x14ac:dyDescent="0.3">
      <c r="D38" s="468" t="s">
        <v>748</v>
      </c>
      <c r="G38" s="49" t="s">
        <v>70</v>
      </c>
      <c r="H38" s="49" t="s">
        <v>78</v>
      </c>
      <c r="I38" s="199">
        <f>IFERROR(SUMIFS('S1'!E:E,'S1'!$C:$C,'Fuel Techs'!$D38)/SUMIFS('S1'!E:E,'S1'!$C:$C,'Fuel Techs'!$E36),0%)</f>
        <v>0</v>
      </c>
      <c r="J38" s="199">
        <f>IFERROR(SUMIFS('S1'!F:F,'S1'!$C:$C,'Fuel Techs'!$D38)/SUMIFS('S1'!F:F,'S1'!$C:$C,'Fuel Techs'!$E36),0%)</f>
        <v>0</v>
      </c>
      <c r="K38" s="199">
        <f>IFERROR(SUMIFS('S1'!G:G,'S1'!$C:$C,'Fuel Techs'!$D38)/SUMIFS('S1'!G:G,'S1'!$C:$C,'Fuel Techs'!$E36),0%)</f>
        <v>0</v>
      </c>
      <c r="L38" s="199">
        <f>IFERROR(SUMIFS('S1'!H:H,'S1'!$C:$C,'Fuel Techs'!$D38)/SUMIFS('S1'!H:H,'S1'!$C:$C,'Fuel Techs'!$E36),0%)</f>
        <v>0</v>
      </c>
      <c r="M38" s="199">
        <f>IFERROR(SUMIFS('S1'!I:I,'S1'!$C:$C,'Fuel Techs'!$D38)/SUMIFS('S1'!I:I,'S1'!$C:$C,'Fuel Techs'!$E36),0%)</f>
        <v>0</v>
      </c>
      <c r="N38" s="199">
        <f>IFERROR(SUMIFS('S1'!J:J,'S1'!$C:$C,'Fuel Techs'!$D38)/SUMIFS('S1'!J:J,'S1'!$C:$C,'Fuel Techs'!$E36),0%)</f>
        <v>0</v>
      </c>
      <c r="O38" s="199">
        <f>IFERROR(SUMIFS('S1'!K:K,'S1'!$C:$C,'Fuel Techs'!$D38)/SUMIFS('S1'!K:K,'S1'!$C:$C,'Fuel Techs'!$E36),0%)</f>
        <v>0</v>
      </c>
      <c r="P38" s="199">
        <f>IFERROR(SUMIFS('S1'!L:L,'S1'!$C:$C,'Fuel Techs'!$D38)/SUMIFS('S1'!L:L,'S1'!$C:$C,'Fuel Techs'!$E36),0%)</f>
        <v>0</v>
      </c>
      <c r="Q38" s="199">
        <f>IFERROR(SUMIFS('S1'!M:M,'S1'!$C:$C,'Fuel Techs'!$D38)/SUMIFS('S1'!M:M,'S1'!$C:$C,'Fuel Techs'!$E36),0%)</f>
        <v>0</v>
      </c>
      <c r="R38" s="199">
        <f>IFERROR(SUMIFS('S1'!N:N,'S1'!$C:$C,'Fuel Techs'!$D38)/SUMIFS('S1'!N:N,'S1'!$C:$C,'Fuel Techs'!$E36),0%)</f>
        <v>0</v>
      </c>
      <c r="S38" s="199">
        <f>IFERROR(SUMIFS('S1'!O:O,'S1'!$C:$C,'Fuel Techs'!$D38)/SUMIFS('S1'!O:O,'S1'!$C:$C,'Fuel Techs'!$E36),0%)</f>
        <v>0</v>
      </c>
      <c r="T38" s="199">
        <f>IFERROR(SUMIFS('S1'!P:P,'S1'!$C:$C,'Fuel Techs'!$D38)/SUMIFS('S1'!P:P,'S1'!$C:$C,'Fuel Techs'!$E36),0%)</f>
        <v>0</v>
      </c>
      <c r="U38" s="199">
        <f>IFERROR(SUMIFS('S1'!Q:Q,'S1'!$C:$C,'Fuel Techs'!$D38)/SUMIFS('S1'!Q:Q,'S1'!$C:$C,'Fuel Techs'!$E36),0%)</f>
        <v>0</v>
      </c>
      <c r="V38" s="199">
        <f>IFERROR(SUMIFS('S1'!R:R,'S1'!$C:$C,'Fuel Techs'!$D38)/SUMIFS('S1'!R:R,'S1'!$C:$C,'Fuel Techs'!$E36),0%)</f>
        <v>0</v>
      </c>
      <c r="W38" s="199">
        <f>IFERROR(SUMIFS('S1'!S:S,'S1'!$C:$C,'Fuel Techs'!$D38)/SUMIFS('S1'!S:S,'S1'!$C:$C,'Fuel Techs'!$E36),0%)</f>
        <v>0</v>
      </c>
      <c r="X38" s="199">
        <f>IFERROR(SUMIFS('S1'!T:T,'S1'!$C:$C,'Fuel Techs'!$D38)/SUMIFS('S1'!T:T,'S1'!$C:$C,'Fuel Techs'!$E36),0%)</f>
        <v>2.1688613477924092E-2</v>
      </c>
      <c r="Y38" s="199">
        <f>IFERROR(SUMIFS('S1'!U:U,'S1'!$C:$C,'Fuel Techs'!$D38)/SUMIFS('S1'!U:U,'S1'!$C:$C,'Fuel Techs'!$E36),0%)</f>
        <v>5.128205128205128E-2</v>
      </c>
      <c r="Z38" s="199">
        <f>IFERROR(SUMIFS('S1'!V:V,'S1'!$C:$C,'Fuel Techs'!$D38)/SUMIFS('S1'!V:V,'S1'!$C:$C,'Fuel Techs'!$E36),0%)</f>
        <v>0</v>
      </c>
      <c r="AA38" s="199">
        <f>IFERROR(SUMIFS('S1'!W:W,'S1'!$C:$C,'Fuel Techs'!$D38)/SUMIFS('S1'!W:W,'S1'!$C:$C,'Fuel Techs'!$E36),0%)</f>
        <v>0</v>
      </c>
      <c r="AB38" s="199">
        <f>IFERROR(SUMIFS('S1'!X:X,'S1'!$C:$C,'Fuel Techs'!$D38)/SUMIFS('S1'!X:X,'S1'!$C:$C,'Fuel Techs'!$E36),0%)</f>
        <v>0</v>
      </c>
      <c r="AC38" s="199">
        <f>IFERROR(SUMIFS('S1'!Y:Y,'S1'!$C:$C,'Fuel Techs'!$D38)/SUMIFS('S1'!Y:Y,'S1'!$C:$C,'Fuel Techs'!$E36),0%)</f>
        <v>2.7027027027027029E-2</v>
      </c>
      <c r="AD38" s="199">
        <f>IFERROR(SUMIFS('S1'!Z:Z,'S1'!$C:$C,'Fuel Techs'!$D38)/SUMIFS('S1'!Z:Z,'S1'!$C:$C,'Fuel Techs'!$E36),0%)</f>
        <v>0</v>
      </c>
      <c r="AE38" s="199">
        <f>IFERROR(SUMIFS('S1'!AA:AA,'S1'!$C:$C,'Fuel Techs'!$D38)/SUMIFS('S1'!AA:AA,'S1'!$C:$C,'Fuel Techs'!$E36),0%)</f>
        <v>0</v>
      </c>
      <c r="AF38" s="199">
        <f>IFERROR(SUMIFS('S1'!AB:AB,'S1'!$C:$C,'Fuel Techs'!$D38)/SUMIFS('S1'!AB:AB,'S1'!$C:$C,'Fuel Techs'!$E36),0%)</f>
        <v>0</v>
      </c>
      <c r="AG38" s="199">
        <f>IFERROR(SUMIFS('S1'!AC:AC,'S1'!$C:$C,'Fuel Techs'!$D38)/SUMIFS('S1'!AC:AC,'S1'!$C:$C,'Fuel Techs'!$E36),0%)</f>
        <v>0</v>
      </c>
      <c r="AH38" s="199">
        <f>IFERROR(SUMIFS('S1'!AD:AD,'S1'!$C:$C,'Fuel Techs'!$D38)/SUMIFS('S1'!AD:AD,'S1'!$C:$C,'Fuel Techs'!$E36),0%)</f>
        <v>0</v>
      </c>
      <c r="AI38" s="199">
        <f>IFERROR(SUMIFS('S1'!AE:AE,'S1'!$C:$C,'Fuel Techs'!$D38)/SUMIFS('S1'!AE:AE,'S1'!$C:$C,'Fuel Techs'!$E36),0%)</f>
        <v>0</v>
      </c>
      <c r="AJ38" s="199">
        <f>IFERROR(SUMIFS('S1'!AF:AF,'S1'!$C:$C,'Fuel Techs'!$D38)/SUMIFS('S1'!AF:AF,'S1'!$C:$C,'Fuel Techs'!$E36),0%)</f>
        <v>0</v>
      </c>
    </row>
    <row r="39" spans="2:36" s="49" customFormat="1" x14ac:dyDescent="0.3">
      <c r="B39" s="49" t="str">
        <f t="shared" ref="B39:C42" si="16">B13</f>
        <v>FT-SRVLPG</v>
      </c>
      <c r="C39" s="49" t="str">
        <f t="shared" si="16"/>
        <v>SRV fuel Tech: LPG</v>
      </c>
      <c r="D39" s="468" t="s">
        <v>641</v>
      </c>
      <c r="E39" s="49" t="str">
        <f>Legend!B67</f>
        <v>SRVLPG</v>
      </c>
      <c r="F39" s="85">
        <v>1</v>
      </c>
      <c r="I39" s="199"/>
      <c r="J39" s="199"/>
      <c r="K39" s="199"/>
      <c r="L39" s="199"/>
      <c r="M39" s="199"/>
      <c r="N39" s="199"/>
      <c r="O39" s="199"/>
      <c r="P39" s="199"/>
      <c r="Q39" s="199"/>
      <c r="R39" s="199"/>
      <c r="S39" s="199"/>
      <c r="T39" s="199"/>
      <c r="U39" s="199"/>
      <c r="V39" s="199"/>
      <c r="W39" s="199"/>
      <c r="X39" s="199"/>
      <c r="Y39" s="199"/>
      <c r="Z39" s="199"/>
      <c r="AA39" s="199"/>
      <c r="AB39" s="199"/>
      <c r="AC39" s="199"/>
      <c r="AD39" s="199"/>
      <c r="AE39" s="199"/>
      <c r="AF39" s="199"/>
      <c r="AG39" s="199"/>
      <c r="AH39" s="199"/>
      <c r="AI39" s="199"/>
      <c r="AJ39" s="199"/>
    </row>
    <row r="40" spans="2:36" s="49" customFormat="1" x14ac:dyDescent="0.3">
      <c r="B40" s="49" t="str">
        <f t="shared" si="16"/>
        <v>FT-SRVGAS</v>
      </c>
      <c r="C40" s="49" t="str">
        <f t="shared" si="16"/>
        <v>SRV fuel Tech: Natural gas</v>
      </c>
      <c r="D40" s="468" t="s">
        <v>494</v>
      </c>
      <c r="E40" s="49" t="str">
        <f>Legend!B68</f>
        <v>SRVGAS</v>
      </c>
      <c r="F40" s="85">
        <v>1</v>
      </c>
      <c r="I40" s="199"/>
      <c r="J40" s="199"/>
      <c r="K40" s="199"/>
      <c r="L40" s="199"/>
      <c r="M40" s="199"/>
      <c r="N40" s="199"/>
      <c r="O40" s="199"/>
      <c r="P40" s="199"/>
      <c r="Q40" s="199"/>
      <c r="R40" s="199"/>
      <c r="S40" s="199"/>
      <c r="T40" s="199"/>
      <c r="U40" s="199"/>
      <c r="V40" s="199"/>
      <c r="W40" s="199"/>
      <c r="X40" s="199"/>
      <c r="Y40" s="199"/>
      <c r="Z40" s="199"/>
      <c r="AA40" s="199"/>
      <c r="AB40" s="199"/>
      <c r="AC40" s="199"/>
      <c r="AD40" s="199"/>
      <c r="AE40" s="199"/>
      <c r="AF40" s="199"/>
      <c r="AG40" s="199"/>
      <c r="AH40" s="199"/>
      <c r="AI40" s="199"/>
      <c r="AJ40" s="199"/>
    </row>
    <row r="41" spans="2:36" s="49" customFormat="1" x14ac:dyDescent="0.3">
      <c r="B41" s="49" t="str">
        <f t="shared" si="16"/>
        <v>FT-SRVSOL</v>
      </c>
      <c r="C41" s="49" t="str">
        <f t="shared" si="16"/>
        <v>SRV fuel Tech: Solar</v>
      </c>
      <c r="D41" s="468" t="s">
        <v>17</v>
      </c>
      <c r="E41" s="49" t="str">
        <f>Legend!B69</f>
        <v>SRVSOL</v>
      </c>
      <c r="F41" s="85">
        <v>1</v>
      </c>
      <c r="I41" s="199"/>
      <c r="J41" s="199"/>
      <c r="K41" s="199"/>
      <c r="L41" s="199"/>
      <c r="M41" s="199"/>
      <c r="N41" s="199"/>
      <c r="O41" s="199"/>
      <c r="P41" s="199"/>
      <c r="Q41" s="199"/>
      <c r="R41" s="199"/>
      <c r="S41" s="199"/>
      <c r="T41" s="199"/>
      <c r="U41" s="199"/>
      <c r="V41" s="199"/>
      <c r="W41" s="199"/>
      <c r="X41" s="199"/>
      <c r="Y41" s="199"/>
      <c r="Z41" s="199"/>
      <c r="AA41" s="199"/>
      <c r="AB41" s="199"/>
      <c r="AC41" s="199"/>
      <c r="AD41" s="199"/>
      <c r="AE41" s="199"/>
      <c r="AF41" s="199"/>
      <c r="AG41" s="199"/>
      <c r="AH41" s="199"/>
      <c r="AI41" s="199"/>
      <c r="AJ41" s="199"/>
    </row>
    <row r="42" spans="2:36" s="49" customFormat="1" x14ac:dyDescent="0.3">
      <c r="B42" s="49" t="str">
        <f t="shared" si="16"/>
        <v>FT-SRVBIO</v>
      </c>
      <c r="C42" s="49" t="str">
        <f t="shared" si="16"/>
        <v>SRV fuel Tech: Biomass</v>
      </c>
      <c r="D42" s="468" t="s">
        <v>645</v>
      </c>
      <c r="E42" s="49" t="str">
        <f>Legend!B70</f>
        <v>SRVBIO</v>
      </c>
      <c r="F42" s="85">
        <v>1</v>
      </c>
      <c r="G42" s="49" t="s">
        <v>70</v>
      </c>
      <c r="H42" s="49" t="s">
        <v>78</v>
      </c>
      <c r="I42" s="199">
        <f>1-I43</f>
        <v>0.74875694480205524</v>
      </c>
      <c r="J42" s="199">
        <f t="shared" ref="J42:AJ42" si="17">1-J43</f>
        <v>1</v>
      </c>
      <c r="K42" s="199">
        <f t="shared" si="17"/>
        <v>0.94836470525737959</v>
      </c>
      <c r="L42" s="199">
        <f t="shared" si="17"/>
        <v>0.46130500758725346</v>
      </c>
      <c r="M42" s="199">
        <f t="shared" si="17"/>
        <v>1</v>
      </c>
      <c r="N42" s="199">
        <f t="shared" si="17"/>
        <v>0.93890386343216536</v>
      </c>
      <c r="O42" s="199">
        <f t="shared" si="17"/>
        <v>0.92785401750198881</v>
      </c>
      <c r="P42" s="199">
        <f t="shared" si="17"/>
        <v>0.86006908185396425</v>
      </c>
      <c r="Q42" s="199">
        <f t="shared" si="17"/>
        <v>1</v>
      </c>
      <c r="R42" s="199">
        <f t="shared" si="17"/>
        <v>1</v>
      </c>
      <c r="S42" s="199">
        <f t="shared" si="17"/>
        <v>1</v>
      </c>
      <c r="T42" s="199">
        <f t="shared" si="17"/>
        <v>0</v>
      </c>
      <c r="U42" s="199">
        <f t="shared" si="17"/>
        <v>0.98957694665849172</v>
      </c>
      <c r="V42" s="199">
        <f t="shared" si="17"/>
        <v>0.67313476850486587</v>
      </c>
      <c r="W42" s="199">
        <f t="shared" si="17"/>
        <v>1</v>
      </c>
      <c r="X42" s="199">
        <f t="shared" si="17"/>
        <v>0.99098208770846197</v>
      </c>
      <c r="Y42" s="199">
        <f t="shared" si="17"/>
        <v>1</v>
      </c>
      <c r="Z42" s="199">
        <f t="shared" si="17"/>
        <v>0.99600682533818852</v>
      </c>
      <c r="AA42" s="199">
        <f t="shared" si="17"/>
        <v>1</v>
      </c>
      <c r="AB42" s="199">
        <f t="shared" si="17"/>
        <v>0.97836664183717137</v>
      </c>
      <c r="AC42" s="199">
        <f t="shared" si="17"/>
        <v>1</v>
      </c>
      <c r="AD42" s="199">
        <f t="shared" si="17"/>
        <v>1</v>
      </c>
      <c r="AE42" s="199">
        <f t="shared" si="17"/>
        <v>1</v>
      </c>
      <c r="AF42" s="199">
        <f t="shared" si="17"/>
        <v>1</v>
      </c>
      <c r="AG42" s="199">
        <f t="shared" si="17"/>
        <v>1</v>
      </c>
      <c r="AH42" s="199">
        <f t="shared" si="17"/>
        <v>1</v>
      </c>
      <c r="AI42" s="199">
        <f t="shared" si="17"/>
        <v>1</v>
      </c>
      <c r="AJ42" s="199">
        <f t="shared" si="17"/>
        <v>1</v>
      </c>
    </row>
    <row r="43" spans="2:36" s="49" customFormat="1" x14ac:dyDescent="0.3">
      <c r="D43" s="468" t="s">
        <v>643</v>
      </c>
      <c r="G43" s="49" t="s">
        <v>70</v>
      </c>
      <c r="H43" s="49" t="s">
        <v>78</v>
      </c>
      <c r="I43" s="199">
        <f>IFERROR(SUMIFS('S1'!E$7:E$28,'S1'!$C$7:$C$28,'Fuel Techs'!$D43)/SUMIFS('S1'!E$37:E$48,'S1'!$C$37:$C$48,'Fuel Techs'!$E$42),0)</f>
        <v>0.25124305519794476</v>
      </c>
      <c r="J43" s="199">
        <f>IFERROR(SUMIFS('S1'!F$7:F$28,'S1'!$C$7:$C$28,'Fuel Techs'!$D43)/SUMIFS('S1'!F$37:F$48,'S1'!$C$37:$C$48,'Fuel Techs'!$E$42),0)</f>
        <v>0</v>
      </c>
      <c r="K43" s="199">
        <f>IFERROR(SUMIFS('S1'!G$7:G$28,'S1'!$C$7:$C$28,'Fuel Techs'!$D43)/SUMIFS('S1'!G$37:G$48,'S1'!$C$37:$C$48,'Fuel Techs'!$E$42),0)</f>
        <v>5.1635294742620366E-2</v>
      </c>
      <c r="L43" s="199">
        <f>IFERROR(SUMIFS('S1'!H$7:H$28,'S1'!$C$7:$C$28,'Fuel Techs'!$D43)/SUMIFS('S1'!H$37:H$48,'S1'!$C$37:$C$48,'Fuel Techs'!$E$42),0)</f>
        <v>0.53869499241274654</v>
      </c>
      <c r="M43" s="199">
        <f>IFERROR(SUMIFS('S1'!I$7:I$28,'S1'!$C$7:$C$28,'Fuel Techs'!$D43)/SUMIFS('S1'!I$37:I$48,'S1'!$C$37:$C$48,'Fuel Techs'!$E$42),0)</f>
        <v>0</v>
      </c>
      <c r="N43" s="199">
        <f>IFERROR(SUMIFS('S1'!J$7:J$28,'S1'!$C$7:$C$28,'Fuel Techs'!$D43)/SUMIFS('S1'!J$37:J$48,'S1'!$C$37:$C$48,'Fuel Techs'!$E$42),0)</f>
        <v>6.1096136567834684E-2</v>
      </c>
      <c r="O43" s="199">
        <f>IFERROR(SUMIFS('S1'!K$7:K$28,'S1'!$C$7:$C$28,'Fuel Techs'!$D43)/SUMIFS('S1'!K$37:K$48,'S1'!$C$37:$C$48,'Fuel Techs'!$E$42),0)</f>
        <v>7.2145982498011144E-2</v>
      </c>
      <c r="P43" s="199">
        <f>IFERROR(SUMIFS('S1'!L$7:L$28,'S1'!$C$7:$C$28,'Fuel Techs'!$D43)/SUMIFS('S1'!L$37:L$48,'S1'!$C$37:$C$48,'Fuel Techs'!$E$42),0)</f>
        <v>0.13993091814603581</v>
      </c>
      <c r="Q43" s="199">
        <f>IFERROR(SUMIFS('S1'!M$7:M$28,'S1'!$C$7:$C$28,'Fuel Techs'!$D43)/SUMIFS('S1'!M$37:M$48,'S1'!$C$37:$C$48,'Fuel Techs'!$E$42),0)</f>
        <v>0</v>
      </c>
      <c r="R43" s="199">
        <f>IFERROR(SUMIFS('S1'!N$7:N$28,'S1'!$C$7:$C$28,'Fuel Techs'!$D43)/SUMIFS('S1'!N$37:N$48,'S1'!$C$37:$C$48,'Fuel Techs'!$E$42),0)</f>
        <v>0</v>
      </c>
      <c r="S43" s="199">
        <f>IFERROR(SUMIFS('S1'!O$7:O$28,'S1'!$C$7:$C$28,'Fuel Techs'!$D43)/SUMIFS('S1'!O$37:O$48,'S1'!$C$37:$C$48,'Fuel Techs'!$E$42),0)</f>
        <v>0</v>
      </c>
      <c r="T43" s="199">
        <f>IFERROR(SUMIFS('S1'!P$7:P$28,'S1'!$C$7:$C$28,'Fuel Techs'!$D43)/SUMIFS('S1'!P$37:P$48,'S1'!$C$37:$C$48,'Fuel Techs'!$E$42),0)</f>
        <v>1</v>
      </c>
      <c r="U43" s="199">
        <f>IFERROR(SUMIFS('S1'!Q$7:Q$28,'S1'!$C$7:$C$28,'Fuel Techs'!$D43)/SUMIFS('S1'!Q$37:Q$48,'S1'!$C$37:$C$48,'Fuel Techs'!$E$42),0)</f>
        <v>1.0423053341508276E-2</v>
      </c>
      <c r="V43" s="199">
        <f>IFERROR(SUMIFS('S1'!R$7:R$28,'S1'!$C$7:$C$28,'Fuel Techs'!$D43)/SUMIFS('S1'!R$37:R$48,'S1'!$C$37:$C$48,'Fuel Techs'!$E$42),0)</f>
        <v>0.32686523149513419</v>
      </c>
      <c r="W43" s="199">
        <f>IFERROR(SUMIFS('S1'!S$7:S$28,'S1'!$C$7:$C$28,'Fuel Techs'!$D43)/SUMIFS('S1'!S$37:S$48,'S1'!$C$37:$C$48,'Fuel Techs'!$E$42),0)</f>
        <v>0</v>
      </c>
      <c r="X43" s="199">
        <f>IFERROR(SUMIFS('S1'!T$7:T$28,'S1'!$C$7:$C$28,'Fuel Techs'!$D43)/SUMIFS('S1'!T$37:T$48,'S1'!$C$37:$C$48,'Fuel Techs'!$E$42),0)</f>
        <v>9.0179122915379859E-3</v>
      </c>
      <c r="Y43" s="199">
        <f>IFERROR(SUMIFS('S1'!U$7:U$28,'S1'!$C$7:$C$28,'Fuel Techs'!$D43)/SUMIFS('S1'!U$37:U$48,'S1'!$C$37:$C$48,'Fuel Techs'!$E$42),0)</f>
        <v>0</v>
      </c>
      <c r="Z43" s="199">
        <f>IFERROR(SUMIFS('S1'!V$7:V$28,'S1'!$C$7:$C$28,'Fuel Techs'!$D43)/SUMIFS('S1'!V$37:V$48,'S1'!$C$37:$C$48,'Fuel Techs'!$E$42),0)</f>
        <v>3.9931746618115296E-3</v>
      </c>
      <c r="AA43" s="199">
        <f>IFERROR(SUMIFS('S1'!W$7:W$28,'S1'!$C$7:$C$28,'Fuel Techs'!$D43)/SUMIFS('S1'!W$37:W$48,'S1'!$C$37:$C$48,'Fuel Techs'!$E$42),0)</f>
        <v>0</v>
      </c>
      <c r="AB43" s="199">
        <f>IFERROR(SUMIFS('S1'!X$7:X$28,'S1'!$C$7:$C$28,'Fuel Techs'!$D43)/SUMIFS('S1'!X$37:X$48,'S1'!$C$37:$C$48,'Fuel Techs'!$E$42),0)</f>
        <v>2.1633358162828659E-2</v>
      </c>
      <c r="AC43" s="199">
        <f>IFERROR(SUMIFS('S1'!Y$7:Y$28,'S1'!$C$7:$C$28,'Fuel Techs'!$D43)/SUMIFS('S1'!Y$37:Y$48,'S1'!$C$37:$C$48,'Fuel Techs'!$E$42),0)</f>
        <v>0</v>
      </c>
      <c r="AD43" s="199">
        <f>IFERROR(SUMIFS('S1'!Z$7:Z$28,'S1'!$C$7:$C$28,'Fuel Techs'!$D43)/SUMIFS('S1'!Z$37:Z$48,'S1'!$C$37:$C$48,'Fuel Techs'!$E$42),0)</f>
        <v>0</v>
      </c>
      <c r="AE43" s="199">
        <f>IFERROR(SUMIFS('S1'!AA$7:AA$28,'S1'!$C$7:$C$28,'Fuel Techs'!$D43)/SUMIFS('S1'!AA$37:AA$48,'S1'!$C$37:$C$48,'Fuel Techs'!$E$42),0)</f>
        <v>0</v>
      </c>
      <c r="AF43" s="199">
        <f>IFERROR(SUMIFS('S1'!AB$7:AB$28,'S1'!$C$7:$C$28,'Fuel Techs'!$D43)/SUMIFS('S1'!AB$37:AB$48,'S1'!$C$37:$C$48,'Fuel Techs'!$E$42),0)</f>
        <v>0</v>
      </c>
      <c r="AG43" s="199">
        <f>IFERROR(SUMIFS('S1'!AC$7:AC$28,'S1'!$C$7:$C$28,'Fuel Techs'!$D43)/SUMIFS('S1'!AC$37:AC$48,'S1'!$C$37:$C$48,'Fuel Techs'!$E$42),0)</f>
        <v>0</v>
      </c>
      <c r="AH43" s="199">
        <f>IFERROR(SUMIFS('S1'!AD$7:AD$28,'S1'!$C$7:$C$28,'Fuel Techs'!$D43)/SUMIFS('S1'!AD$37:AD$48,'S1'!$C$37:$C$48,'Fuel Techs'!$E$42),0)</f>
        <v>0</v>
      </c>
      <c r="AI43" s="199">
        <f>IFERROR(SUMIFS('S1'!AE$7:AE$28,'S1'!$C$7:$C$28,'Fuel Techs'!$D43)/SUMIFS('S1'!AE$37:AE$48,'S1'!$C$37:$C$48,'Fuel Techs'!$E$42),0)</f>
        <v>0</v>
      </c>
      <c r="AJ43" s="199">
        <f>IFERROR(SUMIFS('S1'!AF$7:AF$28,'S1'!$C$7:$C$28,'Fuel Techs'!$D43)/SUMIFS('S1'!AF$37:AF$48,'S1'!$C$37:$C$48,'Fuel Techs'!$E$42),0)</f>
        <v>0</v>
      </c>
    </row>
    <row r="44" spans="2:36" s="49" customFormat="1" x14ac:dyDescent="0.3">
      <c r="B44" s="51" t="str">
        <f>B17</f>
        <v>FT-SRVWAS</v>
      </c>
      <c r="C44" s="51" t="str">
        <f>C17</f>
        <v>SRV fuel Tech: Waste</v>
      </c>
      <c r="D44" s="484" t="s">
        <v>653</v>
      </c>
      <c r="E44" s="51" t="str">
        <f>Legend!B71</f>
        <v>SRVWAS</v>
      </c>
      <c r="F44" s="97">
        <v>1</v>
      </c>
      <c r="G44" s="51"/>
      <c r="H44" s="51"/>
      <c r="I44" s="97"/>
      <c r="J44" s="97"/>
      <c r="K44" s="97"/>
      <c r="L44" s="97"/>
      <c r="M44" s="97"/>
      <c r="N44" s="97"/>
      <c r="O44" s="97"/>
      <c r="P44" s="97"/>
      <c r="Q44" s="97"/>
      <c r="R44" s="97"/>
      <c r="S44" s="97"/>
      <c r="T44" s="97"/>
      <c r="U44" s="97"/>
      <c r="V44" s="97"/>
      <c r="W44" s="97"/>
      <c r="X44" s="97"/>
      <c r="Y44" s="97"/>
      <c r="Z44" s="97"/>
      <c r="AA44" s="97"/>
      <c r="AB44" s="97"/>
      <c r="AC44" s="97"/>
      <c r="AD44" s="97"/>
      <c r="AE44" s="97"/>
      <c r="AF44" s="97"/>
      <c r="AG44" s="97"/>
      <c r="AH44" s="97"/>
      <c r="AI44" s="97"/>
      <c r="AJ44" s="97"/>
    </row>
    <row r="45" spans="2:36" s="49" customFormat="1" x14ac:dyDescent="0.3"/>
    <row r="46" spans="2:36" s="49" customFormat="1" x14ac:dyDescent="0.3"/>
    <row r="47" spans="2:36" s="49" customFormat="1" x14ac:dyDescent="0.3"/>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08C23-3FBA-4E5C-AF78-1C357D430F29}">
  <sheetPr>
    <tabColor theme="9" tint="0.59999389629810485"/>
  </sheetPr>
  <dimension ref="A1:AP139"/>
  <sheetViews>
    <sheetView showGridLines="0" topLeftCell="R1" zoomScale="85" zoomScaleNormal="85" workbookViewId="0">
      <pane ySplit="1" topLeftCell="A116" activePane="bottomLeft" state="frozen"/>
      <selection activeCell="F1" sqref="F1"/>
      <selection pane="bottomLeft" activeCell="AO137" sqref="AO137"/>
    </sheetView>
  </sheetViews>
  <sheetFormatPr defaultColWidth="9" defaultRowHeight="14.4" x14ac:dyDescent="0.3"/>
  <cols>
    <col min="1" max="1" width="14.8984375" style="496" customWidth="1"/>
    <col min="2" max="2" width="9" style="496" customWidth="1"/>
    <col min="3" max="3" width="18.09765625" style="496" customWidth="1"/>
    <col min="4" max="4" width="14.19921875" style="496" bestFit="1" customWidth="1"/>
    <col min="5" max="7" width="9.69921875" style="496" customWidth="1"/>
    <col min="8" max="8" width="3" style="103" customWidth="1"/>
    <col min="9" max="9" width="15.59765625" style="103" customWidth="1"/>
    <col min="10" max="10" width="47.3984375" style="103" bestFit="1" customWidth="1"/>
    <col min="11" max="11" width="14.19921875" style="103" bestFit="1" customWidth="1"/>
    <col min="12" max="12" width="10.5" style="103" bestFit="1" customWidth="1"/>
    <col min="13" max="13" width="10.59765625" style="103" bestFit="1" customWidth="1"/>
    <col min="14" max="14" width="10.09765625" style="103" bestFit="1" customWidth="1"/>
    <col min="15" max="42" width="8.09765625" style="103" customWidth="1"/>
    <col min="43" max="16384" width="9" style="103"/>
  </cols>
  <sheetData>
    <row r="1" spans="1:14" ht="23.4" x14ac:dyDescent="0.3">
      <c r="I1" s="59" t="str">
        <f>"Characterization of base-year technologies - "&amp;Legend!$B$4</f>
        <v>Characterization of base-year technologies - Services</v>
      </c>
    </row>
    <row r="2" spans="1:14" x14ac:dyDescent="0.3">
      <c r="A2" s="504" t="s">
        <v>657</v>
      </c>
    </row>
    <row r="3" spans="1:14" ht="15.6" x14ac:dyDescent="0.3">
      <c r="I3" s="104" t="s">
        <v>37</v>
      </c>
      <c r="J3" s="9"/>
      <c r="K3" s="9"/>
      <c r="L3" s="9"/>
      <c r="M3" s="9"/>
      <c r="N3" s="9"/>
    </row>
    <row r="4" spans="1:14" ht="15" thickBot="1" x14ac:dyDescent="0.35">
      <c r="A4" s="497" t="s">
        <v>98</v>
      </c>
      <c r="B4" s="497"/>
      <c r="C4" s="498" t="s">
        <v>99</v>
      </c>
      <c r="D4" s="498"/>
      <c r="E4" s="498" t="s">
        <v>186</v>
      </c>
      <c r="F4" s="498" t="s">
        <v>677</v>
      </c>
      <c r="G4" s="498"/>
      <c r="I4" s="99" t="s">
        <v>38</v>
      </c>
      <c r="J4" s="105" t="s">
        <v>179</v>
      </c>
      <c r="K4" s="99" t="s">
        <v>175</v>
      </c>
      <c r="L4" s="99" t="s">
        <v>176</v>
      </c>
      <c r="M4" s="99" t="s">
        <v>448</v>
      </c>
      <c r="N4" s="99" t="s">
        <v>450</v>
      </c>
    </row>
    <row r="5" spans="1:14" ht="42" thickBot="1" x14ac:dyDescent="0.35">
      <c r="A5" s="501" t="s">
        <v>30</v>
      </c>
      <c r="B5" s="501" t="s">
        <v>35</v>
      </c>
      <c r="C5" s="501" t="s">
        <v>30</v>
      </c>
      <c r="D5" s="501" t="s">
        <v>35</v>
      </c>
      <c r="E5" s="579"/>
      <c r="F5" s="501" t="s">
        <v>30</v>
      </c>
      <c r="G5" s="501" t="s">
        <v>35</v>
      </c>
      <c r="I5" s="1" t="s">
        <v>183</v>
      </c>
      <c r="J5" s="1" t="s">
        <v>30</v>
      </c>
      <c r="K5" s="1" t="s">
        <v>184</v>
      </c>
      <c r="L5" s="1" t="s">
        <v>185</v>
      </c>
      <c r="M5" s="1" t="s">
        <v>87</v>
      </c>
      <c r="N5" s="1" t="s">
        <v>446</v>
      </c>
    </row>
    <row r="6" spans="1:14" x14ac:dyDescent="0.3">
      <c r="A6" s="499" t="str">
        <f>'Key Inputs_BY Techs'!$B$14</f>
        <v>Thermal uses</v>
      </c>
      <c r="B6" s="499" t="str">
        <f>'Key Inputs_BY Techs'!$C$14</f>
        <v>S-TH</v>
      </c>
      <c r="C6" s="499" t="str">
        <f>'Key Inputs_BY Techs'!D14</f>
        <v>Biomass, Waste</v>
      </c>
      <c r="D6" s="499" t="str">
        <f>'Key Inputs_BY Techs'!E14</f>
        <v>SRVBIO, SRVWAS</v>
      </c>
      <c r="E6" s="499" t="str">
        <f>LEFT(D6,6)</f>
        <v>SRVBIO</v>
      </c>
      <c r="F6" s="499" t="str">
        <f>Legend!$A$57</f>
        <v>Stove</v>
      </c>
      <c r="G6" s="499" t="str">
        <f>Legend!$B$57</f>
        <v>STV</v>
      </c>
      <c r="I6" s="580" t="str">
        <f>IF(A6="","",$B6&amp;"-"&amp;G6&amp;"_"&amp;RIGHT(E6,3)&amp;"00")</f>
        <v>S-TH-STV_BIO00</v>
      </c>
      <c r="J6" s="103" t="str">
        <f>Legend!$C$4&amp;" "&amp;'Key Inputs_BY Techs'!B49&amp;" technology: "&amp;'Key Inputs_BY Techs'!D49&amp;" - Existing"</f>
        <v>SRV Thermal uses technology: Biomass, Waste - Existing</v>
      </c>
      <c r="K6" s="103" t="str">
        <f>D6</f>
        <v>SRVBIO, SRVWAS</v>
      </c>
      <c r="L6" s="103" t="str">
        <f>'Key Inputs_BY Techs'!C49</f>
        <v>S-TH</v>
      </c>
      <c r="M6" s="103">
        <v>31.536000000000001</v>
      </c>
      <c r="N6" s="103">
        <f>'Key Inputs_BY Techs'!H104</f>
        <v>15</v>
      </c>
    </row>
    <row r="7" spans="1:14" x14ac:dyDescent="0.3">
      <c r="A7" s="499" t="str">
        <f>'Key Inputs_BY Techs'!$B$14</f>
        <v>Thermal uses</v>
      </c>
      <c r="B7" s="499" t="str">
        <f>'Key Inputs_BY Techs'!$C$14</f>
        <v>S-TH</v>
      </c>
      <c r="C7" s="499" t="str">
        <f>'Key Inputs_BY Techs'!D15</f>
        <v>Coal</v>
      </c>
      <c r="D7" s="499" t="str">
        <f>'Key Inputs_BY Techs'!E15</f>
        <v>SRVCOA</v>
      </c>
      <c r="E7" s="499" t="str">
        <f t="shared" ref="E7:E39" si="0">LEFT(D7,6)</f>
        <v>SRVCOA</v>
      </c>
      <c r="F7" s="499" t="str">
        <f>Legend!$A$57</f>
        <v>Stove</v>
      </c>
      <c r="G7" s="499" t="str">
        <f>Legend!$B$57</f>
        <v>STV</v>
      </c>
      <c r="I7" s="103" t="str">
        <f t="shared" ref="I7:I15" si="1">IF(A7="","",$B7&amp;"-"&amp;G7&amp;"_"&amp;RIGHT(E7,3)&amp;"00")</f>
        <v>S-TH-STV_COA00</v>
      </c>
      <c r="J7" s="103" t="str">
        <f>Legend!$C$4&amp;" "&amp;'Key Inputs_BY Techs'!B50&amp;" technology: "&amp;'Key Inputs_BY Techs'!D50&amp;" - Existing"</f>
        <v>SRV Thermal uses technology: Coal - Existing</v>
      </c>
      <c r="K7" s="103" t="str">
        <f t="shared" ref="K7:K39" si="2">D7</f>
        <v>SRVCOA</v>
      </c>
      <c r="L7" s="103" t="str">
        <f>'Key Inputs_BY Techs'!C50</f>
        <v>S-TH</v>
      </c>
      <c r="M7" s="103">
        <v>31.536000000000001</v>
      </c>
      <c r="N7" s="350">
        <f>'Key Inputs_BY Techs'!H105</f>
        <v>25</v>
      </c>
    </row>
    <row r="8" spans="1:14" x14ac:dyDescent="0.3">
      <c r="A8" s="499" t="str">
        <f>'Key Inputs_BY Techs'!$B$14</f>
        <v>Thermal uses</v>
      </c>
      <c r="B8" s="499" t="str">
        <f>'Key Inputs_BY Techs'!$C$14</f>
        <v>S-TH</v>
      </c>
      <c r="C8" s="499" t="str">
        <f>'Key Inputs_BY Techs'!D16</f>
        <v>Electricity</v>
      </c>
      <c r="D8" s="499" t="str">
        <f>'Key Inputs_BY Techs'!E16</f>
        <v>SRVELC</v>
      </c>
      <c r="E8" s="499" t="str">
        <f t="shared" si="0"/>
        <v>SRVELC</v>
      </c>
      <c r="F8" s="499" t="str">
        <f>Legend!$A$56</f>
        <v>Resistance</v>
      </c>
      <c r="G8" s="499" t="str">
        <f>Legend!$B$56</f>
        <v>RST</v>
      </c>
      <c r="I8" s="103" t="str">
        <f t="shared" si="1"/>
        <v>S-TH-RST_ELC00</v>
      </c>
      <c r="J8" s="103" t="str">
        <f>Legend!$C$4&amp;" "&amp;'Key Inputs_BY Techs'!B51&amp;" technology: "&amp;'Key Inputs_BY Techs'!D51&amp;" - Existing"</f>
        <v>SRV Thermal uses technology: Electricity - Existing</v>
      </c>
      <c r="K8" s="103" t="str">
        <f t="shared" si="2"/>
        <v>SRVELC</v>
      </c>
      <c r="L8" s="103" t="str">
        <f>'Key Inputs_BY Techs'!C51</f>
        <v>S-TH</v>
      </c>
      <c r="M8" s="103">
        <v>31.536000000000001</v>
      </c>
      <c r="N8" s="350">
        <f>'Key Inputs_BY Techs'!H106</f>
        <v>15</v>
      </c>
    </row>
    <row r="9" spans="1:14" x14ac:dyDescent="0.3">
      <c r="A9" s="499" t="str">
        <f>'Key Inputs_BY Techs'!$B$14</f>
        <v>Thermal uses</v>
      </c>
      <c r="B9" s="499" t="str">
        <f>'Key Inputs_BY Techs'!$C$14</f>
        <v>S-TH</v>
      </c>
      <c r="C9" s="499" t="str">
        <f>'Key Inputs_BY Techs'!D17</f>
        <v>Electricity (Heat Pump)</v>
      </c>
      <c r="D9" s="499" t="str">
        <f>'Key Inputs_BY Techs'!E17</f>
        <v>SRVELC</v>
      </c>
      <c r="E9" s="499" t="str">
        <f t="shared" si="0"/>
        <v>SRVELC</v>
      </c>
      <c r="F9" s="499" t="str">
        <f>Legend!$A$54</f>
        <v>Heat pump (Air)</v>
      </c>
      <c r="G9" s="499" t="str">
        <f>Legend!$B$54</f>
        <v>HPA</v>
      </c>
      <c r="I9" s="103" t="str">
        <f t="shared" si="1"/>
        <v>S-TH-HPA_ELC00</v>
      </c>
      <c r="J9" s="103" t="str">
        <f>Legend!$C$4&amp;" "&amp;'Key Inputs_BY Techs'!B52&amp;" technology: "&amp;'Key Inputs_BY Techs'!D52&amp;" - Existing"</f>
        <v>SRV Thermal uses technology: Electricity (Heat Pump) - Existing</v>
      </c>
      <c r="K9" s="103" t="str">
        <f t="shared" si="2"/>
        <v>SRVELC</v>
      </c>
      <c r="L9" s="103" t="str">
        <f>'Key Inputs_BY Techs'!C52</f>
        <v>S-TH</v>
      </c>
      <c r="M9" s="103">
        <v>31.536000000000001</v>
      </c>
      <c r="N9" s="350">
        <f>'Key Inputs_BY Techs'!H107</f>
        <v>15</v>
      </c>
    </row>
    <row r="10" spans="1:14" x14ac:dyDescent="0.3">
      <c r="A10" s="499" t="str">
        <f>'Key Inputs_BY Techs'!$B$14</f>
        <v>Thermal uses</v>
      </c>
      <c r="B10" s="499" t="str">
        <f>'Key Inputs_BY Techs'!$C$14</f>
        <v>S-TH</v>
      </c>
      <c r="C10" s="499" t="str">
        <f>'Key Inputs_BY Techs'!D18</f>
        <v>Natural gas, Biogas</v>
      </c>
      <c r="D10" s="499" t="str">
        <f>'Key Inputs_BY Techs'!E18</f>
        <v>SRVGAS, SRVBGS</v>
      </c>
      <c r="E10" s="499" t="str">
        <f t="shared" si="0"/>
        <v>SRVGAS</v>
      </c>
      <c r="F10" s="499" t="str">
        <f>Legend!$A$54</f>
        <v>Heat pump (Air)</v>
      </c>
      <c r="G10" s="499" t="str">
        <f>Legend!$B$54</f>
        <v>HPA</v>
      </c>
      <c r="I10" s="103" t="str">
        <f t="shared" si="1"/>
        <v>S-TH-HPA_GAS00</v>
      </c>
      <c r="J10" s="103" t="str">
        <f>Legend!$C$4&amp;" "&amp;'Key Inputs_BY Techs'!B53&amp;" technology: "&amp;'Key Inputs_BY Techs'!D53&amp;" - Existing"</f>
        <v>SRV Thermal uses technology: Natural gas, Biogas - Existing</v>
      </c>
      <c r="K10" s="103" t="str">
        <f t="shared" si="2"/>
        <v>SRVGAS, SRVBGS</v>
      </c>
      <c r="L10" s="103" t="str">
        <f>'Key Inputs_BY Techs'!C53</f>
        <v>S-TH</v>
      </c>
      <c r="M10" s="103">
        <v>31.536000000000001</v>
      </c>
      <c r="N10" s="350">
        <f>'Key Inputs_BY Techs'!H108</f>
        <v>15</v>
      </c>
    </row>
    <row r="11" spans="1:14" x14ac:dyDescent="0.3">
      <c r="A11" s="499" t="str">
        <f>'Key Inputs_BY Techs'!$B$14</f>
        <v>Thermal uses</v>
      </c>
      <c r="B11" s="499" t="str">
        <f>'Key Inputs_BY Techs'!$C$14</f>
        <v>S-TH</v>
      </c>
      <c r="C11" s="499" t="str">
        <f>'Key Inputs_BY Techs'!D19</f>
        <v>Geothermal</v>
      </c>
      <c r="D11" s="499" t="str">
        <f>'Key Inputs_BY Techs'!E19</f>
        <v>SRVGEO</v>
      </c>
      <c r="E11" s="499" t="str">
        <f t="shared" si="0"/>
        <v>SRVGEO</v>
      </c>
      <c r="F11" s="499" t="str">
        <f>Legend!$A$58</f>
        <v>Heat exchanger</v>
      </c>
      <c r="G11" s="499" t="str">
        <f>Legend!$B$58</f>
        <v>HEX</v>
      </c>
      <c r="I11" s="103" t="str">
        <f t="shared" si="1"/>
        <v>S-TH-HEX_GEO00</v>
      </c>
      <c r="J11" s="103" t="str">
        <f>Legend!$C$4&amp;" "&amp;'Key Inputs_BY Techs'!B54&amp;" technology: "&amp;'Key Inputs_BY Techs'!D54&amp;" - Existing"</f>
        <v>SRV Thermal uses technology: Geothermal - Existing</v>
      </c>
      <c r="K11" s="103" t="str">
        <f t="shared" si="2"/>
        <v>SRVGEO</v>
      </c>
      <c r="L11" s="103" t="str">
        <f>'Key Inputs_BY Techs'!C54</f>
        <v>S-TH</v>
      </c>
      <c r="M11" s="103">
        <v>31.536000000000001</v>
      </c>
      <c r="N11" s="350">
        <f>'Key Inputs_BY Techs'!H109</f>
        <v>15</v>
      </c>
    </row>
    <row r="12" spans="1:14" x14ac:dyDescent="0.3">
      <c r="A12" s="499" t="str">
        <f>'Key Inputs_BY Techs'!$B$14</f>
        <v>Thermal uses</v>
      </c>
      <c r="B12" s="499" t="str">
        <f>'Key Inputs_BY Techs'!$C$14</f>
        <v>S-TH</v>
      </c>
      <c r="C12" s="499" t="str">
        <f>'Key Inputs_BY Techs'!D20</f>
        <v>Heat</v>
      </c>
      <c r="D12" s="499" t="str">
        <f>'Key Inputs_BY Techs'!E20</f>
        <v>SRVHET</v>
      </c>
      <c r="E12" s="499" t="str">
        <f t="shared" si="0"/>
        <v>SRVHET</v>
      </c>
      <c r="F12" s="499" t="str">
        <f>Legend!$A$58</f>
        <v>Heat exchanger</v>
      </c>
      <c r="G12" s="499" t="str">
        <f>Legend!$B$58</f>
        <v>HEX</v>
      </c>
      <c r="I12" s="103" t="str">
        <f t="shared" si="1"/>
        <v>S-TH-HEX_HET00</v>
      </c>
      <c r="J12" s="103" t="str">
        <f>Legend!$C$4&amp;" "&amp;'Key Inputs_BY Techs'!B55&amp;" technology: "&amp;'Key Inputs_BY Techs'!D55&amp;" - Existing"</f>
        <v>SRV Thermal uses technology: Heat - Existing</v>
      </c>
      <c r="K12" s="103" t="str">
        <f t="shared" si="2"/>
        <v>SRVHET</v>
      </c>
      <c r="L12" s="103" t="str">
        <f>'Key Inputs_BY Techs'!C55</f>
        <v>S-TH</v>
      </c>
      <c r="M12" s="103">
        <v>31.536000000000001</v>
      </c>
      <c r="N12" s="350">
        <f>'Key Inputs_BY Techs'!H110</f>
        <v>20</v>
      </c>
    </row>
    <row r="13" spans="1:14" x14ac:dyDescent="0.3">
      <c r="A13" s="499" t="str">
        <f>'Key Inputs_BY Techs'!$B$14</f>
        <v>Thermal uses</v>
      </c>
      <c r="B13" s="499" t="str">
        <f>'Key Inputs_BY Techs'!$C$14</f>
        <v>S-TH</v>
      </c>
      <c r="C13" s="499" t="str">
        <f>'Key Inputs_BY Techs'!D21</f>
        <v>LPG</v>
      </c>
      <c r="D13" s="499" t="str">
        <f>'Key Inputs_BY Techs'!E21</f>
        <v>SRVLPG</v>
      </c>
      <c r="E13" s="499" t="str">
        <f t="shared" si="0"/>
        <v>SRVLPG</v>
      </c>
      <c r="F13" s="499" t="str">
        <f>Legend!$A$53</f>
        <v>Boiler</v>
      </c>
      <c r="G13" s="499" t="str">
        <f>Legend!$B$53</f>
        <v>BLR</v>
      </c>
      <c r="I13" s="103" t="str">
        <f t="shared" si="1"/>
        <v>S-TH-BLR_LPG00</v>
      </c>
      <c r="J13" s="103" t="str">
        <f>Legend!$C$4&amp;" "&amp;'Key Inputs_BY Techs'!B56&amp;" technology: "&amp;'Key Inputs_BY Techs'!D56&amp;" - Existing"</f>
        <v>SRV Thermal uses technology: LPG - Existing</v>
      </c>
      <c r="K13" s="103" t="str">
        <f t="shared" si="2"/>
        <v>SRVLPG</v>
      </c>
      <c r="L13" s="103" t="str">
        <f>'Key Inputs_BY Techs'!C56</f>
        <v>S-TH</v>
      </c>
      <c r="M13" s="103">
        <v>31.536000000000001</v>
      </c>
      <c r="N13" s="350">
        <f>'Key Inputs_BY Techs'!H111</f>
        <v>17</v>
      </c>
    </row>
    <row r="14" spans="1:14" x14ac:dyDescent="0.3">
      <c r="A14" s="499" t="str">
        <f>'Key Inputs_BY Techs'!$B$14</f>
        <v>Thermal uses</v>
      </c>
      <c r="B14" s="499" t="str">
        <f>'Key Inputs_BY Techs'!$C$14</f>
        <v>S-TH</v>
      </c>
      <c r="C14" s="499" t="str">
        <f>'Key Inputs_BY Techs'!D22</f>
        <v>Oil, Liquid biofuels</v>
      </c>
      <c r="D14" s="499" t="str">
        <f>'Key Inputs_BY Techs'!E22</f>
        <v>SRVOIL, SRVBLQ</v>
      </c>
      <c r="E14" s="499" t="str">
        <f t="shared" si="0"/>
        <v>SRVOIL</v>
      </c>
      <c r="F14" s="499" t="str">
        <f>Legend!$A$53</f>
        <v>Boiler</v>
      </c>
      <c r="G14" s="499" t="str">
        <f>Legend!$B$53</f>
        <v>BLR</v>
      </c>
      <c r="I14" s="103" t="str">
        <f t="shared" si="1"/>
        <v>S-TH-BLR_OIL00</v>
      </c>
      <c r="J14" s="103" t="str">
        <f>Legend!$C$4&amp;" "&amp;'Key Inputs_BY Techs'!B57&amp;" technology: "&amp;'Key Inputs_BY Techs'!D57&amp;" - Existing"</f>
        <v>SRV Thermal uses technology: Oil, Liquid biofuels - Existing</v>
      </c>
      <c r="K14" s="103" t="str">
        <f t="shared" si="2"/>
        <v>SRVOIL, SRVBLQ</v>
      </c>
      <c r="L14" s="103" t="str">
        <f>'Key Inputs_BY Techs'!C57</f>
        <v>S-TH</v>
      </c>
      <c r="M14" s="103">
        <v>31.536000000000001</v>
      </c>
      <c r="N14" s="350">
        <f>'Key Inputs_BY Techs'!H112</f>
        <v>17</v>
      </c>
    </row>
    <row r="15" spans="1:14" x14ac:dyDescent="0.3">
      <c r="A15" s="499" t="str">
        <f>'Key Inputs_BY Techs'!$B$14</f>
        <v>Thermal uses</v>
      </c>
      <c r="B15" s="499" t="str">
        <f>'Key Inputs_BY Techs'!$C$14</f>
        <v>S-TH</v>
      </c>
      <c r="C15" s="499" t="str">
        <f>'Key Inputs_BY Techs'!D23</f>
        <v>Solar</v>
      </c>
      <c r="D15" s="499" t="str">
        <f>'Key Inputs_BY Techs'!E23</f>
        <v>SRVSOL</v>
      </c>
      <c r="E15" s="499" t="str">
        <f t="shared" si="0"/>
        <v>SRVSOL</v>
      </c>
      <c r="F15" s="499" t="str">
        <f>Legend!$A$57</f>
        <v>Stove</v>
      </c>
      <c r="G15" s="499" t="str">
        <f>Legend!$B$57</f>
        <v>STV</v>
      </c>
      <c r="I15" s="106" t="str">
        <f t="shared" si="1"/>
        <v>S-TH-STV_SOL00</v>
      </c>
      <c r="J15" s="106" t="str">
        <f>Legend!$C$4&amp;" "&amp;'Key Inputs_BY Techs'!B58&amp;" technology: "&amp;'Key Inputs_BY Techs'!D58&amp;" - Existing"</f>
        <v>SRV Thermal uses technology: Solar - Existing</v>
      </c>
      <c r="K15" s="106" t="str">
        <f t="shared" si="2"/>
        <v>SRVSOL</v>
      </c>
      <c r="L15" s="106" t="str">
        <f>'Key Inputs_BY Techs'!C58</f>
        <v>S-TH</v>
      </c>
      <c r="M15" s="106">
        <v>31.536000000000001</v>
      </c>
      <c r="N15" s="352">
        <f>'Key Inputs_BY Techs'!H113</f>
        <v>15</v>
      </c>
    </row>
    <row r="16" spans="1:14" x14ac:dyDescent="0.3">
      <c r="A16" s="499" t="str">
        <f>'Key Inputs_BY Techs'!B$24</f>
        <v>Air conditioning</v>
      </c>
      <c r="B16" s="499" t="str">
        <f>'Key Inputs_BY Techs'!$C$24</f>
        <v>S-AC</v>
      </c>
      <c r="C16" s="499" t="str">
        <f>'Key Inputs_BY Techs'!D24</f>
        <v>Natural gas, Biogas</v>
      </c>
      <c r="D16" s="499" t="str">
        <f>'Key Inputs_BY Techs'!E24</f>
        <v>SRVGAS, SRVBGS</v>
      </c>
      <c r="E16" s="499" t="str">
        <f t="shared" si="0"/>
        <v>SRVGAS</v>
      </c>
      <c r="F16" s="499" t="str">
        <f>Legend!$A$58</f>
        <v>Heat exchanger</v>
      </c>
      <c r="G16" s="499" t="str">
        <f>Legend!$B$58</f>
        <v>HEX</v>
      </c>
      <c r="I16" s="103" t="str">
        <f t="shared" ref="I16:I27" si="3">L16&amp;"_"&amp;RIGHT(E16,3)&amp;"00"</f>
        <v>S-AC_GAS00</v>
      </c>
      <c r="J16" s="103" t="str">
        <f>Legend!$C$4&amp;" "&amp;'Key Inputs_BY Techs'!B59&amp;" technology: "&amp;'Key Inputs_BY Techs'!D59&amp;" - Existing"</f>
        <v>SRV Air conditioning technology: Natural gas, Biogas - Existing</v>
      </c>
      <c r="K16" s="103" t="str">
        <f t="shared" si="2"/>
        <v>SRVGAS, SRVBGS</v>
      </c>
      <c r="L16" s="103" t="str">
        <f>'Key Inputs_BY Techs'!C59</f>
        <v>S-AC</v>
      </c>
      <c r="M16" s="103">
        <v>31.536000000000001</v>
      </c>
      <c r="N16" s="350">
        <f>'Key Inputs_BY Techs'!H114</f>
        <v>14</v>
      </c>
    </row>
    <row r="17" spans="1:14" x14ac:dyDescent="0.3">
      <c r="A17" s="499" t="str">
        <f>'Key Inputs_BY Techs'!B$24</f>
        <v>Air conditioning</v>
      </c>
      <c r="B17" s="499" t="str">
        <f>'Key Inputs_BY Techs'!$C$24</f>
        <v>S-AC</v>
      </c>
      <c r="C17" s="499" t="str">
        <f>'Key Inputs_BY Techs'!D25</f>
        <v>Electricity</v>
      </c>
      <c r="D17" s="499" t="str">
        <f>'Key Inputs_BY Techs'!E25</f>
        <v>SRVELC</v>
      </c>
      <c r="E17" s="499" t="str">
        <f t="shared" si="0"/>
        <v>SRVELC</v>
      </c>
      <c r="F17" s="499"/>
      <c r="G17" s="499"/>
      <c r="I17" s="106" t="str">
        <f t="shared" si="3"/>
        <v>S-AC_ELC00</v>
      </c>
      <c r="J17" s="106" t="str">
        <f>Legend!$C$4&amp;" "&amp;'Key Inputs_BY Techs'!B60&amp;" technology: "&amp;'Key Inputs_BY Techs'!D60&amp;" - Existing"</f>
        <v>SRV Air conditioning technology: Electricity - Existing</v>
      </c>
      <c r="K17" s="106" t="str">
        <f t="shared" si="2"/>
        <v>SRVELC</v>
      </c>
      <c r="L17" s="106" t="str">
        <f>'Key Inputs_BY Techs'!C60</f>
        <v>S-AC</v>
      </c>
      <c r="M17" s="106">
        <v>31.536000000000001</v>
      </c>
      <c r="N17" s="352">
        <f>'Key Inputs_BY Techs'!H115</f>
        <v>14</v>
      </c>
    </row>
    <row r="18" spans="1:14" x14ac:dyDescent="0.3">
      <c r="A18" s="499" t="str">
        <f>'Key Inputs_BY Techs'!$B$26</f>
        <v>Cooking</v>
      </c>
      <c r="B18" s="499" t="str">
        <f>'Key Inputs_BY Techs'!$C$26</f>
        <v>S-CK</v>
      </c>
      <c r="C18" s="499" t="str">
        <f>'Key Inputs_BY Techs'!D26</f>
        <v>Biomass</v>
      </c>
      <c r="D18" s="499" t="str">
        <f>'Key Inputs_BY Techs'!E26</f>
        <v>SRVBIO</v>
      </c>
      <c r="E18" s="499" t="str">
        <f t="shared" si="0"/>
        <v>SRVBIO</v>
      </c>
      <c r="F18" s="499"/>
      <c r="G18" s="499"/>
      <c r="I18" s="103" t="str">
        <f t="shared" si="3"/>
        <v>S-CK_BIO00</v>
      </c>
      <c r="J18" s="103" t="str">
        <f>Legend!$C$4&amp;" "&amp;'Key Inputs_BY Techs'!B61&amp;" technology: "&amp;'Key Inputs_BY Techs'!D61&amp;" - Existing"</f>
        <v>SRV Cooking technology: Biomass - Existing</v>
      </c>
      <c r="K18" s="103" t="str">
        <f t="shared" si="2"/>
        <v>SRVBIO</v>
      </c>
      <c r="L18" s="103" t="str">
        <f>'Key Inputs_BY Techs'!C61</f>
        <v>S-CK</v>
      </c>
      <c r="M18" s="103">
        <v>31.536000000000001</v>
      </c>
      <c r="N18" s="350">
        <f>'Key Inputs_BY Techs'!H116</f>
        <v>3</v>
      </c>
    </row>
    <row r="19" spans="1:14" x14ac:dyDescent="0.3">
      <c r="A19" s="499" t="str">
        <f>'Key Inputs_BY Techs'!$B$26</f>
        <v>Cooking</v>
      </c>
      <c r="B19" s="499" t="str">
        <f>'Key Inputs_BY Techs'!$C$26</f>
        <v>S-CK</v>
      </c>
      <c r="C19" s="499" t="str">
        <f>'Key Inputs_BY Techs'!D27</f>
        <v>Coal</v>
      </c>
      <c r="D19" s="499" t="str">
        <f>'Key Inputs_BY Techs'!E27</f>
        <v>SRVCOA</v>
      </c>
      <c r="E19" s="499" t="str">
        <f t="shared" si="0"/>
        <v>SRVCOA</v>
      </c>
      <c r="F19" s="499"/>
      <c r="G19" s="499"/>
      <c r="I19" s="103" t="str">
        <f t="shared" si="3"/>
        <v>S-CK_COA00</v>
      </c>
      <c r="J19" s="103" t="str">
        <f>Legend!$C$4&amp;" "&amp;'Key Inputs_BY Techs'!B62&amp;" technology: "&amp;'Key Inputs_BY Techs'!D62&amp;" - Existing"</f>
        <v>SRV Cooking technology: Coal - Existing</v>
      </c>
      <c r="K19" s="103" t="str">
        <f t="shared" si="2"/>
        <v>SRVCOA</v>
      </c>
      <c r="L19" s="103" t="str">
        <f>'Key Inputs_BY Techs'!C62</f>
        <v>S-CK</v>
      </c>
      <c r="M19" s="103">
        <v>31.536000000000001</v>
      </c>
      <c r="N19" s="350">
        <f>'Key Inputs_BY Techs'!H117</f>
        <v>3</v>
      </c>
    </row>
    <row r="20" spans="1:14" x14ac:dyDescent="0.3">
      <c r="A20" s="499" t="str">
        <f>'Key Inputs_BY Techs'!$B$26</f>
        <v>Cooking</v>
      </c>
      <c r="B20" s="499" t="str">
        <f>'Key Inputs_BY Techs'!$C$26</f>
        <v>S-CK</v>
      </c>
      <c r="C20" s="499" t="str">
        <f>'Key Inputs_BY Techs'!D28</f>
        <v>Electricity</v>
      </c>
      <c r="D20" s="499" t="str">
        <f>'Key Inputs_BY Techs'!E28</f>
        <v>SRVELC</v>
      </c>
      <c r="E20" s="499" t="str">
        <f t="shared" si="0"/>
        <v>SRVELC</v>
      </c>
      <c r="F20" s="499"/>
      <c r="G20" s="499"/>
      <c r="I20" s="103" t="str">
        <f t="shared" si="3"/>
        <v>S-CK_ELC00</v>
      </c>
      <c r="J20" s="103" t="str">
        <f>Legend!$C$4&amp;" "&amp;'Key Inputs_BY Techs'!B63&amp;" technology: "&amp;'Key Inputs_BY Techs'!D63&amp;" - Existing"</f>
        <v>SRV Cooking technology: Electricity - Existing</v>
      </c>
      <c r="K20" s="103" t="str">
        <f t="shared" si="2"/>
        <v>SRVELC</v>
      </c>
      <c r="L20" s="103" t="str">
        <f>'Key Inputs_BY Techs'!C63</f>
        <v>S-CK</v>
      </c>
      <c r="M20" s="103">
        <v>31.536000000000001</v>
      </c>
      <c r="N20" s="350">
        <f>'Key Inputs_BY Techs'!H118</f>
        <v>12</v>
      </c>
    </row>
    <row r="21" spans="1:14" x14ac:dyDescent="0.3">
      <c r="A21" s="499" t="str">
        <f>'Key Inputs_BY Techs'!$B$26</f>
        <v>Cooking</v>
      </c>
      <c r="B21" s="499" t="str">
        <f>'Key Inputs_BY Techs'!$C$26</f>
        <v>S-CK</v>
      </c>
      <c r="C21" s="499" t="str">
        <f>'Key Inputs_BY Techs'!D29</f>
        <v>Natural gas, Biogas</v>
      </c>
      <c r="D21" s="499" t="str">
        <f>'Key Inputs_BY Techs'!E29</f>
        <v>SRVGAS, SRVBGS</v>
      </c>
      <c r="E21" s="499" t="str">
        <f t="shared" si="0"/>
        <v>SRVGAS</v>
      </c>
      <c r="F21" s="499"/>
      <c r="G21" s="499"/>
      <c r="I21" s="103" t="str">
        <f t="shared" si="3"/>
        <v>S-CK_GAS00</v>
      </c>
      <c r="J21" s="103" t="str">
        <f>Legend!$C$4&amp;" "&amp;'Key Inputs_BY Techs'!B64&amp;" technology: "&amp;'Key Inputs_BY Techs'!D64&amp;" - Existing"</f>
        <v>SRV Cooking technology: Natural gas, Biogas - Existing</v>
      </c>
      <c r="K21" s="103" t="str">
        <f t="shared" si="2"/>
        <v>SRVGAS, SRVBGS</v>
      </c>
      <c r="L21" s="103" t="str">
        <f>'Key Inputs_BY Techs'!C64</f>
        <v>S-CK</v>
      </c>
      <c r="M21" s="103">
        <v>31.536000000000001</v>
      </c>
      <c r="N21" s="350">
        <f>'Key Inputs_BY Techs'!H119</f>
        <v>12</v>
      </c>
    </row>
    <row r="22" spans="1:14" x14ac:dyDescent="0.3">
      <c r="A22" s="499" t="str">
        <f>'Key Inputs_BY Techs'!$B$26</f>
        <v>Cooking</v>
      </c>
      <c r="B22" s="499" t="str">
        <f>'Key Inputs_BY Techs'!$C$26</f>
        <v>S-CK</v>
      </c>
      <c r="C22" s="499" t="str">
        <f>'Key Inputs_BY Techs'!D30</f>
        <v>LPG</v>
      </c>
      <c r="D22" s="499" t="str">
        <f>'Key Inputs_BY Techs'!E30</f>
        <v>SRVLPG</v>
      </c>
      <c r="E22" s="499" t="str">
        <f t="shared" si="0"/>
        <v>SRVLPG</v>
      </c>
      <c r="F22" s="499"/>
      <c r="G22" s="499"/>
      <c r="I22" s="103" t="str">
        <f t="shared" si="3"/>
        <v>S-CK_LPG00</v>
      </c>
      <c r="J22" s="103" t="str">
        <f>Legend!$C$4&amp;" "&amp;'Key Inputs_BY Techs'!B65&amp;" technology: "&amp;'Key Inputs_BY Techs'!D65&amp;" - Existing"</f>
        <v>SRV Cooking technology: LPG - Existing</v>
      </c>
      <c r="K22" s="103" t="str">
        <f t="shared" si="2"/>
        <v>SRVLPG</v>
      </c>
      <c r="L22" s="103" t="str">
        <f>'Key Inputs_BY Techs'!C65</f>
        <v>S-CK</v>
      </c>
      <c r="M22" s="103">
        <v>31.536000000000001</v>
      </c>
      <c r="N22" s="350">
        <f>'Key Inputs_BY Techs'!H120</f>
        <v>20</v>
      </c>
    </row>
    <row r="23" spans="1:14" x14ac:dyDescent="0.3">
      <c r="A23" s="499" t="str">
        <f>'Key Inputs_BY Techs'!$B$26</f>
        <v>Cooking</v>
      </c>
      <c r="B23" s="499" t="str">
        <f>'Key Inputs_BY Techs'!$C$26</f>
        <v>S-CK</v>
      </c>
      <c r="C23" s="499" t="str">
        <f>'Key Inputs_BY Techs'!D31</f>
        <v>Oil, Liquid biofuels</v>
      </c>
      <c r="D23" s="499" t="str">
        <f>'Key Inputs_BY Techs'!E31</f>
        <v>SRVOIL, SRVBLQ</v>
      </c>
      <c r="E23" s="499" t="str">
        <f t="shared" si="0"/>
        <v>SRVOIL</v>
      </c>
      <c r="F23" s="499"/>
      <c r="G23" s="499"/>
      <c r="I23" s="103" t="str">
        <f t="shared" si="3"/>
        <v>S-CK_OIL00</v>
      </c>
      <c r="J23" s="103" t="str">
        <f>Legend!$C$4&amp;" "&amp;'Key Inputs_BY Techs'!B66&amp;" technology: "&amp;'Key Inputs_BY Techs'!D66&amp;" - Existing"</f>
        <v>SRV Cooking technology: Oil, Liquid biofuels - Existing</v>
      </c>
      <c r="K23" s="103" t="str">
        <f t="shared" si="2"/>
        <v>SRVOIL, SRVBLQ</v>
      </c>
      <c r="L23" s="103" t="str">
        <f>'Key Inputs_BY Techs'!C66</f>
        <v>S-CK</v>
      </c>
      <c r="M23" s="103">
        <v>31.536000000000001</v>
      </c>
      <c r="N23" s="350">
        <f>'Key Inputs_BY Techs'!H121</f>
        <v>20</v>
      </c>
    </row>
    <row r="24" spans="1:14" x14ac:dyDescent="0.3">
      <c r="A24" s="499" t="str">
        <f>'Key Inputs_BY Techs'!$B$26</f>
        <v>Cooking</v>
      </c>
      <c r="B24" s="499" t="str">
        <f>'Key Inputs_BY Techs'!$C$26</f>
        <v>S-CK</v>
      </c>
      <c r="C24" s="499" t="str">
        <f>'Key Inputs_BY Techs'!D32</f>
        <v>Solar</v>
      </c>
      <c r="D24" s="499" t="str">
        <f>'Key Inputs_BY Techs'!E32</f>
        <v>SRVSOL</v>
      </c>
      <c r="E24" s="499" t="str">
        <f t="shared" si="0"/>
        <v>SRVSOL</v>
      </c>
      <c r="F24" s="499"/>
      <c r="G24" s="499"/>
      <c r="I24" s="106" t="str">
        <f t="shared" si="3"/>
        <v>S-CK_SOL00</v>
      </c>
      <c r="J24" s="106" t="str">
        <f>Legend!$C$4&amp;" "&amp;'Key Inputs_BY Techs'!B67&amp;" technology: "&amp;'Key Inputs_BY Techs'!D67&amp;" - Existing"</f>
        <v>SRV Cooking technology: Solar - Existing</v>
      </c>
      <c r="K24" s="106" t="str">
        <f t="shared" si="2"/>
        <v>SRVSOL</v>
      </c>
      <c r="L24" s="106" t="str">
        <f>'Key Inputs_BY Techs'!C67</f>
        <v>S-CK</v>
      </c>
      <c r="M24" s="106">
        <v>31.536000000000001</v>
      </c>
      <c r="N24" s="352">
        <f>'Key Inputs_BY Techs'!H122</f>
        <v>12</v>
      </c>
    </row>
    <row r="25" spans="1:14" x14ac:dyDescent="0.3">
      <c r="A25" s="499" t="str">
        <f>'Key Inputs_BY Techs'!$B$33</f>
        <v>Lighting</v>
      </c>
      <c r="B25" s="499" t="str">
        <f>'Key Inputs_BY Techs'!$C$33</f>
        <v>S-LIG</v>
      </c>
      <c r="C25" s="499" t="str">
        <f>'Key Inputs_BY Techs'!D33</f>
        <v>Electricity</v>
      </c>
      <c r="D25" s="499" t="str">
        <f>'Key Inputs_BY Techs'!E33</f>
        <v>SRVELC</v>
      </c>
      <c r="E25" s="499" t="str">
        <f t="shared" si="0"/>
        <v>SRVELC</v>
      </c>
      <c r="F25" s="499"/>
      <c r="G25" s="499"/>
      <c r="I25" s="107" t="str">
        <f t="shared" si="3"/>
        <v>S-LIG_ELC00</v>
      </c>
      <c r="J25" s="107" t="str">
        <f>Legend!$C$4&amp;" "&amp;'Key Inputs_BY Techs'!B68&amp;" technology: "&amp;'Key Inputs_BY Techs'!D68&amp;" - Existing"</f>
        <v>SRV Lighting technology: Electricity - Existing</v>
      </c>
      <c r="K25" s="107" t="str">
        <f t="shared" si="2"/>
        <v>SRVELC</v>
      </c>
      <c r="L25" s="107" t="str">
        <f>'Key Inputs_BY Techs'!C68</f>
        <v>S-LIG</v>
      </c>
      <c r="M25" s="107">
        <v>1</v>
      </c>
      <c r="N25" s="551">
        <f>'Key Inputs_BY Techs'!H123</f>
        <v>5.71</v>
      </c>
    </row>
    <row r="26" spans="1:14" x14ac:dyDescent="0.3">
      <c r="A26" s="499" t="str">
        <f>'Key Inputs_BY Techs'!$B$34</f>
        <v>Street lighting</v>
      </c>
      <c r="B26" s="499" t="str">
        <f>'Key Inputs_BY Techs'!$C$34</f>
        <v>S-SLIG</v>
      </c>
      <c r="C26" s="499" t="str">
        <f>'Key Inputs_BY Techs'!D34</f>
        <v>Electricity</v>
      </c>
      <c r="D26" s="499" t="str">
        <f>'Key Inputs_BY Techs'!E34</f>
        <v>SRVELC</v>
      </c>
      <c r="E26" s="499" t="str">
        <f t="shared" si="0"/>
        <v>SRVELC</v>
      </c>
      <c r="F26" s="499"/>
      <c r="G26" s="499"/>
      <c r="I26" s="106" t="str">
        <f t="shared" si="3"/>
        <v>S-SLIG_ELC00</v>
      </c>
      <c r="J26" s="106" t="str">
        <f>Legend!$C$4&amp;" "&amp;'Key Inputs_BY Techs'!B69&amp;" technology: "&amp;'Key Inputs_BY Techs'!D69&amp;" - Existing"</f>
        <v>SRV Street lighting technology: Electricity - Existing</v>
      </c>
      <c r="K26" s="106" t="str">
        <f t="shared" si="2"/>
        <v>SRVELC</v>
      </c>
      <c r="L26" s="106" t="str">
        <f>'Key Inputs_BY Techs'!C69</f>
        <v>S-SLIG</v>
      </c>
      <c r="M26" s="107">
        <v>1</v>
      </c>
      <c r="N26" s="352">
        <f>'Key Inputs_BY Techs'!H124</f>
        <v>9.1324200913242013</v>
      </c>
    </row>
    <row r="27" spans="1:14" x14ac:dyDescent="0.3">
      <c r="A27" s="503" t="str">
        <f>'Key Inputs_BY Techs'!$B$35</f>
        <v>Electric Appliances</v>
      </c>
      <c r="B27" s="503" t="str">
        <f>'Key Inputs_BY Techs'!$C$35</f>
        <v>S-EAP</v>
      </c>
      <c r="C27" s="499" t="str">
        <f>'Key Inputs_BY Techs'!D35</f>
        <v>Electricity</v>
      </c>
      <c r="D27" s="499" t="str">
        <f>'Key Inputs_BY Techs'!E35</f>
        <v>SRVELC</v>
      </c>
      <c r="E27" s="499" t="str">
        <f t="shared" si="0"/>
        <v>SRVELC</v>
      </c>
      <c r="F27" s="499"/>
      <c r="G27" s="499"/>
      <c r="I27" s="106" t="str">
        <f t="shared" si="3"/>
        <v>S-EAP_ELC00</v>
      </c>
      <c r="J27" s="106" t="str">
        <f>Legend!$C$4&amp;" "&amp;'Key Inputs_BY Techs'!B70&amp;" technology: "&amp;'Key Inputs_BY Techs'!D70&amp;" - Existing"</f>
        <v>SRV Electric Appliances technology: Electricity - Existing</v>
      </c>
      <c r="K27" s="106" t="str">
        <f t="shared" si="2"/>
        <v>SRVELC</v>
      </c>
      <c r="L27" s="106" t="str">
        <f>'Key Inputs_BY Techs'!C70</f>
        <v>S-EAP</v>
      </c>
      <c r="M27" s="106">
        <v>31.536000000000001</v>
      </c>
      <c r="N27" s="352">
        <f>'Key Inputs_BY Techs'!H125</f>
        <v>7</v>
      </c>
    </row>
    <row r="28" spans="1:14" x14ac:dyDescent="0.3">
      <c r="A28" s="499" t="str">
        <f>'Key Inputs_BY Techs'!$B$36</f>
        <v>Other uses</v>
      </c>
      <c r="B28" s="499" t="str">
        <f>'Key Inputs_BY Techs'!$C$36</f>
        <v>S-OTH</v>
      </c>
      <c r="C28" s="499" t="str">
        <f>'Key inputs_EB'!D171</f>
        <v>Biogas</v>
      </c>
      <c r="D28" s="499" t="str">
        <f>'Key inputs_EB'!E171</f>
        <v>SRVBGS</v>
      </c>
      <c r="E28" s="499" t="str">
        <f t="shared" si="0"/>
        <v>SRVBGS</v>
      </c>
      <c r="F28" s="499"/>
      <c r="G28" s="499"/>
      <c r="I28" s="103" t="str">
        <f>L28&amp;"_"&amp;"00"</f>
        <v>S-OTH_00</v>
      </c>
      <c r="J28" s="103" t="str">
        <f>Legend!$C$4&amp;" "&amp;'Key Inputs_BY Techs'!B71&amp;'Key Inputs_BY Techs'!D71</f>
        <v>SRV Other uses</v>
      </c>
      <c r="K28" s="103" t="str">
        <f t="shared" si="2"/>
        <v>SRVBGS</v>
      </c>
      <c r="L28" s="103" t="str">
        <f>'Key Inputs_BY Techs'!C71</f>
        <v>S-OTH</v>
      </c>
      <c r="M28" s="103">
        <v>1</v>
      </c>
      <c r="N28" s="350">
        <f>'Key Inputs_BY Techs'!H126</f>
        <v>20</v>
      </c>
    </row>
    <row r="29" spans="1:14" x14ac:dyDescent="0.3">
      <c r="A29" s="499"/>
      <c r="B29" s="499"/>
      <c r="C29" s="499" t="str">
        <f>'Key inputs_EB'!D172</f>
        <v>Coal</v>
      </c>
      <c r="D29" s="499" t="str">
        <f>'Key inputs_EB'!E172</f>
        <v>SRVCOA</v>
      </c>
      <c r="E29" s="499" t="str">
        <f t="shared" si="0"/>
        <v>SRVCOA</v>
      </c>
      <c r="F29" s="499"/>
      <c r="G29" s="499"/>
      <c r="K29" s="103" t="str">
        <f t="shared" si="2"/>
        <v>SRVCOA</v>
      </c>
      <c r="N29" s="350"/>
    </row>
    <row r="30" spans="1:14" x14ac:dyDescent="0.3">
      <c r="A30" s="499"/>
      <c r="B30" s="499"/>
      <c r="C30" s="499" t="str">
        <f>'Key inputs_EB'!D173</f>
        <v>Oil</v>
      </c>
      <c r="D30" s="499" t="str">
        <f>'Key inputs_EB'!E173</f>
        <v>SRVOIL</v>
      </c>
      <c r="E30" s="499" t="str">
        <f t="shared" si="0"/>
        <v>SRVOIL</v>
      </c>
      <c r="F30" s="499"/>
      <c r="G30" s="499"/>
      <c r="K30" s="103" t="str">
        <f t="shared" si="2"/>
        <v>SRVOIL</v>
      </c>
      <c r="N30" s="350"/>
    </row>
    <row r="31" spans="1:14" x14ac:dyDescent="0.3">
      <c r="A31" s="499"/>
      <c r="B31" s="499"/>
      <c r="C31" s="499" t="str">
        <f>'Key inputs_EB'!D174</f>
        <v>Electricity</v>
      </c>
      <c r="D31" s="499" t="str">
        <f>'Key inputs_EB'!E174</f>
        <v>SRVELC</v>
      </c>
      <c r="E31" s="499" t="str">
        <f t="shared" si="0"/>
        <v>SRVELC</v>
      </c>
      <c r="F31" s="499"/>
      <c r="G31" s="499"/>
      <c r="K31" s="103" t="str">
        <f t="shared" si="2"/>
        <v>SRVELC</v>
      </c>
      <c r="N31" s="350"/>
    </row>
    <row r="32" spans="1:14" x14ac:dyDescent="0.3">
      <c r="A32" s="499"/>
      <c r="B32" s="499"/>
      <c r="C32" s="499" t="str">
        <f>'Key inputs_EB'!D175</f>
        <v>Geothermal</v>
      </c>
      <c r="D32" s="499" t="str">
        <f>'Key inputs_EB'!E175</f>
        <v>SRVGEO</v>
      </c>
      <c r="E32" s="499" t="str">
        <f t="shared" si="0"/>
        <v>SRVGEO</v>
      </c>
      <c r="F32" s="499"/>
      <c r="G32" s="499"/>
      <c r="K32" s="103" t="str">
        <f t="shared" si="2"/>
        <v>SRVGEO</v>
      </c>
      <c r="N32" s="350"/>
    </row>
    <row r="33" spans="1:42" x14ac:dyDescent="0.3">
      <c r="A33" s="499"/>
      <c r="B33" s="499"/>
      <c r="C33" s="499" t="str">
        <f>'Key inputs_EB'!D176</f>
        <v>Heat</v>
      </c>
      <c r="D33" s="499" t="str">
        <f>'Key inputs_EB'!E176</f>
        <v>SRVHET</v>
      </c>
      <c r="E33" s="499" t="str">
        <f t="shared" si="0"/>
        <v>SRVHET</v>
      </c>
      <c r="F33" s="499"/>
      <c r="G33" s="499"/>
      <c r="K33" s="103" t="str">
        <f t="shared" si="2"/>
        <v>SRVHET</v>
      </c>
      <c r="N33" s="350"/>
    </row>
    <row r="34" spans="1:42" x14ac:dyDescent="0.3">
      <c r="A34" s="499"/>
      <c r="B34" s="499"/>
      <c r="C34" s="499" t="str">
        <f>'Key inputs_EB'!D177</f>
        <v>Liquid biofuels</v>
      </c>
      <c r="D34" s="499" t="str">
        <f>'Key inputs_EB'!E177</f>
        <v>SRVBLQ</v>
      </c>
      <c r="E34" s="499" t="str">
        <f t="shared" si="0"/>
        <v>SRVBLQ</v>
      </c>
      <c r="F34" s="499"/>
      <c r="G34" s="499"/>
      <c r="K34" s="103" t="str">
        <f t="shared" si="2"/>
        <v>SRVBLQ</v>
      </c>
      <c r="N34" s="350"/>
    </row>
    <row r="35" spans="1:42" x14ac:dyDescent="0.3">
      <c r="A35" s="499"/>
      <c r="B35" s="499"/>
      <c r="C35" s="499" t="str">
        <f>'Key inputs_EB'!D178</f>
        <v>LPG</v>
      </c>
      <c r="D35" s="499" t="str">
        <f>'Key inputs_EB'!E178</f>
        <v>SRVLPG</v>
      </c>
      <c r="E35" s="499" t="str">
        <f t="shared" si="0"/>
        <v>SRVLPG</v>
      </c>
      <c r="F35" s="499"/>
      <c r="G35" s="499"/>
      <c r="K35" s="103" t="str">
        <f t="shared" si="2"/>
        <v>SRVLPG</v>
      </c>
      <c r="N35" s="350"/>
    </row>
    <row r="36" spans="1:42" x14ac:dyDescent="0.3">
      <c r="A36" s="499"/>
      <c r="B36" s="499"/>
      <c r="C36" s="499" t="str">
        <f>'Key inputs_EB'!D179</f>
        <v>Natural gas</v>
      </c>
      <c r="D36" s="499" t="str">
        <f>'Key inputs_EB'!E179</f>
        <v>SRVGAS</v>
      </c>
      <c r="E36" s="499" t="str">
        <f t="shared" si="0"/>
        <v>SRVGAS</v>
      </c>
      <c r="F36" s="499"/>
      <c r="G36" s="499"/>
      <c r="K36" s="103" t="str">
        <f t="shared" si="2"/>
        <v>SRVGAS</v>
      </c>
      <c r="N36" s="350"/>
    </row>
    <row r="37" spans="1:42" x14ac:dyDescent="0.3">
      <c r="A37" s="499"/>
      <c r="B37" s="499"/>
      <c r="C37" s="499" t="str">
        <f>'Key inputs_EB'!D180</f>
        <v>Solar</v>
      </c>
      <c r="D37" s="499" t="str">
        <f>'Key inputs_EB'!E180</f>
        <v>SRVSOL</v>
      </c>
      <c r="E37" s="499" t="str">
        <f t="shared" si="0"/>
        <v>SRVSOL</v>
      </c>
      <c r="F37" s="499"/>
      <c r="G37" s="499"/>
      <c r="K37" s="103" t="str">
        <f t="shared" si="2"/>
        <v>SRVSOL</v>
      </c>
      <c r="N37" s="350"/>
    </row>
    <row r="38" spans="1:42" x14ac:dyDescent="0.3">
      <c r="A38" s="499"/>
      <c r="B38" s="499"/>
      <c r="C38" s="499" t="str">
        <f>'Key inputs_EB'!D181</f>
        <v>Biomass</v>
      </c>
      <c r="D38" s="499" t="str">
        <f>'Key inputs_EB'!E181</f>
        <v>SRVBIO</v>
      </c>
      <c r="E38" s="499" t="str">
        <f t="shared" si="0"/>
        <v>SRVBIO</v>
      </c>
      <c r="F38" s="499"/>
      <c r="G38" s="499"/>
      <c r="K38" s="103" t="str">
        <f t="shared" si="2"/>
        <v>SRVBIO</v>
      </c>
      <c r="N38" s="350"/>
    </row>
    <row r="39" spans="1:42" x14ac:dyDescent="0.3">
      <c r="A39" s="499"/>
      <c r="B39" s="499"/>
      <c r="C39" s="499" t="str">
        <f>'Key inputs_EB'!D182</f>
        <v>Waste</v>
      </c>
      <c r="D39" s="499" t="str">
        <f>'Key inputs_EB'!E182</f>
        <v>SRVWAS</v>
      </c>
      <c r="E39" s="499" t="str">
        <f t="shared" si="0"/>
        <v>SRVWAS</v>
      </c>
      <c r="F39" s="499"/>
      <c r="G39" s="499"/>
      <c r="I39" s="106"/>
      <c r="J39" s="106"/>
      <c r="K39" s="106" t="str">
        <f t="shared" si="2"/>
        <v>SRVWAS</v>
      </c>
      <c r="L39" s="106"/>
      <c r="M39" s="106"/>
      <c r="N39" s="352"/>
    </row>
    <row r="40" spans="1:42" customFormat="1" ht="15.6" x14ac:dyDescent="0.3">
      <c r="A40" s="500"/>
      <c r="B40" s="500"/>
      <c r="C40" s="500"/>
      <c r="D40" s="500"/>
      <c r="E40" s="500"/>
      <c r="F40" s="500"/>
      <c r="G40" s="500"/>
    </row>
    <row r="42" spans="1:42" ht="15.6" x14ac:dyDescent="0.3">
      <c r="I42" s="104" t="s">
        <v>37</v>
      </c>
      <c r="J42" s="9"/>
      <c r="K42" s="9"/>
      <c r="L42" s="9"/>
      <c r="M42" s="9"/>
    </row>
    <row r="43" spans="1:42" ht="15" thickBot="1" x14ac:dyDescent="0.35">
      <c r="A43" s="497" t="s">
        <v>98</v>
      </c>
      <c r="B43" s="497"/>
      <c r="C43" s="498" t="s">
        <v>99</v>
      </c>
      <c r="D43" s="498"/>
      <c r="E43" s="498" t="s">
        <v>186</v>
      </c>
      <c r="F43" s="578"/>
      <c r="G43" s="578"/>
      <c r="I43" s="99" t="s">
        <v>38</v>
      </c>
      <c r="J43" s="105" t="s">
        <v>179</v>
      </c>
      <c r="K43" s="99" t="s">
        <v>175</v>
      </c>
      <c r="L43" s="99" t="s">
        <v>43</v>
      </c>
      <c r="M43" s="99" t="s">
        <v>182</v>
      </c>
      <c r="N43" s="99" t="s">
        <v>50</v>
      </c>
      <c r="O43" s="99" t="s">
        <v>457</v>
      </c>
      <c r="P43" s="99" t="s">
        <v>458</v>
      </c>
      <c r="Q43" s="99" t="s">
        <v>460</v>
      </c>
      <c r="R43" s="99" t="s">
        <v>459</v>
      </c>
      <c r="S43" s="99" t="s">
        <v>461</v>
      </c>
      <c r="T43" s="99" t="s">
        <v>463</v>
      </c>
      <c r="U43" s="99" t="s">
        <v>464</v>
      </c>
      <c r="V43" s="99" t="s">
        <v>465</v>
      </c>
      <c r="W43" s="99" t="s">
        <v>1</v>
      </c>
      <c r="X43" s="99" t="s">
        <v>2</v>
      </c>
      <c r="Y43" s="99" t="s">
        <v>707</v>
      </c>
      <c r="Z43" s="99" t="s">
        <v>3</v>
      </c>
      <c r="AA43" s="99" t="s">
        <v>467</v>
      </c>
      <c r="AB43" s="99" t="s">
        <v>468</v>
      </c>
      <c r="AC43" s="99" t="s">
        <v>469</v>
      </c>
      <c r="AD43" s="99" t="s">
        <v>708</v>
      </c>
      <c r="AE43" s="99" t="s">
        <v>470</v>
      </c>
      <c r="AF43" s="99" t="s">
        <v>5</v>
      </c>
      <c r="AG43" s="99" t="s">
        <v>6</v>
      </c>
      <c r="AH43" s="99" t="s">
        <v>7</v>
      </c>
      <c r="AI43" s="99" t="s">
        <v>8</v>
      </c>
      <c r="AJ43" s="99" t="s">
        <v>709</v>
      </c>
      <c r="AK43" s="99" t="s">
        <v>9</v>
      </c>
      <c r="AL43" s="99" t="s">
        <v>10</v>
      </c>
      <c r="AM43" s="99" t="s">
        <v>710</v>
      </c>
      <c r="AN43" s="99" t="s">
        <v>11</v>
      </c>
      <c r="AO43" s="99" t="s">
        <v>711</v>
      </c>
      <c r="AP43" s="99" t="s">
        <v>13</v>
      </c>
    </row>
    <row r="44" spans="1:42" ht="28.2" thickBot="1" x14ac:dyDescent="0.35">
      <c r="A44" s="501" t="s">
        <v>30</v>
      </c>
      <c r="B44" s="501" t="s">
        <v>35</v>
      </c>
      <c r="C44" s="501" t="s">
        <v>30</v>
      </c>
      <c r="D44" s="501" t="s">
        <v>35</v>
      </c>
      <c r="E44" s="502"/>
      <c r="I44" s="2" t="s">
        <v>183</v>
      </c>
      <c r="J44" s="2" t="s">
        <v>30</v>
      </c>
      <c r="K44" s="2" t="s">
        <v>184</v>
      </c>
      <c r="L44" s="6"/>
      <c r="M44" s="6" t="s">
        <v>49</v>
      </c>
      <c r="N44" s="2" t="s">
        <v>654</v>
      </c>
      <c r="O44" s="6" t="s">
        <v>477</v>
      </c>
      <c r="P44" s="6" t="s">
        <v>478</v>
      </c>
      <c r="Q44" s="6" t="s">
        <v>480</v>
      </c>
      <c r="R44" s="6" t="s">
        <v>479</v>
      </c>
      <c r="S44" s="6" t="s">
        <v>481</v>
      </c>
      <c r="T44" s="6" t="s">
        <v>482</v>
      </c>
      <c r="U44" s="6" t="s">
        <v>483</v>
      </c>
      <c r="V44" s="6" t="s">
        <v>484</v>
      </c>
      <c r="W44" s="6" t="s">
        <v>90</v>
      </c>
      <c r="X44" s="6" t="s">
        <v>91</v>
      </c>
      <c r="Y44" s="6" t="s">
        <v>715</v>
      </c>
      <c r="Z44" s="6" t="s">
        <v>716</v>
      </c>
      <c r="AA44" s="6" t="s">
        <v>485</v>
      </c>
      <c r="AB44" s="6" t="s">
        <v>486</v>
      </c>
      <c r="AC44" s="6" t="s">
        <v>487</v>
      </c>
      <c r="AD44" s="6" t="s">
        <v>717</v>
      </c>
      <c r="AE44" s="6" t="s">
        <v>488</v>
      </c>
      <c r="AF44" s="6" t="s">
        <v>718</v>
      </c>
      <c r="AG44" s="6" t="s">
        <v>92</v>
      </c>
      <c r="AH44" s="6" t="s">
        <v>93</v>
      </c>
      <c r="AI44" s="6" t="s">
        <v>94</v>
      </c>
      <c r="AJ44" s="6" t="s">
        <v>719</v>
      </c>
      <c r="AK44" s="6" t="s">
        <v>720</v>
      </c>
      <c r="AL44" s="6" t="s">
        <v>95</v>
      </c>
      <c r="AM44" s="6" t="s">
        <v>721</v>
      </c>
      <c r="AN44" s="6" t="s">
        <v>722</v>
      </c>
      <c r="AO44" s="6" t="s">
        <v>769</v>
      </c>
      <c r="AP44" s="6" t="s">
        <v>489</v>
      </c>
    </row>
    <row r="45" spans="1:42" customFormat="1" ht="15.6" x14ac:dyDescent="0.3">
      <c r="A45" s="500"/>
      <c r="B45" s="500"/>
      <c r="C45" s="500"/>
      <c r="D45" s="500"/>
      <c r="E45" s="500"/>
      <c r="F45" s="500"/>
      <c r="G45" s="500"/>
      <c r="I45" s="112" t="str">
        <f>"*"&amp;L46</f>
        <v>*EFF</v>
      </c>
    </row>
    <row r="46" spans="1:42" x14ac:dyDescent="0.3">
      <c r="A46" s="499" t="str">
        <f t="shared" ref="A46:D67" si="4">A6</f>
        <v>Thermal uses</v>
      </c>
      <c r="B46" s="499" t="str">
        <f t="shared" si="4"/>
        <v>S-TH</v>
      </c>
      <c r="C46" s="499" t="str">
        <f t="shared" si="4"/>
        <v>Biomass, Waste</v>
      </c>
      <c r="D46" s="499" t="str">
        <f t="shared" si="4"/>
        <v>SRVBIO, SRVWAS</v>
      </c>
      <c r="E46" s="499" t="str">
        <f>LEFT(D46,6)</f>
        <v>SRVBIO</v>
      </c>
      <c r="F46" s="499"/>
      <c r="G46" s="499"/>
      <c r="I46" s="354" t="str">
        <f t="shared" ref="I46:J68" si="5">I6</f>
        <v>S-TH-STV_BIO00</v>
      </c>
      <c r="J46" s="354" t="str">
        <f t="shared" si="5"/>
        <v>SRV Thermal uses technology: Biomass, Waste - Existing</v>
      </c>
      <c r="K46" s="354"/>
      <c r="L46" s="355" t="s">
        <v>40</v>
      </c>
      <c r="M46" s="355" t="str">
        <f>'Key Inputs_BY Techs'!F14</f>
        <v>% (PJuseful/PJcons)</v>
      </c>
      <c r="N46" s="355"/>
      <c r="O46" s="354">
        <f>SUMIFS('Key Inputs_BY Techs'!I:I,'Key Inputs_BY Techs'!$A:$A,'SRV_BY Techs'!$L46,'Key Inputs_BY Techs'!$C:$C,'SRV_BY Techs'!$B46,'Key Inputs_BY Techs'!$E:$E,'SRV_BY Techs'!$D46)</f>
        <v>0.64800000000000002</v>
      </c>
      <c r="P46" s="354">
        <f>SUMIFS('Key Inputs_BY Techs'!J:J,'Key Inputs_BY Techs'!$A:$A,'SRV_BY Techs'!$L46,'Key Inputs_BY Techs'!$C:$C,'SRV_BY Techs'!$B46,'Key Inputs_BY Techs'!$E:$E,'SRV_BY Techs'!$D46)</f>
        <v>0.64800000000000002</v>
      </c>
      <c r="Q46" s="354">
        <f>SUMIFS('Key Inputs_BY Techs'!K:K,'Key Inputs_BY Techs'!$A:$A,'SRV_BY Techs'!$L46,'Key Inputs_BY Techs'!$C:$C,'SRV_BY Techs'!$B46,'Key Inputs_BY Techs'!$E:$E,'SRV_BY Techs'!$D46)</f>
        <v>0.64800000000000002</v>
      </c>
      <c r="R46" s="354">
        <f>SUMIFS('Key Inputs_BY Techs'!L:L,'Key Inputs_BY Techs'!$A:$A,'SRV_BY Techs'!$L46,'Key Inputs_BY Techs'!$C:$C,'SRV_BY Techs'!$B46,'Key Inputs_BY Techs'!$E:$E,'SRV_BY Techs'!$D46)</f>
        <v>0.64800000000000002</v>
      </c>
      <c r="S46" s="354">
        <f>SUMIFS('Key Inputs_BY Techs'!M:M,'Key Inputs_BY Techs'!$A:$A,'SRV_BY Techs'!$L46,'Key Inputs_BY Techs'!$C:$C,'SRV_BY Techs'!$B46,'Key Inputs_BY Techs'!$E:$E,'SRV_BY Techs'!$D46)</f>
        <v>0.64800000000000002</v>
      </c>
      <c r="T46" s="354">
        <f>SUMIFS('Key Inputs_BY Techs'!N:N,'Key Inputs_BY Techs'!$A:$A,'SRV_BY Techs'!$L46,'Key Inputs_BY Techs'!$C:$C,'SRV_BY Techs'!$B46,'Key Inputs_BY Techs'!$E:$E,'SRV_BY Techs'!$D46)</f>
        <v>0.64800000000000002</v>
      </c>
      <c r="U46" s="354">
        <f>SUMIFS('Key Inputs_BY Techs'!O:O,'Key Inputs_BY Techs'!$A:$A,'SRV_BY Techs'!$L46,'Key Inputs_BY Techs'!$C:$C,'SRV_BY Techs'!$B46,'Key Inputs_BY Techs'!$E:$E,'SRV_BY Techs'!$D46)</f>
        <v>0.64800000000000002</v>
      </c>
      <c r="V46" s="354">
        <f>SUMIFS('Key Inputs_BY Techs'!P:P,'Key Inputs_BY Techs'!$A:$A,'SRV_BY Techs'!$L46,'Key Inputs_BY Techs'!$C:$C,'SRV_BY Techs'!$B46,'Key Inputs_BY Techs'!$E:$E,'SRV_BY Techs'!$D46)</f>
        <v>0.64800000000000002</v>
      </c>
      <c r="W46" s="354">
        <f>SUMIFS('Key Inputs_BY Techs'!Q:Q,'Key Inputs_BY Techs'!$A:$A,'SRV_BY Techs'!$L46,'Key Inputs_BY Techs'!$C:$C,'SRV_BY Techs'!$B46,'Key Inputs_BY Techs'!$E:$E,'SRV_BY Techs'!$D46)</f>
        <v>0.64800000000000002</v>
      </c>
      <c r="X46" s="354">
        <f>SUMIFS('Key Inputs_BY Techs'!R:R,'Key Inputs_BY Techs'!$A:$A,'SRV_BY Techs'!$L46,'Key Inputs_BY Techs'!$C:$C,'SRV_BY Techs'!$B46,'Key Inputs_BY Techs'!$E:$E,'SRV_BY Techs'!$D46)</f>
        <v>0.64800000000000002</v>
      </c>
      <c r="Y46" s="354">
        <f>SUMIFS('Key Inputs_BY Techs'!S:S,'Key Inputs_BY Techs'!$A:$A,'SRV_BY Techs'!$L46,'Key Inputs_BY Techs'!$C:$C,'SRV_BY Techs'!$B46,'Key Inputs_BY Techs'!$E:$E,'SRV_BY Techs'!$D46)</f>
        <v>0.64800000000000002</v>
      </c>
      <c r="Z46" s="354">
        <f>SUMIFS('Key Inputs_BY Techs'!T:T,'Key Inputs_BY Techs'!$A:$A,'SRV_BY Techs'!$L46,'Key Inputs_BY Techs'!$C:$C,'SRV_BY Techs'!$B46,'Key Inputs_BY Techs'!$E:$E,'SRV_BY Techs'!$D46)</f>
        <v>0.64800000000000002</v>
      </c>
      <c r="AA46" s="354">
        <f>SUMIFS('Key Inputs_BY Techs'!U:U,'Key Inputs_BY Techs'!$A:$A,'SRV_BY Techs'!$L46,'Key Inputs_BY Techs'!$C:$C,'SRV_BY Techs'!$B46,'Key Inputs_BY Techs'!$E:$E,'SRV_BY Techs'!$D46)</f>
        <v>0.64800000000000002</v>
      </c>
      <c r="AB46" s="354">
        <f>SUMIFS('Key Inputs_BY Techs'!V:V,'Key Inputs_BY Techs'!$A:$A,'SRV_BY Techs'!$L46,'Key Inputs_BY Techs'!$C:$C,'SRV_BY Techs'!$B46,'Key Inputs_BY Techs'!$E:$E,'SRV_BY Techs'!$D46)</f>
        <v>0.64800000000000002</v>
      </c>
      <c r="AC46" s="354">
        <f>SUMIFS('Key Inputs_BY Techs'!W:W,'Key Inputs_BY Techs'!$A:$A,'SRV_BY Techs'!$L46,'Key Inputs_BY Techs'!$C:$C,'SRV_BY Techs'!$B46,'Key Inputs_BY Techs'!$E:$E,'SRV_BY Techs'!$D46)</f>
        <v>0.64800000000000002</v>
      </c>
      <c r="AD46" s="354">
        <f>SUMIFS('Key Inputs_BY Techs'!X:X,'Key Inputs_BY Techs'!$A:$A,'SRV_BY Techs'!$L46,'Key Inputs_BY Techs'!$C:$C,'SRV_BY Techs'!$B46,'Key Inputs_BY Techs'!$E:$E,'SRV_BY Techs'!$D46)</f>
        <v>0.64800000000000002</v>
      </c>
      <c r="AE46" s="354">
        <f>SUMIFS('Key Inputs_BY Techs'!Y:Y,'Key Inputs_BY Techs'!$A:$A,'SRV_BY Techs'!$L46,'Key Inputs_BY Techs'!$C:$C,'SRV_BY Techs'!$B46,'Key Inputs_BY Techs'!$E:$E,'SRV_BY Techs'!$D46)</f>
        <v>0.64800000000000002</v>
      </c>
      <c r="AF46" s="354">
        <f>SUMIFS('Key Inputs_BY Techs'!Z:Z,'Key Inputs_BY Techs'!$A:$A,'SRV_BY Techs'!$L46,'Key Inputs_BY Techs'!$C:$C,'SRV_BY Techs'!$B46,'Key Inputs_BY Techs'!$E:$E,'SRV_BY Techs'!$D46)</f>
        <v>0.64800000000000002</v>
      </c>
      <c r="AG46" s="354">
        <f>SUMIFS('Key Inputs_BY Techs'!AA:AA,'Key Inputs_BY Techs'!$A:$A,'SRV_BY Techs'!$L46,'Key Inputs_BY Techs'!$C:$C,'SRV_BY Techs'!$B46,'Key Inputs_BY Techs'!$E:$E,'SRV_BY Techs'!$D46)</f>
        <v>0.64800000000000002</v>
      </c>
      <c r="AH46" s="354">
        <f>SUMIFS('Key Inputs_BY Techs'!AB:AB,'Key Inputs_BY Techs'!$A:$A,'SRV_BY Techs'!$L46,'Key Inputs_BY Techs'!$C:$C,'SRV_BY Techs'!$B46,'Key Inputs_BY Techs'!$E:$E,'SRV_BY Techs'!$D46)</f>
        <v>0.64800000000000002</v>
      </c>
      <c r="AI46" s="354">
        <f>SUMIFS('Key Inputs_BY Techs'!AC:AC,'Key Inputs_BY Techs'!$A:$A,'SRV_BY Techs'!$L46,'Key Inputs_BY Techs'!$C:$C,'SRV_BY Techs'!$B46,'Key Inputs_BY Techs'!$E:$E,'SRV_BY Techs'!$D46)</f>
        <v>0.64800000000000002</v>
      </c>
      <c r="AJ46" s="354">
        <f>SUMIFS('Key Inputs_BY Techs'!AD:AD,'Key Inputs_BY Techs'!$A:$A,'SRV_BY Techs'!$L46,'Key Inputs_BY Techs'!$C:$C,'SRV_BY Techs'!$B46,'Key Inputs_BY Techs'!$E:$E,'SRV_BY Techs'!$D46)</f>
        <v>0.64800000000000002</v>
      </c>
      <c r="AK46" s="354">
        <f>SUMIFS('Key Inputs_BY Techs'!AE:AE,'Key Inputs_BY Techs'!$A:$A,'SRV_BY Techs'!$L46,'Key Inputs_BY Techs'!$C:$C,'SRV_BY Techs'!$B46,'Key Inputs_BY Techs'!$E:$E,'SRV_BY Techs'!$D46)</f>
        <v>0.64800000000000002</v>
      </c>
      <c r="AL46" s="354">
        <f>SUMIFS('Key Inputs_BY Techs'!AF:AF,'Key Inputs_BY Techs'!$A:$A,'SRV_BY Techs'!$L46,'Key Inputs_BY Techs'!$C:$C,'SRV_BY Techs'!$B46,'Key Inputs_BY Techs'!$E:$E,'SRV_BY Techs'!$D46)</f>
        <v>0.64800000000000002</v>
      </c>
      <c r="AM46" s="354">
        <f>SUMIFS('Key Inputs_BY Techs'!AG:AG,'Key Inputs_BY Techs'!$A:$A,'SRV_BY Techs'!$L46,'Key Inputs_BY Techs'!$C:$C,'SRV_BY Techs'!$B46,'Key Inputs_BY Techs'!$E:$E,'SRV_BY Techs'!$D46)</f>
        <v>0.64800000000000002</v>
      </c>
      <c r="AN46" s="354">
        <f>SUMIFS('Key Inputs_BY Techs'!AH:AH,'Key Inputs_BY Techs'!$A:$A,'SRV_BY Techs'!$L46,'Key Inputs_BY Techs'!$C:$C,'SRV_BY Techs'!$B46,'Key Inputs_BY Techs'!$E:$E,'SRV_BY Techs'!$D46)</f>
        <v>0.64800000000000002</v>
      </c>
      <c r="AO46" s="354">
        <f>SUMIFS('Key Inputs_BY Techs'!AI:AI,'Key Inputs_BY Techs'!$A:$A,'SRV_BY Techs'!$L46,'Key Inputs_BY Techs'!$C:$C,'SRV_BY Techs'!$B46,'Key Inputs_BY Techs'!$E:$E,'SRV_BY Techs'!$D46)</f>
        <v>0.64800000000000002</v>
      </c>
      <c r="AP46" s="354">
        <f>SUMIFS('Key Inputs_BY Techs'!AJ:AJ,'Key Inputs_BY Techs'!$A:$A,'SRV_BY Techs'!$L46,'Key Inputs_BY Techs'!$C:$C,'SRV_BY Techs'!$B46,'Key Inputs_BY Techs'!$E:$E,'SRV_BY Techs'!$D46)</f>
        <v>0.64800000000000002</v>
      </c>
    </row>
    <row r="47" spans="1:42" x14ac:dyDescent="0.3">
      <c r="A47" s="499" t="str">
        <f t="shared" si="4"/>
        <v>Thermal uses</v>
      </c>
      <c r="B47" s="499" t="str">
        <f t="shared" si="4"/>
        <v>S-TH</v>
      </c>
      <c r="C47" s="499" t="str">
        <f t="shared" si="4"/>
        <v>Coal</v>
      </c>
      <c r="D47" s="499" t="str">
        <f t="shared" si="4"/>
        <v>SRVCOA</v>
      </c>
      <c r="E47" s="499" t="str">
        <f t="shared" ref="E47:E68" si="6">LEFT(D47,6)</f>
        <v>SRVCOA</v>
      </c>
      <c r="F47" s="499"/>
      <c r="G47" s="499"/>
      <c r="I47" s="353" t="str">
        <f t="shared" si="5"/>
        <v>S-TH-STV_COA00</v>
      </c>
      <c r="J47" s="353" t="str">
        <f t="shared" si="5"/>
        <v>SRV Thermal uses technology: Coal - Existing</v>
      </c>
      <c r="K47" s="353"/>
      <c r="L47" s="353" t="s">
        <v>40</v>
      </c>
      <c r="M47" s="353" t="str">
        <f>'Key Inputs_BY Techs'!F15</f>
        <v>% (PJuseful/PJcons)</v>
      </c>
      <c r="N47" s="353"/>
      <c r="O47" s="353">
        <f>SUMIFS('Key Inputs_BY Techs'!I:I,'Key Inputs_BY Techs'!$A:$A,'SRV_BY Techs'!$L47,'Key Inputs_BY Techs'!$C:$C,'SRV_BY Techs'!$B47,'Key Inputs_BY Techs'!$E:$E,'SRV_BY Techs'!$D47)</f>
        <v>0.67500000000000004</v>
      </c>
      <c r="P47" s="353">
        <f>SUMIFS('Key Inputs_BY Techs'!J:J,'Key Inputs_BY Techs'!$A:$A,'SRV_BY Techs'!$L47,'Key Inputs_BY Techs'!$C:$C,'SRV_BY Techs'!$B47,'Key Inputs_BY Techs'!$E:$E,'SRV_BY Techs'!$D47)</f>
        <v>0.67500000000000004</v>
      </c>
      <c r="Q47" s="353">
        <f>SUMIFS('Key Inputs_BY Techs'!K:K,'Key Inputs_BY Techs'!$A:$A,'SRV_BY Techs'!$L47,'Key Inputs_BY Techs'!$C:$C,'SRV_BY Techs'!$B47,'Key Inputs_BY Techs'!$E:$E,'SRV_BY Techs'!$D47)</f>
        <v>0.67500000000000004</v>
      </c>
      <c r="R47" s="353">
        <f>SUMIFS('Key Inputs_BY Techs'!L:L,'Key Inputs_BY Techs'!$A:$A,'SRV_BY Techs'!$L47,'Key Inputs_BY Techs'!$C:$C,'SRV_BY Techs'!$B47,'Key Inputs_BY Techs'!$E:$E,'SRV_BY Techs'!$D47)</f>
        <v>0.67500000000000004</v>
      </c>
      <c r="S47" s="353">
        <f>SUMIFS('Key Inputs_BY Techs'!M:M,'Key Inputs_BY Techs'!$A:$A,'SRV_BY Techs'!$L47,'Key Inputs_BY Techs'!$C:$C,'SRV_BY Techs'!$B47,'Key Inputs_BY Techs'!$E:$E,'SRV_BY Techs'!$D47)</f>
        <v>0.67500000000000004</v>
      </c>
      <c r="T47" s="353">
        <f>SUMIFS('Key Inputs_BY Techs'!N:N,'Key Inputs_BY Techs'!$A:$A,'SRV_BY Techs'!$L47,'Key Inputs_BY Techs'!$C:$C,'SRV_BY Techs'!$B47,'Key Inputs_BY Techs'!$E:$E,'SRV_BY Techs'!$D47)</f>
        <v>0.67500000000000004</v>
      </c>
      <c r="U47" s="353">
        <f>SUMIFS('Key Inputs_BY Techs'!O:O,'Key Inputs_BY Techs'!$A:$A,'SRV_BY Techs'!$L47,'Key Inputs_BY Techs'!$C:$C,'SRV_BY Techs'!$B47,'Key Inputs_BY Techs'!$E:$E,'SRV_BY Techs'!$D47)</f>
        <v>0.67500000000000004</v>
      </c>
      <c r="V47" s="353">
        <f>SUMIFS('Key Inputs_BY Techs'!P:P,'Key Inputs_BY Techs'!$A:$A,'SRV_BY Techs'!$L47,'Key Inputs_BY Techs'!$C:$C,'SRV_BY Techs'!$B47,'Key Inputs_BY Techs'!$E:$E,'SRV_BY Techs'!$D47)</f>
        <v>0.67500000000000004</v>
      </c>
      <c r="W47" s="353">
        <f>SUMIFS('Key Inputs_BY Techs'!Q:Q,'Key Inputs_BY Techs'!$A:$A,'SRV_BY Techs'!$L47,'Key Inputs_BY Techs'!$C:$C,'SRV_BY Techs'!$B47,'Key Inputs_BY Techs'!$E:$E,'SRV_BY Techs'!$D47)</f>
        <v>0.67500000000000004</v>
      </c>
      <c r="X47" s="353">
        <f>SUMIFS('Key Inputs_BY Techs'!R:R,'Key Inputs_BY Techs'!$A:$A,'SRV_BY Techs'!$L47,'Key Inputs_BY Techs'!$C:$C,'SRV_BY Techs'!$B47,'Key Inputs_BY Techs'!$E:$E,'SRV_BY Techs'!$D47)</f>
        <v>0.67500000000000004</v>
      </c>
      <c r="Y47" s="353">
        <f>SUMIFS('Key Inputs_BY Techs'!S:S,'Key Inputs_BY Techs'!$A:$A,'SRV_BY Techs'!$L47,'Key Inputs_BY Techs'!$C:$C,'SRV_BY Techs'!$B47,'Key Inputs_BY Techs'!$E:$E,'SRV_BY Techs'!$D47)</f>
        <v>0.67500000000000004</v>
      </c>
      <c r="Z47" s="353">
        <f>SUMIFS('Key Inputs_BY Techs'!T:T,'Key Inputs_BY Techs'!$A:$A,'SRV_BY Techs'!$L47,'Key Inputs_BY Techs'!$C:$C,'SRV_BY Techs'!$B47,'Key Inputs_BY Techs'!$E:$E,'SRV_BY Techs'!$D47)</f>
        <v>0.67500000000000004</v>
      </c>
      <c r="AA47" s="353">
        <f>SUMIFS('Key Inputs_BY Techs'!U:U,'Key Inputs_BY Techs'!$A:$A,'SRV_BY Techs'!$L47,'Key Inputs_BY Techs'!$C:$C,'SRV_BY Techs'!$B47,'Key Inputs_BY Techs'!$E:$E,'SRV_BY Techs'!$D47)</f>
        <v>0.67500000000000004</v>
      </c>
      <c r="AB47" s="353">
        <f>SUMIFS('Key Inputs_BY Techs'!V:V,'Key Inputs_BY Techs'!$A:$A,'SRV_BY Techs'!$L47,'Key Inputs_BY Techs'!$C:$C,'SRV_BY Techs'!$B47,'Key Inputs_BY Techs'!$E:$E,'SRV_BY Techs'!$D47)</f>
        <v>0.67500000000000004</v>
      </c>
      <c r="AC47" s="353">
        <f>SUMIFS('Key Inputs_BY Techs'!W:W,'Key Inputs_BY Techs'!$A:$A,'SRV_BY Techs'!$L47,'Key Inputs_BY Techs'!$C:$C,'SRV_BY Techs'!$B47,'Key Inputs_BY Techs'!$E:$E,'SRV_BY Techs'!$D47)</f>
        <v>0.67500000000000004</v>
      </c>
      <c r="AD47" s="353">
        <f>SUMIFS('Key Inputs_BY Techs'!X:X,'Key Inputs_BY Techs'!$A:$A,'SRV_BY Techs'!$L47,'Key Inputs_BY Techs'!$C:$C,'SRV_BY Techs'!$B47,'Key Inputs_BY Techs'!$E:$E,'SRV_BY Techs'!$D47)</f>
        <v>0.67500000000000004</v>
      </c>
      <c r="AE47" s="353">
        <f>SUMIFS('Key Inputs_BY Techs'!Y:Y,'Key Inputs_BY Techs'!$A:$A,'SRV_BY Techs'!$L47,'Key Inputs_BY Techs'!$C:$C,'SRV_BY Techs'!$B47,'Key Inputs_BY Techs'!$E:$E,'SRV_BY Techs'!$D47)</f>
        <v>0.67500000000000004</v>
      </c>
      <c r="AF47" s="353">
        <f>SUMIFS('Key Inputs_BY Techs'!Z:Z,'Key Inputs_BY Techs'!$A:$A,'SRV_BY Techs'!$L47,'Key Inputs_BY Techs'!$C:$C,'SRV_BY Techs'!$B47,'Key Inputs_BY Techs'!$E:$E,'SRV_BY Techs'!$D47)</f>
        <v>0.67500000000000004</v>
      </c>
      <c r="AG47" s="353">
        <f>SUMIFS('Key Inputs_BY Techs'!AA:AA,'Key Inputs_BY Techs'!$A:$A,'SRV_BY Techs'!$L47,'Key Inputs_BY Techs'!$C:$C,'SRV_BY Techs'!$B47,'Key Inputs_BY Techs'!$E:$E,'SRV_BY Techs'!$D47)</f>
        <v>0.67500000000000004</v>
      </c>
      <c r="AH47" s="353">
        <f>SUMIFS('Key Inputs_BY Techs'!AB:AB,'Key Inputs_BY Techs'!$A:$A,'SRV_BY Techs'!$L47,'Key Inputs_BY Techs'!$C:$C,'SRV_BY Techs'!$B47,'Key Inputs_BY Techs'!$E:$E,'SRV_BY Techs'!$D47)</f>
        <v>0.67500000000000004</v>
      </c>
      <c r="AI47" s="353">
        <f>SUMIFS('Key Inputs_BY Techs'!AC:AC,'Key Inputs_BY Techs'!$A:$A,'SRV_BY Techs'!$L47,'Key Inputs_BY Techs'!$C:$C,'SRV_BY Techs'!$B47,'Key Inputs_BY Techs'!$E:$E,'SRV_BY Techs'!$D47)</f>
        <v>0.67500000000000004</v>
      </c>
      <c r="AJ47" s="353">
        <f>SUMIFS('Key Inputs_BY Techs'!AD:AD,'Key Inputs_BY Techs'!$A:$A,'SRV_BY Techs'!$L47,'Key Inputs_BY Techs'!$C:$C,'SRV_BY Techs'!$B47,'Key Inputs_BY Techs'!$E:$E,'SRV_BY Techs'!$D47)</f>
        <v>0.67500000000000004</v>
      </c>
      <c r="AK47" s="353">
        <f>SUMIFS('Key Inputs_BY Techs'!AE:AE,'Key Inputs_BY Techs'!$A:$A,'SRV_BY Techs'!$L47,'Key Inputs_BY Techs'!$C:$C,'SRV_BY Techs'!$B47,'Key Inputs_BY Techs'!$E:$E,'SRV_BY Techs'!$D47)</f>
        <v>0.67500000000000004</v>
      </c>
      <c r="AL47" s="353">
        <f>SUMIFS('Key Inputs_BY Techs'!AF:AF,'Key Inputs_BY Techs'!$A:$A,'SRV_BY Techs'!$L47,'Key Inputs_BY Techs'!$C:$C,'SRV_BY Techs'!$B47,'Key Inputs_BY Techs'!$E:$E,'SRV_BY Techs'!$D47)</f>
        <v>0.67500000000000004</v>
      </c>
      <c r="AM47" s="353">
        <f>SUMIFS('Key Inputs_BY Techs'!AG:AG,'Key Inputs_BY Techs'!$A:$A,'SRV_BY Techs'!$L47,'Key Inputs_BY Techs'!$C:$C,'SRV_BY Techs'!$B47,'Key Inputs_BY Techs'!$E:$E,'SRV_BY Techs'!$D47)</f>
        <v>0.67500000000000004</v>
      </c>
      <c r="AN47" s="353">
        <f>SUMIFS('Key Inputs_BY Techs'!AH:AH,'Key Inputs_BY Techs'!$A:$A,'SRV_BY Techs'!$L47,'Key Inputs_BY Techs'!$C:$C,'SRV_BY Techs'!$B47,'Key Inputs_BY Techs'!$E:$E,'SRV_BY Techs'!$D47)</f>
        <v>0.67500000000000004</v>
      </c>
      <c r="AO47" s="353">
        <f>SUMIFS('Key Inputs_BY Techs'!AI:AI,'Key Inputs_BY Techs'!$A:$A,'SRV_BY Techs'!$L47,'Key Inputs_BY Techs'!$C:$C,'SRV_BY Techs'!$B47,'Key Inputs_BY Techs'!$E:$E,'SRV_BY Techs'!$D47)</f>
        <v>0.67500000000000004</v>
      </c>
      <c r="AP47" s="353">
        <f>SUMIFS('Key Inputs_BY Techs'!AJ:AJ,'Key Inputs_BY Techs'!$A:$A,'SRV_BY Techs'!$L47,'Key Inputs_BY Techs'!$C:$C,'SRV_BY Techs'!$B47,'Key Inputs_BY Techs'!$E:$E,'SRV_BY Techs'!$D47)</f>
        <v>0.67500000000000004</v>
      </c>
    </row>
    <row r="48" spans="1:42" x14ac:dyDescent="0.3">
      <c r="A48" s="499" t="str">
        <f t="shared" si="4"/>
        <v>Thermal uses</v>
      </c>
      <c r="B48" s="499" t="str">
        <f t="shared" si="4"/>
        <v>S-TH</v>
      </c>
      <c r="C48" s="499" t="str">
        <f t="shared" si="4"/>
        <v>Electricity</v>
      </c>
      <c r="D48" s="499" t="str">
        <f t="shared" si="4"/>
        <v>SRVELC</v>
      </c>
      <c r="E48" s="499" t="str">
        <f t="shared" si="6"/>
        <v>SRVELC</v>
      </c>
      <c r="F48" s="499"/>
      <c r="G48" s="499"/>
      <c r="I48" s="353" t="str">
        <f t="shared" si="5"/>
        <v>S-TH-RST_ELC00</v>
      </c>
      <c r="J48" s="353" t="str">
        <f t="shared" si="5"/>
        <v>SRV Thermal uses technology: Electricity - Existing</v>
      </c>
      <c r="K48" s="353"/>
      <c r="L48" s="353" t="s">
        <v>40</v>
      </c>
      <c r="M48" s="353" t="str">
        <f>'Key Inputs_BY Techs'!F16</f>
        <v>% (PJuseful/PJcons)</v>
      </c>
      <c r="N48" s="353"/>
      <c r="O48" s="353">
        <f>'Key Inputs_BY Techs'!I16</f>
        <v>0.99</v>
      </c>
      <c r="P48" s="353">
        <f>'Key Inputs_BY Techs'!J16</f>
        <v>0.99</v>
      </c>
      <c r="Q48" s="353">
        <f>'Key Inputs_BY Techs'!K16</f>
        <v>0.99</v>
      </c>
      <c r="R48" s="353">
        <f>'Key Inputs_BY Techs'!L16</f>
        <v>0.99</v>
      </c>
      <c r="S48" s="353">
        <f>'Key Inputs_BY Techs'!M16</f>
        <v>0.99</v>
      </c>
      <c r="T48" s="353">
        <f>'Key Inputs_BY Techs'!N16</f>
        <v>0.99</v>
      </c>
      <c r="U48" s="353">
        <f>'Key Inputs_BY Techs'!O16</f>
        <v>0.99</v>
      </c>
      <c r="V48" s="353">
        <f>'Key Inputs_BY Techs'!P16</f>
        <v>0.99</v>
      </c>
      <c r="W48" s="353">
        <f>'Key Inputs_BY Techs'!Q16</f>
        <v>0.99</v>
      </c>
      <c r="X48" s="353">
        <f>'Key Inputs_BY Techs'!R16</f>
        <v>0.99</v>
      </c>
      <c r="Y48" s="353">
        <f>'Key Inputs_BY Techs'!S16</f>
        <v>0.99</v>
      </c>
      <c r="Z48" s="353">
        <f>'Key Inputs_BY Techs'!T16</f>
        <v>0.99</v>
      </c>
      <c r="AA48" s="353">
        <f>'Key Inputs_BY Techs'!U16</f>
        <v>0.99</v>
      </c>
      <c r="AB48" s="353">
        <f>'Key Inputs_BY Techs'!V16</f>
        <v>0.99</v>
      </c>
      <c r="AC48" s="353">
        <f>'Key Inputs_BY Techs'!W16</f>
        <v>0.99</v>
      </c>
      <c r="AD48" s="353">
        <f>'Key Inputs_BY Techs'!X16</f>
        <v>0.99</v>
      </c>
      <c r="AE48" s="353">
        <f>'Key Inputs_BY Techs'!Y16</f>
        <v>0.99</v>
      </c>
      <c r="AF48" s="353">
        <f>'Key Inputs_BY Techs'!Z16</f>
        <v>0.99</v>
      </c>
      <c r="AG48" s="353">
        <f>'Key Inputs_BY Techs'!AA16</f>
        <v>0.99</v>
      </c>
      <c r="AH48" s="353">
        <f>'Key Inputs_BY Techs'!AB16</f>
        <v>0.99</v>
      </c>
      <c r="AI48" s="353">
        <f>'Key Inputs_BY Techs'!AC16</f>
        <v>0.99</v>
      </c>
      <c r="AJ48" s="353">
        <f>'Key Inputs_BY Techs'!AD16</f>
        <v>0.99</v>
      </c>
      <c r="AK48" s="353">
        <f>'Key Inputs_BY Techs'!AE16</f>
        <v>0.99</v>
      </c>
      <c r="AL48" s="353">
        <f>'Key Inputs_BY Techs'!AF16</f>
        <v>0.99</v>
      </c>
      <c r="AM48" s="353">
        <f>'Key Inputs_BY Techs'!AG16</f>
        <v>0.99</v>
      </c>
      <c r="AN48" s="353">
        <f>'Key Inputs_BY Techs'!AH16</f>
        <v>0.99</v>
      </c>
      <c r="AO48" s="353">
        <f>'Key Inputs_BY Techs'!AI16</f>
        <v>0.99</v>
      </c>
      <c r="AP48" s="353">
        <f>'Key Inputs_BY Techs'!AJ16</f>
        <v>0.99</v>
      </c>
    </row>
    <row r="49" spans="1:42" x14ac:dyDescent="0.3">
      <c r="A49" s="499" t="str">
        <f t="shared" si="4"/>
        <v>Thermal uses</v>
      </c>
      <c r="B49" s="499" t="str">
        <f t="shared" si="4"/>
        <v>S-TH</v>
      </c>
      <c r="C49" s="499" t="str">
        <f t="shared" si="4"/>
        <v>Electricity (Heat Pump)</v>
      </c>
      <c r="D49" s="499" t="str">
        <f t="shared" si="4"/>
        <v>SRVELC</v>
      </c>
      <c r="E49" s="499" t="str">
        <f t="shared" si="6"/>
        <v>SRVELC</v>
      </c>
      <c r="F49" s="499"/>
      <c r="G49" s="499"/>
      <c r="I49" s="353" t="str">
        <f t="shared" si="5"/>
        <v>S-TH-HPA_ELC00</v>
      </c>
      <c r="J49" s="353" t="str">
        <f t="shared" si="5"/>
        <v>SRV Thermal uses technology: Electricity (Heat Pump) - Existing</v>
      </c>
      <c r="K49" s="353"/>
      <c r="L49" s="353" t="s">
        <v>40</v>
      </c>
      <c r="M49" s="353" t="str">
        <f>'Key Inputs_BY Techs'!F17</f>
        <v>% (PJuseful/PJcons)</v>
      </c>
      <c r="N49" s="353"/>
      <c r="O49" s="353">
        <f>'Key Inputs_BY Techs'!I17</f>
        <v>2.6656</v>
      </c>
      <c r="P49" s="353">
        <f>'Key Inputs_BY Techs'!J17</f>
        <v>2.6656</v>
      </c>
      <c r="Q49" s="353">
        <f>'Key Inputs_BY Techs'!K17</f>
        <v>2.6656</v>
      </c>
      <c r="R49" s="353">
        <f>'Key Inputs_BY Techs'!L17</f>
        <v>2.6656</v>
      </c>
      <c r="S49" s="353">
        <f>'Key Inputs_BY Techs'!M17</f>
        <v>2.38</v>
      </c>
      <c r="T49" s="353">
        <f>'Key Inputs_BY Techs'!N17</f>
        <v>1.9753999999999998</v>
      </c>
      <c r="U49" s="353">
        <f>'Key Inputs_BY Techs'!O17</f>
        <v>1.9753999999999998</v>
      </c>
      <c r="V49" s="353">
        <f>'Key Inputs_BY Techs'!P17</f>
        <v>2.38</v>
      </c>
      <c r="W49" s="353">
        <f>'Key Inputs_BY Techs'!Q17</f>
        <v>2.6656</v>
      </c>
      <c r="X49" s="353">
        <f>'Key Inputs_BY Techs'!R17</f>
        <v>2.38</v>
      </c>
      <c r="Y49" s="353">
        <f>'Key Inputs_BY Techs'!S17</f>
        <v>2.6656</v>
      </c>
      <c r="Z49" s="353">
        <f>'Key Inputs_BY Techs'!T17</f>
        <v>1.9753999999999998</v>
      </c>
      <c r="AA49" s="353">
        <f>'Key Inputs_BY Techs'!U17</f>
        <v>2.6656</v>
      </c>
      <c r="AB49" s="353">
        <f>'Key Inputs_BY Techs'!V17</f>
        <v>2.6656</v>
      </c>
      <c r="AC49" s="353">
        <f>'Key Inputs_BY Techs'!W17</f>
        <v>2.6656</v>
      </c>
      <c r="AD49" s="353">
        <f>'Key Inputs_BY Techs'!X17</f>
        <v>1.9753999999999998</v>
      </c>
      <c r="AE49" s="353">
        <f>'Key Inputs_BY Techs'!Y17</f>
        <v>1.9753999999999998</v>
      </c>
      <c r="AF49" s="353">
        <f>'Key Inputs_BY Techs'!Z17</f>
        <v>1.9753999999999998</v>
      </c>
      <c r="AG49" s="353">
        <f>'Key Inputs_BY Techs'!AA17</f>
        <v>2.38</v>
      </c>
      <c r="AH49" s="353">
        <f>'Key Inputs_BY Techs'!AB17</f>
        <v>2.38</v>
      </c>
      <c r="AI49" s="353">
        <f>'Key Inputs_BY Techs'!AC17</f>
        <v>2.6656</v>
      </c>
      <c r="AJ49" s="353">
        <f>'Key Inputs_BY Techs'!AD17</f>
        <v>2.6656</v>
      </c>
      <c r="AK49" s="353">
        <f>'Key Inputs_BY Techs'!AE17</f>
        <v>2.6656</v>
      </c>
      <c r="AL49" s="353">
        <f>'Key Inputs_BY Techs'!AF17</f>
        <v>2.6656</v>
      </c>
      <c r="AM49" s="353">
        <f>'Key Inputs_BY Techs'!AG17</f>
        <v>2.6656</v>
      </c>
      <c r="AN49" s="353">
        <f>'Key Inputs_BY Techs'!AH17</f>
        <v>2.6656</v>
      </c>
      <c r="AO49" s="353">
        <f>'Key Inputs_BY Techs'!AI17</f>
        <v>1.9753999999999998</v>
      </c>
      <c r="AP49" s="353">
        <f>'Key Inputs_BY Techs'!AJ17</f>
        <v>1.9753999999999998</v>
      </c>
    </row>
    <row r="50" spans="1:42" x14ac:dyDescent="0.3">
      <c r="A50" s="499" t="str">
        <f t="shared" si="4"/>
        <v>Thermal uses</v>
      </c>
      <c r="B50" s="499" t="str">
        <f t="shared" si="4"/>
        <v>S-TH</v>
      </c>
      <c r="C50" s="499" t="str">
        <f t="shared" si="4"/>
        <v>Natural gas, Biogas</v>
      </c>
      <c r="D50" s="499" t="str">
        <f t="shared" si="4"/>
        <v>SRVGAS, SRVBGS</v>
      </c>
      <c r="E50" s="499" t="str">
        <f t="shared" si="6"/>
        <v>SRVGAS</v>
      </c>
      <c r="F50" s="499"/>
      <c r="G50" s="499"/>
      <c r="I50" s="353" t="str">
        <f t="shared" si="5"/>
        <v>S-TH-HPA_GAS00</v>
      </c>
      <c r="J50" s="353" t="str">
        <f t="shared" si="5"/>
        <v>SRV Thermal uses technology: Natural gas, Biogas - Existing</v>
      </c>
      <c r="K50" s="353"/>
      <c r="L50" s="353" t="s">
        <v>40</v>
      </c>
      <c r="M50" s="353" t="str">
        <f>'Key Inputs_BY Techs'!F18</f>
        <v>% (PJuseful/PJcons)</v>
      </c>
      <c r="N50" s="353"/>
      <c r="O50" s="353">
        <f>SUMIFS('Key Inputs_BY Techs'!I:I,'Key Inputs_BY Techs'!$A:$A,'SRV_BY Techs'!$L50,'Key Inputs_BY Techs'!$C:$C,'SRV_BY Techs'!$B50,'Key Inputs_BY Techs'!$E:$E,'SRV_BY Techs'!$D50)</f>
        <v>0.92707200000000012</v>
      </c>
      <c r="P50" s="353">
        <f>SUMIFS('Key Inputs_BY Techs'!J:J,'Key Inputs_BY Techs'!$A:$A,'SRV_BY Techs'!$L50,'Key Inputs_BY Techs'!$C:$C,'SRV_BY Techs'!$B50,'Key Inputs_BY Techs'!$E:$E,'SRV_BY Techs'!$D50)</f>
        <v>0.92707200000000012</v>
      </c>
      <c r="Q50" s="353">
        <f>SUMIFS('Key Inputs_BY Techs'!K:K,'Key Inputs_BY Techs'!$A:$A,'SRV_BY Techs'!$L50,'Key Inputs_BY Techs'!$C:$C,'SRV_BY Techs'!$B50,'Key Inputs_BY Techs'!$E:$E,'SRV_BY Techs'!$D50)</f>
        <v>0.92707200000000012</v>
      </c>
      <c r="R50" s="353">
        <f>SUMIFS('Key Inputs_BY Techs'!L:L,'Key Inputs_BY Techs'!$A:$A,'SRV_BY Techs'!$L50,'Key Inputs_BY Techs'!$C:$C,'SRV_BY Techs'!$B50,'Key Inputs_BY Techs'!$E:$E,'SRV_BY Techs'!$D50)</f>
        <v>0.92707200000000012</v>
      </c>
      <c r="S50" s="353">
        <f>SUMIFS('Key Inputs_BY Techs'!M:M,'Key Inputs_BY Techs'!$A:$A,'SRV_BY Techs'!$L50,'Key Inputs_BY Techs'!$C:$C,'SRV_BY Techs'!$B50,'Key Inputs_BY Techs'!$E:$E,'SRV_BY Techs'!$D50)</f>
        <v>0.92707200000000012</v>
      </c>
      <c r="T50" s="353">
        <f>SUMIFS('Key Inputs_BY Techs'!N:N,'Key Inputs_BY Techs'!$A:$A,'SRV_BY Techs'!$L50,'Key Inputs_BY Techs'!$C:$C,'SRV_BY Techs'!$B50,'Key Inputs_BY Techs'!$E:$E,'SRV_BY Techs'!$D50)</f>
        <v>0.92707200000000012</v>
      </c>
      <c r="U50" s="353">
        <f>SUMIFS('Key Inputs_BY Techs'!O:O,'Key Inputs_BY Techs'!$A:$A,'SRV_BY Techs'!$L50,'Key Inputs_BY Techs'!$C:$C,'SRV_BY Techs'!$B50,'Key Inputs_BY Techs'!$E:$E,'SRV_BY Techs'!$D50)</f>
        <v>0.92707200000000012</v>
      </c>
      <c r="V50" s="353">
        <f>SUMIFS('Key Inputs_BY Techs'!P:P,'Key Inputs_BY Techs'!$A:$A,'SRV_BY Techs'!$L50,'Key Inputs_BY Techs'!$C:$C,'SRV_BY Techs'!$B50,'Key Inputs_BY Techs'!$E:$E,'SRV_BY Techs'!$D50)</f>
        <v>0.92707200000000012</v>
      </c>
      <c r="W50" s="353">
        <f>SUMIFS('Key Inputs_BY Techs'!Q:Q,'Key Inputs_BY Techs'!$A:$A,'SRV_BY Techs'!$L50,'Key Inputs_BY Techs'!$C:$C,'SRV_BY Techs'!$B50,'Key Inputs_BY Techs'!$E:$E,'SRV_BY Techs'!$D50)</f>
        <v>0.92707200000000012</v>
      </c>
      <c r="X50" s="353">
        <f>SUMIFS('Key Inputs_BY Techs'!R:R,'Key Inputs_BY Techs'!$A:$A,'SRV_BY Techs'!$L50,'Key Inputs_BY Techs'!$C:$C,'SRV_BY Techs'!$B50,'Key Inputs_BY Techs'!$E:$E,'SRV_BY Techs'!$D50)</f>
        <v>0.92707200000000012</v>
      </c>
      <c r="Y50" s="353">
        <f>SUMIFS('Key Inputs_BY Techs'!S:S,'Key Inputs_BY Techs'!$A:$A,'SRV_BY Techs'!$L50,'Key Inputs_BY Techs'!$C:$C,'SRV_BY Techs'!$B50,'Key Inputs_BY Techs'!$E:$E,'SRV_BY Techs'!$D50)</f>
        <v>0.92707200000000012</v>
      </c>
      <c r="Z50" s="353">
        <f>SUMIFS('Key Inputs_BY Techs'!T:T,'Key Inputs_BY Techs'!$A:$A,'SRV_BY Techs'!$L50,'Key Inputs_BY Techs'!$C:$C,'SRV_BY Techs'!$B50,'Key Inputs_BY Techs'!$E:$E,'SRV_BY Techs'!$D50)</f>
        <v>0.92707200000000012</v>
      </c>
      <c r="AA50" s="353">
        <f>SUMIFS('Key Inputs_BY Techs'!U:U,'Key Inputs_BY Techs'!$A:$A,'SRV_BY Techs'!$L50,'Key Inputs_BY Techs'!$C:$C,'SRV_BY Techs'!$B50,'Key Inputs_BY Techs'!$E:$E,'SRV_BY Techs'!$D50)</f>
        <v>0.92707200000000012</v>
      </c>
      <c r="AB50" s="353">
        <f>SUMIFS('Key Inputs_BY Techs'!V:V,'Key Inputs_BY Techs'!$A:$A,'SRV_BY Techs'!$L50,'Key Inputs_BY Techs'!$C:$C,'SRV_BY Techs'!$B50,'Key Inputs_BY Techs'!$E:$E,'SRV_BY Techs'!$D50)</f>
        <v>0.92707200000000012</v>
      </c>
      <c r="AC50" s="353">
        <f>SUMIFS('Key Inputs_BY Techs'!W:W,'Key Inputs_BY Techs'!$A:$A,'SRV_BY Techs'!$L50,'Key Inputs_BY Techs'!$C:$C,'SRV_BY Techs'!$B50,'Key Inputs_BY Techs'!$E:$E,'SRV_BY Techs'!$D50)</f>
        <v>0.92707200000000012</v>
      </c>
      <c r="AD50" s="353">
        <f>SUMIFS('Key Inputs_BY Techs'!X:X,'Key Inputs_BY Techs'!$A:$A,'SRV_BY Techs'!$L50,'Key Inputs_BY Techs'!$C:$C,'SRV_BY Techs'!$B50,'Key Inputs_BY Techs'!$E:$E,'SRV_BY Techs'!$D50)</f>
        <v>0.92707200000000012</v>
      </c>
      <c r="AE50" s="353">
        <f>SUMIFS('Key Inputs_BY Techs'!Y:Y,'Key Inputs_BY Techs'!$A:$A,'SRV_BY Techs'!$L50,'Key Inputs_BY Techs'!$C:$C,'SRV_BY Techs'!$B50,'Key Inputs_BY Techs'!$E:$E,'SRV_BY Techs'!$D50)</f>
        <v>0.92707200000000012</v>
      </c>
      <c r="AF50" s="353">
        <f>SUMIFS('Key Inputs_BY Techs'!Z:Z,'Key Inputs_BY Techs'!$A:$A,'SRV_BY Techs'!$L50,'Key Inputs_BY Techs'!$C:$C,'SRV_BY Techs'!$B50,'Key Inputs_BY Techs'!$E:$E,'SRV_BY Techs'!$D50)</f>
        <v>0.92707200000000012</v>
      </c>
      <c r="AG50" s="353">
        <f>SUMIFS('Key Inputs_BY Techs'!AA:AA,'Key Inputs_BY Techs'!$A:$A,'SRV_BY Techs'!$L50,'Key Inputs_BY Techs'!$C:$C,'SRV_BY Techs'!$B50,'Key Inputs_BY Techs'!$E:$E,'SRV_BY Techs'!$D50)</f>
        <v>0.92707200000000012</v>
      </c>
      <c r="AH50" s="353">
        <f>SUMIFS('Key Inputs_BY Techs'!AB:AB,'Key Inputs_BY Techs'!$A:$A,'SRV_BY Techs'!$L50,'Key Inputs_BY Techs'!$C:$C,'SRV_BY Techs'!$B50,'Key Inputs_BY Techs'!$E:$E,'SRV_BY Techs'!$D50)</f>
        <v>0.92707200000000012</v>
      </c>
      <c r="AI50" s="353">
        <f>SUMIFS('Key Inputs_BY Techs'!AC:AC,'Key Inputs_BY Techs'!$A:$A,'SRV_BY Techs'!$L50,'Key Inputs_BY Techs'!$C:$C,'SRV_BY Techs'!$B50,'Key Inputs_BY Techs'!$E:$E,'SRV_BY Techs'!$D50)</f>
        <v>0.92707200000000012</v>
      </c>
      <c r="AJ50" s="353">
        <f>SUMIFS('Key Inputs_BY Techs'!AD:AD,'Key Inputs_BY Techs'!$A:$A,'SRV_BY Techs'!$L50,'Key Inputs_BY Techs'!$C:$C,'SRV_BY Techs'!$B50,'Key Inputs_BY Techs'!$E:$E,'SRV_BY Techs'!$D50)</f>
        <v>0.92707200000000012</v>
      </c>
      <c r="AK50" s="353">
        <f>SUMIFS('Key Inputs_BY Techs'!AE:AE,'Key Inputs_BY Techs'!$A:$A,'SRV_BY Techs'!$L50,'Key Inputs_BY Techs'!$C:$C,'SRV_BY Techs'!$B50,'Key Inputs_BY Techs'!$E:$E,'SRV_BY Techs'!$D50)</f>
        <v>0.92707200000000012</v>
      </c>
      <c r="AL50" s="353">
        <f>SUMIFS('Key Inputs_BY Techs'!AF:AF,'Key Inputs_BY Techs'!$A:$A,'SRV_BY Techs'!$L50,'Key Inputs_BY Techs'!$C:$C,'SRV_BY Techs'!$B50,'Key Inputs_BY Techs'!$E:$E,'SRV_BY Techs'!$D50)</f>
        <v>0.92707200000000012</v>
      </c>
      <c r="AM50" s="353">
        <f>SUMIFS('Key Inputs_BY Techs'!AG:AG,'Key Inputs_BY Techs'!$A:$A,'SRV_BY Techs'!$L50,'Key Inputs_BY Techs'!$C:$C,'SRV_BY Techs'!$B50,'Key Inputs_BY Techs'!$E:$E,'SRV_BY Techs'!$D50)</f>
        <v>0.92707200000000012</v>
      </c>
      <c r="AN50" s="353">
        <f>SUMIFS('Key Inputs_BY Techs'!AH:AH,'Key Inputs_BY Techs'!$A:$A,'SRV_BY Techs'!$L50,'Key Inputs_BY Techs'!$C:$C,'SRV_BY Techs'!$B50,'Key Inputs_BY Techs'!$E:$E,'SRV_BY Techs'!$D50)</f>
        <v>0.92707200000000012</v>
      </c>
      <c r="AO50" s="353">
        <f>SUMIFS('Key Inputs_BY Techs'!AI:AI,'Key Inputs_BY Techs'!$A:$A,'SRV_BY Techs'!$L50,'Key Inputs_BY Techs'!$C:$C,'SRV_BY Techs'!$B50,'Key Inputs_BY Techs'!$E:$E,'SRV_BY Techs'!$D50)</f>
        <v>0.92707200000000012</v>
      </c>
      <c r="AP50" s="353">
        <f>SUMIFS('Key Inputs_BY Techs'!AJ:AJ,'Key Inputs_BY Techs'!$A:$A,'SRV_BY Techs'!$L50,'Key Inputs_BY Techs'!$C:$C,'SRV_BY Techs'!$B50,'Key Inputs_BY Techs'!$E:$E,'SRV_BY Techs'!$D50)</f>
        <v>0.92707200000000012</v>
      </c>
    </row>
    <row r="51" spans="1:42" x14ac:dyDescent="0.3">
      <c r="A51" s="499" t="str">
        <f t="shared" si="4"/>
        <v>Thermal uses</v>
      </c>
      <c r="B51" s="499" t="str">
        <f t="shared" si="4"/>
        <v>S-TH</v>
      </c>
      <c r="C51" s="499" t="str">
        <f t="shared" si="4"/>
        <v>Geothermal</v>
      </c>
      <c r="D51" s="499" t="str">
        <f t="shared" si="4"/>
        <v>SRVGEO</v>
      </c>
      <c r="E51" s="499" t="str">
        <f t="shared" si="6"/>
        <v>SRVGEO</v>
      </c>
      <c r="F51" s="499"/>
      <c r="G51" s="499"/>
      <c r="I51" s="353" t="str">
        <f t="shared" si="5"/>
        <v>S-TH-HEX_GEO00</v>
      </c>
      <c r="J51" s="353" t="str">
        <f t="shared" si="5"/>
        <v>SRV Thermal uses technology: Geothermal - Existing</v>
      </c>
      <c r="K51" s="353"/>
      <c r="L51" s="353" t="s">
        <v>40</v>
      </c>
      <c r="M51" s="353" t="str">
        <f>'Key Inputs_BY Techs'!F19</f>
        <v>% (PJuseful/PJcons)</v>
      </c>
      <c r="N51" s="353"/>
      <c r="O51" s="353">
        <f>SUMIFS('Key Inputs_BY Techs'!I:I,'Key Inputs_BY Techs'!$A:$A,'SRV_BY Techs'!$L51,'Key Inputs_BY Techs'!$C:$C,'SRV_BY Techs'!$B51,'Key Inputs_BY Techs'!$E:$E,'SRV_BY Techs'!$D51)</f>
        <v>3.24</v>
      </c>
      <c r="P51" s="353">
        <f>SUMIFS('Key Inputs_BY Techs'!J:J,'Key Inputs_BY Techs'!$A:$A,'SRV_BY Techs'!$L51,'Key Inputs_BY Techs'!$C:$C,'SRV_BY Techs'!$B51,'Key Inputs_BY Techs'!$E:$E,'SRV_BY Techs'!$D51)</f>
        <v>3.24</v>
      </c>
      <c r="Q51" s="353">
        <f>SUMIFS('Key Inputs_BY Techs'!K:K,'Key Inputs_BY Techs'!$A:$A,'SRV_BY Techs'!$L51,'Key Inputs_BY Techs'!$C:$C,'SRV_BY Techs'!$B51,'Key Inputs_BY Techs'!$E:$E,'SRV_BY Techs'!$D51)</f>
        <v>3.24</v>
      </c>
      <c r="R51" s="353">
        <f>SUMIFS('Key Inputs_BY Techs'!L:L,'Key Inputs_BY Techs'!$A:$A,'SRV_BY Techs'!$L51,'Key Inputs_BY Techs'!$C:$C,'SRV_BY Techs'!$B51,'Key Inputs_BY Techs'!$E:$E,'SRV_BY Techs'!$D51)</f>
        <v>3.24</v>
      </c>
      <c r="S51" s="353">
        <f>SUMIFS('Key Inputs_BY Techs'!M:M,'Key Inputs_BY Techs'!$A:$A,'SRV_BY Techs'!$L51,'Key Inputs_BY Techs'!$C:$C,'SRV_BY Techs'!$B51,'Key Inputs_BY Techs'!$E:$E,'SRV_BY Techs'!$D51)</f>
        <v>3.24</v>
      </c>
      <c r="T51" s="353">
        <f>SUMIFS('Key Inputs_BY Techs'!N:N,'Key Inputs_BY Techs'!$A:$A,'SRV_BY Techs'!$L51,'Key Inputs_BY Techs'!$C:$C,'SRV_BY Techs'!$B51,'Key Inputs_BY Techs'!$E:$E,'SRV_BY Techs'!$D51)</f>
        <v>3.24</v>
      </c>
      <c r="U51" s="353">
        <f>SUMIFS('Key Inputs_BY Techs'!O:O,'Key Inputs_BY Techs'!$A:$A,'SRV_BY Techs'!$L51,'Key Inputs_BY Techs'!$C:$C,'SRV_BY Techs'!$B51,'Key Inputs_BY Techs'!$E:$E,'SRV_BY Techs'!$D51)</f>
        <v>3.24</v>
      </c>
      <c r="V51" s="353">
        <f>SUMIFS('Key Inputs_BY Techs'!P:P,'Key Inputs_BY Techs'!$A:$A,'SRV_BY Techs'!$L51,'Key Inputs_BY Techs'!$C:$C,'SRV_BY Techs'!$B51,'Key Inputs_BY Techs'!$E:$E,'SRV_BY Techs'!$D51)</f>
        <v>3.24</v>
      </c>
      <c r="W51" s="353">
        <f>SUMIFS('Key Inputs_BY Techs'!Q:Q,'Key Inputs_BY Techs'!$A:$A,'SRV_BY Techs'!$L51,'Key Inputs_BY Techs'!$C:$C,'SRV_BY Techs'!$B51,'Key Inputs_BY Techs'!$E:$E,'SRV_BY Techs'!$D51)</f>
        <v>3.24</v>
      </c>
      <c r="X51" s="353">
        <f>SUMIFS('Key Inputs_BY Techs'!R:R,'Key Inputs_BY Techs'!$A:$A,'SRV_BY Techs'!$L51,'Key Inputs_BY Techs'!$C:$C,'SRV_BY Techs'!$B51,'Key Inputs_BY Techs'!$E:$E,'SRV_BY Techs'!$D51)</f>
        <v>3.24</v>
      </c>
      <c r="Y51" s="353">
        <f>SUMIFS('Key Inputs_BY Techs'!S:S,'Key Inputs_BY Techs'!$A:$A,'SRV_BY Techs'!$L51,'Key Inputs_BY Techs'!$C:$C,'SRV_BY Techs'!$B51,'Key Inputs_BY Techs'!$E:$E,'SRV_BY Techs'!$D51)</f>
        <v>3.24</v>
      </c>
      <c r="Z51" s="353">
        <f>SUMIFS('Key Inputs_BY Techs'!T:T,'Key Inputs_BY Techs'!$A:$A,'SRV_BY Techs'!$L51,'Key Inputs_BY Techs'!$C:$C,'SRV_BY Techs'!$B51,'Key Inputs_BY Techs'!$E:$E,'SRV_BY Techs'!$D51)</f>
        <v>3.24</v>
      </c>
      <c r="AA51" s="353">
        <f>SUMIFS('Key Inputs_BY Techs'!U:U,'Key Inputs_BY Techs'!$A:$A,'SRV_BY Techs'!$L51,'Key Inputs_BY Techs'!$C:$C,'SRV_BY Techs'!$B51,'Key Inputs_BY Techs'!$E:$E,'SRV_BY Techs'!$D51)</f>
        <v>3.24</v>
      </c>
      <c r="AB51" s="353">
        <f>SUMIFS('Key Inputs_BY Techs'!V:V,'Key Inputs_BY Techs'!$A:$A,'SRV_BY Techs'!$L51,'Key Inputs_BY Techs'!$C:$C,'SRV_BY Techs'!$B51,'Key Inputs_BY Techs'!$E:$E,'SRV_BY Techs'!$D51)</f>
        <v>3.24</v>
      </c>
      <c r="AC51" s="353">
        <f>SUMIFS('Key Inputs_BY Techs'!W:W,'Key Inputs_BY Techs'!$A:$A,'SRV_BY Techs'!$L51,'Key Inputs_BY Techs'!$C:$C,'SRV_BY Techs'!$B51,'Key Inputs_BY Techs'!$E:$E,'SRV_BY Techs'!$D51)</f>
        <v>3.24</v>
      </c>
      <c r="AD51" s="353">
        <f>SUMIFS('Key Inputs_BY Techs'!X:X,'Key Inputs_BY Techs'!$A:$A,'SRV_BY Techs'!$L51,'Key Inputs_BY Techs'!$C:$C,'SRV_BY Techs'!$B51,'Key Inputs_BY Techs'!$E:$E,'SRV_BY Techs'!$D51)</f>
        <v>3.24</v>
      </c>
      <c r="AE51" s="353">
        <f>SUMIFS('Key Inputs_BY Techs'!Y:Y,'Key Inputs_BY Techs'!$A:$A,'SRV_BY Techs'!$L51,'Key Inputs_BY Techs'!$C:$C,'SRV_BY Techs'!$B51,'Key Inputs_BY Techs'!$E:$E,'SRV_BY Techs'!$D51)</f>
        <v>3.24</v>
      </c>
      <c r="AF51" s="353">
        <f>SUMIFS('Key Inputs_BY Techs'!Z:Z,'Key Inputs_BY Techs'!$A:$A,'SRV_BY Techs'!$L51,'Key Inputs_BY Techs'!$C:$C,'SRV_BY Techs'!$B51,'Key Inputs_BY Techs'!$E:$E,'SRV_BY Techs'!$D51)</f>
        <v>3.24</v>
      </c>
      <c r="AG51" s="353">
        <f>SUMIFS('Key Inputs_BY Techs'!AA:AA,'Key Inputs_BY Techs'!$A:$A,'SRV_BY Techs'!$L51,'Key Inputs_BY Techs'!$C:$C,'SRV_BY Techs'!$B51,'Key Inputs_BY Techs'!$E:$E,'SRV_BY Techs'!$D51)</f>
        <v>3.24</v>
      </c>
      <c r="AH51" s="353">
        <f>SUMIFS('Key Inputs_BY Techs'!AB:AB,'Key Inputs_BY Techs'!$A:$A,'SRV_BY Techs'!$L51,'Key Inputs_BY Techs'!$C:$C,'SRV_BY Techs'!$B51,'Key Inputs_BY Techs'!$E:$E,'SRV_BY Techs'!$D51)</f>
        <v>3.24</v>
      </c>
      <c r="AI51" s="353">
        <f>SUMIFS('Key Inputs_BY Techs'!AC:AC,'Key Inputs_BY Techs'!$A:$A,'SRV_BY Techs'!$L51,'Key Inputs_BY Techs'!$C:$C,'SRV_BY Techs'!$B51,'Key Inputs_BY Techs'!$E:$E,'SRV_BY Techs'!$D51)</f>
        <v>3.24</v>
      </c>
      <c r="AJ51" s="353">
        <f>SUMIFS('Key Inputs_BY Techs'!AD:AD,'Key Inputs_BY Techs'!$A:$A,'SRV_BY Techs'!$L51,'Key Inputs_BY Techs'!$C:$C,'SRV_BY Techs'!$B51,'Key Inputs_BY Techs'!$E:$E,'SRV_BY Techs'!$D51)</f>
        <v>3.24</v>
      </c>
      <c r="AK51" s="353">
        <f>SUMIFS('Key Inputs_BY Techs'!AE:AE,'Key Inputs_BY Techs'!$A:$A,'SRV_BY Techs'!$L51,'Key Inputs_BY Techs'!$C:$C,'SRV_BY Techs'!$B51,'Key Inputs_BY Techs'!$E:$E,'SRV_BY Techs'!$D51)</f>
        <v>3.24</v>
      </c>
      <c r="AL51" s="353">
        <f>SUMIFS('Key Inputs_BY Techs'!AF:AF,'Key Inputs_BY Techs'!$A:$A,'SRV_BY Techs'!$L51,'Key Inputs_BY Techs'!$C:$C,'SRV_BY Techs'!$B51,'Key Inputs_BY Techs'!$E:$E,'SRV_BY Techs'!$D51)</f>
        <v>3.24</v>
      </c>
      <c r="AM51" s="353">
        <f>SUMIFS('Key Inputs_BY Techs'!AG:AG,'Key Inputs_BY Techs'!$A:$A,'SRV_BY Techs'!$L51,'Key Inputs_BY Techs'!$C:$C,'SRV_BY Techs'!$B51,'Key Inputs_BY Techs'!$E:$E,'SRV_BY Techs'!$D51)</f>
        <v>3.24</v>
      </c>
      <c r="AN51" s="353">
        <f>SUMIFS('Key Inputs_BY Techs'!AH:AH,'Key Inputs_BY Techs'!$A:$A,'SRV_BY Techs'!$L51,'Key Inputs_BY Techs'!$C:$C,'SRV_BY Techs'!$B51,'Key Inputs_BY Techs'!$E:$E,'SRV_BY Techs'!$D51)</f>
        <v>3.24</v>
      </c>
      <c r="AO51" s="353">
        <f>SUMIFS('Key Inputs_BY Techs'!AI:AI,'Key Inputs_BY Techs'!$A:$A,'SRV_BY Techs'!$L51,'Key Inputs_BY Techs'!$C:$C,'SRV_BY Techs'!$B51,'Key Inputs_BY Techs'!$E:$E,'SRV_BY Techs'!$D51)</f>
        <v>3.24</v>
      </c>
      <c r="AP51" s="353">
        <f>SUMIFS('Key Inputs_BY Techs'!AJ:AJ,'Key Inputs_BY Techs'!$A:$A,'SRV_BY Techs'!$L51,'Key Inputs_BY Techs'!$C:$C,'SRV_BY Techs'!$B51,'Key Inputs_BY Techs'!$E:$E,'SRV_BY Techs'!$D51)</f>
        <v>3.24</v>
      </c>
    </row>
    <row r="52" spans="1:42" x14ac:dyDescent="0.3">
      <c r="A52" s="499" t="str">
        <f t="shared" si="4"/>
        <v>Thermal uses</v>
      </c>
      <c r="B52" s="499" t="str">
        <f t="shared" si="4"/>
        <v>S-TH</v>
      </c>
      <c r="C52" s="499" t="str">
        <f t="shared" si="4"/>
        <v>Heat</v>
      </c>
      <c r="D52" s="499" t="str">
        <f t="shared" si="4"/>
        <v>SRVHET</v>
      </c>
      <c r="E52" s="499" t="str">
        <f t="shared" si="6"/>
        <v>SRVHET</v>
      </c>
      <c r="F52" s="499"/>
      <c r="G52" s="499"/>
      <c r="I52" s="353" t="str">
        <f t="shared" si="5"/>
        <v>S-TH-HEX_HET00</v>
      </c>
      <c r="J52" s="353" t="str">
        <f t="shared" si="5"/>
        <v>SRV Thermal uses technology: Heat - Existing</v>
      </c>
      <c r="K52" s="353"/>
      <c r="L52" s="353" t="s">
        <v>40</v>
      </c>
      <c r="M52" s="353" t="str">
        <f>'Key Inputs_BY Techs'!F20</f>
        <v>% (PJuseful/PJcons)</v>
      </c>
      <c r="N52" s="353"/>
      <c r="O52" s="353">
        <f>SUMIFS('Key Inputs_BY Techs'!I:I,'Key Inputs_BY Techs'!$A:$A,'SRV_BY Techs'!$L52,'Key Inputs_BY Techs'!$C:$C,'SRV_BY Techs'!$B52,'Key Inputs_BY Techs'!$E:$E,'SRV_BY Techs'!$D52)</f>
        <v>0.65088799668073449</v>
      </c>
      <c r="P52" s="353">
        <f>SUMIFS('Key Inputs_BY Techs'!J:J,'Key Inputs_BY Techs'!$A:$A,'SRV_BY Techs'!$L52,'Key Inputs_BY Techs'!$C:$C,'SRV_BY Techs'!$B52,'Key Inputs_BY Techs'!$E:$E,'SRV_BY Techs'!$D52)</f>
        <v>0.65088799668073449</v>
      </c>
      <c r="Q52" s="353">
        <f>SUMIFS('Key Inputs_BY Techs'!K:K,'Key Inputs_BY Techs'!$A:$A,'SRV_BY Techs'!$L52,'Key Inputs_BY Techs'!$C:$C,'SRV_BY Techs'!$B52,'Key Inputs_BY Techs'!$E:$E,'SRV_BY Techs'!$D52)</f>
        <v>0.65088799668073449</v>
      </c>
      <c r="R52" s="353">
        <f>SUMIFS('Key Inputs_BY Techs'!L:L,'Key Inputs_BY Techs'!$A:$A,'SRV_BY Techs'!$L52,'Key Inputs_BY Techs'!$C:$C,'SRV_BY Techs'!$B52,'Key Inputs_BY Techs'!$E:$E,'SRV_BY Techs'!$D52)</f>
        <v>0.65088799668073449</v>
      </c>
      <c r="S52" s="353">
        <f>SUMIFS('Key Inputs_BY Techs'!M:M,'Key Inputs_BY Techs'!$A:$A,'SRV_BY Techs'!$L52,'Key Inputs_BY Techs'!$C:$C,'SRV_BY Techs'!$B52,'Key Inputs_BY Techs'!$E:$E,'SRV_BY Techs'!$D52)</f>
        <v>0.65088799668073449</v>
      </c>
      <c r="T52" s="353">
        <f>SUMIFS('Key Inputs_BY Techs'!N:N,'Key Inputs_BY Techs'!$A:$A,'SRV_BY Techs'!$L52,'Key Inputs_BY Techs'!$C:$C,'SRV_BY Techs'!$B52,'Key Inputs_BY Techs'!$E:$E,'SRV_BY Techs'!$D52)</f>
        <v>0.65088799668073449</v>
      </c>
      <c r="U52" s="353">
        <f>SUMIFS('Key Inputs_BY Techs'!O:O,'Key Inputs_BY Techs'!$A:$A,'SRV_BY Techs'!$L52,'Key Inputs_BY Techs'!$C:$C,'SRV_BY Techs'!$B52,'Key Inputs_BY Techs'!$E:$E,'SRV_BY Techs'!$D52)</f>
        <v>0.65088799668073449</v>
      </c>
      <c r="V52" s="353">
        <f>SUMIFS('Key Inputs_BY Techs'!P:P,'Key Inputs_BY Techs'!$A:$A,'SRV_BY Techs'!$L52,'Key Inputs_BY Techs'!$C:$C,'SRV_BY Techs'!$B52,'Key Inputs_BY Techs'!$E:$E,'SRV_BY Techs'!$D52)</f>
        <v>0.65088799668073449</v>
      </c>
      <c r="W52" s="353">
        <f>SUMIFS('Key Inputs_BY Techs'!Q:Q,'Key Inputs_BY Techs'!$A:$A,'SRV_BY Techs'!$L52,'Key Inputs_BY Techs'!$C:$C,'SRV_BY Techs'!$B52,'Key Inputs_BY Techs'!$E:$E,'SRV_BY Techs'!$D52)</f>
        <v>0.65088799668073449</v>
      </c>
      <c r="X52" s="353">
        <f>SUMIFS('Key Inputs_BY Techs'!R:R,'Key Inputs_BY Techs'!$A:$A,'SRV_BY Techs'!$L52,'Key Inputs_BY Techs'!$C:$C,'SRV_BY Techs'!$B52,'Key Inputs_BY Techs'!$E:$E,'SRV_BY Techs'!$D52)</f>
        <v>0.65088799668073449</v>
      </c>
      <c r="Y52" s="353">
        <f>SUMIFS('Key Inputs_BY Techs'!S:S,'Key Inputs_BY Techs'!$A:$A,'SRV_BY Techs'!$L52,'Key Inputs_BY Techs'!$C:$C,'SRV_BY Techs'!$B52,'Key Inputs_BY Techs'!$E:$E,'SRV_BY Techs'!$D52)</f>
        <v>0.65088799668073449</v>
      </c>
      <c r="Z52" s="353">
        <f>SUMIFS('Key Inputs_BY Techs'!T:T,'Key Inputs_BY Techs'!$A:$A,'SRV_BY Techs'!$L52,'Key Inputs_BY Techs'!$C:$C,'SRV_BY Techs'!$B52,'Key Inputs_BY Techs'!$E:$E,'SRV_BY Techs'!$D52)</f>
        <v>0.65088799668073449</v>
      </c>
      <c r="AA52" s="353">
        <f>SUMIFS('Key Inputs_BY Techs'!U:U,'Key Inputs_BY Techs'!$A:$A,'SRV_BY Techs'!$L52,'Key Inputs_BY Techs'!$C:$C,'SRV_BY Techs'!$B52,'Key Inputs_BY Techs'!$E:$E,'SRV_BY Techs'!$D52)</f>
        <v>0.65088799668073449</v>
      </c>
      <c r="AB52" s="353">
        <f>SUMIFS('Key Inputs_BY Techs'!V:V,'Key Inputs_BY Techs'!$A:$A,'SRV_BY Techs'!$L52,'Key Inputs_BY Techs'!$C:$C,'SRV_BY Techs'!$B52,'Key Inputs_BY Techs'!$E:$E,'SRV_BY Techs'!$D52)</f>
        <v>0.65088799668073449</v>
      </c>
      <c r="AC52" s="353">
        <f>SUMIFS('Key Inputs_BY Techs'!W:W,'Key Inputs_BY Techs'!$A:$A,'SRV_BY Techs'!$L52,'Key Inputs_BY Techs'!$C:$C,'SRV_BY Techs'!$B52,'Key Inputs_BY Techs'!$E:$E,'SRV_BY Techs'!$D52)</f>
        <v>0.65088799668073449</v>
      </c>
      <c r="AD52" s="353">
        <f>SUMIFS('Key Inputs_BY Techs'!X:X,'Key Inputs_BY Techs'!$A:$A,'SRV_BY Techs'!$L52,'Key Inputs_BY Techs'!$C:$C,'SRV_BY Techs'!$B52,'Key Inputs_BY Techs'!$E:$E,'SRV_BY Techs'!$D52)</f>
        <v>0.65088799668073449</v>
      </c>
      <c r="AE52" s="353">
        <f>SUMIFS('Key Inputs_BY Techs'!Y:Y,'Key Inputs_BY Techs'!$A:$A,'SRV_BY Techs'!$L52,'Key Inputs_BY Techs'!$C:$C,'SRV_BY Techs'!$B52,'Key Inputs_BY Techs'!$E:$E,'SRV_BY Techs'!$D52)</f>
        <v>0.65088799668073449</v>
      </c>
      <c r="AF52" s="353">
        <f>SUMIFS('Key Inputs_BY Techs'!Z:Z,'Key Inputs_BY Techs'!$A:$A,'SRV_BY Techs'!$L52,'Key Inputs_BY Techs'!$C:$C,'SRV_BY Techs'!$B52,'Key Inputs_BY Techs'!$E:$E,'SRV_BY Techs'!$D52)</f>
        <v>0.65088799668073449</v>
      </c>
      <c r="AG52" s="353">
        <f>SUMIFS('Key Inputs_BY Techs'!AA:AA,'Key Inputs_BY Techs'!$A:$A,'SRV_BY Techs'!$L52,'Key Inputs_BY Techs'!$C:$C,'SRV_BY Techs'!$B52,'Key Inputs_BY Techs'!$E:$E,'SRV_BY Techs'!$D52)</f>
        <v>0.65088799668073449</v>
      </c>
      <c r="AH52" s="353">
        <f>SUMIFS('Key Inputs_BY Techs'!AB:AB,'Key Inputs_BY Techs'!$A:$A,'SRV_BY Techs'!$L52,'Key Inputs_BY Techs'!$C:$C,'SRV_BY Techs'!$B52,'Key Inputs_BY Techs'!$E:$E,'SRV_BY Techs'!$D52)</f>
        <v>0.65088799668073449</v>
      </c>
      <c r="AI52" s="353">
        <f>SUMIFS('Key Inputs_BY Techs'!AC:AC,'Key Inputs_BY Techs'!$A:$A,'SRV_BY Techs'!$L52,'Key Inputs_BY Techs'!$C:$C,'SRV_BY Techs'!$B52,'Key Inputs_BY Techs'!$E:$E,'SRV_BY Techs'!$D52)</f>
        <v>0.65088799668073449</v>
      </c>
      <c r="AJ52" s="353">
        <f>SUMIFS('Key Inputs_BY Techs'!AD:AD,'Key Inputs_BY Techs'!$A:$A,'SRV_BY Techs'!$L52,'Key Inputs_BY Techs'!$C:$C,'SRV_BY Techs'!$B52,'Key Inputs_BY Techs'!$E:$E,'SRV_BY Techs'!$D52)</f>
        <v>0.65088799668073449</v>
      </c>
      <c r="AK52" s="353">
        <f>SUMIFS('Key Inputs_BY Techs'!AE:AE,'Key Inputs_BY Techs'!$A:$A,'SRV_BY Techs'!$L52,'Key Inputs_BY Techs'!$C:$C,'SRV_BY Techs'!$B52,'Key Inputs_BY Techs'!$E:$E,'SRV_BY Techs'!$D52)</f>
        <v>0.65088799668073449</v>
      </c>
      <c r="AL52" s="353">
        <f>SUMIFS('Key Inputs_BY Techs'!AF:AF,'Key Inputs_BY Techs'!$A:$A,'SRV_BY Techs'!$L52,'Key Inputs_BY Techs'!$C:$C,'SRV_BY Techs'!$B52,'Key Inputs_BY Techs'!$E:$E,'SRV_BY Techs'!$D52)</f>
        <v>0.65088799668073449</v>
      </c>
      <c r="AM52" s="353">
        <f>SUMIFS('Key Inputs_BY Techs'!AG:AG,'Key Inputs_BY Techs'!$A:$A,'SRV_BY Techs'!$L52,'Key Inputs_BY Techs'!$C:$C,'SRV_BY Techs'!$B52,'Key Inputs_BY Techs'!$E:$E,'SRV_BY Techs'!$D52)</f>
        <v>0.65088799668073449</v>
      </c>
      <c r="AN52" s="353">
        <f>SUMIFS('Key Inputs_BY Techs'!AH:AH,'Key Inputs_BY Techs'!$A:$A,'SRV_BY Techs'!$L52,'Key Inputs_BY Techs'!$C:$C,'SRV_BY Techs'!$B52,'Key Inputs_BY Techs'!$E:$E,'SRV_BY Techs'!$D52)</f>
        <v>0.65088799668073449</v>
      </c>
      <c r="AO52" s="353">
        <f>SUMIFS('Key Inputs_BY Techs'!AI:AI,'Key Inputs_BY Techs'!$A:$A,'SRV_BY Techs'!$L52,'Key Inputs_BY Techs'!$C:$C,'SRV_BY Techs'!$B52,'Key Inputs_BY Techs'!$E:$E,'SRV_BY Techs'!$D52)</f>
        <v>0.65088799668073449</v>
      </c>
      <c r="AP52" s="353">
        <f>SUMIFS('Key Inputs_BY Techs'!AJ:AJ,'Key Inputs_BY Techs'!$A:$A,'SRV_BY Techs'!$L52,'Key Inputs_BY Techs'!$C:$C,'SRV_BY Techs'!$B52,'Key Inputs_BY Techs'!$E:$E,'SRV_BY Techs'!$D52)</f>
        <v>0.65088799668073449</v>
      </c>
    </row>
    <row r="53" spans="1:42" x14ac:dyDescent="0.3">
      <c r="A53" s="499" t="str">
        <f t="shared" si="4"/>
        <v>Thermal uses</v>
      </c>
      <c r="B53" s="499" t="str">
        <f t="shared" si="4"/>
        <v>S-TH</v>
      </c>
      <c r="C53" s="499" t="str">
        <f t="shared" si="4"/>
        <v>LPG</v>
      </c>
      <c r="D53" s="499" t="str">
        <f t="shared" si="4"/>
        <v>SRVLPG</v>
      </c>
      <c r="E53" s="499" t="str">
        <f t="shared" si="6"/>
        <v>SRVLPG</v>
      </c>
      <c r="F53" s="499"/>
      <c r="G53" s="499"/>
      <c r="I53" s="353" t="str">
        <f t="shared" si="5"/>
        <v>S-TH-BLR_LPG00</v>
      </c>
      <c r="J53" s="353" t="str">
        <f t="shared" si="5"/>
        <v>SRV Thermal uses technology: LPG - Existing</v>
      </c>
      <c r="K53" s="353"/>
      <c r="L53" s="353" t="s">
        <v>40</v>
      </c>
      <c r="M53" s="353" t="str">
        <f>'Key Inputs_BY Techs'!F21</f>
        <v>% (PJuseful/PJcons)</v>
      </c>
      <c r="N53" s="353"/>
      <c r="O53" s="353">
        <f>SUMIFS('Key Inputs_BY Techs'!I:I,'Key Inputs_BY Techs'!$A:$A,'SRV_BY Techs'!$L53,'Key Inputs_BY Techs'!$C:$C,'SRV_BY Techs'!$B53,'Key Inputs_BY Techs'!$E:$E,'SRV_BY Techs'!$D53)</f>
        <v>0.70200000000000007</v>
      </c>
      <c r="P53" s="353">
        <f>SUMIFS('Key Inputs_BY Techs'!J:J,'Key Inputs_BY Techs'!$A:$A,'SRV_BY Techs'!$L53,'Key Inputs_BY Techs'!$C:$C,'SRV_BY Techs'!$B53,'Key Inputs_BY Techs'!$E:$E,'SRV_BY Techs'!$D53)</f>
        <v>0.70200000000000007</v>
      </c>
      <c r="Q53" s="353">
        <f>SUMIFS('Key Inputs_BY Techs'!K:K,'Key Inputs_BY Techs'!$A:$A,'SRV_BY Techs'!$L53,'Key Inputs_BY Techs'!$C:$C,'SRV_BY Techs'!$B53,'Key Inputs_BY Techs'!$E:$E,'SRV_BY Techs'!$D53)</f>
        <v>0.70200000000000007</v>
      </c>
      <c r="R53" s="353">
        <f>SUMIFS('Key Inputs_BY Techs'!L:L,'Key Inputs_BY Techs'!$A:$A,'SRV_BY Techs'!$L53,'Key Inputs_BY Techs'!$C:$C,'SRV_BY Techs'!$B53,'Key Inputs_BY Techs'!$E:$E,'SRV_BY Techs'!$D53)</f>
        <v>0.70200000000000007</v>
      </c>
      <c r="S53" s="353">
        <f>SUMIFS('Key Inputs_BY Techs'!M:M,'Key Inputs_BY Techs'!$A:$A,'SRV_BY Techs'!$L53,'Key Inputs_BY Techs'!$C:$C,'SRV_BY Techs'!$B53,'Key Inputs_BY Techs'!$E:$E,'SRV_BY Techs'!$D53)</f>
        <v>0.70200000000000007</v>
      </c>
      <c r="T53" s="353">
        <f>SUMIFS('Key Inputs_BY Techs'!N:N,'Key Inputs_BY Techs'!$A:$A,'SRV_BY Techs'!$L53,'Key Inputs_BY Techs'!$C:$C,'SRV_BY Techs'!$B53,'Key Inputs_BY Techs'!$E:$E,'SRV_BY Techs'!$D53)</f>
        <v>0.70200000000000007</v>
      </c>
      <c r="U53" s="353">
        <f>SUMIFS('Key Inputs_BY Techs'!O:O,'Key Inputs_BY Techs'!$A:$A,'SRV_BY Techs'!$L53,'Key Inputs_BY Techs'!$C:$C,'SRV_BY Techs'!$B53,'Key Inputs_BY Techs'!$E:$E,'SRV_BY Techs'!$D53)</f>
        <v>0.70200000000000007</v>
      </c>
      <c r="V53" s="353">
        <f>SUMIFS('Key Inputs_BY Techs'!P:P,'Key Inputs_BY Techs'!$A:$A,'SRV_BY Techs'!$L53,'Key Inputs_BY Techs'!$C:$C,'SRV_BY Techs'!$B53,'Key Inputs_BY Techs'!$E:$E,'SRV_BY Techs'!$D53)</f>
        <v>0.70200000000000007</v>
      </c>
      <c r="W53" s="353">
        <f>SUMIFS('Key Inputs_BY Techs'!Q:Q,'Key Inputs_BY Techs'!$A:$A,'SRV_BY Techs'!$L53,'Key Inputs_BY Techs'!$C:$C,'SRV_BY Techs'!$B53,'Key Inputs_BY Techs'!$E:$E,'SRV_BY Techs'!$D53)</f>
        <v>0.70200000000000007</v>
      </c>
      <c r="X53" s="353">
        <f>SUMIFS('Key Inputs_BY Techs'!R:R,'Key Inputs_BY Techs'!$A:$A,'SRV_BY Techs'!$L53,'Key Inputs_BY Techs'!$C:$C,'SRV_BY Techs'!$B53,'Key Inputs_BY Techs'!$E:$E,'SRV_BY Techs'!$D53)</f>
        <v>0.70200000000000007</v>
      </c>
      <c r="Y53" s="353">
        <f>SUMIFS('Key Inputs_BY Techs'!S:S,'Key Inputs_BY Techs'!$A:$A,'SRV_BY Techs'!$L53,'Key Inputs_BY Techs'!$C:$C,'SRV_BY Techs'!$B53,'Key Inputs_BY Techs'!$E:$E,'SRV_BY Techs'!$D53)</f>
        <v>0.70200000000000007</v>
      </c>
      <c r="Z53" s="353">
        <f>SUMIFS('Key Inputs_BY Techs'!T:T,'Key Inputs_BY Techs'!$A:$A,'SRV_BY Techs'!$L53,'Key Inputs_BY Techs'!$C:$C,'SRV_BY Techs'!$B53,'Key Inputs_BY Techs'!$E:$E,'SRV_BY Techs'!$D53)</f>
        <v>0.70200000000000007</v>
      </c>
      <c r="AA53" s="353">
        <f>SUMIFS('Key Inputs_BY Techs'!U:U,'Key Inputs_BY Techs'!$A:$A,'SRV_BY Techs'!$L53,'Key Inputs_BY Techs'!$C:$C,'SRV_BY Techs'!$B53,'Key Inputs_BY Techs'!$E:$E,'SRV_BY Techs'!$D53)</f>
        <v>0.70200000000000007</v>
      </c>
      <c r="AB53" s="353">
        <f>SUMIFS('Key Inputs_BY Techs'!V:V,'Key Inputs_BY Techs'!$A:$A,'SRV_BY Techs'!$L53,'Key Inputs_BY Techs'!$C:$C,'SRV_BY Techs'!$B53,'Key Inputs_BY Techs'!$E:$E,'SRV_BY Techs'!$D53)</f>
        <v>0.70200000000000007</v>
      </c>
      <c r="AC53" s="353">
        <f>SUMIFS('Key Inputs_BY Techs'!W:W,'Key Inputs_BY Techs'!$A:$A,'SRV_BY Techs'!$L53,'Key Inputs_BY Techs'!$C:$C,'SRV_BY Techs'!$B53,'Key Inputs_BY Techs'!$E:$E,'SRV_BY Techs'!$D53)</f>
        <v>0.70200000000000007</v>
      </c>
      <c r="AD53" s="353">
        <f>SUMIFS('Key Inputs_BY Techs'!X:X,'Key Inputs_BY Techs'!$A:$A,'SRV_BY Techs'!$L53,'Key Inputs_BY Techs'!$C:$C,'SRV_BY Techs'!$B53,'Key Inputs_BY Techs'!$E:$E,'SRV_BY Techs'!$D53)</f>
        <v>0.70200000000000007</v>
      </c>
      <c r="AE53" s="353">
        <f>SUMIFS('Key Inputs_BY Techs'!Y:Y,'Key Inputs_BY Techs'!$A:$A,'SRV_BY Techs'!$L53,'Key Inputs_BY Techs'!$C:$C,'SRV_BY Techs'!$B53,'Key Inputs_BY Techs'!$E:$E,'SRV_BY Techs'!$D53)</f>
        <v>0.70200000000000007</v>
      </c>
      <c r="AF53" s="353">
        <f>SUMIFS('Key Inputs_BY Techs'!Z:Z,'Key Inputs_BY Techs'!$A:$A,'SRV_BY Techs'!$L53,'Key Inputs_BY Techs'!$C:$C,'SRV_BY Techs'!$B53,'Key Inputs_BY Techs'!$E:$E,'SRV_BY Techs'!$D53)</f>
        <v>0.70200000000000007</v>
      </c>
      <c r="AG53" s="353">
        <f>SUMIFS('Key Inputs_BY Techs'!AA:AA,'Key Inputs_BY Techs'!$A:$A,'SRV_BY Techs'!$L53,'Key Inputs_BY Techs'!$C:$C,'SRV_BY Techs'!$B53,'Key Inputs_BY Techs'!$E:$E,'SRV_BY Techs'!$D53)</f>
        <v>0.70200000000000007</v>
      </c>
      <c r="AH53" s="353">
        <f>SUMIFS('Key Inputs_BY Techs'!AB:AB,'Key Inputs_BY Techs'!$A:$A,'SRV_BY Techs'!$L53,'Key Inputs_BY Techs'!$C:$C,'SRV_BY Techs'!$B53,'Key Inputs_BY Techs'!$E:$E,'SRV_BY Techs'!$D53)</f>
        <v>0.70200000000000007</v>
      </c>
      <c r="AI53" s="353">
        <f>SUMIFS('Key Inputs_BY Techs'!AC:AC,'Key Inputs_BY Techs'!$A:$A,'SRV_BY Techs'!$L53,'Key Inputs_BY Techs'!$C:$C,'SRV_BY Techs'!$B53,'Key Inputs_BY Techs'!$E:$E,'SRV_BY Techs'!$D53)</f>
        <v>0.70200000000000007</v>
      </c>
      <c r="AJ53" s="353">
        <f>SUMIFS('Key Inputs_BY Techs'!AD:AD,'Key Inputs_BY Techs'!$A:$A,'SRV_BY Techs'!$L53,'Key Inputs_BY Techs'!$C:$C,'SRV_BY Techs'!$B53,'Key Inputs_BY Techs'!$E:$E,'SRV_BY Techs'!$D53)</f>
        <v>0.70200000000000007</v>
      </c>
      <c r="AK53" s="353">
        <f>SUMIFS('Key Inputs_BY Techs'!AE:AE,'Key Inputs_BY Techs'!$A:$A,'SRV_BY Techs'!$L53,'Key Inputs_BY Techs'!$C:$C,'SRV_BY Techs'!$B53,'Key Inputs_BY Techs'!$E:$E,'SRV_BY Techs'!$D53)</f>
        <v>0.70200000000000007</v>
      </c>
      <c r="AL53" s="353">
        <f>SUMIFS('Key Inputs_BY Techs'!AF:AF,'Key Inputs_BY Techs'!$A:$A,'SRV_BY Techs'!$L53,'Key Inputs_BY Techs'!$C:$C,'SRV_BY Techs'!$B53,'Key Inputs_BY Techs'!$E:$E,'SRV_BY Techs'!$D53)</f>
        <v>0.70200000000000007</v>
      </c>
      <c r="AM53" s="353">
        <f>SUMIFS('Key Inputs_BY Techs'!AG:AG,'Key Inputs_BY Techs'!$A:$A,'SRV_BY Techs'!$L53,'Key Inputs_BY Techs'!$C:$C,'SRV_BY Techs'!$B53,'Key Inputs_BY Techs'!$E:$E,'SRV_BY Techs'!$D53)</f>
        <v>0.70200000000000007</v>
      </c>
      <c r="AN53" s="353">
        <f>SUMIFS('Key Inputs_BY Techs'!AH:AH,'Key Inputs_BY Techs'!$A:$A,'SRV_BY Techs'!$L53,'Key Inputs_BY Techs'!$C:$C,'SRV_BY Techs'!$B53,'Key Inputs_BY Techs'!$E:$E,'SRV_BY Techs'!$D53)</f>
        <v>0.70200000000000007</v>
      </c>
      <c r="AO53" s="353">
        <f>SUMIFS('Key Inputs_BY Techs'!AI:AI,'Key Inputs_BY Techs'!$A:$A,'SRV_BY Techs'!$L53,'Key Inputs_BY Techs'!$C:$C,'SRV_BY Techs'!$B53,'Key Inputs_BY Techs'!$E:$E,'SRV_BY Techs'!$D53)</f>
        <v>0.70200000000000007</v>
      </c>
      <c r="AP53" s="353">
        <f>SUMIFS('Key Inputs_BY Techs'!AJ:AJ,'Key Inputs_BY Techs'!$A:$A,'SRV_BY Techs'!$L53,'Key Inputs_BY Techs'!$C:$C,'SRV_BY Techs'!$B53,'Key Inputs_BY Techs'!$E:$E,'SRV_BY Techs'!$D53)</f>
        <v>0.70200000000000007</v>
      </c>
    </row>
    <row r="54" spans="1:42" x14ac:dyDescent="0.3">
      <c r="A54" s="499" t="str">
        <f t="shared" si="4"/>
        <v>Thermal uses</v>
      </c>
      <c r="B54" s="499" t="str">
        <f t="shared" si="4"/>
        <v>S-TH</v>
      </c>
      <c r="C54" s="499" t="str">
        <f t="shared" si="4"/>
        <v>Oil, Liquid biofuels</v>
      </c>
      <c r="D54" s="499" t="str">
        <f t="shared" si="4"/>
        <v>SRVOIL, SRVBLQ</v>
      </c>
      <c r="E54" s="499" t="str">
        <f t="shared" si="6"/>
        <v>SRVOIL</v>
      </c>
      <c r="F54" s="499"/>
      <c r="G54" s="499"/>
      <c r="I54" s="353" t="str">
        <f t="shared" si="5"/>
        <v>S-TH-BLR_OIL00</v>
      </c>
      <c r="J54" s="353" t="str">
        <f t="shared" si="5"/>
        <v>SRV Thermal uses technology: Oil, Liquid biofuels - Existing</v>
      </c>
      <c r="K54" s="353"/>
      <c r="L54" s="353" t="s">
        <v>40</v>
      </c>
      <c r="M54" s="353" t="str">
        <f>'Key Inputs_BY Techs'!F22</f>
        <v>% (PJuseful/PJcons)</v>
      </c>
      <c r="N54" s="353"/>
      <c r="O54" s="353">
        <f>SUMIFS('Key Inputs_BY Techs'!I:I,'Key Inputs_BY Techs'!$A:$A,'SRV_BY Techs'!$L54,'Key Inputs_BY Techs'!$C:$C,'SRV_BY Techs'!$B54,'Key Inputs_BY Techs'!$E:$E,'SRV_BY Techs'!$D54)</f>
        <v>0.70200000000000007</v>
      </c>
      <c r="P54" s="353">
        <f>SUMIFS('Key Inputs_BY Techs'!J:J,'Key Inputs_BY Techs'!$A:$A,'SRV_BY Techs'!$L54,'Key Inputs_BY Techs'!$C:$C,'SRV_BY Techs'!$B54,'Key Inputs_BY Techs'!$E:$E,'SRV_BY Techs'!$D54)</f>
        <v>0.70200000000000007</v>
      </c>
      <c r="Q54" s="353">
        <f>SUMIFS('Key Inputs_BY Techs'!K:K,'Key Inputs_BY Techs'!$A:$A,'SRV_BY Techs'!$L54,'Key Inputs_BY Techs'!$C:$C,'SRV_BY Techs'!$B54,'Key Inputs_BY Techs'!$E:$E,'SRV_BY Techs'!$D54)</f>
        <v>0.70200000000000007</v>
      </c>
      <c r="R54" s="353">
        <f>SUMIFS('Key Inputs_BY Techs'!L:L,'Key Inputs_BY Techs'!$A:$A,'SRV_BY Techs'!$L54,'Key Inputs_BY Techs'!$C:$C,'SRV_BY Techs'!$B54,'Key Inputs_BY Techs'!$E:$E,'SRV_BY Techs'!$D54)</f>
        <v>0.70200000000000007</v>
      </c>
      <c r="S54" s="353">
        <f>SUMIFS('Key Inputs_BY Techs'!M:M,'Key Inputs_BY Techs'!$A:$A,'SRV_BY Techs'!$L54,'Key Inputs_BY Techs'!$C:$C,'SRV_BY Techs'!$B54,'Key Inputs_BY Techs'!$E:$E,'SRV_BY Techs'!$D54)</f>
        <v>0.70200000000000007</v>
      </c>
      <c r="T54" s="353">
        <f>SUMIFS('Key Inputs_BY Techs'!N:N,'Key Inputs_BY Techs'!$A:$A,'SRV_BY Techs'!$L54,'Key Inputs_BY Techs'!$C:$C,'SRV_BY Techs'!$B54,'Key Inputs_BY Techs'!$E:$E,'SRV_BY Techs'!$D54)</f>
        <v>0.70200000000000007</v>
      </c>
      <c r="U54" s="353">
        <f>SUMIFS('Key Inputs_BY Techs'!O:O,'Key Inputs_BY Techs'!$A:$A,'SRV_BY Techs'!$L54,'Key Inputs_BY Techs'!$C:$C,'SRV_BY Techs'!$B54,'Key Inputs_BY Techs'!$E:$E,'SRV_BY Techs'!$D54)</f>
        <v>0.70200000000000007</v>
      </c>
      <c r="V54" s="353">
        <f>SUMIFS('Key Inputs_BY Techs'!P:P,'Key Inputs_BY Techs'!$A:$A,'SRV_BY Techs'!$L54,'Key Inputs_BY Techs'!$C:$C,'SRV_BY Techs'!$B54,'Key Inputs_BY Techs'!$E:$E,'SRV_BY Techs'!$D54)</f>
        <v>0.70200000000000007</v>
      </c>
      <c r="W54" s="353">
        <f>SUMIFS('Key Inputs_BY Techs'!Q:Q,'Key Inputs_BY Techs'!$A:$A,'SRV_BY Techs'!$L54,'Key Inputs_BY Techs'!$C:$C,'SRV_BY Techs'!$B54,'Key Inputs_BY Techs'!$E:$E,'SRV_BY Techs'!$D54)</f>
        <v>0.70200000000000007</v>
      </c>
      <c r="X54" s="353">
        <f>SUMIFS('Key Inputs_BY Techs'!R:R,'Key Inputs_BY Techs'!$A:$A,'SRV_BY Techs'!$L54,'Key Inputs_BY Techs'!$C:$C,'SRV_BY Techs'!$B54,'Key Inputs_BY Techs'!$E:$E,'SRV_BY Techs'!$D54)</f>
        <v>0.70200000000000007</v>
      </c>
      <c r="Y54" s="353">
        <f>SUMIFS('Key Inputs_BY Techs'!S:S,'Key Inputs_BY Techs'!$A:$A,'SRV_BY Techs'!$L54,'Key Inputs_BY Techs'!$C:$C,'SRV_BY Techs'!$B54,'Key Inputs_BY Techs'!$E:$E,'SRV_BY Techs'!$D54)</f>
        <v>0.70200000000000007</v>
      </c>
      <c r="Z54" s="353">
        <f>SUMIFS('Key Inputs_BY Techs'!T:T,'Key Inputs_BY Techs'!$A:$A,'SRV_BY Techs'!$L54,'Key Inputs_BY Techs'!$C:$C,'SRV_BY Techs'!$B54,'Key Inputs_BY Techs'!$E:$E,'SRV_BY Techs'!$D54)</f>
        <v>0.70200000000000007</v>
      </c>
      <c r="AA54" s="353">
        <f>SUMIFS('Key Inputs_BY Techs'!U:U,'Key Inputs_BY Techs'!$A:$A,'SRV_BY Techs'!$L54,'Key Inputs_BY Techs'!$C:$C,'SRV_BY Techs'!$B54,'Key Inputs_BY Techs'!$E:$E,'SRV_BY Techs'!$D54)</f>
        <v>0.70200000000000007</v>
      </c>
      <c r="AB54" s="353">
        <f>SUMIFS('Key Inputs_BY Techs'!V:V,'Key Inputs_BY Techs'!$A:$A,'SRV_BY Techs'!$L54,'Key Inputs_BY Techs'!$C:$C,'SRV_BY Techs'!$B54,'Key Inputs_BY Techs'!$E:$E,'SRV_BY Techs'!$D54)</f>
        <v>0.70200000000000007</v>
      </c>
      <c r="AC54" s="353">
        <f>SUMIFS('Key Inputs_BY Techs'!W:W,'Key Inputs_BY Techs'!$A:$A,'SRV_BY Techs'!$L54,'Key Inputs_BY Techs'!$C:$C,'SRV_BY Techs'!$B54,'Key Inputs_BY Techs'!$E:$E,'SRV_BY Techs'!$D54)</f>
        <v>0.70200000000000007</v>
      </c>
      <c r="AD54" s="353">
        <f>SUMIFS('Key Inputs_BY Techs'!X:X,'Key Inputs_BY Techs'!$A:$A,'SRV_BY Techs'!$L54,'Key Inputs_BY Techs'!$C:$C,'SRV_BY Techs'!$B54,'Key Inputs_BY Techs'!$E:$E,'SRV_BY Techs'!$D54)</f>
        <v>0.70200000000000007</v>
      </c>
      <c r="AE54" s="353">
        <f>SUMIFS('Key Inputs_BY Techs'!Y:Y,'Key Inputs_BY Techs'!$A:$A,'SRV_BY Techs'!$L54,'Key Inputs_BY Techs'!$C:$C,'SRV_BY Techs'!$B54,'Key Inputs_BY Techs'!$E:$E,'SRV_BY Techs'!$D54)</f>
        <v>0.70200000000000007</v>
      </c>
      <c r="AF54" s="353">
        <f>SUMIFS('Key Inputs_BY Techs'!Z:Z,'Key Inputs_BY Techs'!$A:$A,'SRV_BY Techs'!$L54,'Key Inputs_BY Techs'!$C:$C,'SRV_BY Techs'!$B54,'Key Inputs_BY Techs'!$E:$E,'SRV_BY Techs'!$D54)</f>
        <v>0.70200000000000007</v>
      </c>
      <c r="AG54" s="353">
        <f>SUMIFS('Key Inputs_BY Techs'!AA:AA,'Key Inputs_BY Techs'!$A:$A,'SRV_BY Techs'!$L54,'Key Inputs_BY Techs'!$C:$C,'SRV_BY Techs'!$B54,'Key Inputs_BY Techs'!$E:$E,'SRV_BY Techs'!$D54)</f>
        <v>0.70200000000000007</v>
      </c>
      <c r="AH54" s="353">
        <f>SUMIFS('Key Inputs_BY Techs'!AB:AB,'Key Inputs_BY Techs'!$A:$A,'SRV_BY Techs'!$L54,'Key Inputs_BY Techs'!$C:$C,'SRV_BY Techs'!$B54,'Key Inputs_BY Techs'!$E:$E,'SRV_BY Techs'!$D54)</f>
        <v>0.70200000000000007</v>
      </c>
      <c r="AI54" s="353">
        <f>SUMIFS('Key Inputs_BY Techs'!AC:AC,'Key Inputs_BY Techs'!$A:$A,'SRV_BY Techs'!$L54,'Key Inputs_BY Techs'!$C:$C,'SRV_BY Techs'!$B54,'Key Inputs_BY Techs'!$E:$E,'SRV_BY Techs'!$D54)</f>
        <v>0.70200000000000007</v>
      </c>
      <c r="AJ54" s="353">
        <f>SUMIFS('Key Inputs_BY Techs'!AD:AD,'Key Inputs_BY Techs'!$A:$A,'SRV_BY Techs'!$L54,'Key Inputs_BY Techs'!$C:$C,'SRV_BY Techs'!$B54,'Key Inputs_BY Techs'!$E:$E,'SRV_BY Techs'!$D54)</f>
        <v>0.70200000000000007</v>
      </c>
      <c r="AK54" s="353">
        <f>SUMIFS('Key Inputs_BY Techs'!AE:AE,'Key Inputs_BY Techs'!$A:$A,'SRV_BY Techs'!$L54,'Key Inputs_BY Techs'!$C:$C,'SRV_BY Techs'!$B54,'Key Inputs_BY Techs'!$E:$E,'SRV_BY Techs'!$D54)</f>
        <v>0.70200000000000007</v>
      </c>
      <c r="AL54" s="353">
        <f>SUMIFS('Key Inputs_BY Techs'!AF:AF,'Key Inputs_BY Techs'!$A:$A,'SRV_BY Techs'!$L54,'Key Inputs_BY Techs'!$C:$C,'SRV_BY Techs'!$B54,'Key Inputs_BY Techs'!$E:$E,'SRV_BY Techs'!$D54)</f>
        <v>0.70200000000000007</v>
      </c>
      <c r="AM54" s="353">
        <f>SUMIFS('Key Inputs_BY Techs'!AG:AG,'Key Inputs_BY Techs'!$A:$A,'SRV_BY Techs'!$L54,'Key Inputs_BY Techs'!$C:$C,'SRV_BY Techs'!$B54,'Key Inputs_BY Techs'!$E:$E,'SRV_BY Techs'!$D54)</f>
        <v>0.70200000000000007</v>
      </c>
      <c r="AN54" s="353">
        <f>SUMIFS('Key Inputs_BY Techs'!AH:AH,'Key Inputs_BY Techs'!$A:$A,'SRV_BY Techs'!$L54,'Key Inputs_BY Techs'!$C:$C,'SRV_BY Techs'!$B54,'Key Inputs_BY Techs'!$E:$E,'SRV_BY Techs'!$D54)</f>
        <v>0.70200000000000007</v>
      </c>
      <c r="AO54" s="353">
        <f>SUMIFS('Key Inputs_BY Techs'!AI:AI,'Key Inputs_BY Techs'!$A:$A,'SRV_BY Techs'!$L54,'Key Inputs_BY Techs'!$C:$C,'SRV_BY Techs'!$B54,'Key Inputs_BY Techs'!$E:$E,'SRV_BY Techs'!$D54)</f>
        <v>0.70200000000000007</v>
      </c>
      <c r="AP54" s="353">
        <f>SUMIFS('Key Inputs_BY Techs'!AJ:AJ,'Key Inputs_BY Techs'!$A:$A,'SRV_BY Techs'!$L54,'Key Inputs_BY Techs'!$C:$C,'SRV_BY Techs'!$B54,'Key Inputs_BY Techs'!$E:$E,'SRV_BY Techs'!$D54)</f>
        <v>0.70200000000000007</v>
      </c>
    </row>
    <row r="55" spans="1:42" x14ac:dyDescent="0.3">
      <c r="A55" s="499" t="str">
        <f t="shared" si="4"/>
        <v>Thermal uses</v>
      </c>
      <c r="B55" s="499" t="str">
        <f t="shared" si="4"/>
        <v>S-TH</v>
      </c>
      <c r="C55" s="499" t="str">
        <f t="shared" si="4"/>
        <v>Solar</v>
      </c>
      <c r="D55" s="499" t="str">
        <f t="shared" si="4"/>
        <v>SRVSOL</v>
      </c>
      <c r="E55" s="499" t="str">
        <f t="shared" si="6"/>
        <v>SRVSOL</v>
      </c>
      <c r="F55" s="499"/>
      <c r="G55" s="499"/>
      <c r="I55" s="356" t="str">
        <f t="shared" si="5"/>
        <v>S-TH-STV_SOL00</v>
      </c>
      <c r="J55" s="356" t="str">
        <f t="shared" si="5"/>
        <v>SRV Thermal uses technology: Solar - Existing</v>
      </c>
      <c r="K55" s="356"/>
      <c r="L55" s="356" t="s">
        <v>40</v>
      </c>
      <c r="M55" s="356" t="str">
        <f>'Key Inputs_BY Techs'!F23</f>
        <v>% (PJuseful/PJcons)</v>
      </c>
      <c r="N55" s="356"/>
      <c r="O55" s="356">
        <f>SUMIFS('Key Inputs_BY Techs'!I:I,'Key Inputs_BY Techs'!$A:$A,'SRV_BY Techs'!$L55,'Key Inputs_BY Techs'!$C:$C,'SRV_BY Techs'!$B55,'Key Inputs_BY Techs'!$E:$E,'SRV_BY Techs'!$D55)</f>
        <v>0.9</v>
      </c>
      <c r="P55" s="356">
        <f>SUMIFS('Key Inputs_BY Techs'!J:J,'Key Inputs_BY Techs'!$A:$A,'SRV_BY Techs'!$L55,'Key Inputs_BY Techs'!$C:$C,'SRV_BY Techs'!$B55,'Key Inputs_BY Techs'!$E:$E,'SRV_BY Techs'!$D55)</f>
        <v>0.9</v>
      </c>
      <c r="Q55" s="356">
        <f>SUMIFS('Key Inputs_BY Techs'!K:K,'Key Inputs_BY Techs'!$A:$A,'SRV_BY Techs'!$L55,'Key Inputs_BY Techs'!$C:$C,'SRV_BY Techs'!$B55,'Key Inputs_BY Techs'!$E:$E,'SRV_BY Techs'!$D55)</f>
        <v>0.9</v>
      </c>
      <c r="R55" s="356">
        <f>SUMIFS('Key Inputs_BY Techs'!L:L,'Key Inputs_BY Techs'!$A:$A,'SRV_BY Techs'!$L55,'Key Inputs_BY Techs'!$C:$C,'SRV_BY Techs'!$B55,'Key Inputs_BY Techs'!$E:$E,'SRV_BY Techs'!$D55)</f>
        <v>0.9</v>
      </c>
      <c r="S55" s="356">
        <f>SUMIFS('Key Inputs_BY Techs'!M:M,'Key Inputs_BY Techs'!$A:$A,'SRV_BY Techs'!$L55,'Key Inputs_BY Techs'!$C:$C,'SRV_BY Techs'!$B55,'Key Inputs_BY Techs'!$E:$E,'SRV_BY Techs'!$D55)</f>
        <v>0.9</v>
      </c>
      <c r="T55" s="356">
        <f>SUMIFS('Key Inputs_BY Techs'!N:N,'Key Inputs_BY Techs'!$A:$A,'SRV_BY Techs'!$L55,'Key Inputs_BY Techs'!$C:$C,'SRV_BY Techs'!$B55,'Key Inputs_BY Techs'!$E:$E,'SRV_BY Techs'!$D55)</f>
        <v>0.9</v>
      </c>
      <c r="U55" s="356">
        <f>SUMIFS('Key Inputs_BY Techs'!O:O,'Key Inputs_BY Techs'!$A:$A,'SRV_BY Techs'!$L55,'Key Inputs_BY Techs'!$C:$C,'SRV_BY Techs'!$B55,'Key Inputs_BY Techs'!$E:$E,'SRV_BY Techs'!$D55)</f>
        <v>0.9</v>
      </c>
      <c r="V55" s="356">
        <f>SUMIFS('Key Inputs_BY Techs'!P:P,'Key Inputs_BY Techs'!$A:$A,'SRV_BY Techs'!$L55,'Key Inputs_BY Techs'!$C:$C,'SRV_BY Techs'!$B55,'Key Inputs_BY Techs'!$E:$E,'SRV_BY Techs'!$D55)</f>
        <v>0.9</v>
      </c>
      <c r="W55" s="356">
        <f>SUMIFS('Key Inputs_BY Techs'!Q:Q,'Key Inputs_BY Techs'!$A:$A,'SRV_BY Techs'!$L55,'Key Inputs_BY Techs'!$C:$C,'SRV_BY Techs'!$B55,'Key Inputs_BY Techs'!$E:$E,'SRV_BY Techs'!$D55)</f>
        <v>0.9</v>
      </c>
      <c r="X55" s="356">
        <f>SUMIFS('Key Inputs_BY Techs'!R:R,'Key Inputs_BY Techs'!$A:$A,'SRV_BY Techs'!$L55,'Key Inputs_BY Techs'!$C:$C,'SRV_BY Techs'!$B55,'Key Inputs_BY Techs'!$E:$E,'SRV_BY Techs'!$D55)</f>
        <v>0.9</v>
      </c>
      <c r="Y55" s="356">
        <f>SUMIFS('Key Inputs_BY Techs'!S:S,'Key Inputs_BY Techs'!$A:$A,'SRV_BY Techs'!$L55,'Key Inputs_BY Techs'!$C:$C,'SRV_BY Techs'!$B55,'Key Inputs_BY Techs'!$E:$E,'SRV_BY Techs'!$D55)</f>
        <v>0.9</v>
      </c>
      <c r="Z55" s="356">
        <f>SUMIFS('Key Inputs_BY Techs'!T:T,'Key Inputs_BY Techs'!$A:$A,'SRV_BY Techs'!$L55,'Key Inputs_BY Techs'!$C:$C,'SRV_BY Techs'!$B55,'Key Inputs_BY Techs'!$E:$E,'SRV_BY Techs'!$D55)</f>
        <v>0.9</v>
      </c>
      <c r="AA55" s="356">
        <f>SUMIFS('Key Inputs_BY Techs'!U:U,'Key Inputs_BY Techs'!$A:$A,'SRV_BY Techs'!$L55,'Key Inputs_BY Techs'!$C:$C,'SRV_BY Techs'!$B55,'Key Inputs_BY Techs'!$E:$E,'SRV_BY Techs'!$D55)</f>
        <v>0.9</v>
      </c>
      <c r="AB55" s="356">
        <f>SUMIFS('Key Inputs_BY Techs'!V:V,'Key Inputs_BY Techs'!$A:$A,'SRV_BY Techs'!$L55,'Key Inputs_BY Techs'!$C:$C,'SRV_BY Techs'!$B55,'Key Inputs_BY Techs'!$E:$E,'SRV_BY Techs'!$D55)</f>
        <v>0.9</v>
      </c>
      <c r="AC55" s="356">
        <f>SUMIFS('Key Inputs_BY Techs'!W:W,'Key Inputs_BY Techs'!$A:$A,'SRV_BY Techs'!$L55,'Key Inputs_BY Techs'!$C:$C,'SRV_BY Techs'!$B55,'Key Inputs_BY Techs'!$E:$E,'SRV_BY Techs'!$D55)</f>
        <v>0.9</v>
      </c>
      <c r="AD55" s="356">
        <f>SUMIFS('Key Inputs_BY Techs'!X:X,'Key Inputs_BY Techs'!$A:$A,'SRV_BY Techs'!$L55,'Key Inputs_BY Techs'!$C:$C,'SRV_BY Techs'!$B55,'Key Inputs_BY Techs'!$E:$E,'SRV_BY Techs'!$D55)</f>
        <v>0.9</v>
      </c>
      <c r="AE55" s="356">
        <f>SUMIFS('Key Inputs_BY Techs'!Y:Y,'Key Inputs_BY Techs'!$A:$A,'SRV_BY Techs'!$L55,'Key Inputs_BY Techs'!$C:$C,'SRV_BY Techs'!$B55,'Key Inputs_BY Techs'!$E:$E,'SRV_BY Techs'!$D55)</f>
        <v>0.9</v>
      </c>
      <c r="AF55" s="356">
        <f>SUMIFS('Key Inputs_BY Techs'!Z:Z,'Key Inputs_BY Techs'!$A:$A,'SRV_BY Techs'!$L55,'Key Inputs_BY Techs'!$C:$C,'SRV_BY Techs'!$B55,'Key Inputs_BY Techs'!$E:$E,'SRV_BY Techs'!$D55)</f>
        <v>0.9</v>
      </c>
      <c r="AG55" s="356">
        <f>SUMIFS('Key Inputs_BY Techs'!AA:AA,'Key Inputs_BY Techs'!$A:$A,'SRV_BY Techs'!$L55,'Key Inputs_BY Techs'!$C:$C,'SRV_BY Techs'!$B55,'Key Inputs_BY Techs'!$E:$E,'SRV_BY Techs'!$D55)</f>
        <v>0.9</v>
      </c>
      <c r="AH55" s="356">
        <f>SUMIFS('Key Inputs_BY Techs'!AB:AB,'Key Inputs_BY Techs'!$A:$A,'SRV_BY Techs'!$L55,'Key Inputs_BY Techs'!$C:$C,'SRV_BY Techs'!$B55,'Key Inputs_BY Techs'!$E:$E,'SRV_BY Techs'!$D55)</f>
        <v>0.9</v>
      </c>
      <c r="AI55" s="356">
        <f>SUMIFS('Key Inputs_BY Techs'!AC:AC,'Key Inputs_BY Techs'!$A:$A,'SRV_BY Techs'!$L55,'Key Inputs_BY Techs'!$C:$C,'SRV_BY Techs'!$B55,'Key Inputs_BY Techs'!$E:$E,'SRV_BY Techs'!$D55)</f>
        <v>0.9</v>
      </c>
      <c r="AJ55" s="356">
        <f>SUMIFS('Key Inputs_BY Techs'!AD:AD,'Key Inputs_BY Techs'!$A:$A,'SRV_BY Techs'!$L55,'Key Inputs_BY Techs'!$C:$C,'SRV_BY Techs'!$B55,'Key Inputs_BY Techs'!$E:$E,'SRV_BY Techs'!$D55)</f>
        <v>0.9</v>
      </c>
      <c r="AK55" s="356">
        <f>SUMIFS('Key Inputs_BY Techs'!AE:AE,'Key Inputs_BY Techs'!$A:$A,'SRV_BY Techs'!$L55,'Key Inputs_BY Techs'!$C:$C,'SRV_BY Techs'!$B55,'Key Inputs_BY Techs'!$E:$E,'SRV_BY Techs'!$D55)</f>
        <v>0.9</v>
      </c>
      <c r="AL55" s="356">
        <f>SUMIFS('Key Inputs_BY Techs'!AF:AF,'Key Inputs_BY Techs'!$A:$A,'SRV_BY Techs'!$L55,'Key Inputs_BY Techs'!$C:$C,'SRV_BY Techs'!$B55,'Key Inputs_BY Techs'!$E:$E,'SRV_BY Techs'!$D55)</f>
        <v>0.9</v>
      </c>
      <c r="AM55" s="356">
        <f>SUMIFS('Key Inputs_BY Techs'!AG:AG,'Key Inputs_BY Techs'!$A:$A,'SRV_BY Techs'!$L55,'Key Inputs_BY Techs'!$C:$C,'SRV_BY Techs'!$B55,'Key Inputs_BY Techs'!$E:$E,'SRV_BY Techs'!$D55)</f>
        <v>0.9</v>
      </c>
      <c r="AN55" s="356">
        <f>SUMIFS('Key Inputs_BY Techs'!AH:AH,'Key Inputs_BY Techs'!$A:$A,'SRV_BY Techs'!$L55,'Key Inputs_BY Techs'!$C:$C,'SRV_BY Techs'!$B55,'Key Inputs_BY Techs'!$E:$E,'SRV_BY Techs'!$D55)</f>
        <v>0.9</v>
      </c>
      <c r="AO55" s="356">
        <f>SUMIFS('Key Inputs_BY Techs'!AI:AI,'Key Inputs_BY Techs'!$A:$A,'SRV_BY Techs'!$L55,'Key Inputs_BY Techs'!$C:$C,'SRV_BY Techs'!$B55,'Key Inputs_BY Techs'!$E:$E,'SRV_BY Techs'!$D55)</f>
        <v>0.9</v>
      </c>
      <c r="AP55" s="356">
        <f>SUMIFS('Key Inputs_BY Techs'!AJ:AJ,'Key Inputs_BY Techs'!$A:$A,'SRV_BY Techs'!$L55,'Key Inputs_BY Techs'!$C:$C,'SRV_BY Techs'!$B55,'Key Inputs_BY Techs'!$E:$E,'SRV_BY Techs'!$D55)</f>
        <v>0.9</v>
      </c>
    </row>
    <row r="56" spans="1:42" x14ac:dyDescent="0.3">
      <c r="A56" s="499" t="str">
        <f t="shared" si="4"/>
        <v>Air conditioning</v>
      </c>
      <c r="B56" s="499" t="str">
        <f t="shared" si="4"/>
        <v>S-AC</v>
      </c>
      <c r="C56" s="499" t="str">
        <f t="shared" si="4"/>
        <v>Natural gas, Biogas</v>
      </c>
      <c r="D56" s="499" t="str">
        <f t="shared" si="4"/>
        <v>SRVGAS, SRVBGS</v>
      </c>
      <c r="E56" s="499" t="str">
        <f t="shared" si="6"/>
        <v>SRVGAS</v>
      </c>
      <c r="F56" s="499"/>
      <c r="G56" s="499"/>
      <c r="I56" s="353" t="str">
        <f t="shared" si="5"/>
        <v>S-AC_GAS00</v>
      </c>
      <c r="J56" s="353" t="str">
        <f t="shared" si="5"/>
        <v>SRV Air conditioning technology: Natural gas, Biogas - Existing</v>
      </c>
      <c r="K56" s="353"/>
      <c r="L56" s="353" t="s">
        <v>40</v>
      </c>
      <c r="M56" s="353" t="str">
        <f>'Key Inputs_BY Techs'!F24</f>
        <v>% (PJuseful/PJcons)</v>
      </c>
      <c r="N56" s="353"/>
      <c r="O56" s="353">
        <f>SUMIFS('Key Inputs_BY Techs'!I:I,'Key Inputs_BY Techs'!$A:$A,'SRV_BY Techs'!$L56,'Key Inputs_BY Techs'!$C:$C,'SRV_BY Techs'!$B56,'Key Inputs_BY Techs'!$E:$E,'SRV_BY Techs'!$D56)</f>
        <v>1.3</v>
      </c>
      <c r="P56" s="353">
        <f>SUMIFS('Key Inputs_BY Techs'!J:J,'Key Inputs_BY Techs'!$A:$A,'SRV_BY Techs'!$L56,'Key Inputs_BY Techs'!$C:$C,'SRV_BY Techs'!$B56,'Key Inputs_BY Techs'!$E:$E,'SRV_BY Techs'!$D56)</f>
        <v>1.3</v>
      </c>
      <c r="Q56" s="353">
        <f>SUMIFS('Key Inputs_BY Techs'!K:K,'Key Inputs_BY Techs'!$A:$A,'SRV_BY Techs'!$L56,'Key Inputs_BY Techs'!$C:$C,'SRV_BY Techs'!$B56,'Key Inputs_BY Techs'!$E:$E,'SRV_BY Techs'!$D56)</f>
        <v>1.3</v>
      </c>
      <c r="R56" s="353">
        <f>SUMIFS('Key Inputs_BY Techs'!L:L,'Key Inputs_BY Techs'!$A:$A,'SRV_BY Techs'!$L56,'Key Inputs_BY Techs'!$C:$C,'SRV_BY Techs'!$B56,'Key Inputs_BY Techs'!$E:$E,'SRV_BY Techs'!$D56)</f>
        <v>1.3</v>
      </c>
      <c r="S56" s="353">
        <f>SUMIFS('Key Inputs_BY Techs'!M:M,'Key Inputs_BY Techs'!$A:$A,'SRV_BY Techs'!$L56,'Key Inputs_BY Techs'!$C:$C,'SRV_BY Techs'!$B56,'Key Inputs_BY Techs'!$E:$E,'SRV_BY Techs'!$D56)</f>
        <v>1.3</v>
      </c>
      <c r="T56" s="353">
        <f>SUMIFS('Key Inputs_BY Techs'!N:N,'Key Inputs_BY Techs'!$A:$A,'SRV_BY Techs'!$L56,'Key Inputs_BY Techs'!$C:$C,'SRV_BY Techs'!$B56,'Key Inputs_BY Techs'!$E:$E,'SRV_BY Techs'!$D56)</f>
        <v>1.3</v>
      </c>
      <c r="U56" s="353">
        <f>SUMIFS('Key Inputs_BY Techs'!O:O,'Key Inputs_BY Techs'!$A:$A,'SRV_BY Techs'!$L56,'Key Inputs_BY Techs'!$C:$C,'SRV_BY Techs'!$B56,'Key Inputs_BY Techs'!$E:$E,'SRV_BY Techs'!$D56)</f>
        <v>1.3</v>
      </c>
      <c r="V56" s="353">
        <f>SUMIFS('Key Inputs_BY Techs'!P:P,'Key Inputs_BY Techs'!$A:$A,'SRV_BY Techs'!$L56,'Key Inputs_BY Techs'!$C:$C,'SRV_BY Techs'!$B56,'Key Inputs_BY Techs'!$E:$E,'SRV_BY Techs'!$D56)</f>
        <v>1.3</v>
      </c>
      <c r="W56" s="353">
        <f>SUMIFS('Key Inputs_BY Techs'!Q:Q,'Key Inputs_BY Techs'!$A:$A,'SRV_BY Techs'!$L56,'Key Inputs_BY Techs'!$C:$C,'SRV_BY Techs'!$B56,'Key Inputs_BY Techs'!$E:$E,'SRV_BY Techs'!$D56)</f>
        <v>1.3</v>
      </c>
      <c r="X56" s="353">
        <f>SUMIFS('Key Inputs_BY Techs'!R:R,'Key Inputs_BY Techs'!$A:$A,'SRV_BY Techs'!$L56,'Key Inputs_BY Techs'!$C:$C,'SRV_BY Techs'!$B56,'Key Inputs_BY Techs'!$E:$E,'SRV_BY Techs'!$D56)</f>
        <v>1.3</v>
      </c>
      <c r="Y56" s="353">
        <f>SUMIFS('Key Inputs_BY Techs'!S:S,'Key Inputs_BY Techs'!$A:$A,'SRV_BY Techs'!$L56,'Key Inputs_BY Techs'!$C:$C,'SRV_BY Techs'!$B56,'Key Inputs_BY Techs'!$E:$E,'SRV_BY Techs'!$D56)</f>
        <v>1.3</v>
      </c>
      <c r="Z56" s="353">
        <f>SUMIFS('Key Inputs_BY Techs'!T:T,'Key Inputs_BY Techs'!$A:$A,'SRV_BY Techs'!$L56,'Key Inputs_BY Techs'!$C:$C,'SRV_BY Techs'!$B56,'Key Inputs_BY Techs'!$E:$E,'SRV_BY Techs'!$D56)</f>
        <v>1.3</v>
      </c>
      <c r="AA56" s="353">
        <f>SUMIFS('Key Inputs_BY Techs'!U:U,'Key Inputs_BY Techs'!$A:$A,'SRV_BY Techs'!$L56,'Key Inputs_BY Techs'!$C:$C,'SRV_BY Techs'!$B56,'Key Inputs_BY Techs'!$E:$E,'SRV_BY Techs'!$D56)</f>
        <v>1.3</v>
      </c>
      <c r="AB56" s="353">
        <f>SUMIFS('Key Inputs_BY Techs'!V:V,'Key Inputs_BY Techs'!$A:$A,'SRV_BY Techs'!$L56,'Key Inputs_BY Techs'!$C:$C,'SRV_BY Techs'!$B56,'Key Inputs_BY Techs'!$E:$E,'SRV_BY Techs'!$D56)</f>
        <v>1.3</v>
      </c>
      <c r="AC56" s="353">
        <f>SUMIFS('Key Inputs_BY Techs'!W:W,'Key Inputs_BY Techs'!$A:$A,'SRV_BY Techs'!$L56,'Key Inputs_BY Techs'!$C:$C,'SRV_BY Techs'!$B56,'Key Inputs_BY Techs'!$E:$E,'SRV_BY Techs'!$D56)</f>
        <v>1.3</v>
      </c>
      <c r="AD56" s="353">
        <f>SUMIFS('Key Inputs_BY Techs'!X:X,'Key Inputs_BY Techs'!$A:$A,'SRV_BY Techs'!$L56,'Key Inputs_BY Techs'!$C:$C,'SRV_BY Techs'!$B56,'Key Inputs_BY Techs'!$E:$E,'SRV_BY Techs'!$D56)</f>
        <v>1.3</v>
      </c>
      <c r="AE56" s="353">
        <f>SUMIFS('Key Inputs_BY Techs'!Y:Y,'Key Inputs_BY Techs'!$A:$A,'SRV_BY Techs'!$L56,'Key Inputs_BY Techs'!$C:$C,'SRV_BY Techs'!$B56,'Key Inputs_BY Techs'!$E:$E,'SRV_BY Techs'!$D56)</f>
        <v>1.3</v>
      </c>
      <c r="AF56" s="353">
        <f>SUMIFS('Key Inputs_BY Techs'!Z:Z,'Key Inputs_BY Techs'!$A:$A,'SRV_BY Techs'!$L56,'Key Inputs_BY Techs'!$C:$C,'SRV_BY Techs'!$B56,'Key Inputs_BY Techs'!$E:$E,'SRV_BY Techs'!$D56)</f>
        <v>1.3</v>
      </c>
      <c r="AG56" s="353">
        <f>SUMIFS('Key Inputs_BY Techs'!AA:AA,'Key Inputs_BY Techs'!$A:$A,'SRV_BY Techs'!$L56,'Key Inputs_BY Techs'!$C:$C,'SRV_BY Techs'!$B56,'Key Inputs_BY Techs'!$E:$E,'SRV_BY Techs'!$D56)</f>
        <v>1.3</v>
      </c>
      <c r="AH56" s="353">
        <f>SUMIFS('Key Inputs_BY Techs'!AB:AB,'Key Inputs_BY Techs'!$A:$A,'SRV_BY Techs'!$L56,'Key Inputs_BY Techs'!$C:$C,'SRV_BY Techs'!$B56,'Key Inputs_BY Techs'!$E:$E,'SRV_BY Techs'!$D56)</f>
        <v>1.3</v>
      </c>
      <c r="AI56" s="353">
        <f>SUMIFS('Key Inputs_BY Techs'!AC:AC,'Key Inputs_BY Techs'!$A:$A,'SRV_BY Techs'!$L56,'Key Inputs_BY Techs'!$C:$C,'SRV_BY Techs'!$B56,'Key Inputs_BY Techs'!$E:$E,'SRV_BY Techs'!$D56)</f>
        <v>1.3</v>
      </c>
      <c r="AJ56" s="353">
        <f>SUMIFS('Key Inputs_BY Techs'!AD:AD,'Key Inputs_BY Techs'!$A:$A,'SRV_BY Techs'!$L56,'Key Inputs_BY Techs'!$C:$C,'SRV_BY Techs'!$B56,'Key Inputs_BY Techs'!$E:$E,'SRV_BY Techs'!$D56)</f>
        <v>1.3</v>
      </c>
      <c r="AK56" s="353">
        <f>SUMIFS('Key Inputs_BY Techs'!AE:AE,'Key Inputs_BY Techs'!$A:$A,'SRV_BY Techs'!$L56,'Key Inputs_BY Techs'!$C:$C,'SRV_BY Techs'!$B56,'Key Inputs_BY Techs'!$E:$E,'SRV_BY Techs'!$D56)</f>
        <v>1.3</v>
      </c>
      <c r="AL56" s="353">
        <f>SUMIFS('Key Inputs_BY Techs'!AF:AF,'Key Inputs_BY Techs'!$A:$A,'SRV_BY Techs'!$L56,'Key Inputs_BY Techs'!$C:$C,'SRV_BY Techs'!$B56,'Key Inputs_BY Techs'!$E:$E,'SRV_BY Techs'!$D56)</f>
        <v>1.3</v>
      </c>
      <c r="AM56" s="353">
        <f>SUMIFS('Key Inputs_BY Techs'!AG:AG,'Key Inputs_BY Techs'!$A:$A,'SRV_BY Techs'!$L56,'Key Inputs_BY Techs'!$C:$C,'SRV_BY Techs'!$B56,'Key Inputs_BY Techs'!$E:$E,'SRV_BY Techs'!$D56)</f>
        <v>1.3</v>
      </c>
      <c r="AN56" s="353">
        <f>SUMIFS('Key Inputs_BY Techs'!AH:AH,'Key Inputs_BY Techs'!$A:$A,'SRV_BY Techs'!$L56,'Key Inputs_BY Techs'!$C:$C,'SRV_BY Techs'!$B56,'Key Inputs_BY Techs'!$E:$E,'SRV_BY Techs'!$D56)</f>
        <v>1.3</v>
      </c>
      <c r="AO56" s="353">
        <f>SUMIFS('Key Inputs_BY Techs'!AI:AI,'Key Inputs_BY Techs'!$A:$A,'SRV_BY Techs'!$L56,'Key Inputs_BY Techs'!$C:$C,'SRV_BY Techs'!$B56,'Key Inputs_BY Techs'!$E:$E,'SRV_BY Techs'!$D56)</f>
        <v>1.3</v>
      </c>
      <c r="AP56" s="353">
        <f>SUMIFS('Key Inputs_BY Techs'!AJ:AJ,'Key Inputs_BY Techs'!$A:$A,'SRV_BY Techs'!$L56,'Key Inputs_BY Techs'!$C:$C,'SRV_BY Techs'!$B56,'Key Inputs_BY Techs'!$E:$E,'SRV_BY Techs'!$D56)</f>
        <v>1.3</v>
      </c>
    </row>
    <row r="57" spans="1:42" x14ac:dyDescent="0.3">
      <c r="A57" s="499" t="str">
        <f t="shared" si="4"/>
        <v>Air conditioning</v>
      </c>
      <c r="B57" s="499" t="str">
        <f t="shared" si="4"/>
        <v>S-AC</v>
      </c>
      <c r="C57" s="499" t="str">
        <f t="shared" si="4"/>
        <v>Electricity</v>
      </c>
      <c r="D57" s="499" t="str">
        <f t="shared" si="4"/>
        <v>SRVELC</v>
      </c>
      <c r="E57" s="499" t="str">
        <f t="shared" si="6"/>
        <v>SRVELC</v>
      </c>
      <c r="F57" s="499"/>
      <c r="G57" s="499"/>
      <c r="I57" s="356" t="str">
        <f t="shared" si="5"/>
        <v>S-AC_ELC00</v>
      </c>
      <c r="J57" s="356" t="str">
        <f t="shared" si="5"/>
        <v>SRV Air conditioning technology: Electricity - Existing</v>
      </c>
      <c r="K57" s="356"/>
      <c r="L57" s="356" t="s">
        <v>40</v>
      </c>
      <c r="M57" s="356" t="str">
        <f>'Key Inputs_BY Techs'!F25</f>
        <v>% (PJuseful/PJcons)</v>
      </c>
      <c r="N57" s="356"/>
      <c r="O57" s="356">
        <f>SUMIFS('Key Inputs_BY Techs'!I:I,'Key Inputs_BY Techs'!$A:$A,'SRV_BY Techs'!$L57,'Key Inputs_BY Techs'!$C:$C,'SRV_BY Techs'!$B57,'Key Inputs_BY Techs'!$E:$E,'SRV_BY Techs'!$D57)</f>
        <v>2.7453024909845536</v>
      </c>
      <c r="P57" s="356">
        <f>SUMIFS('Key Inputs_BY Techs'!J:J,'Key Inputs_BY Techs'!$A:$A,'SRV_BY Techs'!$L57,'Key Inputs_BY Techs'!$C:$C,'SRV_BY Techs'!$B57,'Key Inputs_BY Techs'!$E:$E,'SRV_BY Techs'!$D57)</f>
        <v>2.7453024909845536</v>
      </c>
      <c r="Q57" s="356">
        <f>SUMIFS('Key Inputs_BY Techs'!K:K,'Key Inputs_BY Techs'!$A:$A,'SRV_BY Techs'!$L57,'Key Inputs_BY Techs'!$C:$C,'SRV_BY Techs'!$B57,'Key Inputs_BY Techs'!$E:$E,'SRV_BY Techs'!$D57)</f>
        <v>2.7453024909845536</v>
      </c>
      <c r="R57" s="356">
        <f>SUMIFS('Key Inputs_BY Techs'!L:L,'Key Inputs_BY Techs'!$A:$A,'SRV_BY Techs'!$L57,'Key Inputs_BY Techs'!$C:$C,'SRV_BY Techs'!$B57,'Key Inputs_BY Techs'!$E:$E,'SRV_BY Techs'!$D57)</f>
        <v>2.7453024909845536</v>
      </c>
      <c r="S57" s="356">
        <f>SUMIFS('Key Inputs_BY Techs'!M:M,'Key Inputs_BY Techs'!$A:$A,'SRV_BY Techs'!$L57,'Key Inputs_BY Techs'!$C:$C,'SRV_BY Techs'!$B57,'Key Inputs_BY Techs'!$E:$E,'SRV_BY Techs'!$D57)</f>
        <v>2.7453024909845536</v>
      </c>
      <c r="T57" s="356">
        <f>SUMIFS('Key Inputs_BY Techs'!N:N,'Key Inputs_BY Techs'!$A:$A,'SRV_BY Techs'!$L57,'Key Inputs_BY Techs'!$C:$C,'SRV_BY Techs'!$B57,'Key Inputs_BY Techs'!$E:$E,'SRV_BY Techs'!$D57)</f>
        <v>2.7453024909845536</v>
      </c>
      <c r="U57" s="356">
        <f>SUMIFS('Key Inputs_BY Techs'!O:O,'Key Inputs_BY Techs'!$A:$A,'SRV_BY Techs'!$L57,'Key Inputs_BY Techs'!$C:$C,'SRV_BY Techs'!$B57,'Key Inputs_BY Techs'!$E:$E,'SRV_BY Techs'!$D57)</f>
        <v>2.7453024909845536</v>
      </c>
      <c r="V57" s="356">
        <f>SUMIFS('Key Inputs_BY Techs'!P:P,'Key Inputs_BY Techs'!$A:$A,'SRV_BY Techs'!$L57,'Key Inputs_BY Techs'!$C:$C,'SRV_BY Techs'!$B57,'Key Inputs_BY Techs'!$E:$E,'SRV_BY Techs'!$D57)</f>
        <v>2.7453024909845536</v>
      </c>
      <c r="W57" s="356">
        <f>SUMIFS('Key Inputs_BY Techs'!Q:Q,'Key Inputs_BY Techs'!$A:$A,'SRV_BY Techs'!$L57,'Key Inputs_BY Techs'!$C:$C,'SRV_BY Techs'!$B57,'Key Inputs_BY Techs'!$E:$E,'SRV_BY Techs'!$D57)</f>
        <v>2.7453024909845536</v>
      </c>
      <c r="X57" s="356">
        <f>SUMIFS('Key Inputs_BY Techs'!R:R,'Key Inputs_BY Techs'!$A:$A,'SRV_BY Techs'!$L57,'Key Inputs_BY Techs'!$C:$C,'SRV_BY Techs'!$B57,'Key Inputs_BY Techs'!$E:$E,'SRV_BY Techs'!$D57)</f>
        <v>2.7453024909845536</v>
      </c>
      <c r="Y57" s="356">
        <f>SUMIFS('Key Inputs_BY Techs'!S:S,'Key Inputs_BY Techs'!$A:$A,'SRV_BY Techs'!$L57,'Key Inputs_BY Techs'!$C:$C,'SRV_BY Techs'!$B57,'Key Inputs_BY Techs'!$E:$E,'SRV_BY Techs'!$D57)</f>
        <v>2.7453024909845536</v>
      </c>
      <c r="Z57" s="356">
        <f>SUMIFS('Key Inputs_BY Techs'!T:T,'Key Inputs_BY Techs'!$A:$A,'SRV_BY Techs'!$L57,'Key Inputs_BY Techs'!$C:$C,'SRV_BY Techs'!$B57,'Key Inputs_BY Techs'!$E:$E,'SRV_BY Techs'!$D57)</f>
        <v>2.7453024909845536</v>
      </c>
      <c r="AA57" s="356">
        <f>SUMIFS('Key Inputs_BY Techs'!U:U,'Key Inputs_BY Techs'!$A:$A,'SRV_BY Techs'!$L57,'Key Inputs_BY Techs'!$C:$C,'SRV_BY Techs'!$B57,'Key Inputs_BY Techs'!$E:$E,'SRV_BY Techs'!$D57)</f>
        <v>2.7453024909845536</v>
      </c>
      <c r="AB57" s="356">
        <f>SUMIFS('Key Inputs_BY Techs'!V:V,'Key Inputs_BY Techs'!$A:$A,'SRV_BY Techs'!$L57,'Key Inputs_BY Techs'!$C:$C,'SRV_BY Techs'!$B57,'Key Inputs_BY Techs'!$E:$E,'SRV_BY Techs'!$D57)</f>
        <v>2.7453024909845536</v>
      </c>
      <c r="AC57" s="356">
        <f>SUMIFS('Key Inputs_BY Techs'!W:W,'Key Inputs_BY Techs'!$A:$A,'SRV_BY Techs'!$L57,'Key Inputs_BY Techs'!$C:$C,'SRV_BY Techs'!$B57,'Key Inputs_BY Techs'!$E:$E,'SRV_BY Techs'!$D57)</f>
        <v>2.7453024909845536</v>
      </c>
      <c r="AD57" s="356">
        <f>SUMIFS('Key Inputs_BY Techs'!X:X,'Key Inputs_BY Techs'!$A:$A,'SRV_BY Techs'!$L57,'Key Inputs_BY Techs'!$C:$C,'SRV_BY Techs'!$B57,'Key Inputs_BY Techs'!$E:$E,'SRV_BY Techs'!$D57)</f>
        <v>2.7453024909845536</v>
      </c>
      <c r="AE57" s="356">
        <f>SUMIFS('Key Inputs_BY Techs'!Y:Y,'Key Inputs_BY Techs'!$A:$A,'SRV_BY Techs'!$L57,'Key Inputs_BY Techs'!$C:$C,'SRV_BY Techs'!$B57,'Key Inputs_BY Techs'!$E:$E,'SRV_BY Techs'!$D57)</f>
        <v>2.7453024909845536</v>
      </c>
      <c r="AF57" s="356">
        <f>SUMIFS('Key Inputs_BY Techs'!Z:Z,'Key Inputs_BY Techs'!$A:$A,'SRV_BY Techs'!$L57,'Key Inputs_BY Techs'!$C:$C,'SRV_BY Techs'!$B57,'Key Inputs_BY Techs'!$E:$E,'SRV_BY Techs'!$D57)</f>
        <v>2.7453024909845536</v>
      </c>
      <c r="AG57" s="356">
        <f>SUMIFS('Key Inputs_BY Techs'!AA:AA,'Key Inputs_BY Techs'!$A:$A,'SRV_BY Techs'!$L57,'Key Inputs_BY Techs'!$C:$C,'SRV_BY Techs'!$B57,'Key Inputs_BY Techs'!$E:$E,'SRV_BY Techs'!$D57)</f>
        <v>2.7453024909845536</v>
      </c>
      <c r="AH57" s="356">
        <f>SUMIFS('Key Inputs_BY Techs'!AB:AB,'Key Inputs_BY Techs'!$A:$A,'SRV_BY Techs'!$L57,'Key Inputs_BY Techs'!$C:$C,'SRV_BY Techs'!$B57,'Key Inputs_BY Techs'!$E:$E,'SRV_BY Techs'!$D57)</f>
        <v>2.7453024909845536</v>
      </c>
      <c r="AI57" s="356">
        <f>SUMIFS('Key Inputs_BY Techs'!AC:AC,'Key Inputs_BY Techs'!$A:$A,'SRV_BY Techs'!$L57,'Key Inputs_BY Techs'!$C:$C,'SRV_BY Techs'!$B57,'Key Inputs_BY Techs'!$E:$E,'SRV_BY Techs'!$D57)</f>
        <v>2.7453024909845536</v>
      </c>
      <c r="AJ57" s="356">
        <f>SUMIFS('Key Inputs_BY Techs'!AD:AD,'Key Inputs_BY Techs'!$A:$A,'SRV_BY Techs'!$L57,'Key Inputs_BY Techs'!$C:$C,'SRV_BY Techs'!$B57,'Key Inputs_BY Techs'!$E:$E,'SRV_BY Techs'!$D57)</f>
        <v>2.7453024909845536</v>
      </c>
      <c r="AK57" s="356">
        <f>SUMIFS('Key Inputs_BY Techs'!AE:AE,'Key Inputs_BY Techs'!$A:$A,'SRV_BY Techs'!$L57,'Key Inputs_BY Techs'!$C:$C,'SRV_BY Techs'!$B57,'Key Inputs_BY Techs'!$E:$E,'SRV_BY Techs'!$D57)</f>
        <v>2.7453024909845536</v>
      </c>
      <c r="AL57" s="356">
        <f>SUMIFS('Key Inputs_BY Techs'!AF:AF,'Key Inputs_BY Techs'!$A:$A,'SRV_BY Techs'!$L57,'Key Inputs_BY Techs'!$C:$C,'SRV_BY Techs'!$B57,'Key Inputs_BY Techs'!$E:$E,'SRV_BY Techs'!$D57)</f>
        <v>2.7453024909845536</v>
      </c>
      <c r="AM57" s="356">
        <f>SUMIFS('Key Inputs_BY Techs'!AG:AG,'Key Inputs_BY Techs'!$A:$A,'SRV_BY Techs'!$L57,'Key Inputs_BY Techs'!$C:$C,'SRV_BY Techs'!$B57,'Key Inputs_BY Techs'!$E:$E,'SRV_BY Techs'!$D57)</f>
        <v>2.7453024909845536</v>
      </c>
      <c r="AN57" s="356">
        <f>SUMIFS('Key Inputs_BY Techs'!AH:AH,'Key Inputs_BY Techs'!$A:$A,'SRV_BY Techs'!$L57,'Key Inputs_BY Techs'!$C:$C,'SRV_BY Techs'!$B57,'Key Inputs_BY Techs'!$E:$E,'SRV_BY Techs'!$D57)</f>
        <v>2.7453024909845536</v>
      </c>
      <c r="AO57" s="356">
        <f>SUMIFS('Key Inputs_BY Techs'!AI:AI,'Key Inputs_BY Techs'!$A:$A,'SRV_BY Techs'!$L57,'Key Inputs_BY Techs'!$C:$C,'SRV_BY Techs'!$B57,'Key Inputs_BY Techs'!$E:$E,'SRV_BY Techs'!$D57)</f>
        <v>2.7453024909845536</v>
      </c>
      <c r="AP57" s="356">
        <f>SUMIFS('Key Inputs_BY Techs'!AJ:AJ,'Key Inputs_BY Techs'!$A:$A,'SRV_BY Techs'!$L57,'Key Inputs_BY Techs'!$C:$C,'SRV_BY Techs'!$B57,'Key Inputs_BY Techs'!$E:$E,'SRV_BY Techs'!$D57)</f>
        <v>2.7453024909845536</v>
      </c>
    </row>
    <row r="58" spans="1:42" x14ac:dyDescent="0.3">
      <c r="A58" s="499" t="str">
        <f t="shared" si="4"/>
        <v>Cooking</v>
      </c>
      <c r="B58" s="499" t="str">
        <f t="shared" si="4"/>
        <v>S-CK</v>
      </c>
      <c r="C58" s="499" t="str">
        <f t="shared" si="4"/>
        <v>Biomass</v>
      </c>
      <c r="D58" s="499" t="str">
        <f t="shared" si="4"/>
        <v>SRVBIO</v>
      </c>
      <c r="E58" s="499" t="str">
        <f t="shared" si="6"/>
        <v>SRVBIO</v>
      </c>
      <c r="F58" s="499"/>
      <c r="G58" s="499"/>
      <c r="I58" s="354" t="str">
        <f t="shared" si="5"/>
        <v>S-CK_BIO00</v>
      </c>
      <c r="J58" s="354" t="str">
        <f t="shared" si="5"/>
        <v>SRV Cooking technology: Biomass - Existing</v>
      </c>
      <c r="K58" s="354"/>
      <c r="L58" s="354" t="s">
        <v>40</v>
      </c>
      <c r="M58" s="354" t="str">
        <f>'Key Inputs_BY Techs'!F26</f>
        <v>% (PJuseful/PJcons)</v>
      </c>
      <c r="N58" s="354"/>
      <c r="O58" s="354">
        <f>SUMIFS('Key Inputs_BY Techs'!I:I,'Key Inputs_BY Techs'!$A:$A,'SRV_BY Techs'!$L58,'Key Inputs_BY Techs'!$C:$C,'SRV_BY Techs'!$B58,'Key Inputs_BY Techs'!$E:$E,'SRV_BY Techs'!$D58)</f>
        <v>0.45100000000000001</v>
      </c>
      <c r="P58" s="354">
        <f>SUMIFS('Key Inputs_BY Techs'!J:J,'Key Inputs_BY Techs'!$A:$A,'SRV_BY Techs'!$L58,'Key Inputs_BY Techs'!$C:$C,'SRV_BY Techs'!$B58,'Key Inputs_BY Techs'!$E:$E,'SRV_BY Techs'!$D58)</f>
        <v>0.45100000000000001</v>
      </c>
      <c r="Q58" s="354">
        <f>SUMIFS('Key Inputs_BY Techs'!K:K,'Key Inputs_BY Techs'!$A:$A,'SRV_BY Techs'!$L58,'Key Inputs_BY Techs'!$C:$C,'SRV_BY Techs'!$B58,'Key Inputs_BY Techs'!$E:$E,'SRV_BY Techs'!$D58)</f>
        <v>0.45100000000000001</v>
      </c>
      <c r="R58" s="354">
        <f>SUMIFS('Key Inputs_BY Techs'!L:L,'Key Inputs_BY Techs'!$A:$A,'SRV_BY Techs'!$L58,'Key Inputs_BY Techs'!$C:$C,'SRV_BY Techs'!$B58,'Key Inputs_BY Techs'!$E:$E,'SRV_BY Techs'!$D58)</f>
        <v>0.45100000000000001</v>
      </c>
      <c r="S58" s="354">
        <f>SUMIFS('Key Inputs_BY Techs'!M:M,'Key Inputs_BY Techs'!$A:$A,'SRV_BY Techs'!$L58,'Key Inputs_BY Techs'!$C:$C,'SRV_BY Techs'!$B58,'Key Inputs_BY Techs'!$E:$E,'SRV_BY Techs'!$D58)</f>
        <v>0.45100000000000001</v>
      </c>
      <c r="T58" s="354">
        <f>SUMIFS('Key Inputs_BY Techs'!N:N,'Key Inputs_BY Techs'!$A:$A,'SRV_BY Techs'!$L58,'Key Inputs_BY Techs'!$C:$C,'SRV_BY Techs'!$B58,'Key Inputs_BY Techs'!$E:$E,'SRV_BY Techs'!$D58)</f>
        <v>0.45100000000000001</v>
      </c>
      <c r="U58" s="354">
        <f>SUMIFS('Key Inputs_BY Techs'!O:O,'Key Inputs_BY Techs'!$A:$A,'SRV_BY Techs'!$L58,'Key Inputs_BY Techs'!$C:$C,'SRV_BY Techs'!$B58,'Key Inputs_BY Techs'!$E:$E,'SRV_BY Techs'!$D58)</f>
        <v>0.45100000000000001</v>
      </c>
      <c r="V58" s="354">
        <f>SUMIFS('Key Inputs_BY Techs'!P:P,'Key Inputs_BY Techs'!$A:$A,'SRV_BY Techs'!$L58,'Key Inputs_BY Techs'!$C:$C,'SRV_BY Techs'!$B58,'Key Inputs_BY Techs'!$E:$E,'SRV_BY Techs'!$D58)</f>
        <v>0.45100000000000001</v>
      </c>
      <c r="W58" s="354">
        <f>SUMIFS('Key Inputs_BY Techs'!Q:Q,'Key Inputs_BY Techs'!$A:$A,'SRV_BY Techs'!$L58,'Key Inputs_BY Techs'!$C:$C,'SRV_BY Techs'!$B58,'Key Inputs_BY Techs'!$E:$E,'SRV_BY Techs'!$D58)</f>
        <v>0.45100000000000001</v>
      </c>
      <c r="X58" s="354">
        <f>SUMIFS('Key Inputs_BY Techs'!R:R,'Key Inputs_BY Techs'!$A:$A,'SRV_BY Techs'!$L58,'Key Inputs_BY Techs'!$C:$C,'SRV_BY Techs'!$B58,'Key Inputs_BY Techs'!$E:$E,'SRV_BY Techs'!$D58)</f>
        <v>0.45100000000000001</v>
      </c>
      <c r="Y58" s="354">
        <f>SUMIFS('Key Inputs_BY Techs'!S:S,'Key Inputs_BY Techs'!$A:$A,'SRV_BY Techs'!$L58,'Key Inputs_BY Techs'!$C:$C,'SRV_BY Techs'!$B58,'Key Inputs_BY Techs'!$E:$E,'SRV_BY Techs'!$D58)</f>
        <v>0.45100000000000001</v>
      </c>
      <c r="Z58" s="354">
        <f>SUMIFS('Key Inputs_BY Techs'!T:T,'Key Inputs_BY Techs'!$A:$A,'SRV_BY Techs'!$L58,'Key Inputs_BY Techs'!$C:$C,'SRV_BY Techs'!$B58,'Key Inputs_BY Techs'!$E:$E,'SRV_BY Techs'!$D58)</f>
        <v>0.45100000000000001</v>
      </c>
      <c r="AA58" s="354">
        <f>SUMIFS('Key Inputs_BY Techs'!U:U,'Key Inputs_BY Techs'!$A:$A,'SRV_BY Techs'!$L58,'Key Inputs_BY Techs'!$C:$C,'SRV_BY Techs'!$B58,'Key Inputs_BY Techs'!$E:$E,'SRV_BY Techs'!$D58)</f>
        <v>0.45100000000000001</v>
      </c>
      <c r="AB58" s="354">
        <f>SUMIFS('Key Inputs_BY Techs'!V:V,'Key Inputs_BY Techs'!$A:$A,'SRV_BY Techs'!$L58,'Key Inputs_BY Techs'!$C:$C,'SRV_BY Techs'!$B58,'Key Inputs_BY Techs'!$E:$E,'SRV_BY Techs'!$D58)</f>
        <v>0.45100000000000001</v>
      </c>
      <c r="AC58" s="354">
        <f>SUMIFS('Key Inputs_BY Techs'!W:W,'Key Inputs_BY Techs'!$A:$A,'SRV_BY Techs'!$L58,'Key Inputs_BY Techs'!$C:$C,'SRV_BY Techs'!$B58,'Key Inputs_BY Techs'!$E:$E,'SRV_BY Techs'!$D58)</f>
        <v>0.45100000000000001</v>
      </c>
      <c r="AD58" s="354">
        <f>SUMIFS('Key Inputs_BY Techs'!X:X,'Key Inputs_BY Techs'!$A:$A,'SRV_BY Techs'!$L58,'Key Inputs_BY Techs'!$C:$C,'SRV_BY Techs'!$B58,'Key Inputs_BY Techs'!$E:$E,'SRV_BY Techs'!$D58)</f>
        <v>0.45100000000000001</v>
      </c>
      <c r="AE58" s="354">
        <f>SUMIFS('Key Inputs_BY Techs'!Y:Y,'Key Inputs_BY Techs'!$A:$A,'SRV_BY Techs'!$L58,'Key Inputs_BY Techs'!$C:$C,'SRV_BY Techs'!$B58,'Key Inputs_BY Techs'!$E:$E,'SRV_BY Techs'!$D58)</f>
        <v>0.45100000000000001</v>
      </c>
      <c r="AF58" s="354">
        <f>SUMIFS('Key Inputs_BY Techs'!Z:Z,'Key Inputs_BY Techs'!$A:$A,'SRV_BY Techs'!$L58,'Key Inputs_BY Techs'!$C:$C,'SRV_BY Techs'!$B58,'Key Inputs_BY Techs'!$E:$E,'SRV_BY Techs'!$D58)</f>
        <v>0.45100000000000001</v>
      </c>
      <c r="AG58" s="354">
        <f>SUMIFS('Key Inputs_BY Techs'!AA:AA,'Key Inputs_BY Techs'!$A:$A,'SRV_BY Techs'!$L58,'Key Inputs_BY Techs'!$C:$C,'SRV_BY Techs'!$B58,'Key Inputs_BY Techs'!$E:$E,'SRV_BY Techs'!$D58)</f>
        <v>0.45100000000000001</v>
      </c>
      <c r="AH58" s="354">
        <f>SUMIFS('Key Inputs_BY Techs'!AB:AB,'Key Inputs_BY Techs'!$A:$A,'SRV_BY Techs'!$L58,'Key Inputs_BY Techs'!$C:$C,'SRV_BY Techs'!$B58,'Key Inputs_BY Techs'!$E:$E,'SRV_BY Techs'!$D58)</f>
        <v>0.45100000000000001</v>
      </c>
      <c r="AI58" s="354">
        <f>SUMIFS('Key Inputs_BY Techs'!AC:AC,'Key Inputs_BY Techs'!$A:$A,'SRV_BY Techs'!$L58,'Key Inputs_BY Techs'!$C:$C,'SRV_BY Techs'!$B58,'Key Inputs_BY Techs'!$E:$E,'SRV_BY Techs'!$D58)</f>
        <v>0.45100000000000001</v>
      </c>
      <c r="AJ58" s="354">
        <f>SUMIFS('Key Inputs_BY Techs'!AD:AD,'Key Inputs_BY Techs'!$A:$A,'SRV_BY Techs'!$L58,'Key Inputs_BY Techs'!$C:$C,'SRV_BY Techs'!$B58,'Key Inputs_BY Techs'!$E:$E,'SRV_BY Techs'!$D58)</f>
        <v>0.45100000000000001</v>
      </c>
      <c r="AK58" s="354">
        <f>SUMIFS('Key Inputs_BY Techs'!AE:AE,'Key Inputs_BY Techs'!$A:$A,'SRV_BY Techs'!$L58,'Key Inputs_BY Techs'!$C:$C,'SRV_BY Techs'!$B58,'Key Inputs_BY Techs'!$E:$E,'SRV_BY Techs'!$D58)</f>
        <v>0.45100000000000001</v>
      </c>
      <c r="AL58" s="354">
        <f>SUMIFS('Key Inputs_BY Techs'!AF:AF,'Key Inputs_BY Techs'!$A:$A,'SRV_BY Techs'!$L58,'Key Inputs_BY Techs'!$C:$C,'SRV_BY Techs'!$B58,'Key Inputs_BY Techs'!$E:$E,'SRV_BY Techs'!$D58)</f>
        <v>0.45100000000000001</v>
      </c>
      <c r="AM58" s="354">
        <f>SUMIFS('Key Inputs_BY Techs'!AG:AG,'Key Inputs_BY Techs'!$A:$A,'SRV_BY Techs'!$L58,'Key Inputs_BY Techs'!$C:$C,'SRV_BY Techs'!$B58,'Key Inputs_BY Techs'!$E:$E,'SRV_BY Techs'!$D58)</f>
        <v>0.45100000000000001</v>
      </c>
      <c r="AN58" s="354">
        <f>SUMIFS('Key Inputs_BY Techs'!AH:AH,'Key Inputs_BY Techs'!$A:$A,'SRV_BY Techs'!$L58,'Key Inputs_BY Techs'!$C:$C,'SRV_BY Techs'!$B58,'Key Inputs_BY Techs'!$E:$E,'SRV_BY Techs'!$D58)</f>
        <v>0.45100000000000001</v>
      </c>
      <c r="AO58" s="354">
        <f>SUMIFS('Key Inputs_BY Techs'!AI:AI,'Key Inputs_BY Techs'!$A:$A,'SRV_BY Techs'!$L58,'Key Inputs_BY Techs'!$C:$C,'SRV_BY Techs'!$B58,'Key Inputs_BY Techs'!$E:$E,'SRV_BY Techs'!$D58)</f>
        <v>0.45100000000000001</v>
      </c>
      <c r="AP58" s="354">
        <f>SUMIFS('Key Inputs_BY Techs'!AJ:AJ,'Key Inputs_BY Techs'!$A:$A,'SRV_BY Techs'!$L58,'Key Inputs_BY Techs'!$C:$C,'SRV_BY Techs'!$B58,'Key Inputs_BY Techs'!$E:$E,'SRV_BY Techs'!$D58)</f>
        <v>0.45100000000000001</v>
      </c>
    </row>
    <row r="59" spans="1:42" x14ac:dyDescent="0.3">
      <c r="A59" s="499" t="str">
        <f t="shared" si="4"/>
        <v>Cooking</v>
      </c>
      <c r="B59" s="499" t="str">
        <f t="shared" si="4"/>
        <v>S-CK</v>
      </c>
      <c r="C59" s="499" t="str">
        <f t="shared" si="4"/>
        <v>Coal</v>
      </c>
      <c r="D59" s="499" t="str">
        <f t="shared" si="4"/>
        <v>SRVCOA</v>
      </c>
      <c r="E59" s="499" t="str">
        <f t="shared" si="6"/>
        <v>SRVCOA</v>
      </c>
      <c r="F59" s="499"/>
      <c r="G59" s="499"/>
      <c r="I59" s="353" t="str">
        <f t="shared" si="5"/>
        <v>S-CK_COA00</v>
      </c>
      <c r="J59" s="353" t="str">
        <f t="shared" si="5"/>
        <v>SRV Cooking technology: Coal - Existing</v>
      </c>
      <c r="K59" s="353"/>
      <c r="L59" s="353" t="s">
        <v>40</v>
      </c>
      <c r="M59" s="353" t="str">
        <f>'Key Inputs_BY Techs'!F27</f>
        <v>% (PJuseful/PJcons)</v>
      </c>
      <c r="N59" s="353"/>
      <c r="O59" s="353">
        <f>SUMIFS('Key Inputs_BY Techs'!I:I,'Key Inputs_BY Techs'!$A:$A,'SRV_BY Techs'!$L59,'Key Inputs_BY Techs'!$C:$C,'SRV_BY Techs'!$B59,'Key Inputs_BY Techs'!$E:$E,'SRV_BY Techs'!$D59)</f>
        <v>0.45100000000000001</v>
      </c>
      <c r="P59" s="353">
        <f>SUMIFS('Key Inputs_BY Techs'!J:J,'Key Inputs_BY Techs'!$A:$A,'SRV_BY Techs'!$L59,'Key Inputs_BY Techs'!$C:$C,'SRV_BY Techs'!$B59,'Key Inputs_BY Techs'!$E:$E,'SRV_BY Techs'!$D59)</f>
        <v>0.45100000000000001</v>
      </c>
      <c r="Q59" s="353">
        <f>SUMIFS('Key Inputs_BY Techs'!K:K,'Key Inputs_BY Techs'!$A:$A,'SRV_BY Techs'!$L59,'Key Inputs_BY Techs'!$C:$C,'SRV_BY Techs'!$B59,'Key Inputs_BY Techs'!$E:$E,'SRV_BY Techs'!$D59)</f>
        <v>0.45100000000000001</v>
      </c>
      <c r="R59" s="353">
        <f>SUMIFS('Key Inputs_BY Techs'!L:L,'Key Inputs_BY Techs'!$A:$A,'SRV_BY Techs'!$L59,'Key Inputs_BY Techs'!$C:$C,'SRV_BY Techs'!$B59,'Key Inputs_BY Techs'!$E:$E,'SRV_BY Techs'!$D59)</f>
        <v>0.45100000000000001</v>
      </c>
      <c r="S59" s="353">
        <f>SUMIFS('Key Inputs_BY Techs'!M:M,'Key Inputs_BY Techs'!$A:$A,'SRV_BY Techs'!$L59,'Key Inputs_BY Techs'!$C:$C,'SRV_BY Techs'!$B59,'Key Inputs_BY Techs'!$E:$E,'SRV_BY Techs'!$D59)</f>
        <v>0.45100000000000001</v>
      </c>
      <c r="T59" s="353">
        <f>SUMIFS('Key Inputs_BY Techs'!N:N,'Key Inputs_BY Techs'!$A:$A,'SRV_BY Techs'!$L59,'Key Inputs_BY Techs'!$C:$C,'SRV_BY Techs'!$B59,'Key Inputs_BY Techs'!$E:$E,'SRV_BY Techs'!$D59)</f>
        <v>0.45100000000000001</v>
      </c>
      <c r="U59" s="353">
        <f>SUMIFS('Key Inputs_BY Techs'!O:O,'Key Inputs_BY Techs'!$A:$A,'SRV_BY Techs'!$L59,'Key Inputs_BY Techs'!$C:$C,'SRV_BY Techs'!$B59,'Key Inputs_BY Techs'!$E:$E,'SRV_BY Techs'!$D59)</f>
        <v>0.45100000000000001</v>
      </c>
      <c r="V59" s="353">
        <f>SUMIFS('Key Inputs_BY Techs'!P:P,'Key Inputs_BY Techs'!$A:$A,'SRV_BY Techs'!$L59,'Key Inputs_BY Techs'!$C:$C,'SRV_BY Techs'!$B59,'Key Inputs_BY Techs'!$E:$E,'SRV_BY Techs'!$D59)</f>
        <v>0.45100000000000001</v>
      </c>
      <c r="W59" s="353">
        <f>SUMIFS('Key Inputs_BY Techs'!Q:Q,'Key Inputs_BY Techs'!$A:$A,'SRV_BY Techs'!$L59,'Key Inputs_BY Techs'!$C:$C,'SRV_BY Techs'!$B59,'Key Inputs_BY Techs'!$E:$E,'SRV_BY Techs'!$D59)</f>
        <v>0.45100000000000001</v>
      </c>
      <c r="X59" s="353">
        <f>SUMIFS('Key Inputs_BY Techs'!R:R,'Key Inputs_BY Techs'!$A:$A,'SRV_BY Techs'!$L59,'Key Inputs_BY Techs'!$C:$C,'SRV_BY Techs'!$B59,'Key Inputs_BY Techs'!$E:$E,'SRV_BY Techs'!$D59)</f>
        <v>0.45100000000000001</v>
      </c>
      <c r="Y59" s="353">
        <f>SUMIFS('Key Inputs_BY Techs'!S:S,'Key Inputs_BY Techs'!$A:$A,'SRV_BY Techs'!$L59,'Key Inputs_BY Techs'!$C:$C,'SRV_BY Techs'!$B59,'Key Inputs_BY Techs'!$E:$E,'SRV_BY Techs'!$D59)</f>
        <v>0.45100000000000001</v>
      </c>
      <c r="Z59" s="353">
        <f>SUMIFS('Key Inputs_BY Techs'!T:T,'Key Inputs_BY Techs'!$A:$A,'SRV_BY Techs'!$L59,'Key Inputs_BY Techs'!$C:$C,'SRV_BY Techs'!$B59,'Key Inputs_BY Techs'!$E:$E,'SRV_BY Techs'!$D59)</f>
        <v>0.45100000000000001</v>
      </c>
      <c r="AA59" s="353">
        <f>SUMIFS('Key Inputs_BY Techs'!U:U,'Key Inputs_BY Techs'!$A:$A,'SRV_BY Techs'!$L59,'Key Inputs_BY Techs'!$C:$C,'SRV_BY Techs'!$B59,'Key Inputs_BY Techs'!$E:$E,'SRV_BY Techs'!$D59)</f>
        <v>0.45100000000000001</v>
      </c>
      <c r="AB59" s="353">
        <f>SUMIFS('Key Inputs_BY Techs'!V:V,'Key Inputs_BY Techs'!$A:$A,'SRV_BY Techs'!$L59,'Key Inputs_BY Techs'!$C:$C,'SRV_BY Techs'!$B59,'Key Inputs_BY Techs'!$E:$E,'SRV_BY Techs'!$D59)</f>
        <v>0.45100000000000001</v>
      </c>
      <c r="AC59" s="353">
        <f>SUMIFS('Key Inputs_BY Techs'!W:W,'Key Inputs_BY Techs'!$A:$A,'SRV_BY Techs'!$L59,'Key Inputs_BY Techs'!$C:$C,'SRV_BY Techs'!$B59,'Key Inputs_BY Techs'!$E:$E,'SRV_BY Techs'!$D59)</f>
        <v>0.45100000000000001</v>
      </c>
      <c r="AD59" s="353">
        <f>SUMIFS('Key Inputs_BY Techs'!X:X,'Key Inputs_BY Techs'!$A:$A,'SRV_BY Techs'!$L59,'Key Inputs_BY Techs'!$C:$C,'SRV_BY Techs'!$B59,'Key Inputs_BY Techs'!$E:$E,'SRV_BY Techs'!$D59)</f>
        <v>0.45100000000000001</v>
      </c>
      <c r="AE59" s="353">
        <f>SUMIFS('Key Inputs_BY Techs'!Y:Y,'Key Inputs_BY Techs'!$A:$A,'SRV_BY Techs'!$L59,'Key Inputs_BY Techs'!$C:$C,'SRV_BY Techs'!$B59,'Key Inputs_BY Techs'!$E:$E,'SRV_BY Techs'!$D59)</f>
        <v>0.45100000000000001</v>
      </c>
      <c r="AF59" s="353">
        <f>SUMIFS('Key Inputs_BY Techs'!Z:Z,'Key Inputs_BY Techs'!$A:$A,'SRV_BY Techs'!$L59,'Key Inputs_BY Techs'!$C:$C,'SRV_BY Techs'!$B59,'Key Inputs_BY Techs'!$E:$E,'SRV_BY Techs'!$D59)</f>
        <v>0.45100000000000001</v>
      </c>
      <c r="AG59" s="353">
        <f>SUMIFS('Key Inputs_BY Techs'!AA:AA,'Key Inputs_BY Techs'!$A:$A,'SRV_BY Techs'!$L59,'Key Inputs_BY Techs'!$C:$C,'SRV_BY Techs'!$B59,'Key Inputs_BY Techs'!$E:$E,'SRV_BY Techs'!$D59)</f>
        <v>0.45100000000000001</v>
      </c>
      <c r="AH59" s="353">
        <f>SUMIFS('Key Inputs_BY Techs'!AB:AB,'Key Inputs_BY Techs'!$A:$A,'SRV_BY Techs'!$L59,'Key Inputs_BY Techs'!$C:$C,'SRV_BY Techs'!$B59,'Key Inputs_BY Techs'!$E:$E,'SRV_BY Techs'!$D59)</f>
        <v>0.45100000000000001</v>
      </c>
      <c r="AI59" s="353">
        <f>SUMIFS('Key Inputs_BY Techs'!AC:AC,'Key Inputs_BY Techs'!$A:$A,'SRV_BY Techs'!$L59,'Key Inputs_BY Techs'!$C:$C,'SRV_BY Techs'!$B59,'Key Inputs_BY Techs'!$E:$E,'SRV_BY Techs'!$D59)</f>
        <v>0.45100000000000001</v>
      </c>
      <c r="AJ59" s="353">
        <f>SUMIFS('Key Inputs_BY Techs'!AD:AD,'Key Inputs_BY Techs'!$A:$A,'SRV_BY Techs'!$L59,'Key Inputs_BY Techs'!$C:$C,'SRV_BY Techs'!$B59,'Key Inputs_BY Techs'!$E:$E,'SRV_BY Techs'!$D59)</f>
        <v>0.45100000000000001</v>
      </c>
      <c r="AK59" s="353">
        <f>SUMIFS('Key Inputs_BY Techs'!AE:AE,'Key Inputs_BY Techs'!$A:$A,'SRV_BY Techs'!$L59,'Key Inputs_BY Techs'!$C:$C,'SRV_BY Techs'!$B59,'Key Inputs_BY Techs'!$E:$E,'SRV_BY Techs'!$D59)</f>
        <v>0.45100000000000001</v>
      </c>
      <c r="AL59" s="353">
        <f>SUMIFS('Key Inputs_BY Techs'!AF:AF,'Key Inputs_BY Techs'!$A:$A,'SRV_BY Techs'!$L59,'Key Inputs_BY Techs'!$C:$C,'SRV_BY Techs'!$B59,'Key Inputs_BY Techs'!$E:$E,'SRV_BY Techs'!$D59)</f>
        <v>0.45100000000000001</v>
      </c>
      <c r="AM59" s="353">
        <f>SUMIFS('Key Inputs_BY Techs'!AG:AG,'Key Inputs_BY Techs'!$A:$A,'SRV_BY Techs'!$L59,'Key Inputs_BY Techs'!$C:$C,'SRV_BY Techs'!$B59,'Key Inputs_BY Techs'!$E:$E,'SRV_BY Techs'!$D59)</f>
        <v>0.45100000000000001</v>
      </c>
      <c r="AN59" s="353">
        <f>SUMIFS('Key Inputs_BY Techs'!AH:AH,'Key Inputs_BY Techs'!$A:$A,'SRV_BY Techs'!$L59,'Key Inputs_BY Techs'!$C:$C,'SRV_BY Techs'!$B59,'Key Inputs_BY Techs'!$E:$E,'SRV_BY Techs'!$D59)</f>
        <v>0.45100000000000001</v>
      </c>
      <c r="AO59" s="353">
        <f>SUMIFS('Key Inputs_BY Techs'!AI:AI,'Key Inputs_BY Techs'!$A:$A,'SRV_BY Techs'!$L59,'Key Inputs_BY Techs'!$C:$C,'SRV_BY Techs'!$B59,'Key Inputs_BY Techs'!$E:$E,'SRV_BY Techs'!$D59)</f>
        <v>0.45100000000000001</v>
      </c>
      <c r="AP59" s="353">
        <f>SUMIFS('Key Inputs_BY Techs'!AJ:AJ,'Key Inputs_BY Techs'!$A:$A,'SRV_BY Techs'!$L59,'Key Inputs_BY Techs'!$C:$C,'SRV_BY Techs'!$B59,'Key Inputs_BY Techs'!$E:$E,'SRV_BY Techs'!$D59)</f>
        <v>0.45100000000000001</v>
      </c>
    </row>
    <row r="60" spans="1:42" x14ac:dyDescent="0.3">
      <c r="A60" s="499" t="str">
        <f t="shared" si="4"/>
        <v>Cooking</v>
      </c>
      <c r="B60" s="499" t="str">
        <f t="shared" si="4"/>
        <v>S-CK</v>
      </c>
      <c r="C60" s="499" t="str">
        <f t="shared" si="4"/>
        <v>Electricity</v>
      </c>
      <c r="D60" s="499" t="str">
        <f t="shared" si="4"/>
        <v>SRVELC</v>
      </c>
      <c r="E60" s="499" t="str">
        <f t="shared" si="6"/>
        <v>SRVELC</v>
      </c>
      <c r="F60" s="499"/>
      <c r="G60" s="499"/>
      <c r="I60" s="353" t="str">
        <f t="shared" si="5"/>
        <v>S-CK_ELC00</v>
      </c>
      <c r="J60" s="353" t="str">
        <f t="shared" si="5"/>
        <v>SRV Cooking technology: Electricity - Existing</v>
      </c>
      <c r="K60" s="353"/>
      <c r="L60" s="353" t="s">
        <v>40</v>
      </c>
      <c r="M60" s="353" t="str">
        <f>'Key Inputs_BY Techs'!F28</f>
        <v>% (PJuseful/PJcons)</v>
      </c>
      <c r="N60" s="353"/>
      <c r="O60" s="353">
        <f>SUMIFS('Key Inputs_BY Techs'!I:I,'Key Inputs_BY Techs'!$A:$A,'SRV_BY Techs'!$L60,'Key Inputs_BY Techs'!$C:$C,'SRV_BY Techs'!$B60,'Key Inputs_BY Techs'!$E:$E,'SRV_BY Techs'!$D60)</f>
        <v>0.79</v>
      </c>
      <c r="P60" s="353">
        <f>SUMIFS('Key Inputs_BY Techs'!J:J,'Key Inputs_BY Techs'!$A:$A,'SRV_BY Techs'!$L60,'Key Inputs_BY Techs'!$C:$C,'SRV_BY Techs'!$B60,'Key Inputs_BY Techs'!$E:$E,'SRV_BY Techs'!$D60)</f>
        <v>0.79</v>
      </c>
      <c r="Q60" s="353">
        <f>SUMIFS('Key Inputs_BY Techs'!K:K,'Key Inputs_BY Techs'!$A:$A,'SRV_BY Techs'!$L60,'Key Inputs_BY Techs'!$C:$C,'SRV_BY Techs'!$B60,'Key Inputs_BY Techs'!$E:$E,'SRV_BY Techs'!$D60)</f>
        <v>0.79</v>
      </c>
      <c r="R60" s="353">
        <f>SUMIFS('Key Inputs_BY Techs'!L:L,'Key Inputs_BY Techs'!$A:$A,'SRV_BY Techs'!$L60,'Key Inputs_BY Techs'!$C:$C,'SRV_BY Techs'!$B60,'Key Inputs_BY Techs'!$E:$E,'SRV_BY Techs'!$D60)</f>
        <v>0.79</v>
      </c>
      <c r="S60" s="353">
        <f>SUMIFS('Key Inputs_BY Techs'!M:M,'Key Inputs_BY Techs'!$A:$A,'SRV_BY Techs'!$L60,'Key Inputs_BY Techs'!$C:$C,'SRV_BY Techs'!$B60,'Key Inputs_BY Techs'!$E:$E,'SRV_BY Techs'!$D60)</f>
        <v>0.79</v>
      </c>
      <c r="T60" s="353">
        <f>SUMIFS('Key Inputs_BY Techs'!N:N,'Key Inputs_BY Techs'!$A:$A,'SRV_BY Techs'!$L60,'Key Inputs_BY Techs'!$C:$C,'SRV_BY Techs'!$B60,'Key Inputs_BY Techs'!$E:$E,'SRV_BY Techs'!$D60)</f>
        <v>0.79</v>
      </c>
      <c r="U60" s="353">
        <f>SUMIFS('Key Inputs_BY Techs'!O:O,'Key Inputs_BY Techs'!$A:$A,'SRV_BY Techs'!$L60,'Key Inputs_BY Techs'!$C:$C,'SRV_BY Techs'!$B60,'Key Inputs_BY Techs'!$E:$E,'SRV_BY Techs'!$D60)</f>
        <v>0.79</v>
      </c>
      <c r="V60" s="353">
        <f>SUMIFS('Key Inputs_BY Techs'!P:P,'Key Inputs_BY Techs'!$A:$A,'SRV_BY Techs'!$L60,'Key Inputs_BY Techs'!$C:$C,'SRV_BY Techs'!$B60,'Key Inputs_BY Techs'!$E:$E,'SRV_BY Techs'!$D60)</f>
        <v>0.79</v>
      </c>
      <c r="W60" s="353">
        <f>SUMIFS('Key Inputs_BY Techs'!Q:Q,'Key Inputs_BY Techs'!$A:$A,'SRV_BY Techs'!$L60,'Key Inputs_BY Techs'!$C:$C,'SRV_BY Techs'!$B60,'Key Inputs_BY Techs'!$E:$E,'SRV_BY Techs'!$D60)</f>
        <v>0.79</v>
      </c>
      <c r="X60" s="353">
        <f>SUMIFS('Key Inputs_BY Techs'!R:R,'Key Inputs_BY Techs'!$A:$A,'SRV_BY Techs'!$L60,'Key Inputs_BY Techs'!$C:$C,'SRV_BY Techs'!$B60,'Key Inputs_BY Techs'!$E:$E,'SRV_BY Techs'!$D60)</f>
        <v>0.79</v>
      </c>
      <c r="Y60" s="353">
        <f>SUMIFS('Key Inputs_BY Techs'!S:S,'Key Inputs_BY Techs'!$A:$A,'SRV_BY Techs'!$L60,'Key Inputs_BY Techs'!$C:$C,'SRV_BY Techs'!$B60,'Key Inputs_BY Techs'!$E:$E,'SRV_BY Techs'!$D60)</f>
        <v>0.79</v>
      </c>
      <c r="Z60" s="353">
        <f>SUMIFS('Key Inputs_BY Techs'!T:T,'Key Inputs_BY Techs'!$A:$A,'SRV_BY Techs'!$L60,'Key Inputs_BY Techs'!$C:$C,'SRV_BY Techs'!$B60,'Key Inputs_BY Techs'!$E:$E,'SRV_BY Techs'!$D60)</f>
        <v>0.79</v>
      </c>
      <c r="AA60" s="353">
        <f>SUMIFS('Key Inputs_BY Techs'!U:U,'Key Inputs_BY Techs'!$A:$A,'SRV_BY Techs'!$L60,'Key Inputs_BY Techs'!$C:$C,'SRV_BY Techs'!$B60,'Key Inputs_BY Techs'!$E:$E,'SRV_BY Techs'!$D60)</f>
        <v>0.79</v>
      </c>
      <c r="AB60" s="353">
        <f>SUMIFS('Key Inputs_BY Techs'!V:V,'Key Inputs_BY Techs'!$A:$A,'SRV_BY Techs'!$L60,'Key Inputs_BY Techs'!$C:$C,'SRV_BY Techs'!$B60,'Key Inputs_BY Techs'!$E:$E,'SRV_BY Techs'!$D60)</f>
        <v>0.79</v>
      </c>
      <c r="AC60" s="353">
        <f>SUMIFS('Key Inputs_BY Techs'!W:W,'Key Inputs_BY Techs'!$A:$A,'SRV_BY Techs'!$L60,'Key Inputs_BY Techs'!$C:$C,'SRV_BY Techs'!$B60,'Key Inputs_BY Techs'!$E:$E,'SRV_BY Techs'!$D60)</f>
        <v>0.79</v>
      </c>
      <c r="AD60" s="353">
        <f>SUMIFS('Key Inputs_BY Techs'!X:X,'Key Inputs_BY Techs'!$A:$A,'SRV_BY Techs'!$L60,'Key Inputs_BY Techs'!$C:$C,'SRV_BY Techs'!$B60,'Key Inputs_BY Techs'!$E:$E,'SRV_BY Techs'!$D60)</f>
        <v>0.79</v>
      </c>
      <c r="AE60" s="353">
        <f>SUMIFS('Key Inputs_BY Techs'!Y:Y,'Key Inputs_BY Techs'!$A:$A,'SRV_BY Techs'!$L60,'Key Inputs_BY Techs'!$C:$C,'SRV_BY Techs'!$B60,'Key Inputs_BY Techs'!$E:$E,'SRV_BY Techs'!$D60)</f>
        <v>0.79</v>
      </c>
      <c r="AF60" s="353">
        <f>SUMIFS('Key Inputs_BY Techs'!Z:Z,'Key Inputs_BY Techs'!$A:$A,'SRV_BY Techs'!$L60,'Key Inputs_BY Techs'!$C:$C,'SRV_BY Techs'!$B60,'Key Inputs_BY Techs'!$E:$E,'SRV_BY Techs'!$D60)</f>
        <v>0.79</v>
      </c>
      <c r="AG60" s="353">
        <f>SUMIFS('Key Inputs_BY Techs'!AA:AA,'Key Inputs_BY Techs'!$A:$A,'SRV_BY Techs'!$L60,'Key Inputs_BY Techs'!$C:$C,'SRV_BY Techs'!$B60,'Key Inputs_BY Techs'!$E:$E,'SRV_BY Techs'!$D60)</f>
        <v>0.79</v>
      </c>
      <c r="AH60" s="353">
        <f>SUMIFS('Key Inputs_BY Techs'!AB:AB,'Key Inputs_BY Techs'!$A:$A,'SRV_BY Techs'!$L60,'Key Inputs_BY Techs'!$C:$C,'SRV_BY Techs'!$B60,'Key Inputs_BY Techs'!$E:$E,'SRV_BY Techs'!$D60)</f>
        <v>0.79</v>
      </c>
      <c r="AI60" s="353">
        <f>SUMIFS('Key Inputs_BY Techs'!AC:AC,'Key Inputs_BY Techs'!$A:$A,'SRV_BY Techs'!$L60,'Key Inputs_BY Techs'!$C:$C,'SRV_BY Techs'!$B60,'Key Inputs_BY Techs'!$E:$E,'SRV_BY Techs'!$D60)</f>
        <v>0.79</v>
      </c>
      <c r="AJ60" s="353">
        <f>SUMIFS('Key Inputs_BY Techs'!AD:AD,'Key Inputs_BY Techs'!$A:$A,'SRV_BY Techs'!$L60,'Key Inputs_BY Techs'!$C:$C,'SRV_BY Techs'!$B60,'Key Inputs_BY Techs'!$E:$E,'SRV_BY Techs'!$D60)</f>
        <v>0.79</v>
      </c>
      <c r="AK60" s="353">
        <f>SUMIFS('Key Inputs_BY Techs'!AE:AE,'Key Inputs_BY Techs'!$A:$A,'SRV_BY Techs'!$L60,'Key Inputs_BY Techs'!$C:$C,'SRV_BY Techs'!$B60,'Key Inputs_BY Techs'!$E:$E,'SRV_BY Techs'!$D60)</f>
        <v>0.79</v>
      </c>
      <c r="AL60" s="353">
        <f>SUMIFS('Key Inputs_BY Techs'!AF:AF,'Key Inputs_BY Techs'!$A:$A,'SRV_BY Techs'!$L60,'Key Inputs_BY Techs'!$C:$C,'SRV_BY Techs'!$B60,'Key Inputs_BY Techs'!$E:$E,'SRV_BY Techs'!$D60)</f>
        <v>0.79</v>
      </c>
      <c r="AM60" s="353">
        <f>SUMIFS('Key Inputs_BY Techs'!AG:AG,'Key Inputs_BY Techs'!$A:$A,'SRV_BY Techs'!$L60,'Key Inputs_BY Techs'!$C:$C,'SRV_BY Techs'!$B60,'Key Inputs_BY Techs'!$E:$E,'SRV_BY Techs'!$D60)</f>
        <v>0.79</v>
      </c>
      <c r="AN60" s="353">
        <f>SUMIFS('Key Inputs_BY Techs'!AH:AH,'Key Inputs_BY Techs'!$A:$A,'SRV_BY Techs'!$L60,'Key Inputs_BY Techs'!$C:$C,'SRV_BY Techs'!$B60,'Key Inputs_BY Techs'!$E:$E,'SRV_BY Techs'!$D60)</f>
        <v>0.79</v>
      </c>
      <c r="AO60" s="353">
        <f>SUMIFS('Key Inputs_BY Techs'!AI:AI,'Key Inputs_BY Techs'!$A:$A,'SRV_BY Techs'!$L60,'Key Inputs_BY Techs'!$C:$C,'SRV_BY Techs'!$B60,'Key Inputs_BY Techs'!$E:$E,'SRV_BY Techs'!$D60)</f>
        <v>0.79</v>
      </c>
      <c r="AP60" s="353">
        <f>SUMIFS('Key Inputs_BY Techs'!AJ:AJ,'Key Inputs_BY Techs'!$A:$A,'SRV_BY Techs'!$L60,'Key Inputs_BY Techs'!$C:$C,'SRV_BY Techs'!$B60,'Key Inputs_BY Techs'!$E:$E,'SRV_BY Techs'!$D60)</f>
        <v>0.79</v>
      </c>
    </row>
    <row r="61" spans="1:42" x14ac:dyDescent="0.3">
      <c r="A61" s="499" t="str">
        <f t="shared" si="4"/>
        <v>Cooking</v>
      </c>
      <c r="B61" s="499" t="str">
        <f t="shared" si="4"/>
        <v>S-CK</v>
      </c>
      <c r="C61" s="499" t="str">
        <f t="shared" si="4"/>
        <v>Natural gas, Biogas</v>
      </c>
      <c r="D61" s="499" t="str">
        <f t="shared" si="4"/>
        <v>SRVGAS, SRVBGS</v>
      </c>
      <c r="E61" s="499" t="str">
        <f t="shared" si="6"/>
        <v>SRVGAS</v>
      </c>
      <c r="F61" s="499"/>
      <c r="G61" s="499"/>
      <c r="I61" s="353" t="str">
        <f t="shared" si="5"/>
        <v>S-CK_GAS00</v>
      </c>
      <c r="J61" s="353" t="str">
        <f t="shared" si="5"/>
        <v>SRV Cooking technology: Natural gas, Biogas - Existing</v>
      </c>
      <c r="K61" s="353"/>
      <c r="L61" s="353" t="s">
        <v>40</v>
      </c>
      <c r="M61" s="353" t="str">
        <f>'Key Inputs_BY Techs'!F29</f>
        <v>% (PJuseful/PJcons)</v>
      </c>
      <c r="N61" s="353"/>
      <c r="O61" s="353">
        <f>SUMIFS('Key Inputs_BY Techs'!I:I,'Key Inputs_BY Techs'!$A:$A,'SRV_BY Techs'!$L61,'Key Inputs_BY Techs'!$C:$C,'SRV_BY Techs'!$B61,'Key Inputs_BY Techs'!$E:$E,'SRV_BY Techs'!$D61)</f>
        <v>0.42</v>
      </c>
      <c r="P61" s="353">
        <f>SUMIFS('Key Inputs_BY Techs'!J:J,'Key Inputs_BY Techs'!$A:$A,'SRV_BY Techs'!$L61,'Key Inputs_BY Techs'!$C:$C,'SRV_BY Techs'!$B61,'Key Inputs_BY Techs'!$E:$E,'SRV_BY Techs'!$D61)</f>
        <v>0.42</v>
      </c>
      <c r="Q61" s="353">
        <f>SUMIFS('Key Inputs_BY Techs'!K:K,'Key Inputs_BY Techs'!$A:$A,'SRV_BY Techs'!$L61,'Key Inputs_BY Techs'!$C:$C,'SRV_BY Techs'!$B61,'Key Inputs_BY Techs'!$E:$E,'SRV_BY Techs'!$D61)</f>
        <v>0.42</v>
      </c>
      <c r="R61" s="353">
        <f>SUMIFS('Key Inputs_BY Techs'!L:L,'Key Inputs_BY Techs'!$A:$A,'SRV_BY Techs'!$L61,'Key Inputs_BY Techs'!$C:$C,'SRV_BY Techs'!$B61,'Key Inputs_BY Techs'!$E:$E,'SRV_BY Techs'!$D61)</f>
        <v>0.42</v>
      </c>
      <c r="S61" s="353">
        <f>SUMIFS('Key Inputs_BY Techs'!M:M,'Key Inputs_BY Techs'!$A:$A,'SRV_BY Techs'!$L61,'Key Inputs_BY Techs'!$C:$C,'SRV_BY Techs'!$B61,'Key Inputs_BY Techs'!$E:$E,'SRV_BY Techs'!$D61)</f>
        <v>0.42</v>
      </c>
      <c r="T61" s="353">
        <f>SUMIFS('Key Inputs_BY Techs'!N:N,'Key Inputs_BY Techs'!$A:$A,'SRV_BY Techs'!$L61,'Key Inputs_BY Techs'!$C:$C,'SRV_BY Techs'!$B61,'Key Inputs_BY Techs'!$E:$E,'SRV_BY Techs'!$D61)</f>
        <v>0.42</v>
      </c>
      <c r="U61" s="353">
        <f>SUMIFS('Key Inputs_BY Techs'!O:O,'Key Inputs_BY Techs'!$A:$A,'SRV_BY Techs'!$L61,'Key Inputs_BY Techs'!$C:$C,'SRV_BY Techs'!$B61,'Key Inputs_BY Techs'!$E:$E,'SRV_BY Techs'!$D61)</f>
        <v>0.42</v>
      </c>
      <c r="V61" s="353">
        <f>SUMIFS('Key Inputs_BY Techs'!P:P,'Key Inputs_BY Techs'!$A:$A,'SRV_BY Techs'!$L61,'Key Inputs_BY Techs'!$C:$C,'SRV_BY Techs'!$B61,'Key Inputs_BY Techs'!$E:$E,'SRV_BY Techs'!$D61)</f>
        <v>0.42</v>
      </c>
      <c r="W61" s="353">
        <f>SUMIFS('Key Inputs_BY Techs'!Q:Q,'Key Inputs_BY Techs'!$A:$A,'SRV_BY Techs'!$L61,'Key Inputs_BY Techs'!$C:$C,'SRV_BY Techs'!$B61,'Key Inputs_BY Techs'!$E:$E,'SRV_BY Techs'!$D61)</f>
        <v>0.42</v>
      </c>
      <c r="X61" s="353">
        <f>SUMIFS('Key Inputs_BY Techs'!R:R,'Key Inputs_BY Techs'!$A:$A,'SRV_BY Techs'!$L61,'Key Inputs_BY Techs'!$C:$C,'SRV_BY Techs'!$B61,'Key Inputs_BY Techs'!$E:$E,'SRV_BY Techs'!$D61)</f>
        <v>0.42</v>
      </c>
      <c r="Y61" s="353">
        <f>SUMIFS('Key Inputs_BY Techs'!S:S,'Key Inputs_BY Techs'!$A:$A,'SRV_BY Techs'!$L61,'Key Inputs_BY Techs'!$C:$C,'SRV_BY Techs'!$B61,'Key Inputs_BY Techs'!$E:$E,'SRV_BY Techs'!$D61)</f>
        <v>0.42</v>
      </c>
      <c r="Z61" s="353">
        <f>SUMIFS('Key Inputs_BY Techs'!T:T,'Key Inputs_BY Techs'!$A:$A,'SRV_BY Techs'!$L61,'Key Inputs_BY Techs'!$C:$C,'SRV_BY Techs'!$B61,'Key Inputs_BY Techs'!$E:$E,'SRV_BY Techs'!$D61)</f>
        <v>0.42</v>
      </c>
      <c r="AA61" s="353">
        <f>SUMIFS('Key Inputs_BY Techs'!U:U,'Key Inputs_BY Techs'!$A:$A,'SRV_BY Techs'!$L61,'Key Inputs_BY Techs'!$C:$C,'SRV_BY Techs'!$B61,'Key Inputs_BY Techs'!$E:$E,'SRV_BY Techs'!$D61)</f>
        <v>0.42</v>
      </c>
      <c r="AB61" s="353">
        <f>SUMIFS('Key Inputs_BY Techs'!V:V,'Key Inputs_BY Techs'!$A:$A,'SRV_BY Techs'!$L61,'Key Inputs_BY Techs'!$C:$C,'SRV_BY Techs'!$B61,'Key Inputs_BY Techs'!$E:$E,'SRV_BY Techs'!$D61)</f>
        <v>0.42</v>
      </c>
      <c r="AC61" s="353">
        <f>SUMIFS('Key Inputs_BY Techs'!W:W,'Key Inputs_BY Techs'!$A:$A,'SRV_BY Techs'!$L61,'Key Inputs_BY Techs'!$C:$C,'SRV_BY Techs'!$B61,'Key Inputs_BY Techs'!$E:$E,'SRV_BY Techs'!$D61)</f>
        <v>0.42</v>
      </c>
      <c r="AD61" s="353">
        <f>SUMIFS('Key Inputs_BY Techs'!X:X,'Key Inputs_BY Techs'!$A:$A,'SRV_BY Techs'!$L61,'Key Inputs_BY Techs'!$C:$C,'SRV_BY Techs'!$B61,'Key Inputs_BY Techs'!$E:$E,'SRV_BY Techs'!$D61)</f>
        <v>0.42</v>
      </c>
      <c r="AE61" s="353">
        <f>SUMIFS('Key Inputs_BY Techs'!Y:Y,'Key Inputs_BY Techs'!$A:$A,'SRV_BY Techs'!$L61,'Key Inputs_BY Techs'!$C:$C,'SRV_BY Techs'!$B61,'Key Inputs_BY Techs'!$E:$E,'SRV_BY Techs'!$D61)</f>
        <v>0.42</v>
      </c>
      <c r="AF61" s="353">
        <f>SUMIFS('Key Inputs_BY Techs'!Z:Z,'Key Inputs_BY Techs'!$A:$A,'SRV_BY Techs'!$L61,'Key Inputs_BY Techs'!$C:$C,'SRV_BY Techs'!$B61,'Key Inputs_BY Techs'!$E:$E,'SRV_BY Techs'!$D61)</f>
        <v>0.42</v>
      </c>
      <c r="AG61" s="353">
        <f>SUMIFS('Key Inputs_BY Techs'!AA:AA,'Key Inputs_BY Techs'!$A:$A,'SRV_BY Techs'!$L61,'Key Inputs_BY Techs'!$C:$C,'SRV_BY Techs'!$B61,'Key Inputs_BY Techs'!$E:$E,'SRV_BY Techs'!$D61)</f>
        <v>0.42</v>
      </c>
      <c r="AH61" s="353">
        <f>SUMIFS('Key Inputs_BY Techs'!AB:AB,'Key Inputs_BY Techs'!$A:$A,'SRV_BY Techs'!$L61,'Key Inputs_BY Techs'!$C:$C,'SRV_BY Techs'!$B61,'Key Inputs_BY Techs'!$E:$E,'SRV_BY Techs'!$D61)</f>
        <v>0.42</v>
      </c>
      <c r="AI61" s="353">
        <f>SUMIFS('Key Inputs_BY Techs'!AC:AC,'Key Inputs_BY Techs'!$A:$A,'SRV_BY Techs'!$L61,'Key Inputs_BY Techs'!$C:$C,'SRV_BY Techs'!$B61,'Key Inputs_BY Techs'!$E:$E,'SRV_BY Techs'!$D61)</f>
        <v>0.42</v>
      </c>
      <c r="AJ61" s="353">
        <f>SUMIFS('Key Inputs_BY Techs'!AD:AD,'Key Inputs_BY Techs'!$A:$A,'SRV_BY Techs'!$L61,'Key Inputs_BY Techs'!$C:$C,'SRV_BY Techs'!$B61,'Key Inputs_BY Techs'!$E:$E,'SRV_BY Techs'!$D61)</f>
        <v>0.42</v>
      </c>
      <c r="AK61" s="353">
        <f>SUMIFS('Key Inputs_BY Techs'!AE:AE,'Key Inputs_BY Techs'!$A:$A,'SRV_BY Techs'!$L61,'Key Inputs_BY Techs'!$C:$C,'SRV_BY Techs'!$B61,'Key Inputs_BY Techs'!$E:$E,'SRV_BY Techs'!$D61)</f>
        <v>0.42</v>
      </c>
      <c r="AL61" s="353">
        <f>SUMIFS('Key Inputs_BY Techs'!AF:AF,'Key Inputs_BY Techs'!$A:$A,'SRV_BY Techs'!$L61,'Key Inputs_BY Techs'!$C:$C,'SRV_BY Techs'!$B61,'Key Inputs_BY Techs'!$E:$E,'SRV_BY Techs'!$D61)</f>
        <v>0.42</v>
      </c>
      <c r="AM61" s="353">
        <f>SUMIFS('Key Inputs_BY Techs'!AG:AG,'Key Inputs_BY Techs'!$A:$A,'SRV_BY Techs'!$L61,'Key Inputs_BY Techs'!$C:$C,'SRV_BY Techs'!$B61,'Key Inputs_BY Techs'!$E:$E,'SRV_BY Techs'!$D61)</f>
        <v>0.42</v>
      </c>
      <c r="AN61" s="353">
        <f>SUMIFS('Key Inputs_BY Techs'!AH:AH,'Key Inputs_BY Techs'!$A:$A,'SRV_BY Techs'!$L61,'Key Inputs_BY Techs'!$C:$C,'SRV_BY Techs'!$B61,'Key Inputs_BY Techs'!$E:$E,'SRV_BY Techs'!$D61)</f>
        <v>0.42</v>
      </c>
      <c r="AO61" s="353">
        <f>SUMIFS('Key Inputs_BY Techs'!AI:AI,'Key Inputs_BY Techs'!$A:$A,'SRV_BY Techs'!$L61,'Key Inputs_BY Techs'!$C:$C,'SRV_BY Techs'!$B61,'Key Inputs_BY Techs'!$E:$E,'SRV_BY Techs'!$D61)</f>
        <v>0.42</v>
      </c>
      <c r="AP61" s="353">
        <f>SUMIFS('Key Inputs_BY Techs'!AJ:AJ,'Key Inputs_BY Techs'!$A:$A,'SRV_BY Techs'!$L61,'Key Inputs_BY Techs'!$C:$C,'SRV_BY Techs'!$B61,'Key Inputs_BY Techs'!$E:$E,'SRV_BY Techs'!$D61)</f>
        <v>0.42</v>
      </c>
    </row>
    <row r="62" spans="1:42" x14ac:dyDescent="0.3">
      <c r="A62" s="499" t="str">
        <f t="shared" si="4"/>
        <v>Cooking</v>
      </c>
      <c r="B62" s="499" t="str">
        <f t="shared" si="4"/>
        <v>S-CK</v>
      </c>
      <c r="C62" s="499" t="str">
        <f t="shared" si="4"/>
        <v>LPG</v>
      </c>
      <c r="D62" s="499" t="str">
        <f t="shared" si="4"/>
        <v>SRVLPG</v>
      </c>
      <c r="E62" s="499" t="str">
        <f t="shared" si="6"/>
        <v>SRVLPG</v>
      </c>
      <c r="F62" s="499"/>
      <c r="G62" s="499"/>
      <c r="I62" s="353" t="str">
        <f t="shared" si="5"/>
        <v>S-CK_LPG00</v>
      </c>
      <c r="J62" s="353" t="str">
        <f t="shared" si="5"/>
        <v>SRV Cooking technology: LPG - Existing</v>
      </c>
      <c r="K62" s="353"/>
      <c r="L62" s="353" t="s">
        <v>40</v>
      </c>
      <c r="M62" s="353" t="str">
        <f>'Key Inputs_BY Techs'!F30</f>
        <v>% (PJuseful/PJcons)</v>
      </c>
      <c r="N62" s="353"/>
      <c r="O62" s="353">
        <f>SUMIFS('Key Inputs_BY Techs'!I:I,'Key Inputs_BY Techs'!$A:$A,'SRV_BY Techs'!$L62,'Key Inputs_BY Techs'!$C:$C,'SRV_BY Techs'!$B62,'Key Inputs_BY Techs'!$E:$E,'SRV_BY Techs'!$D62)</f>
        <v>0.60399999999999998</v>
      </c>
      <c r="P62" s="353">
        <f>SUMIFS('Key Inputs_BY Techs'!J:J,'Key Inputs_BY Techs'!$A:$A,'SRV_BY Techs'!$L62,'Key Inputs_BY Techs'!$C:$C,'SRV_BY Techs'!$B62,'Key Inputs_BY Techs'!$E:$E,'SRV_BY Techs'!$D62)</f>
        <v>0.60399999999999998</v>
      </c>
      <c r="Q62" s="353">
        <f>SUMIFS('Key Inputs_BY Techs'!K:K,'Key Inputs_BY Techs'!$A:$A,'SRV_BY Techs'!$L62,'Key Inputs_BY Techs'!$C:$C,'SRV_BY Techs'!$B62,'Key Inputs_BY Techs'!$E:$E,'SRV_BY Techs'!$D62)</f>
        <v>0.60399999999999998</v>
      </c>
      <c r="R62" s="353">
        <f>SUMIFS('Key Inputs_BY Techs'!L:L,'Key Inputs_BY Techs'!$A:$A,'SRV_BY Techs'!$L62,'Key Inputs_BY Techs'!$C:$C,'SRV_BY Techs'!$B62,'Key Inputs_BY Techs'!$E:$E,'SRV_BY Techs'!$D62)</f>
        <v>0.60399999999999998</v>
      </c>
      <c r="S62" s="353">
        <f>SUMIFS('Key Inputs_BY Techs'!M:M,'Key Inputs_BY Techs'!$A:$A,'SRV_BY Techs'!$L62,'Key Inputs_BY Techs'!$C:$C,'SRV_BY Techs'!$B62,'Key Inputs_BY Techs'!$E:$E,'SRV_BY Techs'!$D62)</f>
        <v>0.60399999999999998</v>
      </c>
      <c r="T62" s="353">
        <f>SUMIFS('Key Inputs_BY Techs'!N:N,'Key Inputs_BY Techs'!$A:$A,'SRV_BY Techs'!$L62,'Key Inputs_BY Techs'!$C:$C,'SRV_BY Techs'!$B62,'Key Inputs_BY Techs'!$E:$E,'SRV_BY Techs'!$D62)</f>
        <v>0.60399999999999998</v>
      </c>
      <c r="U62" s="353">
        <f>SUMIFS('Key Inputs_BY Techs'!O:O,'Key Inputs_BY Techs'!$A:$A,'SRV_BY Techs'!$L62,'Key Inputs_BY Techs'!$C:$C,'SRV_BY Techs'!$B62,'Key Inputs_BY Techs'!$E:$E,'SRV_BY Techs'!$D62)</f>
        <v>0.60399999999999998</v>
      </c>
      <c r="V62" s="353">
        <f>SUMIFS('Key Inputs_BY Techs'!P:P,'Key Inputs_BY Techs'!$A:$A,'SRV_BY Techs'!$L62,'Key Inputs_BY Techs'!$C:$C,'SRV_BY Techs'!$B62,'Key Inputs_BY Techs'!$E:$E,'SRV_BY Techs'!$D62)</f>
        <v>0.60399999999999998</v>
      </c>
      <c r="W62" s="353">
        <f>SUMIFS('Key Inputs_BY Techs'!Q:Q,'Key Inputs_BY Techs'!$A:$A,'SRV_BY Techs'!$L62,'Key Inputs_BY Techs'!$C:$C,'SRV_BY Techs'!$B62,'Key Inputs_BY Techs'!$E:$E,'SRV_BY Techs'!$D62)</f>
        <v>0.60399999999999998</v>
      </c>
      <c r="X62" s="353">
        <f>SUMIFS('Key Inputs_BY Techs'!R:R,'Key Inputs_BY Techs'!$A:$A,'SRV_BY Techs'!$L62,'Key Inputs_BY Techs'!$C:$C,'SRV_BY Techs'!$B62,'Key Inputs_BY Techs'!$E:$E,'SRV_BY Techs'!$D62)</f>
        <v>0.60399999999999998</v>
      </c>
      <c r="Y62" s="353">
        <f>SUMIFS('Key Inputs_BY Techs'!S:S,'Key Inputs_BY Techs'!$A:$A,'SRV_BY Techs'!$L62,'Key Inputs_BY Techs'!$C:$C,'SRV_BY Techs'!$B62,'Key Inputs_BY Techs'!$E:$E,'SRV_BY Techs'!$D62)</f>
        <v>0.60399999999999998</v>
      </c>
      <c r="Z62" s="353">
        <f>SUMIFS('Key Inputs_BY Techs'!T:T,'Key Inputs_BY Techs'!$A:$A,'SRV_BY Techs'!$L62,'Key Inputs_BY Techs'!$C:$C,'SRV_BY Techs'!$B62,'Key Inputs_BY Techs'!$E:$E,'SRV_BY Techs'!$D62)</f>
        <v>0.60399999999999998</v>
      </c>
      <c r="AA62" s="353">
        <f>SUMIFS('Key Inputs_BY Techs'!U:U,'Key Inputs_BY Techs'!$A:$A,'SRV_BY Techs'!$L62,'Key Inputs_BY Techs'!$C:$C,'SRV_BY Techs'!$B62,'Key Inputs_BY Techs'!$E:$E,'SRV_BY Techs'!$D62)</f>
        <v>0.60399999999999998</v>
      </c>
      <c r="AB62" s="353">
        <f>SUMIFS('Key Inputs_BY Techs'!V:V,'Key Inputs_BY Techs'!$A:$A,'SRV_BY Techs'!$L62,'Key Inputs_BY Techs'!$C:$C,'SRV_BY Techs'!$B62,'Key Inputs_BY Techs'!$E:$E,'SRV_BY Techs'!$D62)</f>
        <v>0.60399999999999998</v>
      </c>
      <c r="AC62" s="353">
        <f>SUMIFS('Key Inputs_BY Techs'!W:W,'Key Inputs_BY Techs'!$A:$A,'SRV_BY Techs'!$L62,'Key Inputs_BY Techs'!$C:$C,'SRV_BY Techs'!$B62,'Key Inputs_BY Techs'!$E:$E,'SRV_BY Techs'!$D62)</f>
        <v>0.60399999999999998</v>
      </c>
      <c r="AD62" s="353">
        <f>SUMIFS('Key Inputs_BY Techs'!X:X,'Key Inputs_BY Techs'!$A:$A,'SRV_BY Techs'!$L62,'Key Inputs_BY Techs'!$C:$C,'SRV_BY Techs'!$B62,'Key Inputs_BY Techs'!$E:$E,'SRV_BY Techs'!$D62)</f>
        <v>0.60399999999999998</v>
      </c>
      <c r="AE62" s="353">
        <f>SUMIFS('Key Inputs_BY Techs'!Y:Y,'Key Inputs_BY Techs'!$A:$A,'SRV_BY Techs'!$L62,'Key Inputs_BY Techs'!$C:$C,'SRV_BY Techs'!$B62,'Key Inputs_BY Techs'!$E:$E,'SRV_BY Techs'!$D62)</f>
        <v>0.60399999999999998</v>
      </c>
      <c r="AF62" s="353">
        <f>SUMIFS('Key Inputs_BY Techs'!Z:Z,'Key Inputs_BY Techs'!$A:$A,'SRV_BY Techs'!$L62,'Key Inputs_BY Techs'!$C:$C,'SRV_BY Techs'!$B62,'Key Inputs_BY Techs'!$E:$E,'SRV_BY Techs'!$D62)</f>
        <v>0.60399999999999998</v>
      </c>
      <c r="AG62" s="353">
        <f>SUMIFS('Key Inputs_BY Techs'!AA:AA,'Key Inputs_BY Techs'!$A:$A,'SRV_BY Techs'!$L62,'Key Inputs_BY Techs'!$C:$C,'SRV_BY Techs'!$B62,'Key Inputs_BY Techs'!$E:$E,'SRV_BY Techs'!$D62)</f>
        <v>0.60399999999999998</v>
      </c>
      <c r="AH62" s="353">
        <f>SUMIFS('Key Inputs_BY Techs'!AB:AB,'Key Inputs_BY Techs'!$A:$A,'SRV_BY Techs'!$L62,'Key Inputs_BY Techs'!$C:$C,'SRV_BY Techs'!$B62,'Key Inputs_BY Techs'!$E:$E,'SRV_BY Techs'!$D62)</f>
        <v>0.60399999999999998</v>
      </c>
      <c r="AI62" s="353">
        <f>SUMIFS('Key Inputs_BY Techs'!AC:AC,'Key Inputs_BY Techs'!$A:$A,'SRV_BY Techs'!$L62,'Key Inputs_BY Techs'!$C:$C,'SRV_BY Techs'!$B62,'Key Inputs_BY Techs'!$E:$E,'SRV_BY Techs'!$D62)</f>
        <v>0.60399999999999998</v>
      </c>
      <c r="AJ62" s="353">
        <f>SUMIFS('Key Inputs_BY Techs'!AD:AD,'Key Inputs_BY Techs'!$A:$A,'SRV_BY Techs'!$L62,'Key Inputs_BY Techs'!$C:$C,'SRV_BY Techs'!$B62,'Key Inputs_BY Techs'!$E:$E,'SRV_BY Techs'!$D62)</f>
        <v>0.60399999999999998</v>
      </c>
      <c r="AK62" s="353">
        <f>SUMIFS('Key Inputs_BY Techs'!AE:AE,'Key Inputs_BY Techs'!$A:$A,'SRV_BY Techs'!$L62,'Key Inputs_BY Techs'!$C:$C,'SRV_BY Techs'!$B62,'Key Inputs_BY Techs'!$E:$E,'SRV_BY Techs'!$D62)</f>
        <v>0.60399999999999998</v>
      </c>
      <c r="AL62" s="353">
        <f>SUMIFS('Key Inputs_BY Techs'!AF:AF,'Key Inputs_BY Techs'!$A:$A,'SRV_BY Techs'!$L62,'Key Inputs_BY Techs'!$C:$C,'SRV_BY Techs'!$B62,'Key Inputs_BY Techs'!$E:$E,'SRV_BY Techs'!$D62)</f>
        <v>0.60399999999999998</v>
      </c>
      <c r="AM62" s="353">
        <f>SUMIFS('Key Inputs_BY Techs'!AG:AG,'Key Inputs_BY Techs'!$A:$A,'SRV_BY Techs'!$L62,'Key Inputs_BY Techs'!$C:$C,'SRV_BY Techs'!$B62,'Key Inputs_BY Techs'!$E:$E,'SRV_BY Techs'!$D62)</f>
        <v>0.60399999999999998</v>
      </c>
      <c r="AN62" s="353">
        <f>SUMIFS('Key Inputs_BY Techs'!AH:AH,'Key Inputs_BY Techs'!$A:$A,'SRV_BY Techs'!$L62,'Key Inputs_BY Techs'!$C:$C,'SRV_BY Techs'!$B62,'Key Inputs_BY Techs'!$E:$E,'SRV_BY Techs'!$D62)</f>
        <v>0.60399999999999998</v>
      </c>
      <c r="AO62" s="353">
        <f>SUMIFS('Key Inputs_BY Techs'!AI:AI,'Key Inputs_BY Techs'!$A:$A,'SRV_BY Techs'!$L62,'Key Inputs_BY Techs'!$C:$C,'SRV_BY Techs'!$B62,'Key Inputs_BY Techs'!$E:$E,'SRV_BY Techs'!$D62)</f>
        <v>0.60399999999999998</v>
      </c>
      <c r="AP62" s="353">
        <f>SUMIFS('Key Inputs_BY Techs'!AJ:AJ,'Key Inputs_BY Techs'!$A:$A,'SRV_BY Techs'!$L62,'Key Inputs_BY Techs'!$C:$C,'SRV_BY Techs'!$B62,'Key Inputs_BY Techs'!$E:$E,'SRV_BY Techs'!$D62)</f>
        <v>0.60399999999999998</v>
      </c>
    </row>
    <row r="63" spans="1:42" x14ac:dyDescent="0.3">
      <c r="A63" s="499" t="str">
        <f t="shared" si="4"/>
        <v>Cooking</v>
      </c>
      <c r="B63" s="499" t="str">
        <f t="shared" si="4"/>
        <v>S-CK</v>
      </c>
      <c r="C63" s="499" t="str">
        <f t="shared" si="4"/>
        <v>Oil, Liquid biofuels</v>
      </c>
      <c r="D63" s="499" t="str">
        <f t="shared" si="4"/>
        <v>SRVOIL, SRVBLQ</v>
      </c>
      <c r="E63" s="499" t="str">
        <f t="shared" si="6"/>
        <v>SRVOIL</v>
      </c>
      <c r="F63" s="499"/>
      <c r="G63" s="499"/>
      <c r="I63" s="353" t="str">
        <f t="shared" si="5"/>
        <v>S-CK_OIL00</v>
      </c>
      <c r="J63" s="353" t="str">
        <f t="shared" si="5"/>
        <v>SRV Cooking technology: Oil, Liquid biofuels - Existing</v>
      </c>
      <c r="K63" s="353"/>
      <c r="L63" s="353" t="s">
        <v>40</v>
      </c>
      <c r="M63" s="357" t="str">
        <f>'Key Inputs_BY Techs'!F31</f>
        <v>% (PJuseful/PJcons)</v>
      </c>
      <c r="N63" s="357"/>
      <c r="O63" s="353">
        <f>SUMIFS('Key Inputs_BY Techs'!I:I,'Key Inputs_BY Techs'!$A:$A,'SRV_BY Techs'!$L63,'Key Inputs_BY Techs'!$C:$C,'SRV_BY Techs'!$B63,'Key Inputs_BY Techs'!$E:$E,'SRV_BY Techs'!$D63)</f>
        <v>0.60399999999999998</v>
      </c>
      <c r="P63" s="353">
        <f>SUMIFS('Key Inputs_BY Techs'!J:J,'Key Inputs_BY Techs'!$A:$A,'SRV_BY Techs'!$L63,'Key Inputs_BY Techs'!$C:$C,'SRV_BY Techs'!$B63,'Key Inputs_BY Techs'!$E:$E,'SRV_BY Techs'!$D63)</f>
        <v>0.60399999999999998</v>
      </c>
      <c r="Q63" s="353">
        <f>SUMIFS('Key Inputs_BY Techs'!K:K,'Key Inputs_BY Techs'!$A:$A,'SRV_BY Techs'!$L63,'Key Inputs_BY Techs'!$C:$C,'SRV_BY Techs'!$B63,'Key Inputs_BY Techs'!$E:$E,'SRV_BY Techs'!$D63)</f>
        <v>0.60399999999999998</v>
      </c>
      <c r="R63" s="353">
        <f>SUMIFS('Key Inputs_BY Techs'!L:L,'Key Inputs_BY Techs'!$A:$A,'SRV_BY Techs'!$L63,'Key Inputs_BY Techs'!$C:$C,'SRV_BY Techs'!$B63,'Key Inputs_BY Techs'!$E:$E,'SRV_BY Techs'!$D63)</f>
        <v>0.60399999999999998</v>
      </c>
      <c r="S63" s="353">
        <f>SUMIFS('Key Inputs_BY Techs'!M:M,'Key Inputs_BY Techs'!$A:$A,'SRV_BY Techs'!$L63,'Key Inputs_BY Techs'!$C:$C,'SRV_BY Techs'!$B63,'Key Inputs_BY Techs'!$E:$E,'SRV_BY Techs'!$D63)</f>
        <v>0.60399999999999998</v>
      </c>
      <c r="T63" s="353">
        <f>SUMIFS('Key Inputs_BY Techs'!N:N,'Key Inputs_BY Techs'!$A:$A,'SRV_BY Techs'!$L63,'Key Inputs_BY Techs'!$C:$C,'SRV_BY Techs'!$B63,'Key Inputs_BY Techs'!$E:$E,'SRV_BY Techs'!$D63)</f>
        <v>0.60399999999999998</v>
      </c>
      <c r="U63" s="353">
        <f>SUMIFS('Key Inputs_BY Techs'!O:O,'Key Inputs_BY Techs'!$A:$A,'SRV_BY Techs'!$L63,'Key Inputs_BY Techs'!$C:$C,'SRV_BY Techs'!$B63,'Key Inputs_BY Techs'!$E:$E,'SRV_BY Techs'!$D63)</f>
        <v>0.60399999999999998</v>
      </c>
      <c r="V63" s="353">
        <f>SUMIFS('Key Inputs_BY Techs'!P:P,'Key Inputs_BY Techs'!$A:$A,'SRV_BY Techs'!$L63,'Key Inputs_BY Techs'!$C:$C,'SRV_BY Techs'!$B63,'Key Inputs_BY Techs'!$E:$E,'SRV_BY Techs'!$D63)</f>
        <v>0.60399999999999998</v>
      </c>
      <c r="W63" s="353">
        <f>SUMIFS('Key Inputs_BY Techs'!Q:Q,'Key Inputs_BY Techs'!$A:$A,'SRV_BY Techs'!$L63,'Key Inputs_BY Techs'!$C:$C,'SRV_BY Techs'!$B63,'Key Inputs_BY Techs'!$E:$E,'SRV_BY Techs'!$D63)</f>
        <v>0.60399999999999998</v>
      </c>
      <c r="X63" s="353">
        <f>SUMIFS('Key Inputs_BY Techs'!R:R,'Key Inputs_BY Techs'!$A:$A,'SRV_BY Techs'!$L63,'Key Inputs_BY Techs'!$C:$C,'SRV_BY Techs'!$B63,'Key Inputs_BY Techs'!$E:$E,'SRV_BY Techs'!$D63)</f>
        <v>0.60399999999999998</v>
      </c>
      <c r="Y63" s="353">
        <f>SUMIFS('Key Inputs_BY Techs'!S:S,'Key Inputs_BY Techs'!$A:$A,'SRV_BY Techs'!$L63,'Key Inputs_BY Techs'!$C:$C,'SRV_BY Techs'!$B63,'Key Inputs_BY Techs'!$E:$E,'SRV_BY Techs'!$D63)</f>
        <v>0.60399999999999998</v>
      </c>
      <c r="Z63" s="353">
        <f>SUMIFS('Key Inputs_BY Techs'!T:T,'Key Inputs_BY Techs'!$A:$A,'SRV_BY Techs'!$L63,'Key Inputs_BY Techs'!$C:$C,'SRV_BY Techs'!$B63,'Key Inputs_BY Techs'!$E:$E,'SRV_BY Techs'!$D63)</f>
        <v>0.60399999999999998</v>
      </c>
      <c r="AA63" s="353">
        <f>SUMIFS('Key Inputs_BY Techs'!U:U,'Key Inputs_BY Techs'!$A:$A,'SRV_BY Techs'!$L63,'Key Inputs_BY Techs'!$C:$C,'SRV_BY Techs'!$B63,'Key Inputs_BY Techs'!$E:$E,'SRV_BY Techs'!$D63)</f>
        <v>0.60399999999999998</v>
      </c>
      <c r="AB63" s="353">
        <f>SUMIFS('Key Inputs_BY Techs'!V:V,'Key Inputs_BY Techs'!$A:$A,'SRV_BY Techs'!$L63,'Key Inputs_BY Techs'!$C:$C,'SRV_BY Techs'!$B63,'Key Inputs_BY Techs'!$E:$E,'SRV_BY Techs'!$D63)</f>
        <v>0.60399999999999998</v>
      </c>
      <c r="AC63" s="353">
        <f>SUMIFS('Key Inputs_BY Techs'!W:W,'Key Inputs_BY Techs'!$A:$A,'SRV_BY Techs'!$L63,'Key Inputs_BY Techs'!$C:$C,'SRV_BY Techs'!$B63,'Key Inputs_BY Techs'!$E:$E,'SRV_BY Techs'!$D63)</f>
        <v>0.60399999999999998</v>
      </c>
      <c r="AD63" s="353">
        <f>SUMIFS('Key Inputs_BY Techs'!X:X,'Key Inputs_BY Techs'!$A:$A,'SRV_BY Techs'!$L63,'Key Inputs_BY Techs'!$C:$C,'SRV_BY Techs'!$B63,'Key Inputs_BY Techs'!$E:$E,'SRV_BY Techs'!$D63)</f>
        <v>0.60399999999999998</v>
      </c>
      <c r="AE63" s="353">
        <f>SUMIFS('Key Inputs_BY Techs'!Y:Y,'Key Inputs_BY Techs'!$A:$A,'SRV_BY Techs'!$L63,'Key Inputs_BY Techs'!$C:$C,'SRV_BY Techs'!$B63,'Key Inputs_BY Techs'!$E:$E,'SRV_BY Techs'!$D63)</f>
        <v>0.60399999999999998</v>
      </c>
      <c r="AF63" s="353">
        <f>SUMIFS('Key Inputs_BY Techs'!Z:Z,'Key Inputs_BY Techs'!$A:$A,'SRV_BY Techs'!$L63,'Key Inputs_BY Techs'!$C:$C,'SRV_BY Techs'!$B63,'Key Inputs_BY Techs'!$E:$E,'SRV_BY Techs'!$D63)</f>
        <v>0.60399999999999998</v>
      </c>
      <c r="AG63" s="353">
        <f>SUMIFS('Key Inputs_BY Techs'!AA:AA,'Key Inputs_BY Techs'!$A:$A,'SRV_BY Techs'!$L63,'Key Inputs_BY Techs'!$C:$C,'SRV_BY Techs'!$B63,'Key Inputs_BY Techs'!$E:$E,'SRV_BY Techs'!$D63)</f>
        <v>0.60399999999999998</v>
      </c>
      <c r="AH63" s="353">
        <f>SUMIFS('Key Inputs_BY Techs'!AB:AB,'Key Inputs_BY Techs'!$A:$A,'SRV_BY Techs'!$L63,'Key Inputs_BY Techs'!$C:$C,'SRV_BY Techs'!$B63,'Key Inputs_BY Techs'!$E:$E,'SRV_BY Techs'!$D63)</f>
        <v>0.60399999999999998</v>
      </c>
      <c r="AI63" s="353">
        <f>SUMIFS('Key Inputs_BY Techs'!AC:AC,'Key Inputs_BY Techs'!$A:$A,'SRV_BY Techs'!$L63,'Key Inputs_BY Techs'!$C:$C,'SRV_BY Techs'!$B63,'Key Inputs_BY Techs'!$E:$E,'SRV_BY Techs'!$D63)</f>
        <v>0.60399999999999998</v>
      </c>
      <c r="AJ63" s="353">
        <f>SUMIFS('Key Inputs_BY Techs'!AD:AD,'Key Inputs_BY Techs'!$A:$A,'SRV_BY Techs'!$L63,'Key Inputs_BY Techs'!$C:$C,'SRV_BY Techs'!$B63,'Key Inputs_BY Techs'!$E:$E,'SRV_BY Techs'!$D63)</f>
        <v>0.60399999999999998</v>
      </c>
      <c r="AK63" s="353">
        <f>SUMIFS('Key Inputs_BY Techs'!AE:AE,'Key Inputs_BY Techs'!$A:$A,'SRV_BY Techs'!$L63,'Key Inputs_BY Techs'!$C:$C,'SRV_BY Techs'!$B63,'Key Inputs_BY Techs'!$E:$E,'SRV_BY Techs'!$D63)</f>
        <v>0.60399999999999998</v>
      </c>
      <c r="AL63" s="353">
        <f>SUMIFS('Key Inputs_BY Techs'!AF:AF,'Key Inputs_BY Techs'!$A:$A,'SRV_BY Techs'!$L63,'Key Inputs_BY Techs'!$C:$C,'SRV_BY Techs'!$B63,'Key Inputs_BY Techs'!$E:$E,'SRV_BY Techs'!$D63)</f>
        <v>0.60399999999999998</v>
      </c>
      <c r="AM63" s="353">
        <f>SUMIFS('Key Inputs_BY Techs'!AG:AG,'Key Inputs_BY Techs'!$A:$A,'SRV_BY Techs'!$L63,'Key Inputs_BY Techs'!$C:$C,'SRV_BY Techs'!$B63,'Key Inputs_BY Techs'!$E:$E,'SRV_BY Techs'!$D63)</f>
        <v>0.60399999999999998</v>
      </c>
      <c r="AN63" s="353">
        <f>SUMIFS('Key Inputs_BY Techs'!AH:AH,'Key Inputs_BY Techs'!$A:$A,'SRV_BY Techs'!$L63,'Key Inputs_BY Techs'!$C:$C,'SRV_BY Techs'!$B63,'Key Inputs_BY Techs'!$E:$E,'SRV_BY Techs'!$D63)</f>
        <v>0.60399999999999998</v>
      </c>
      <c r="AO63" s="353">
        <f>SUMIFS('Key Inputs_BY Techs'!AI:AI,'Key Inputs_BY Techs'!$A:$A,'SRV_BY Techs'!$L63,'Key Inputs_BY Techs'!$C:$C,'SRV_BY Techs'!$B63,'Key Inputs_BY Techs'!$E:$E,'SRV_BY Techs'!$D63)</f>
        <v>0.60399999999999998</v>
      </c>
      <c r="AP63" s="353">
        <f>SUMIFS('Key Inputs_BY Techs'!AJ:AJ,'Key Inputs_BY Techs'!$A:$A,'SRV_BY Techs'!$L63,'Key Inputs_BY Techs'!$C:$C,'SRV_BY Techs'!$B63,'Key Inputs_BY Techs'!$E:$E,'SRV_BY Techs'!$D63)</f>
        <v>0.60399999999999998</v>
      </c>
    </row>
    <row r="64" spans="1:42" x14ac:dyDescent="0.3">
      <c r="A64" s="499" t="str">
        <f t="shared" si="4"/>
        <v>Cooking</v>
      </c>
      <c r="B64" s="499" t="str">
        <f t="shared" si="4"/>
        <v>S-CK</v>
      </c>
      <c r="C64" s="499" t="str">
        <f t="shared" si="4"/>
        <v>Solar</v>
      </c>
      <c r="D64" s="499" t="str">
        <f t="shared" si="4"/>
        <v>SRVSOL</v>
      </c>
      <c r="E64" s="499" t="str">
        <f t="shared" si="6"/>
        <v>SRVSOL</v>
      </c>
      <c r="F64" s="499"/>
      <c r="G64" s="499"/>
      <c r="I64" s="356" t="str">
        <f t="shared" si="5"/>
        <v>S-CK_SOL00</v>
      </c>
      <c r="J64" s="356" t="str">
        <f t="shared" si="5"/>
        <v>SRV Cooking technology: Solar - Existing</v>
      </c>
      <c r="K64" s="356"/>
      <c r="L64" s="356" t="s">
        <v>40</v>
      </c>
      <c r="M64" s="356" t="str">
        <f>'Key Inputs_BY Techs'!F32</f>
        <v>% (PJuseful/PJcons)</v>
      </c>
      <c r="N64" s="356"/>
      <c r="O64" s="356">
        <f>SUMIFS('Key Inputs_BY Techs'!I:I,'Key Inputs_BY Techs'!$A:$A,'SRV_BY Techs'!$L64,'Key Inputs_BY Techs'!$C:$C,'SRV_BY Techs'!$B64,'Key Inputs_BY Techs'!$E:$E,'SRV_BY Techs'!$D64)</f>
        <v>1</v>
      </c>
      <c r="P64" s="356">
        <f>SUMIFS('Key Inputs_BY Techs'!J:J,'Key Inputs_BY Techs'!$A:$A,'SRV_BY Techs'!$L64,'Key Inputs_BY Techs'!$C:$C,'SRV_BY Techs'!$B64,'Key Inputs_BY Techs'!$E:$E,'SRV_BY Techs'!$D64)</f>
        <v>1</v>
      </c>
      <c r="Q64" s="356">
        <f>SUMIFS('Key Inputs_BY Techs'!K:K,'Key Inputs_BY Techs'!$A:$A,'SRV_BY Techs'!$L64,'Key Inputs_BY Techs'!$C:$C,'SRV_BY Techs'!$B64,'Key Inputs_BY Techs'!$E:$E,'SRV_BY Techs'!$D64)</f>
        <v>1</v>
      </c>
      <c r="R64" s="356">
        <f>SUMIFS('Key Inputs_BY Techs'!L:L,'Key Inputs_BY Techs'!$A:$A,'SRV_BY Techs'!$L64,'Key Inputs_BY Techs'!$C:$C,'SRV_BY Techs'!$B64,'Key Inputs_BY Techs'!$E:$E,'SRV_BY Techs'!$D64)</f>
        <v>1</v>
      </c>
      <c r="S64" s="356">
        <f>SUMIFS('Key Inputs_BY Techs'!M:M,'Key Inputs_BY Techs'!$A:$A,'SRV_BY Techs'!$L64,'Key Inputs_BY Techs'!$C:$C,'SRV_BY Techs'!$B64,'Key Inputs_BY Techs'!$E:$E,'SRV_BY Techs'!$D64)</f>
        <v>1</v>
      </c>
      <c r="T64" s="356">
        <f>SUMIFS('Key Inputs_BY Techs'!N:N,'Key Inputs_BY Techs'!$A:$A,'SRV_BY Techs'!$L64,'Key Inputs_BY Techs'!$C:$C,'SRV_BY Techs'!$B64,'Key Inputs_BY Techs'!$E:$E,'SRV_BY Techs'!$D64)</f>
        <v>1</v>
      </c>
      <c r="U64" s="356">
        <f>SUMIFS('Key Inputs_BY Techs'!O:O,'Key Inputs_BY Techs'!$A:$A,'SRV_BY Techs'!$L64,'Key Inputs_BY Techs'!$C:$C,'SRV_BY Techs'!$B64,'Key Inputs_BY Techs'!$E:$E,'SRV_BY Techs'!$D64)</f>
        <v>1</v>
      </c>
      <c r="V64" s="356">
        <f>SUMIFS('Key Inputs_BY Techs'!P:P,'Key Inputs_BY Techs'!$A:$A,'SRV_BY Techs'!$L64,'Key Inputs_BY Techs'!$C:$C,'SRV_BY Techs'!$B64,'Key Inputs_BY Techs'!$E:$E,'SRV_BY Techs'!$D64)</f>
        <v>1</v>
      </c>
      <c r="W64" s="356">
        <f>SUMIFS('Key Inputs_BY Techs'!Q:Q,'Key Inputs_BY Techs'!$A:$A,'SRV_BY Techs'!$L64,'Key Inputs_BY Techs'!$C:$C,'SRV_BY Techs'!$B64,'Key Inputs_BY Techs'!$E:$E,'SRV_BY Techs'!$D64)</f>
        <v>1</v>
      </c>
      <c r="X64" s="356">
        <f>SUMIFS('Key Inputs_BY Techs'!R:R,'Key Inputs_BY Techs'!$A:$A,'SRV_BY Techs'!$L64,'Key Inputs_BY Techs'!$C:$C,'SRV_BY Techs'!$B64,'Key Inputs_BY Techs'!$E:$E,'SRV_BY Techs'!$D64)</f>
        <v>1</v>
      </c>
      <c r="Y64" s="356">
        <f>SUMIFS('Key Inputs_BY Techs'!S:S,'Key Inputs_BY Techs'!$A:$A,'SRV_BY Techs'!$L64,'Key Inputs_BY Techs'!$C:$C,'SRV_BY Techs'!$B64,'Key Inputs_BY Techs'!$E:$E,'SRV_BY Techs'!$D64)</f>
        <v>1</v>
      </c>
      <c r="Z64" s="356">
        <f>SUMIFS('Key Inputs_BY Techs'!T:T,'Key Inputs_BY Techs'!$A:$A,'SRV_BY Techs'!$L64,'Key Inputs_BY Techs'!$C:$C,'SRV_BY Techs'!$B64,'Key Inputs_BY Techs'!$E:$E,'SRV_BY Techs'!$D64)</f>
        <v>1</v>
      </c>
      <c r="AA64" s="356">
        <f>SUMIFS('Key Inputs_BY Techs'!U:U,'Key Inputs_BY Techs'!$A:$A,'SRV_BY Techs'!$L64,'Key Inputs_BY Techs'!$C:$C,'SRV_BY Techs'!$B64,'Key Inputs_BY Techs'!$E:$E,'SRV_BY Techs'!$D64)</f>
        <v>1</v>
      </c>
      <c r="AB64" s="356">
        <f>SUMIFS('Key Inputs_BY Techs'!V:V,'Key Inputs_BY Techs'!$A:$A,'SRV_BY Techs'!$L64,'Key Inputs_BY Techs'!$C:$C,'SRV_BY Techs'!$B64,'Key Inputs_BY Techs'!$E:$E,'SRV_BY Techs'!$D64)</f>
        <v>1</v>
      </c>
      <c r="AC64" s="356">
        <f>SUMIFS('Key Inputs_BY Techs'!W:W,'Key Inputs_BY Techs'!$A:$A,'SRV_BY Techs'!$L64,'Key Inputs_BY Techs'!$C:$C,'SRV_BY Techs'!$B64,'Key Inputs_BY Techs'!$E:$E,'SRV_BY Techs'!$D64)</f>
        <v>1</v>
      </c>
      <c r="AD64" s="356">
        <f>SUMIFS('Key Inputs_BY Techs'!X:X,'Key Inputs_BY Techs'!$A:$A,'SRV_BY Techs'!$L64,'Key Inputs_BY Techs'!$C:$C,'SRV_BY Techs'!$B64,'Key Inputs_BY Techs'!$E:$E,'SRV_BY Techs'!$D64)</f>
        <v>1</v>
      </c>
      <c r="AE64" s="356">
        <f>SUMIFS('Key Inputs_BY Techs'!Y:Y,'Key Inputs_BY Techs'!$A:$A,'SRV_BY Techs'!$L64,'Key Inputs_BY Techs'!$C:$C,'SRV_BY Techs'!$B64,'Key Inputs_BY Techs'!$E:$E,'SRV_BY Techs'!$D64)</f>
        <v>1</v>
      </c>
      <c r="AF64" s="356">
        <f>SUMIFS('Key Inputs_BY Techs'!Z:Z,'Key Inputs_BY Techs'!$A:$A,'SRV_BY Techs'!$L64,'Key Inputs_BY Techs'!$C:$C,'SRV_BY Techs'!$B64,'Key Inputs_BY Techs'!$E:$E,'SRV_BY Techs'!$D64)</f>
        <v>1</v>
      </c>
      <c r="AG64" s="356">
        <f>SUMIFS('Key Inputs_BY Techs'!AA:AA,'Key Inputs_BY Techs'!$A:$A,'SRV_BY Techs'!$L64,'Key Inputs_BY Techs'!$C:$C,'SRV_BY Techs'!$B64,'Key Inputs_BY Techs'!$E:$E,'SRV_BY Techs'!$D64)</f>
        <v>1</v>
      </c>
      <c r="AH64" s="356">
        <f>SUMIFS('Key Inputs_BY Techs'!AB:AB,'Key Inputs_BY Techs'!$A:$A,'SRV_BY Techs'!$L64,'Key Inputs_BY Techs'!$C:$C,'SRV_BY Techs'!$B64,'Key Inputs_BY Techs'!$E:$E,'SRV_BY Techs'!$D64)</f>
        <v>1</v>
      </c>
      <c r="AI64" s="356">
        <f>SUMIFS('Key Inputs_BY Techs'!AC:AC,'Key Inputs_BY Techs'!$A:$A,'SRV_BY Techs'!$L64,'Key Inputs_BY Techs'!$C:$C,'SRV_BY Techs'!$B64,'Key Inputs_BY Techs'!$E:$E,'SRV_BY Techs'!$D64)</f>
        <v>1</v>
      </c>
      <c r="AJ64" s="356">
        <f>SUMIFS('Key Inputs_BY Techs'!AD:AD,'Key Inputs_BY Techs'!$A:$A,'SRV_BY Techs'!$L64,'Key Inputs_BY Techs'!$C:$C,'SRV_BY Techs'!$B64,'Key Inputs_BY Techs'!$E:$E,'SRV_BY Techs'!$D64)</f>
        <v>1</v>
      </c>
      <c r="AK64" s="356">
        <f>SUMIFS('Key Inputs_BY Techs'!AE:AE,'Key Inputs_BY Techs'!$A:$A,'SRV_BY Techs'!$L64,'Key Inputs_BY Techs'!$C:$C,'SRV_BY Techs'!$B64,'Key Inputs_BY Techs'!$E:$E,'SRV_BY Techs'!$D64)</f>
        <v>1</v>
      </c>
      <c r="AL64" s="356">
        <f>SUMIFS('Key Inputs_BY Techs'!AF:AF,'Key Inputs_BY Techs'!$A:$A,'SRV_BY Techs'!$L64,'Key Inputs_BY Techs'!$C:$C,'SRV_BY Techs'!$B64,'Key Inputs_BY Techs'!$E:$E,'SRV_BY Techs'!$D64)</f>
        <v>1</v>
      </c>
      <c r="AM64" s="356">
        <f>SUMIFS('Key Inputs_BY Techs'!AG:AG,'Key Inputs_BY Techs'!$A:$A,'SRV_BY Techs'!$L64,'Key Inputs_BY Techs'!$C:$C,'SRV_BY Techs'!$B64,'Key Inputs_BY Techs'!$E:$E,'SRV_BY Techs'!$D64)</f>
        <v>1</v>
      </c>
      <c r="AN64" s="356">
        <f>SUMIFS('Key Inputs_BY Techs'!AH:AH,'Key Inputs_BY Techs'!$A:$A,'SRV_BY Techs'!$L64,'Key Inputs_BY Techs'!$C:$C,'SRV_BY Techs'!$B64,'Key Inputs_BY Techs'!$E:$E,'SRV_BY Techs'!$D64)</f>
        <v>1</v>
      </c>
      <c r="AO64" s="356">
        <f>SUMIFS('Key Inputs_BY Techs'!AI:AI,'Key Inputs_BY Techs'!$A:$A,'SRV_BY Techs'!$L64,'Key Inputs_BY Techs'!$C:$C,'SRV_BY Techs'!$B64,'Key Inputs_BY Techs'!$E:$E,'SRV_BY Techs'!$D64)</f>
        <v>1</v>
      </c>
      <c r="AP64" s="356">
        <f>SUMIFS('Key Inputs_BY Techs'!AJ:AJ,'Key Inputs_BY Techs'!$A:$A,'SRV_BY Techs'!$L64,'Key Inputs_BY Techs'!$C:$C,'SRV_BY Techs'!$B64,'Key Inputs_BY Techs'!$E:$E,'SRV_BY Techs'!$D64)</f>
        <v>1</v>
      </c>
    </row>
    <row r="65" spans="1:42" x14ac:dyDescent="0.3">
      <c r="A65" s="499" t="str">
        <f t="shared" si="4"/>
        <v>Lighting</v>
      </c>
      <c r="B65" s="499" t="str">
        <f t="shared" si="4"/>
        <v>S-LIG</v>
      </c>
      <c r="C65" s="499" t="str">
        <f t="shared" si="4"/>
        <v>Electricity</v>
      </c>
      <c r="D65" s="499" t="str">
        <f t="shared" si="4"/>
        <v>SRVELC</v>
      </c>
      <c r="E65" s="499" t="str">
        <f t="shared" si="6"/>
        <v>SRVELC</v>
      </c>
      <c r="F65" s="499"/>
      <c r="G65" s="499"/>
      <c r="I65" s="108" t="str">
        <f t="shared" si="5"/>
        <v>S-LIG_ELC00</v>
      </c>
      <c r="J65" s="108" t="str">
        <f t="shared" si="5"/>
        <v>SRV Lighting technology: Electricity - Existing</v>
      </c>
      <c r="K65" s="108"/>
      <c r="L65" s="108" t="s">
        <v>40</v>
      </c>
      <c r="M65" s="555" t="str">
        <f>'Key Inputs_BY Techs'!F33</f>
        <v>% (Munits/PJcons)</v>
      </c>
      <c r="N65" s="108"/>
      <c r="O65" s="552">
        <f>SUMIFS('Key Inputs_BY Techs'!I:I,'Key Inputs_BY Techs'!$A:$A,'SRV_BY Techs'!$L65,'Key Inputs_BY Techs'!$C:$C,'SRV_BY Techs'!$B65)</f>
        <v>16.367059103624555</v>
      </c>
      <c r="P65" s="552">
        <f>SUMIFS('Key Inputs_BY Techs'!J:J,'Key Inputs_BY Techs'!$A:$A,'SRV_BY Techs'!$L65,'Key Inputs_BY Techs'!$C:$C,'SRV_BY Techs'!$B65)</f>
        <v>16.367059103624555</v>
      </c>
      <c r="Q65" s="552">
        <f>SUMIFS('Key Inputs_BY Techs'!K:K,'Key Inputs_BY Techs'!$A:$A,'SRV_BY Techs'!$L65,'Key Inputs_BY Techs'!$C:$C,'SRV_BY Techs'!$B65)</f>
        <v>16.367059103624555</v>
      </c>
      <c r="R65" s="552">
        <f>SUMIFS('Key Inputs_BY Techs'!L:L,'Key Inputs_BY Techs'!$A:$A,'SRV_BY Techs'!$L65,'Key Inputs_BY Techs'!$C:$C,'SRV_BY Techs'!$B65)</f>
        <v>16.367059103624555</v>
      </c>
      <c r="S65" s="552">
        <f>SUMIFS('Key Inputs_BY Techs'!M:M,'Key Inputs_BY Techs'!$A:$A,'SRV_BY Techs'!$L65,'Key Inputs_BY Techs'!$C:$C,'SRV_BY Techs'!$B65)</f>
        <v>16.367059103624555</v>
      </c>
      <c r="T65" s="552">
        <f>SUMIFS('Key Inputs_BY Techs'!N:N,'Key Inputs_BY Techs'!$A:$A,'SRV_BY Techs'!$L65,'Key Inputs_BY Techs'!$C:$C,'SRV_BY Techs'!$B65)</f>
        <v>16.367059103624555</v>
      </c>
      <c r="U65" s="552">
        <f>SUMIFS('Key Inputs_BY Techs'!O:O,'Key Inputs_BY Techs'!$A:$A,'SRV_BY Techs'!$L65,'Key Inputs_BY Techs'!$C:$C,'SRV_BY Techs'!$B65)</f>
        <v>16.367059103624555</v>
      </c>
      <c r="V65" s="552">
        <f>SUMIFS('Key Inputs_BY Techs'!P:P,'Key Inputs_BY Techs'!$A:$A,'SRV_BY Techs'!$L65,'Key Inputs_BY Techs'!$C:$C,'SRV_BY Techs'!$B65)</f>
        <v>16.367059103624555</v>
      </c>
      <c r="W65" s="552">
        <f>SUMIFS('Key Inputs_BY Techs'!Q:Q,'Key Inputs_BY Techs'!$A:$A,'SRV_BY Techs'!$L65,'Key Inputs_BY Techs'!$C:$C,'SRV_BY Techs'!$B65)</f>
        <v>16.367059103624555</v>
      </c>
      <c r="X65" s="552">
        <f>SUMIFS('Key Inputs_BY Techs'!R:R,'Key Inputs_BY Techs'!$A:$A,'SRV_BY Techs'!$L65,'Key Inputs_BY Techs'!$C:$C,'SRV_BY Techs'!$B65)</f>
        <v>16.367059103624555</v>
      </c>
      <c r="Y65" s="552">
        <f>SUMIFS('Key Inputs_BY Techs'!S:S,'Key Inputs_BY Techs'!$A:$A,'SRV_BY Techs'!$L65,'Key Inputs_BY Techs'!$C:$C,'SRV_BY Techs'!$B65)</f>
        <v>16.367059103624555</v>
      </c>
      <c r="Z65" s="552">
        <f>SUMIFS('Key Inputs_BY Techs'!T:T,'Key Inputs_BY Techs'!$A:$A,'SRV_BY Techs'!$L65,'Key Inputs_BY Techs'!$C:$C,'SRV_BY Techs'!$B65)</f>
        <v>16.367059103624555</v>
      </c>
      <c r="AA65" s="552">
        <f>SUMIFS('Key Inputs_BY Techs'!U:U,'Key Inputs_BY Techs'!$A:$A,'SRV_BY Techs'!$L65,'Key Inputs_BY Techs'!$C:$C,'SRV_BY Techs'!$B65)</f>
        <v>16.367059103624555</v>
      </c>
      <c r="AB65" s="552">
        <f>SUMIFS('Key Inputs_BY Techs'!V:V,'Key Inputs_BY Techs'!$A:$A,'SRV_BY Techs'!$L65,'Key Inputs_BY Techs'!$C:$C,'SRV_BY Techs'!$B65)</f>
        <v>16.367059103624555</v>
      </c>
      <c r="AC65" s="552">
        <f>SUMIFS('Key Inputs_BY Techs'!W:W,'Key Inputs_BY Techs'!$A:$A,'SRV_BY Techs'!$L65,'Key Inputs_BY Techs'!$C:$C,'SRV_BY Techs'!$B65)</f>
        <v>16.367059103624555</v>
      </c>
      <c r="AD65" s="552">
        <f>SUMIFS('Key Inputs_BY Techs'!X:X,'Key Inputs_BY Techs'!$A:$A,'SRV_BY Techs'!$L65,'Key Inputs_BY Techs'!$C:$C,'SRV_BY Techs'!$B65)</f>
        <v>16.367059103624555</v>
      </c>
      <c r="AE65" s="552">
        <f>SUMIFS('Key Inputs_BY Techs'!Y:Y,'Key Inputs_BY Techs'!$A:$A,'SRV_BY Techs'!$L65,'Key Inputs_BY Techs'!$C:$C,'SRV_BY Techs'!$B65)</f>
        <v>16.367059103624555</v>
      </c>
      <c r="AF65" s="552">
        <f>SUMIFS('Key Inputs_BY Techs'!Z:Z,'Key Inputs_BY Techs'!$A:$A,'SRV_BY Techs'!$L65,'Key Inputs_BY Techs'!$C:$C,'SRV_BY Techs'!$B65)</f>
        <v>16.367059103624555</v>
      </c>
      <c r="AG65" s="552">
        <f>SUMIFS('Key Inputs_BY Techs'!AA:AA,'Key Inputs_BY Techs'!$A:$A,'SRV_BY Techs'!$L65,'Key Inputs_BY Techs'!$C:$C,'SRV_BY Techs'!$B65)</f>
        <v>16.367059103624555</v>
      </c>
      <c r="AH65" s="552">
        <f>SUMIFS('Key Inputs_BY Techs'!AB:AB,'Key Inputs_BY Techs'!$A:$A,'SRV_BY Techs'!$L65,'Key Inputs_BY Techs'!$C:$C,'SRV_BY Techs'!$B65)</f>
        <v>16.367059103624555</v>
      </c>
      <c r="AI65" s="552">
        <f>SUMIFS('Key Inputs_BY Techs'!AC:AC,'Key Inputs_BY Techs'!$A:$A,'SRV_BY Techs'!$L65,'Key Inputs_BY Techs'!$C:$C,'SRV_BY Techs'!$B65)</f>
        <v>16.367059103624555</v>
      </c>
      <c r="AJ65" s="552">
        <f>SUMIFS('Key Inputs_BY Techs'!AD:AD,'Key Inputs_BY Techs'!$A:$A,'SRV_BY Techs'!$L65,'Key Inputs_BY Techs'!$C:$C,'SRV_BY Techs'!$B65)</f>
        <v>16.367059103624555</v>
      </c>
      <c r="AK65" s="552">
        <f>SUMIFS('Key Inputs_BY Techs'!AE:AE,'Key Inputs_BY Techs'!$A:$A,'SRV_BY Techs'!$L65,'Key Inputs_BY Techs'!$C:$C,'SRV_BY Techs'!$B65)</f>
        <v>16.367059103624555</v>
      </c>
      <c r="AL65" s="552">
        <f>SUMIFS('Key Inputs_BY Techs'!AF:AF,'Key Inputs_BY Techs'!$A:$A,'SRV_BY Techs'!$L65,'Key Inputs_BY Techs'!$C:$C,'SRV_BY Techs'!$B65)</f>
        <v>16.367059103624555</v>
      </c>
      <c r="AM65" s="552">
        <f>SUMIFS('Key Inputs_BY Techs'!AG:AG,'Key Inputs_BY Techs'!$A:$A,'SRV_BY Techs'!$L65,'Key Inputs_BY Techs'!$C:$C,'SRV_BY Techs'!$B65)</f>
        <v>16.367059103624555</v>
      </c>
      <c r="AN65" s="552">
        <f>SUMIFS('Key Inputs_BY Techs'!AH:AH,'Key Inputs_BY Techs'!$A:$A,'SRV_BY Techs'!$L65,'Key Inputs_BY Techs'!$C:$C,'SRV_BY Techs'!$B65)</f>
        <v>16.367059103624555</v>
      </c>
      <c r="AO65" s="552">
        <f>SUMIFS('Key Inputs_BY Techs'!AI:AI,'Key Inputs_BY Techs'!$A:$A,'SRV_BY Techs'!$L65,'Key Inputs_BY Techs'!$C:$C,'SRV_BY Techs'!$B65)</f>
        <v>16.367059103624555</v>
      </c>
      <c r="AP65" s="552">
        <f>SUMIFS('Key Inputs_BY Techs'!AJ:AJ,'Key Inputs_BY Techs'!$A:$A,'SRV_BY Techs'!$L65,'Key Inputs_BY Techs'!$C:$C,'SRV_BY Techs'!$B65)</f>
        <v>16.367059103624555</v>
      </c>
    </row>
    <row r="66" spans="1:42" x14ac:dyDescent="0.3">
      <c r="A66" s="499" t="str">
        <f t="shared" si="4"/>
        <v>Street lighting</v>
      </c>
      <c r="B66" s="499" t="str">
        <f t="shared" si="4"/>
        <v>S-SLIG</v>
      </c>
      <c r="C66" s="499" t="str">
        <f t="shared" si="4"/>
        <v>Electricity</v>
      </c>
      <c r="D66" s="499" t="str">
        <f t="shared" si="4"/>
        <v>SRVELC</v>
      </c>
      <c r="E66" s="499" t="str">
        <f t="shared" si="6"/>
        <v>SRVELC</v>
      </c>
      <c r="F66" s="499"/>
      <c r="G66" s="499"/>
      <c r="I66" s="353" t="str">
        <f t="shared" si="5"/>
        <v>S-SLIG_ELC00</v>
      </c>
      <c r="J66" s="353" t="str">
        <f t="shared" si="5"/>
        <v>SRV Street lighting technology: Electricity - Existing</v>
      </c>
      <c r="K66" s="353"/>
      <c r="L66" s="353" t="s">
        <v>40</v>
      </c>
      <c r="M66" s="353" t="str">
        <f>'Key Inputs_BY Techs'!F34</f>
        <v>% (Munits/PJcons)</v>
      </c>
      <c r="N66" s="353"/>
      <c r="O66" s="553">
        <f>SUMIFS('Key Inputs_BY Techs'!I:I,'Key Inputs_BY Techs'!$A:$A,'SRV_BY Techs'!$L66,'Key Inputs_BY Techs'!$C:$C,'SRV_BY Techs'!$B66)</f>
        <v>16.367059103624555</v>
      </c>
      <c r="P66" s="553">
        <f>SUMIFS('Key Inputs_BY Techs'!J:J,'Key Inputs_BY Techs'!$A:$A,'SRV_BY Techs'!$L66,'Key Inputs_BY Techs'!$C:$C,'SRV_BY Techs'!$B66)</f>
        <v>16.367059103624555</v>
      </c>
      <c r="Q66" s="553">
        <f>SUMIFS('Key Inputs_BY Techs'!K:K,'Key Inputs_BY Techs'!$A:$A,'SRV_BY Techs'!$L66,'Key Inputs_BY Techs'!$C:$C,'SRV_BY Techs'!$B66)</f>
        <v>16.367059103624555</v>
      </c>
      <c r="R66" s="553">
        <f>SUMIFS('Key Inputs_BY Techs'!L:L,'Key Inputs_BY Techs'!$A:$A,'SRV_BY Techs'!$L66,'Key Inputs_BY Techs'!$C:$C,'SRV_BY Techs'!$B66)</f>
        <v>16.367059103624555</v>
      </c>
      <c r="S66" s="553">
        <f>SUMIFS('Key Inputs_BY Techs'!M:M,'Key Inputs_BY Techs'!$A:$A,'SRV_BY Techs'!$L66,'Key Inputs_BY Techs'!$C:$C,'SRV_BY Techs'!$B66)</f>
        <v>16.367059103624555</v>
      </c>
      <c r="T66" s="553">
        <f>SUMIFS('Key Inputs_BY Techs'!N:N,'Key Inputs_BY Techs'!$A:$A,'SRV_BY Techs'!$L66,'Key Inputs_BY Techs'!$C:$C,'SRV_BY Techs'!$B66)</f>
        <v>16.367059103624555</v>
      </c>
      <c r="U66" s="553">
        <f>SUMIFS('Key Inputs_BY Techs'!O:O,'Key Inputs_BY Techs'!$A:$A,'SRV_BY Techs'!$L66,'Key Inputs_BY Techs'!$C:$C,'SRV_BY Techs'!$B66)</f>
        <v>16.367059103624555</v>
      </c>
      <c r="V66" s="553">
        <f>SUMIFS('Key Inputs_BY Techs'!P:P,'Key Inputs_BY Techs'!$A:$A,'SRV_BY Techs'!$L66,'Key Inputs_BY Techs'!$C:$C,'SRV_BY Techs'!$B66)</f>
        <v>16.367059103624555</v>
      </c>
      <c r="W66" s="553">
        <f>SUMIFS('Key Inputs_BY Techs'!Q:Q,'Key Inputs_BY Techs'!$A:$A,'SRV_BY Techs'!$L66,'Key Inputs_BY Techs'!$C:$C,'SRV_BY Techs'!$B66)</f>
        <v>16.367059103624555</v>
      </c>
      <c r="X66" s="553">
        <f>SUMIFS('Key Inputs_BY Techs'!R:R,'Key Inputs_BY Techs'!$A:$A,'SRV_BY Techs'!$L66,'Key Inputs_BY Techs'!$C:$C,'SRV_BY Techs'!$B66)</f>
        <v>16.367059103624555</v>
      </c>
      <c r="Y66" s="553">
        <f>SUMIFS('Key Inputs_BY Techs'!S:S,'Key Inputs_BY Techs'!$A:$A,'SRV_BY Techs'!$L66,'Key Inputs_BY Techs'!$C:$C,'SRV_BY Techs'!$B66)</f>
        <v>16.367059103624555</v>
      </c>
      <c r="Z66" s="553">
        <f>SUMIFS('Key Inputs_BY Techs'!T:T,'Key Inputs_BY Techs'!$A:$A,'SRV_BY Techs'!$L66,'Key Inputs_BY Techs'!$C:$C,'SRV_BY Techs'!$B66)</f>
        <v>16.367059103624555</v>
      </c>
      <c r="AA66" s="553">
        <f>SUMIFS('Key Inputs_BY Techs'!U:U,'Key Inputs_BY Techs'!$A:$A,'SRV_BY Techs'!$L66,'Key Inputs_BY Techs'!$C:$C,'SRV_BY Techs'!$B66)</f>
        <v>16.367059103624555</v>
      </c>
      <c r="AB66" s="553">
        <f>SUMIFS('Key Inputs_BY Techs'!V:V,'Key Inputs_BY Techs'!$A:$A,'SRV_BY Techs'!$L66,'Key Inputs_BY Techs'!$C:$C,'SRV_BY Techs'!$B66)</f>
        <v>16.367059103624555</v>
      </c>
      <c r="AC66" s="553">
        <f>SUMIFS('Key Inputs_BY Techs'!W:W,'Key Inputs_BY Techs'!$A:$A,'SRV_BY Techs'!$L66,'Key Inputs_BY Techs'!$C:$C,'SRV_BY Techs'!$B66)</f>
        <v>16.367059103624555</v>
      </c>
      <c r="AD66" s="553">
        <f>SUMIFS('Key Inputs_BY Techs'!X:X,'Key Inputs_BY Techs'!$A:$A,'SRV_BY Techs'!$L66,'Key Inputs_BY Techs'!$C:$C,'SRV_BY Techs'!$B66)</f>
        <v>16.367059103624555</v>
      </c>
      <c r="AE66" s="553">
        <f>SUMIFS('Key Inputs_BY Techs'!Y:Y,'Key Inputs_BY Techs'!$A:$A,'SRV_BY Techs'!$L66,'Key Inputs_BY Techs'!$C:$C,'SRV_BY Techs'!$B66)</f>
        <v>16.367059103624555</v>
      </c>
      <c r="AF66" s="553">
        <f>SUMIFS('Key Inputs_BY Techs'!Z:Z,'Key Inputs_BY Techs'!$A:$A,'SRV_BY Techs'!$L66,'Key Inputs_BY Techs'!$C:$C,'SRV_BY Techs'!$B66)</f>
        <v>16.367059103624555</v>
      </c>
      <c r="AG66" s="553">
        <f>SUMIFS('Key Inputs_BY Techs'!AA:AA,'Key Inputs_BY Techs'!$A:$A,'SRV_BY Techs'!$L66,'Key Inputs_BY Techs'!$C:$C,'SRV_BY Techs'!$B66)</f>
        <v>16.367059103624555</v>
      </c>
      <c r="AH66" s="553">
        <f>SUMIFS('Key Inputs_BY Techs'!AB:AB,'Key Inputs_BY Techs'!$A:$A,'SRV_BY Techs'!$L66,'Key Inputs_BY Techs'!$C:$C,'SRV_BY Techs'!$B66)</f>
        <v>16.367059103624555</v>
      </c>
      <c r="AI66" s="553">
        <f>SUMIFS('Key Inputs_BY Techs'!AC:AC,'Key Inputs_BY Techs'!$A:$A,'SRV_BY Techs'!$L66,'Key Inputs_BY Techs'!$C:$C,'SRV_BY Techs'!$B66)</f>
        <v>16.367059103624555</v>
      </c>
      <c r="AJ66" s="553">
        <f>SUMIFS('Key Inputs_BY Techs'!AD:AD,'Key Inputs_BY Techs'!$A:$A,'SRV_BY Techs'!$L66,'Key Inputs_BY Techs'!$C:$C,'SRV_BY Techs'!$B66)</f>
        <v>16.367059103624555</v>
      </c>
      <c r="AK66" s="553">
        <f>SUMIFS('Key Inputs_BY Techs'!AE:AE,'Key Inputs_BY Techs'!$A:$A,'SRV_BY Techs'!$L66,'Key Inputs_BY Techs'!$C:$C,'SRV_BY Techs'!$B66)</f>
        <v>16.367059103624555</v>
      </c>
      <c r="AL66" s="553">
        <f>SUMIFS('Key Inputs_BY Techs'!AF:AF,'Key Inputs_BY Techs'!$A:$A,'SRV_BY Techs'!$L66,'Key Inputs_BY Techs'!$C:$C,'SRV_BY Techs'!$B66)</f>
        <v>16.367059103624555</v>
      </c>
      <c r="AM66" s="553">
        <f>SUMIFS('Key Inputs_BY Techs'!AG:AG,'Key Inputs_BY Techs'!$A:$A,'SRV_BY Techs'!$L66,'Key Inputs_BY Techs'!$C:$C,'SRV_BY Techs'!$B66)</f>
        <v>16.367059103624555</v>
      </c>
      <c r="AN66" s="553">
        <f>SUMIFS('Key Inputs_BY Techs'!AH:AH,'Key Inputs_BY Techs'!$A:$A,'SRV_BY Techs'!$L66,'Key Inputs_BY Techs'!$C:$C,'SRV_BY Techs'!$B66)</f>
        <v>16.367059103624555</v>
      </c>
      <c r="AO66" s="553">
        <f>SUMIFS('Key Inputs_BY Techs'!AI:AI,'Key Inputs_BY Techs'!$A:$A,'SRV_BY Techs'!$L66,'Key Inputs_BY Techs'!$C:$C,'SRV_BY Techs'!$B66)</f>
        <v>16.367059103624555</v>
      </c>
      <c r="AP66" s="553">
        <f>SUMIFS('Key Inputs_BY Techs'!AJ:AJ,'Key Inputs_BY Techs'!$A:$A,'SRV_BY Techs'!$L66,'Key Inputs_BY Techs'!$C:$C,'SRV_BY Techs'!$B66)</f>
        <v>16.367059103624555</v>
      </c>
    </row>
    <row r="67" spans="1:42" x14ac:dyDescent="0.3">
      <c r="A67" s="499" t="str">
        <f t="shared" si="4"/>
        <v>Electric Appliances</v>
      </c>
      <c r="B67" s="499" t="str">
        <f t="shared" si="4"/>
        <v>S-EAP</v>
      </c>
      <c r="C67" s="499" t="str">
        <f t="shared" si="4"/>
        <v>Electricity</v>
      </c>
      <c r="D67" s="499" t="str">
        <f t="shared" si="4"/>
        <v>SRVELC</v>
      </c>
      <c r="E67" s="499" t="str">
        <f t="shared" si="6"/>
        <v>SRVELC</v>
      </c>
      <c r="F67" s="499"/>
      <c r="G67" s="499"/>
      <c r="I67" s="108" t="str">
        <f t="shared" si="5"/>
        <v>S-EAP_ELC00</v>
      </c>
      <c r="J67" s="108" t="str">
        <f t="shared" si="5"/>
        <v>SRV Electric Appliances technology: Electricity - Existing</v>
      </c>
      <c r="K67" s="108"/>
      <c r="L67" s="108" t="s">
        <v>40</v>
      </c>
      <c r="M67" s="108" t="str">
        <f>'Key Inputs_BY Techs'!F35</f>
        <v>% (PJuseful/PJcons)</v>
      </c>
      <c r="N67" s="108"/>
      <c r="O67" s="554">
        <f>SUMIFS('Key Inputs_BY Techs'!I:I,'Key Inputs_BY Techs'!$A:$A,'SRV_BY Techs'!$L67,'Key Inputs_BY Techs'!$C:$C,'SRV_BY Techs'!$B67)</f>
        <v>1</v>
      </c>
      <c r="P67" s="554">
        <f>SUMIFS('Key Inputs_BY Techs'!J:J,'Key Inputs_BY Techs'!$A:$A,'SRV_BY Techs'!$L67,'Key Inputs_BY Techs'!$C:$C,'SRV_BY Techs'!$B67)</f>
        <v>1</v>
      </c>
      <c r="Q67" s="554">
        <f>SUMIFS('Key Inputs_BY Techs'!K:K,'Key Inputs_BY Techs'!$A:$A,'SRV_BY Techs'!$L67,'Key Inputs_BY Techs'!$C:$C,'SRV_BY Techs'!$B67)</f>
        <v>1</v>
      </c>
      <c r="R67" s="554">
        <f>SUMIFS('Key Inputs_BY Techs'!L:L,'Key Inputs_BY Techs'!$A:$A,'SRV_BY Techs'!$L67,'Key Inputs_BY Techs'!$C:$C,'SRV_BY Techs'!$B67)</f>
        <v>1</v>
      </c>
      <c r="S67" s="554">
        <f>SUMIFS('Key Inputs_BY Techs'!M:M,'Key Inputs_BY Techs'!$A:$A,'SRV_BY Techs'!$L67,'Key Inputs_BY Techs'!$C:$C,'SRV_BY Techs'!$B67)</f>
        <v>1</v>
      </c>
      <c r="T67" s="554">
        <f>SUMIFS('Key Inputs_BY Techs'!N:N,'Key Inputs_BY Techs'!$A:$A,'SRV_BY Techs'!$L67,'Key Inputs_BY Techs'!$C:$C,'SRV_BY Techs'!$B67)</f>
        <v>1</v>
      </c>
      <c r="U67" s="554">
        <f>SUMIFS('Key Inputs_BY Techs'!O:O,'Key Inputs_BY Techs'!$A:$A,'SRV_BY Techs'!$L67,'Key Inputs_BY Techs'!$C:$C,'SRV_BY Techs'!$B67)</f>
        <v>1</v>
      </c>
      <c r="V67" s="554">
        <f>SUMIFS('Key Inputs_BY Techs'!P:P,'Key Inputs_BY Techs'!$A:$A,'SRV_BY Techs'!$L67,'Key Inputs_BY Techs'!$C:$C,'SRV_BY Techs'!$B67)</f>
        <v>1</v>
      </c>
      <c r="W67" s="554">
        <f>SUMIFS('Key Inputs_BY Techs'!Q:Q,'Key Inputs_BY Techs'!$A:$A,'SRV_BY Techs'!$L67,'Key Inputs_BY Techs'!$C:$C,'SRV_BY Techs'!$B67)</f>
        <v>1</v>
      </c>
      <c r="X67" s="554">
        <f>SUMIFS('Key Inputs_BY Techs'!R:R,'Key Inputs_BY Techs'!$A:$A,'SRV_BY Techs'!$L67,'Key Inputs_BY Techs'!$C:$C,'SRV_BY Techs'!$B67)</f>
        <v>1</v>
      </c>
      <c r="Y67" s="554">
        <f>SUMIFS('Key Inputs_BY Techs'!S:S,'Key Inputs_BY Techs'!$A:$A,'SRV_BY Techs'!$L67,'Key Inputs_BY Techs'!$C:$C,'SRV_BY Techs'!$B67)</f>
        <v>1</v>
      </c>
      <c r="Z67" s="554">
        <f>SUMIFS('Key Inputs_BY Techs'!T:T,'Key Inputs_BY Techs'!$A:$A,'SRV_BY Techs'!$L67,'Key Inputs_BY Techs'!$C:$C,'SRV_BY Techs'!$B67)</f>
        <v>1</v>
      </c>
      <c r="AA67" s="554">
        <f>SUMIFS('Key Inputs_BY Techs'!U:U,'Key Inputs_BY Techs'!$A:$A,'SRV_BY Techs'!$L67,'Key Inputs_BY Techs'!$C:$C,'SRV_BY Techs'!$B67)</f>
        <v>1</v>
      </c>
      <c r="AB67" s="554">
        <f>SUMIFS('Key Inputs_BY Techs'!V:V,'Key Inputs_BY Techs'!$A:$A,'SRV_BY Techs'!$L67,'Key Inputs_BY Techs'!$C:$C,'SRV_BY Techs'!$B67)</f>
        <v>1</v>
      </c>
      <c r="AC67" s="554">
        <f>SUMIFS('Key Inputs_BY Techs'!W:W,'Key Inputs_BY Techs'!$A:$A,'SRV_BY Techs'!$L67,'Key Inputs_BY Techs'!$C:$C,'SRV_BY Techs'!$B67)</f>
        <v>1</v>
      </c>
      <c r="AD67" s="554">
        <f>SUMIFS('Key Inputs_BY Techs'!X:X,'Key Inputs_BY Techs'!$A:$A,'SRV_BY Techs'!$L67,'Key Inputs_BY Techs'!$C:$C,'SRV_BY Techs'!$B67)</f>
        <v>1</v>
      </c>
      <c r="AE67" s="554">
        <f>SUMIFS('Key Inputs_BY Techs'!Y:Y,'Key Inputs_BY Techs'!$A:$A,'SRV_BY Techs'!$L67,'Key Inputs_BY Techs'!$C:$C,'SRV_BY Techs'!$B67)</f>
        <v>1</v>
      </c>
      <c r="AF67" s="554">
        <f>SUMIFS('Key Inputs_BY Techs'!Z:Z,'Key Inputs_BY Techs'!$A:$A,'SRV_BY Techs'!$L67,'Key Inputs_BY Techs'!$C:$C,'SRV_BY Techs'!$B67)</f>
        <v>1</v>
      </c>
      <c r="AG67" s="554">
        <f>SUMIFS('Key Inputs_BY Techs'!AA:AA,'Key Inputs_BY Techs'!$A:$A,'SRV_BY Techs'!$L67,'Key Inputs_BY Techs'!$C:$C,'SRV_BY Techs'!$B67)</f>
        <v>1</v>
      </c>
      <c r="AH67" s="554">
        <f>SUMIFS('Key Inputs_BY Techs'!AB:AB,'Key Inputs_BY Techs'!$A:$A,'SRV_BY Techs'!$L67,'Key Inputs_BY Techs'!$C:$C,'SRV_BY Techs'!$B67)</f>
        <v>1</v>
      </c>
      <c r="AI67" s="554">
        <f>SUMIFS('Key Inputs_BY Techs'!AC:AC,'Key Inputs_BY Techs'!$A:$A,'SRV_BY Techs'!$L67,'Key Inputs_BY Techs'!$C:$C,'SRV_BY Techs'!$B67)</f>
        <v>1</v>
      </c>
      <c r="AJ67" s="554">
        <f>SUMIFS('Key Inputs_BY Techs'!AD:AD,'Key Inputs_BY Techs'!$A:$A,'SRV_BY Techs'!$L67,'Key Inputs_BY Techs'!$C:$C,'SRV_BY Techs'!$B67)</f>
        <v>1</v>
      </c>
      <c r="AK67" s="554">
        <f>SUMIFS('Key Inputs_BY Techs'!AE:AE,'Key Inputs_BY Techs'!$A:$A,'SRV_BY Techs'!$L67,'Key Inputs_BY Techs'!$C:$C,'SRV_BY Techs'!$B67)</f>
        <v>1</v>
      </c>
      <c r="AL67" s="554">
        <f>SUMIFS('Key Inputs_BY Techs'!AF:AF,'Key Inputs_BY Techs'!$A:$A,'SRV_BY Techs'!$L67,'Key Inputs_BY Techs'!$C:$C,'SRV_BY Techs'!$B67)</f>
        <v>1</v>
      </c>
      <c r="AM67" s="554">
        <f>SUMIFS('Key Inputs_BY Techs'!AG:AG,'Key Inputs_BY Techs'!$A:$A,'SRV_BY Techs'!$L67,'Key Inputs_BY Techs'!$C:$C,'SRV_BY Techs'!$B67)</f>
        <v>1</v>
      </c>
      <c r="AN67" s="554">
        <f>SUMIFS('Key Inputs_BY Techs'!AH:AH,'Key Inputs_BY Techs'!$A:$A,'SRV_BY Techs'!$L67,'Key Inputs_BY Techs'!$C:$C,'SRV_BY Techs'!$B67)</f>
        <v>1</v>
      </c>
      <c r="AO67" s="554">
        <f>SUMIFS('Key Inputs_BY Techs'!AI:AI,'Key Inputs_BY Techs'!$A:$A,'SRV_BY Techs'!$L67,'Key Inputs_BY Techs'!$C:$C,'SRV_BY Techs'!$B67)</f>
        <v>1</v>
      </c>
      <c r="AP67" s="554">
        <f>SUMIFS('Key Inputs_BY Techs'!AJ:AJ,'Key Inputs_BY Techs'!$A:$A,'SRV_BY Techs'!$L67,'Key Inputs_BY Techs'!$C:$C,'SRV_BY Techs'!$B67)</f>
        <v>1</v>
      </c>
    </row>
    <row r="68" spans="1:42" x14ac:dyDescent="0.3">
      <c r="A68" s="499" t="str">
        <f>A28</f>
        <v>Other uses</v>
      </c>
      <c r="B68" s="499" t="str">
        <f>B28</f>
        <v>S-OTH</v>
      </c>
      <c r="C68" s="499"/>
      <c r="D68" s="499"/>
      <c r="E68" s="499" t="str">
        <f t="shared" si="6"/>
        <v/>
      </c>
      <c r="F68" s="499"/>
      <c r="G68" s="499"/>
      <c r="I68" s="108" t="str">
        <f t="shared" si="5"/>
        <v>S-OTH_00</v>
      </c>
      <c r="J68" s="108" t="str">
        <f t="shared" si="5"/>
        <v>SRV Other uses</v>
      </c>
      <c r="K68" s="108"/>
      <c r="L68" s="108" t="s">
        <v>40</v>
      </c>
      <c r="M68" s="108" t="str">
        <f>'Key Inputs_BY Techs'!F36</f>
        <v>% (PJuseful/PJcons)</v>
      </c>
      <c r="N68" s="108"/>
      <c r="O68" s="554">
        <f>SUMIFS('Key Inputs_BY Techs'!I:I,'Key Inputs_BY Techs'!$A:$A,'SRV_BY Techs'!$L68,'Key Inputs_BY Techs'!$C:$C,'SRV_BY Techs'!$B68)</f>
        <v>1</v>
      </c>
      <c r="P68" s="554">
        <f>SUMIFS('Key Inputs_BY Techs'!J:J,'Key Inputs_BY Techs'!$A:$A,'SRV_BY Techs'!$L68,'Key Inputs_BY Techs'!$C:$C,'SRV_BY Techs'!$B68)</f>
        <v>1</v>
      </c>
      <c r="Q68" s="554">
        <f>SUMIFS('Key Inputs_BY Techs'!K:K,'Key Inputs_BY Techs'!$A:$A,'SRV_BY Techs'!$L68,'Key Inputs_BY Techs'!$C:$C,'SRV_BY Techs'!$B68)</f>
        <v>1</v>
      </c>
      <c r="R68" s="554">
        <f>SUMIFS('Key Inputs_BY Techs'!L:L,'Key Inputs_BY Techs'!$A:$A,'SRV_BY Techs'!$L68,'Key Inputs_BY Techs'!$C:$C,'SRV_BY Techs'!$B68)</f>
        <v>1</v>
      </c>
      <c r="S68" s="554">
        <f>SUMIFS('Key Inputs_BY Techs'!M:M,'Key Inputs_BY Techs'!$A:$A,'SRV_BY Techs'!$L68,'Key Inputs_BY Techs'!$C:$C,'SRV_BY Techs'!$B68)</f>
        <v>1</v>
      </c>
      <c r="T68" s="554">
        <f>SUMIFS('Key Inputs_BY Techs'!N:N,'Key Inputs_BY Techs'!$A:$A,'SRV_BY Techs'!$L68,'Key Inputs_BY Techs'!$C:$C,'SRV_BY Techs'!$B68)</f>
        <v>1</v>
      </c>
      <c r="U68" s="554">
        <f>SUMIFS('Key Inputs_BY Techs'!O:O,'Key Inputs_BY Techs'!$A:$A,'SRV_BY Techs'!$L68,'Key Inputs_BY Techs'!$C:$C,'SRV_BY Techs'!$B68)</f>
        <v>1</v>
      </c>
      <c r="V68" s="554">
        <f>SUMIFS('Key Inputs_BY Techs'!P:P,'Key Inputs_BY Techs'!$A:$A,'SRV_BY Techs'!$L68,'Key Inputs_BY Techs'!$C:$C,'SRV_BY Techs'!$B68)</f>
        <v>1</v>
      </c>
      <c r="W68" s="554">
        <f>SUMIFS('Key Inputs_BY Techs'!Q:Q,'Key Inputs_BY Techs'!$A:$A,'SRV_BY Techs'!$L68,'Key Inputs_BY Techs'!$C:$C,'SRV_BY Techs'!$B68)</f>
        <v>1</v>
      </c>
      <c r="X68" s="554">
        <f>SUMIFS('Key Inputs_BY Techs'!R:R,'Key Inputs_BY Techs'!$A:$A,'SRV_BY Techs'!$L68,'Key Inputs_BY Techs'!$C:$C,'SRV_BY Techs'!$B68)</f>
        <v>1</v>
      </c>
      <c r="Y68" s="554">
        <f>SUMIFS('Key Inputs_BY Techs'!S:S,'Key Inputs_BY Techs'!$A:$A,'SRV_BY Techs'!$L68,'Key Inputs_BY Techs'!$C:$C,'SRV_BY Techs'!$B68)</f>
        <v>1</v>
      </c>
      <c r="Z68" s="554">
        <f>SUMIFS('Key Inputs_BY Techs'!T:T,'Key Inputs_BY Techs'!$A:$A,'SRV_BY Techs'!$L68,'Key Inputs_BY Techs'!$C:$C,'SRV_BY Techs'!$B68)</f>
        <v>1</v>
      </c>
      <c r="AA68" s="554">
        <f>SUMIFS('Key Inputs_BY Techs'!U:U,'Key Inputs_BY Techs'!$A:$A,'SRV_BY Techs'!$L68,'Key Inputs_BY Techs'!$C:$C,'SRV_BY Techs'!$B68)</f>
        <v>1</v>
      </c>
      <c r="AB68" s="554">
        <f>SUMIFS('Key Inputs_BY Techs'!V:V,'Key Inputs_BY Techs'!$A:$A,'SRV_BY Techs'!$L68,'Key Inputs_BY Techs'!$C:$C,'SRV_BY Techs'!$B68)</f>
        <v>1</v>
      </c>
      <c r="AC68" s="554">
        <f>SUMIFS('Key Inputs_BY Techs'!W:W,'Key Inputs_BY Techs'!$A:$A,'SRV_BY Techs'!$L68,'Key Inputs_BY Techs'!$C:$C,'SRV_BY Techs'!$B68)</f>
        <v>1</v>
      </c>
      <c r="AD68" s="554">
        <f>SUMIFS('Key Inputs_BY Techs'!X:X,'Key Inputs_BY Techs'!$A:$A,'SRV_BY Techs'!$L68,'Key Inputs_BY Techs'!$C:$C,'SRV_BY Techs'!$B68)</f>
        <v>1</v>
      </c>
      <c r="AE68" s="554">
        <f>SUMIFS('Key Inputs_BY Techs'!Y:Y,'Key Inputs_BY Techs'!$A:$A,'SRV_BY Techs'!$L68,'Key Inputs_BY Techs'!$C:$C,'SRV_BY Techs'!$B68)</f>
        <v>1</v>
      </c>
      <c r="AF68" s="554">
        <f>SUMIFS('Key Inputs_BY Techs'!Z:Z,'Key Inputs_BY Techs'!$A:$A,'SRV_BY Techs'!$L68,'Key Inputs_BY Techs'!$C:$C,'SRV_BY Techs'!$B68)</f>
        <v>1</v>
      </c>
      <c r="AG68" s="554">
        <f>SUMIFS('Key Inputs_BY Techs'!AA:AA,'Key Inputs_BY Techs'!$A:$A,'SRV_BY Techs'!$L68,'Key Inputs_BY Techs'!$C:$C,'SRV_BY Techs'!$B68)</f>
        <v>1</v>
      </c>
      <c r="AH68" s="554">
        <f>SUMIFS('Key Inputs_BY Techs'!AB:AB,'Key Inputs_BY Techs'!$A:$A,'SRV_BY Techs'!$L68,'Key Inputs_BY Techs'!$C:$C,'SRV_BY Techs'!$B68)</f>
        <v>1</v>
      </c>
      <c r="AI68" s="554">
        <f>SUMIFS('Key Inputs_BY Techs'!AC:AC,'Key Inputs_BY Techs'!$A:$A,'SRV_BY Techs'!$L68,'Key Inputs_BY Techs'!$C:$C,'SRV_BY Techs'!$B68)</f>
        <v>1</v>
      </c>
      <c r="AJ68" s="554">
        <f>SUMIFS('Key Inputs_BY Techs'!AD:AD,'Key Inputs_BY Techs'!$A:$A,'SRV_BY Techs'!$L68,'Key Inputs_BY Techs'!$C:$C,'SRV_BY Techs'!$B68)</f>
        <v>1</v>
      </c>
      <c r="AK68" s="554">
        <f>SUMIFS('Key Inputs_BY Techs'!AE:AE,'Key Inputs_BY Techs'!$A:$A,'SRV_BY Techs'!$L68,'Key Inputs_BY Techs'!$C:$C,'SRV_BY Techs'!$B68)</f>
        <v>1</v>
      </c>
      <c r="AL68" s="554">
        <f>SUMIFS('Key Inputs_BY Techs'!AF:AF,'Key Inputs_BY Techs'!$A:$A,'SRV_BY Techs'!$L68,'Key Inputs_BY Techs'!$C:$C,'SRV_BY Techs'!$B68)</f>
        <v>1</v>
      </c>
      <c r="AM68" s="554">
        <f>SUMIFS('Key Inputs_BY Techs'!AG:AG,'Key Inputs_BY Techs'!$A:$A,'SRV_BY Techs'!$L68,'Key Inputs_BY Techs'!$C:$C,'SRV_BY Techs'!$B68)</f>
        <v>1</v>
      </c>
      <c r="AN68" s="554">
        <f>SUMIFS('Key Inputs_BY Techs'!AH:AH,'Key Inputs_BY Techs'!$A:$A,'SRV_BY Techs'!$L68,'Key Inputs_BY Techs'!$C:$C,'SRV_BY Techs'!$B68)</f>
        <v>1</v>
      </c>
      <c r="AO68" s="554">
        <f>SUMIFS('Key Inputs_BY Techs'!AI:AI,'Key Inputs_BY Techs'!$A:$A,'SRV_BY Techs'!$L68,'Key Inputs_BY Techs'!$C:$C,'SRV_BY Techs'!$B68)</f>
        <v>1</v>
      </c>
      <c r="AP68" s="554">
        <f>SUMIFS('Key Inputs_BY Techs'!AJ:AJ,'Key Inputs_BY Techs'!$A:$A,'SRV_BY Techs'!$L68,'Key Inputs_BY Techs'!$C:$C,'SRV_BY Techs'!$B68)</f>
        <v>1</v>
      </c>
    </row>
    <row r="69" spans="1:42" x14ac:dyDescent="0.3">
      <c r="A69" s="499"/>
      <c r="B69" s="499"/>
      <c r="C69" s="499"/>
      <c r="D69" s="499"/>
      <c r="E69" s="499"/>
      <c r="F69" s="499"/>
      <c r="G69" s="499"/>
      <c r="I69" s="112" t="str">
        <f>"*"&amp;L70</f>
        <v>*NCAP_AFA</v>
      </c>
    </row>
    <row r="70" spans="1:42" x14ac:dyDescent="0.3">
      <c r="A70" s="499" t="str">
        <f>A46</f>
        <v>Thermal uses</v>
      </c>
      <c r="B70" s="499" t="str">
        <f t="shared" ref="B70:D70" si="7">B46</f>
        <v>S-TH</v>
      </c>
      <c r="C70" s="499" t="str">
        <f t="shared" si="7"/>
        <v>Biomass, Waste</v>
      </c>
      <c r="D70" s="499" t="str">
        <f t="shared" si="7"/>
        <v>SRVBIO, SRVWAS</v>
      </c>
      <c r="E70" s="499" t="str">
        <f t="shared" ref="E70:E88" si="8">E46</f>
        <v>SRVBIO</v>
      </c>
      <c r="F70" s="499"/>
      <c r="G70" s="499"/>
      <c r="I70" s="354" t="str">
        <f t="shared" ref="I70:J88" si="9">I6</f>
        <v>S-TH-STV_BIO00</v>
      </c>
      <c r="J70" s="354" t="str">
        <f t="shared" si="9"/>
        <v>SRV Thermal uses technology: Biomass, Waste - Existing</v>
      </c>
      <c r="K70" s="354"/>
      <c r="L70" s="490" t="s">
        <v>452</v>
      </c>
      <c r="M70" s="355" t="s">
        <v>154</v>
      </c>
      <c r="N70" s="355"/>
      <c r="O70" s="354">
        <f>SUMIFS('Key Inputs_BY Techs'!I:I,'Key Inputs_BY Techs'!$A:$A,'SRV_BY Techs'!$L70,'Key Inputs_BY Techs'!$C:$C,'SRV_BY Techs'!$B70)/8760</f>
        <v>1.9669020954812956E-3</v>
      </c>
      <c r="P70" s="354">
        <f>SUMIFS('Key Inputs_BY Techs'!J:J,'Key Inputs_BY Techs'!$A:$A,'SRV_BY Techs'!$L70,'Key Inputs_BY Techs'!$C:$C,'SRV_BY Techs'!$B70)/8760</f>
        <v>1.938803494117277E-2</v>
      </c>
      <c r="Q70" s="354">
        <f>SUMIFS('Key Inputs_BY Techs'!K:K,'Key Inputs_BY Techs'!$A:$A,'SRV_BY Techs'!$L70,'Key Inputs_BY Techs'!$C:$C,'SRV_BY Techs'!$B70)/8760</f>
        <v>8.0549323910186386E-4</v>
      </c>
      <c r="R70" s="354">
        <f>SUMIFS('Key Inputs_BY Techs'!L:L,'Key Inputs_BY Techs'!$A:$A,'SRV_BY Techs'!$L70,'Key Inputs_BY Techs'!$C:$C,'SRV_BY Techs'!$B70)/8760</f>
        <v>7.2681715528261194E-3</v>
      </c>
      <c r="S70" s="354">
        <f>SUMIFS('Key Inputs_BY Techs'!M:M,'Key Inputs_BY Techs'!$A:$A,'SRV_BY Techs'!$L70,'Key Inputs_BY Techs'!$C:$C,'SRV_BY Techs'!$B70)/8760</f>
        <v>1.3618455461094301E-2</v>
      </c>
      <c r="T70" s="354">
        <f>SUMIFS('Key Inputs_BY Techs'!N:N,'Key Inputs_BY Techs'!$A:$A,'SRV_BY Techs'!$L70,'Key Inputs_BY Techs'!$C:$C,'SRV_BY Techs'!$B70)/8760</f>
        <v>5.200114492434358E-2</v>
      </c>
      <c r="U70" s="354">
        <f>SUMIFS('Key Inputs_BY Techs'!O:O,'Key Inputs_BY Techs'!$A:$A,'SRV_BY Techs'!$L70,'Key Inputs_BY Techs'!$C:$C,'SRV_BY Techs'!$B70)/8760</f>
        <v>1.198873658198123E-3</v>
      </c>
      <c r="V70" s="354">
        <f>SUMIFS('Key Inputs_BY Techs'!P:P,'Key Inputs_BY Techs'!$A:$A,'SRV_BY Techs'!$L70,'Key Inputs_BY Techs'!$C:$C,'SRV_BY Techs'!$B70)/8760</f>
        <v>1.0995919333785908E-2</v>
      </c>
      <c r="W70" s="354">
        <f>SUMIFS('Key Inputs_BY Techs'!Q:Q,'Key Inputs_BY Techs'!$A:$A,'SRV_BY Techs'!$L70,'Key Inputs_BY Techs'!$C:$C,'SRV_BY Techs'!$B70)/8760</f>
        <v>1.6484512800224189E-3</v>
      </c>
      <c r="X70" s="354">
        <f>SUMIFS('Key Inputs_BY Techs'!R:R,'Key Inputs_BY Techs'!$A:$A,'SRV_BY Techs'!$L70,'Key Inputs_BY Techs'!$C:$C,'SRV_BY Techs'!$B70)/8760</f>
        <v>8.4745381713879811E-2</v>
      </c>
      <c r="Y70" s="354">
        <f>SUMIFS('Key Inputs_BY Techs'!S:S,'Key Inputs_BY Techs'!$A:$A,'SRV_BY Techs'!$L70,'Key Inputs_BY Techs'!$C:$C,'SRV_BY Techs'!$B70)/8760</f>
        <v>4.8479453553386592E-2</v>
      </c>
      <c r="Z70" s="354">
        <f>SUMIFS('Key Inputs_BY Techs'!T:T,'Key Inputs_BY Techs'!$A:$A,'SRV_BY Techs'!$L70,'Key Inputs_BY Techs'!$C:$C,'SRV_BY Techs'!$B70)/8760</f>
        <v>4.0668042374189445E-2</v>
      </c>
      <c r="AA70" s="354">
        <f>SUMIFS('Key Inputs_BY Techs'!U:U,'Key Inputs_BY Techs'!$A:$A,'SRV_BY Techs'!$L70,'Key Inputs_BY Techs'!$C:$C,'SRV_BY Techs'!$B70)/8760</f>
        <v>5.8520020440795871E-2</v>
      </c>
      <c r="AB70" s="354">
        <f>SUMIFS('Key Inputs_BY Techs'!V:V,'Key Inputs_BY Techs'!$A:$A,'SRV_BY Techs'!$L70,'Key Inputs_BY Techs'!$C:$C,'SRV_BY Techs'!$B70)/8760</f>
        <v>4.9153819986123039E-2</v>
      </c>
      <c r="AC70" s="354">
        <f>SUMIFS('Key Inputs_BY Techs'!W:W,'Key Inputs_BY Techs'!$A:$A,'SRV_BY Techs'!$L70,'Key Inputs_BY Techs'!$C:$C,'SRV_BY Techs'!$B70)/8760</f>
        <v>0.10237257096957408</v>
      </c>
      <c r="AD70" s="354">
        <f>SUMIFS('Key Inputs_BY Techs'!X:X,'Key Inputs_BY Techs'!$A:$A,'SRV_BY Techs'!$L70,'Key Inputs_BY Techs'!$C:$C,'SRV_BY Techs'!$B70)/8760</f>
        <v>3.8457619066886661E-2</v>
      </c>
      <c r="AE70" s="354">
        <f>SUMIFS('Key Inputs_BY Techs'!Y:Y,'Key Inputs_BY Techs'!$A:$A,'SRV_BY Techs'!$L70,'Key Inputs_BY Techs'!$C:$C,'SRV_BY Techs'!$B70)/8760</f>
        <v>5.7077625570776253E-2</v>
      </c>
      <c r="AF70" s="354">
        <f>SUMIFS('Key Inputs_BY Techs'!Z:Z,'Key Inputs_BY Techs'!$A:$A,'SRV_BY Techs'!$L70,'Key Inputs_BY Techs'!$C:$C,'SRV_BY Techs'!$B70)/8760</f>
        <v>4.3084522091495041E-4</v>
      </c>
      <c r="AG70" s="354">
        <f>SUMIFS('Key Inputs_BY Techs'!AA:AA,'Key Inputs_BY Techs'!$A:$A,'SRV_BY Techs'!$L70,'Key Inputs_BY Techs'!$C:$C,'SRV_BY Techs'!$B70)/8760</f>
        <v>5.6946498764410833E-3</v>
      </c>
      <c r="AH70" s="354">
        <f>SUMIFS('Key Inputs_BY Techs'!AB:AB,'Key Inputs_BY Techs'!$A:$A,'SRV_BY Techs'!$L70,'Key Inputs_BY Techs'!$C:$C,'SRV_BY Techs'!$B70)/8760</f>
        <v>3.0964658703148393E-2</v>
      </c>
      <c r="AI70" s="354">
        <f>SUMIFS('Key Inputs_BY Techs'!AC:AC,'Key Inputs_BY Techs'!$A:$A,'SRV_BY Techs'!$L70,'Key Inputs_BY Techs'!$C:$C,'SRV_BY Techs'!$B70)/8760</f>
        <v>7.6990167737410707E-3</v>
      </c>
      <c r="AJ70" s="354">
        <f>SUMIFS('Key Inputs_BY Techs'!AD:AD,'Key Inputs_BY Techs'!$A:$A,'SRV_BY Techs'!$L70,'Key Inputs_BY Techs'!$C:$C,'SRV_BY Techs'!$B70)/8760</f>
        <v>3.6846632588682933E-2</v>
      </c>
      <c r="AK70" s="354">
        <f>SUMIFS('Key Inputs_BY Techs'!AE:AE,'Key Inputs_BY Techs'!$A:$A,'SRV_BY Techs'!$L70,'Key Inputs_BY Techs'!$C:$C,'SRV_BY Techs'!$B70)/8760</f>
        <v>2.339676873577274E-2</v>
      </c>
      <c r="AL70" s="354">
        <f>SUMIFS('Key Inputs_BY Techs'!AF:AF,'Key Inputs_BY Techs'!$A:$A,'SRV_BY Techs'!$L70,'Key Inputs_BY Techs'!$C:$C,'SRV_BY Techs'!$B70)/8760</f>
        <v>7.5866223682849966E-3</v>
      </c>
      <c r="AM70" s="354">
        <f>SUMIFS('Key Inputs_BY Techs'!AG:AG,'Key Inputs_BY Techs'!$A:$A,'SRV_BY Techs'!$L70,'Key Inputs_BY Techs'!$C:$C,'SRV_BY Techs'!$B70)/8760</f>
        <v>9.7408484728597484E-4</v>
      </c>
      <c r="AN70" s="354">
        <f>SUMIFS('Key Inputs_BY Techs'!AH:AH,'Key Inputs_BY Techs'!$A:$A,'SRV_BY Techs'!$L70,'Key Inputs_BY Techs'!$C:$C,'SRV_BY Techs'!$B70)/8760</f>
        <v>8.9859327162131172E-2</v>
      </c>
      <c r="AO70" s="354">
        <f>SUMIFS('Key Inputs_BY Techs'!AI:AI,'Key Inputs_BY Techs'!$A:$A,'SRV_BY Techs'!$L70,'Key Inputs_BY Techs'!$C:$C,'SRV_BY Techs'!$B70)/8760</f>
        <v>3.9225647504169833E-2</v>
      </c>
      <c r="AP70" s="354">
        <f>SUMIFS('Key Inputs_BY Techs'!AJ:AJ,'Key Inputs_BY Techs'!$A:$A,'SRV_BY Techs'!$L70,'Key Inputs_BY Techs'!$C:$C,'SRV_BY Techs'!$B70)/8760</f>
        <v>4.3964944934234286E-2</v>
      </c>
    </row>
    <row r="71" spans="1:42" x14ac:dyDescent="0.3">
      <c r="A71" s="499" t="str">
        <f t="shared" ref="A71:D71" si="10">A47</f>
        <v>Thermal uses</v>
      </c>
      <c r="B71" s="499" t="str">
        <f t="shared" si="10"/>
        <v>S-TH</v>
      </c>
      <c r="C71" s="499" t="str">
        <f t="shared" si="10"/>
        <v>Coal</v>
      </c>
      <c r="D71" s="499" t="str">
        <f t="shared" si="10"/>
        <v>SRVCOA</v>
      </c>
      <c r="E71" s="499" t="str">
        <f t="shared" si="8"/>
        <v>SRVCOA</v>
      </c>
      <c r="F71" s="499"/>
      <c r="G71" s="499"/>
      <c r="I71" s="353" t="str">
        <f t="shared" si="9"/>
        <v>S-TH-STV_COA00</v>
      </c>
      <c r="J71" s="353" t="str">
        <f t="shared" si="9"/>
        <v>SRV Thermal uses technology: Coal - Existing</v>
      </c>
      <c r="K71" s="353"/>
      <c r="L71" s="353" t="s">
        <v>452</v>
      </c>
      <c r="M71" s="353" t="s">
        <v>154</v>
      </c>
      <c r="N71" s="353"/>
      <c r="O71" s="353">
        <f>SUMIFS('Key Inputs_BY Techs'!I:I,'Key Inputs_BY Techs'!$A:$A,'SRV_BY Techs'!$L71,'Key Inputs_BY Techs'!$C:$C,'SRV_BY Techs'!$B71)/8760</f>
        <v>1.9669020954812956E-3</v>
      </c>
      <c r="P71" s="353">
        <f>SUMIFS('Key Inputs_BY Techs'!J:J,'Key Inputs_BY Techs'!$A:$A,'SRV_BY Techs'!$L71,'Key Inputs_BY Techs'!$C:$C,'SRV_BY Techs'!$B71)/8760</f>
        <v>1.938803494117277E-2</v>
      </c>
      <c r="Q71" s="353">
        <f>SUMIFS('Key Inputs_BY Techs'!K:K,'Key Inputs_BY Techs'!$A:$A,'SRV_BY Techs'!$L71,'Key Inputs_BY Techs'!$C:$C,'SRV_BY Techs'!$B71)/8760</f>
        <v>8.0549323910186386E-4</v>
      </c>
      <c r="R71" s="353">
        <f>SUMIFS('Key Inputs_BY Techs'!L:L,'Key Inputs_BY Techs'!$A:$A,'SRV_BY Techs'!$L71,'Key Inputs_BY Techs'!$C:$C,'SRV_BY Techs'!$B71)/8760</f>
        <v>7.2681715528261194E-3</v>
      </c>
      <c r="S71" s="353">
        <f>SUMIFS('Key Inputs_BY Techs'!M:M,'Key Inputs_BY Techs'!$A:$A,'SRV_BY Techs'!$L71,'Key Inputs_BY Techs'!$C:$C,'SRV_BY Techs'!$B71)/8760</f>
        <v>1.3618455461094301E-2</v>
      </c>
      <c r="T71" s="353">
        <f>SUMIFS('Key Inputs_BY Techs'!N:N,'Key Inputs_BY Techs'!$A:$A,'SRV_BY Techs'!$L71,'Key Inputs_BY Techs'!$C:$C,'SRV_BY Techs'!$B71)/8760</f>
        <v>5.200114492434358E-2</v>
      </c>
      <c r="U71" s="353">
        <f>SUMIFS('Key Inputs_BY Techs'!O:O,'Key Inputs_BY Techs'!$A:$A,'SRV_BY Techs'!$L71,'Key Inputs_BY Techs'!$C:$C,'SRV_BY Techs'!$B71)/8760</f>
        <v>1.198873658198123E-3</v>
      </c>
      <c r="V71" s="353">
        <f>SUMIFS('Key Inputs_BY Techs'!P:P,'Key Inputs_BY Techs'!$A:$A,'SRV_BY Techs'!$L71,'Key Inputs_BY Techs'!$C:$C,'SRV_BY Techs'!$B71)/8760</f>
        <v>1.0995919333785908E-2</v>
      </c>
      <c r="W71" s="353">
        <f>SUMIFS('Key Inputs_BY Techs'!Q:Q,'Key Inputs_BY Techs'!$A:$A,'SRV_BY Techs'!$L71,'Key Inputs_BY Techs'!$C:$C,'SRV_BY Techs'!$B71)/8760</f>
        <v>1.6484512800224189E-3</v>
      </c>
      <c r="X71" s="353">
        <f>SUMIFS('Key Inputs_BY Techs'!R:R,'Key Inputs_BY Techs'!$A:$A,'SRV_BY Techs'!$L71,'Key Inputs_BY Techs'!$C:$C,'SRV_BY Techs'!$B71)/8760</f>
        <v>8.4745381713879811E-2</v>
      </c>
      <c r="Y71" s="353">
        <f>SUMIFS('Key Inputs_BY Techs'!S:S,'Key Inputs_BY Techs'!$A:$A,'SRV_BY Techs'!$L71,'Key Inputs_BY Techs'!$C:$C,'SRV_BY Techs'!$B71)/8760</f>
        <v>4.8479453553386592E-2</v>
      </c>
      <c r="Z71" s="353">
        <f>SUMIFS('Key Inputs_BY Techs'!T:T,'Key Inputs_BY Techs'!$A:$A,'SRV_BY Techs'!$L71,'Key Inputs_BY Techs'!$C:$C,'SRV_BY Techs'!$B71)/8760</f>
        <v>4.0668042374189445E-2</v>
      </c>
      <c r="AA71" s="353">
        <f>SUMIFS('Key Inputs_BY Techs'!U:U,'Key Inputs_BY Techs'!$A:$A,'SRV_BY Techs'!$L71,'Key Inputs_BY Techs'!$C:$C,'SRV_BY Techs'!$B71)/8760</f>
        <v>5.8520020440795871E-2</v>
      </c>
      <c r="AB71" s="353">
        <f>SUMIFS('Key Inputs_BY Techs'!V:V,'Key Inputs_BY Techs'!$A:$A,'SRV_BY Techs'!$L71,'Key Inputs_BY Techs'!$C:$C,'SRV_BY Techs'!$B71)/8760</f>
        <v>4.9153819986123039E-2</v>
      </c>
      <c r="AC71" s="353">
        <f>SUMIFS('Key Inputs_BY Techs'!W:W,'Key Inputs_BY Techs'!$A:$A,'SRV_BY Techs'!$L71,'Key Inputs_BY Techs'!$C:$C,'SRV_BY Techs'!$B71)/8760</f>
        <v>0.10237257096957408</v>
      </c>
      <c r="AD71" s="353">
        <f>SUMIFS('Key Inputs_BY Techs'!X:X,'Key Inputs_BY Techs'!$A:$A,'SRV_BY Techs'!$L71,'Key Inputs_BY Techs'!$C:$C,'SRV_BY Techs'!$B71)/8760</f>
        <v>3.8457619066886661E-2</v>
      </c>
      <c r="AE71" s="353">
        <f>SUMIFS('Key Inputs_BY Techs'!Y:Y,'Key Inputs_BY Techs'!$A:$A,'SRV_BY Techs'!$L71,'Key Inputs_BY Techs'!$C:$C,'SRV_BY Techs'!$B71)/8760</f>
        <v>5.7077625570776253E-2</v>
      </c>
      <c r="AF71" s="353">
        <f>SUMIFS('Key Inputs_BY Techs'!Z:Z,'Key Inputs_BY Techs'!$A:$A,'SRV_BY Techs'!$L71,'Key Inputs_BY Techs'!$C:$C,'SRV_BY Techs'!$B71)/8760</f>
        <v>4.3084522091495041E-4</v>
      </c>
      <c r="AG71" s="353">
        <f>SUMIFS('Key Inputs_BY Techs'!AA:AA,'Key Inputs_BY Techs'!$A:$A,'SRV_BY Techs'!$L71,'Key Inputs_BY Techs'!$C:$C,'SRV_BY Techs'!$B71)/8760</f>
        <v>5.6946498764410833E-3</v>
      </c>
      <c r="AH71" s="353">
        <f>SUMIFS('Key Inputs_BY Techs'!AB:AB,'Key Inputs_BY Techs'!$A:$A,'SRV_BY Techs'!$L71,'Key Inputs_BY Techs'!$C:$C,'SRV_BY Techs'!$B71)/8760</f>
        <v>3.0964658703148393E-2</v>
      </c>
      <c r="AI71" s="353">
        <f>SUMIFS('Key Inputs_BY Techs'!AC:AC,'Key Inputs_BY Techs'!$A:$A,'SRV_BY Techs'!$L71,'Key Inputs_BY Techs'!$C:$C,'SRV_BY Techs'!$B71)/8760</f>
        <v>7.6990167737410707E-3</v>
      </c>
      <c r="AJ71" s="353">
        <f>SUMIFS('Key Inputs_BY Techs'!AD:AD,'Key Inputs_BY Techs'!$A:$A,'SRV_BY Techs'!$L71,'Key Inputs_BY Techs'!$C:$C,'SRV_BY Techs'!$B71)/8760</f>
        <v>3.6846632588682933E-2</v>
      </c>
      <c r="AK71" s="353">
        <f>SUMIFS('Key Inputs_BY Techs'!AE:AE,'Key Inputs_BY Techs'!$A:$A,'SRV_BY Techs'!$L71,'Key Inputs_BY Techs'!$C:$C,'SRV_BY Techs'!$B71)/8760</f>
        <v>2.339676873577274E-2</v>
      </c>
      <c r="AL71" s="353">
        <f>SUMIFS('Key Inputs_BY Techs'!AF:AF,'Key Inputs_BY Techs'!$A:$A,'SRV_BY Techs'!$L71,'Key Inputs_BY Techs'!$C:$C,'SRV_BY Techs'!$B71)/8760</f>
        <v>7.5866223682849966E-3</v>
      </c>
      <c r="AM71" s="353">
        <f>SUMIFS('Key Inputs_BY Techs'!AG:AG,'Key Inputs_BY Techs'!$A:$A,'SRV_BY Techs'!$L71,'Key Inputs_BY Techs'!$C:$C,'SRV_BY Techs'!$B71)/8760</f>
        <v>9.7408484728597484E-4</v>
      </c>
      <c r="AN71" s="353">
        <f>SUMIFS('Key Inputs_BY Techs'!AH:AH,'Key Inputs_BY Techs'!$A:$A,'SRV_BY Techs'!$L71,'Key Inputs_BY Techs'!$C:$C,'SRV_BY Techs'!$B71)/8760</f>
        <v>8.9859327162131172E-2</v>
      </c>
      <c r="AO71" s="353">
        <f>SUMIFS('Key Inputs_BY Techs'!AI:AI,'Key Inputs_BY Techs'!$A:$A,'SRV_BY Techs'!$L71,'Key Inputs_BY Techs'!$C:$C,'SRV_BY Techs'!$B71)/8760</f>
        <v>3.9225647504169833E-2</v>
      </c>
      <c r="AP71" s="353">
        <f>SUMIFS('Key Inputs_BY Techs'!AJ:AJ,'Key Inputs_BY Techs'!$A:$A,'SRV_BY Techs'!$L71,'Key Inputs_BY Techs'!$C:$C,'SRV_BY Techs'!$B71)/8760</f>
        <v>4.3964944934234286E-2</v>
      </c>
    </row>
    <row r="72" spans="1:42" x14ac:dyDescent="0.3">
      <c r="A72" s="499" t="str">
        <f t="shared" ref="A72:D72" si="11">A48</f>
        <v>Thermal uses</v>
      </c>
      <c r="B72" s="499" t="str">
        <f t="shared" si="11"/>
        <v>S-TH</v>
      </c>
      <c r="C72" s="499" t="str">
        <f t="shared" si="11"/>
        <v>Electricity</v>
      </c>
      <c r="D72" s="499" t="str">
        <f t="shared" si="11"/>
        <v>SRVELC</v>
      </c>
      <c r="E72" s="499" t="str">
        <f t="shared" si="8"/>
        <v>SRVELC</v>
      </c>
      <c r="F72" s="499"/>
      <c r="G72" s="499"/>
      <c r="I72" s="353" t="str">
        <f t="shared" si="9"/>
        <v>S-TH-RST_ELC00</v>
      </c>
      <c r="J72" s="353" t="str">
        <f t="shared" si="9"/>
        <v>SRV Thermal uses technology: Electricity - Existing</v>
      </c>
      <c r="K72" s="353"/>
      <c r="L72" s="353" t="s">
        <v>452</v>
      </c>
      <c r="M72" s="353" t="s">
        <v>154</v>
      </c>
      <c r="N72" s="353"/>
      <c r="O72" s="353">
        <f>SUMIFS('Key Inputs_BY Techs'!I:I,'Key Inputs_BY Techs'!$A:$A,'SRV_BY Techs'!$L72,'Key Inputs_BY Techs'!$C:$C,'SRV_BY Techs'!$B72)/8760</f>
        <v>1.9669020954812956E-3</v>
      </c>
      <c r="P72" s="353">
        <f>SUMIFS('Key Inputs_BY Techs'!J:J,'Key Inputs_BY Techs'!$A:$A,'SRV_BY Techs'!$L72,'Key Inputs_BY Techs'!$C:$C,'SRV_BY Techs'!$B72)/8760</f>
        <v>1.938803494117277E-2</v>
      </c>
      <c r="Q72" s="353">
        <f>SUMIFS('Key Inputs_BY Techs'!K:K,'Key Inputs_BY Techs'!$A:$A,'SRV_BY Techs'!$L72,'Key Inputs_BY Techs'!$C:$C,'SRV_BY Techs'!$B72)/8760</f>
        <v>8.0549323910186386E-4</v>
      </c>
      <c r="R72" s="353">
        <f>SUMIFS('Key Inputs_BY Techs'!L:L,'Key Inputs_BY Techs'!$A:$A,'SRV_BY Techs'!$L72,'Key Inputs_BY Techs'!$C:$C,'SRV_BY Techs'!$B72)/8760</f>
        <v>7.2681715528261194E-3</v>
      </c>
      <c r="S72" s="353">
        <f>SUMIFS('Key Inputs_BY Techs'!M:M,'Key Inputs_BY Techs'!$A:$A,'SRV_BY Techs'!$L72,'Key Inputs_BY Techs'!$C:$C,'SRV_BY Techs'!$B72)/8760</f>
        <v>1.3618455461094301E-2</v>
      </c>
      <c r="T72" s="353">
        <f>SUMIFS('Key Inputs_BY Techs'!N:N,'Key Inputs_BY Techs'!$A:$A,'SRV_BY Techs'!$L72,'Key Inputs_BY Techs'!$C:$C,'SRV_BY Techs'!$B72)/8760</f>
        <v>5.200114492434358E-2</v>
      </c>
      <c r="U72" s="353">
        <f>SUMIFS('Key Inputs_BY Techs'!O:O,'Key Inputs_BY Techs'!$A:$A,'SRV_BY Techs'!$L72,'Key Inputs_BY Techs'!$C:$C,'SRV_BY Techs'!$B72)/8760</f>
        <v>1.198873658198123E-3</v>
      </c>
      <c r="V72" s="353">
        <f>SUMIFS('Key Inputs_BY Techs'!P:P,'Key Inputs_BY Techs'!$A:$A,'SRV_BY Techs'!$L72,'Key Inputs_BY Techs'!$C:$C,'SRV_BY Techs'!$B72)/8760</f>
        <v>1.0995919333785908E-2</v>
      </c>
      <c r="W72" s="353">
        <f>SUMIFS('Key Inputs_BY Techs'!Q:Q,'Key Inputs_BY Techs'!$A:$A,'SRV_BY Techs'!$L72,'Key Inputs_BY Techs'!$C:$C,'SRV_BY Techs'!$B72)/8760</f>
        <v>1.6484512800224189E-3</v>
      </c>
      <c r="X72" s="353">
        <f>SUMIFS('Key Inputs_BY Techs'!R:R,'Key Inputs_BY Techs'!$A:$A,'SRV_BY Techs'!$L72,'Key Inputs_BY Techs'!$C:$C,'SRV_BY Techs'!$B72)/8760</f>
        <v>8.4745381713879811E-2</v>
      </c>
      <c r="Y72" s="353">
        <f>SUMIFS('Key Inputs_BY Techs'!S:S,'Key Inputs_BY Techs'!$A:$A,'SRV_BY Techs'!$L72,'Key Inputs_BY Techs'!$C:$C,'SRV_BY Techs'!$B72)/8760</f>
        <v>4.8479453553386592E-2</v>
      </c>
      <c r="Z72" s="353">
        <f>SUMIFS('Key Inputs_BY Techs'!T:T,'Key Inputs_BY Techs'!$A:$A,'SRV_BY Techs'!$L72,'Key Inputs_BY Techs'!$C:$C,'SRV_BY Techs'!$B72)/8760</f>
        <v>4.0668042374189445E-2</v>
      </c>
      <c r="AA72" s="353">
        <f>SUMIFS('Key Inputs_BY Techs'!U:U,'Key Inputs_BY Techs'!$A:$A,'SRV_BY Techs'!$L72,'Key Inputs_BY Techs'!$C:$C,'SRV_BY Techs'!$B72)/8760</f>
        <v>5.8520020440795871E-2</v>
      </c>
      <c r="AB72" s="353">
        <f>SUMIFS('Key Inputs_BY Techs'!V:V,'Key Inputs_BY Techs'!$A:$A,'SRV_BY Techs'!$L72,'Key Inputs_BY Techs'!$C:$C,'SRV_BY Techs'!$B72)/8760</f>
        <v>4.9153819986123039E-2</v>
      </c>
      <c r="AC72" s="353">
        <f>SUMIFS('Key Inputs_BY Techs'!W:W,'Key Inputs_BY Techs'!$A:$A,'SRV_BY Techs'!$L72,'Key Inputs_BY Techs'!$C:$C,'SRV_BY Techs'!$B72)/8760</f>
        <v>0.10237257096957408</v>
      </c>
      <c r="AD72" s="353">
        <f>SUMIFS('Key Inputs_BY Techs'!X:X,'Key Inputs_BY Techs'!$A:$A,'SRV_BY Techs'!$L72,'Key Inputs_BY Techs'!$C:$C,'SRV_BY Techs'!$B72)/8760</f>
        <v>3.8457619066886661E-2</v>
      </c>
      <c r="AE72" s="353">
        <f>SUMIFS('Key Inputs_BY Techs'!Y:Y,'Key Inputs_BY Techs'!$A:$A,'SRV_BY Techs'!$L72,'Key Inputs_BY Techs'!$C:$C,'SRV_BY Techs'!$B72)/8760</f>
        <v>5.7077625570776253E-2</v>
      </c>
      <c r="AF72" s="353">
        <f>SUMIFS('Key Inputs_BY Techs'!Z:Z,'Key Inputs_BY Techs'!$A:$A,'SRV_BY Techs'!$L72,'Key Inputs_BY Techs'!$C:$C,'SRV_BY Techs'!$B72)/8760</f>
        <v>4.3084522091495041E-4</v>
      </c>
      <c r="AG72" s="353">
        <f>SUMIFS('Key Inputs_BY Techs'!AA:AA,'Key Inputs_BY Techs'!$A:$A,'SRV_BY Techs'!$L72,'Key Inputs_BY Techs'!$C:$C,'SRV_BY Techs'!$B72)/8760</f>
        <v>5.6946498764410833E-3</v>
      </c>
      <c r="AH72" s="353">
        <f>SUMIFS('Key Inputs_BY Techs'!AB:AB,'Key Inputs_BY Techs'!$A:$A,'SRV_BY Techs'!$L72,'Key Inputs_BY Techs'!$C:$C,'SRV_BY Techs'!$B72)/8760</f>
        <v>3.0964658703148393E-2</v>
      </c>
      <c r="AI72" s="353">
        <f>SUMIFS('Key Inputs_BY Techs'!AC:AC,'Key Inputs_BY Techs'!$A:$A,'SRV_BY Techs'!$L72,'Key Inputs_BY Techs'!$C:$C,'SRV_BY Techs'!$B72)/8760</f>
        <v>7.6990167737410707E-3</v>
      </c>
      <c r="AJ72" s="353">
        <f>SUMIFS('Key Inputs_BY Techs'!AD:AD,'Key Inputs_BY Techs'!$A:$A,'SRV_BY Techs'!$L72,'Key Inputs_BY Techs'!$C:$C,'SRV_BY Techs'!$B72)/8760</f>
        <v>3.6846632588682933E-2</v>
      </c>
      <c r="AK72" s="353">
        <f>SUMIFS('Key Inputs_BY Techs'!AE:AE,'Key Inputs_BY Techs'!$A:$A,'SRV_BY Techs'!$L72,'Key Inputs_BY Techs'!$C:$C,'SRV_BY Techs'!$B72)/8760</f>
        <v>2.339676873577274E-2</v>
      </c>
      <c r="AL72" s="353">
        <f>SUMIFS('Key Inputs_BY Techs'!AF:AF,'Key Inputs_BY Techs'!$A:$A,'SRV_BY Techs'!$L72,'Key Inputs_BY Techs'!$C:$C,'SRV_BY Techs'!$B72)/8760</f>
        <v>7.5866223682849966E-3</v>
      </c>
      <c r="AM72" s="353">
        <f>SUMIFS('Key Inputs_BY Techs'!AG:AG,'Key Inputs_BY Techs'!$A:$A,'SRV_BY Techs'!$L72,'Key Inputs_BY Techs'!$C:$C,'SRV_BY Techs'!$B72)/8760</f>
        <v>9.7408484728597484E-4</v>
      </c>
      <c r="AN72" s="353">
        <f>SUMIFS('Key Inputs_BY Techs'!AH:AH,'Key Inputs_BY Techs'!$A:$A,'SRV_BY Techs'!$L72,'Key Inputs_BY Techs'!$C:$C,'SRV_BY Techs'!$B72)/8760</f>
        <v>8.9859327162131172E-2</v>
      </c>
      <c r="AO72" s="353">
        <f>SUMIFS('Key Inputs_BY Techs'!AI:AI,'Key Inputs_BY Techs'!$A:$A,'SRV_BY Techs'!$L72,'Key Inputs_BY Techs'!$C:$C,'SRV_BY Techs'!$B72)/8760</f>
        <v>3.9225647504169833E-2</v>
      </c>
      <c r="AP72" s="353">
        <f>SUMIFS('Key Inputs_BY Techs'!AJ:AJ,'Key Inputs_BY Techs'!$A:$A,'SRV_BY Techs'!$L72,'Key Inputs_BY Techs'!$C:$C,'SRV_BY Techs'!$B72)/8760</f>
        <v>4.3964944934234286E-2</v>
      </c>
    </row>
    <row r="73" spans="1:42" x14ac:dyDescent="0.3">
      <c r="A73" s="499" t="str">
        <f t="shared" ref="A73:D73" si="12">A49</f>
        <v>Thermal uses</v>
      </c>
      <c r="B73" s="499" t="str">
        <f t="shared" si="12"/>
        <v>S-TH</v>
      </c>
      <c r="C73" s="499" t="str">
        <f t="shared" si="12"/>
        <v>Electricity (Heat Pump)</v>
      </c>
      <c r="D73" s="499" t="str">
        <f t="shared" si="12"/>
        <v>SRVELC</v>
      </c>
      <c r="E73" s="499" t="str">
        <f t="shared" si="8"/>
        <v>SRVELC</v>
      </c>
      <c r="F73" s="499"/>
      <c r="G73" s="499"/>
      <c r="I73" s="353" t="str">
        <f t="shared" si="9"/>
        <v>S-TH-HPA_ELC00</v>
      </c>
      <c r="J73" s="353" t="str">
        <f t="shared" si="9"/>
        <v>SRV Thermal uses technology: Electricity (Heat Pump) - Existing</v>
      </c>
      <c r="K73" s="353"/>
      <c r="L73" s="353" t="s">
        <v>452</v>
      </c>
      <c r="M73" s="353" t="s">
        <v>154</v>
      </c>
      <c r="N73" s="353"/>
      <c r="O73" s="353">
        <f>SUMIFS('Key Inputs_BY Techs'!I:I,'Key Inputs_BY Techs'!$A:$A,'SRV_BY Techs'!$L73,'Key Inputs_BY Techs'!$C:$C,'SRV_BY Techs'!$B73)/8760</f>
        <v>1.9669020954812956E-3</v>
      </c>
      <c r="P73" s="353">
        <f>SUMIFS('Key Inputs_BY Techs'!J:J,'Key Inputs_BY Techs'!$A:$A,'SRV_BY Techs'!$L73,'Key Inputs_BY Techs'!$C:$C,'SRV_BY Techs'!$B73)/8760</f>
        <v>1.938803494117277E-2</v>
      </c>
      <c r="Q73" s="353">
        <f>SUMIFS('Key Inputs_BY Techs'!K:K,'Key Inputs_BY Techs'!$A:$A,'SRV_BY Techs'!$L73,'Key Inputs_BY Techs'!$C:$C,'SRV_BY Techs'!$B73)/8760</f>
        <v>8.0549323910186386E-4</v>
      </c>
      <c r="R73" s="353">
        <f>SUMIFS('Key Inputs_BY Techs'!L:L,'Key Inputs_BY Techs'!$A:$A,'SRV_BY Techs'!$L73,'Key Inputs_BY Techs'!$C:$C,'SRV_BY Techs'!$B73)/8760</f>
        <v>7.2681715528261194E-3</v>
      </c>
      <c r="S73" s="353">
        <f>SUMIFS('Key Inputs_BY Techs'!M:M,'Key Inputs_BY Techs'!$A:$A,'SRV_BY Techs'!$L73,'Key Inputs_BY Techs'!$C:$C,'SRV_BY Techs'!$B73)/8760</f>
        <v>1.3618455461094301E-2</v>
      </c>
      <c r="T73" s="353">
        <f>SUMIFS('Key Inputs_BY Techs'!N:N,'Key Inputs_BY Techs'!$A:$A,'SRV_BY Techs'!$L73,'Key Inputs_BY Techs'!$C:$C,'SRV_BY Techs'!$B73)/8760</f>
        <v>5.200114492434358E-2</v>
      </c>
      <c r="U73" s="353">
        <f>SUMIFS('Key Inputs_BY Techs'!O:O,'Key Inputs_BY Techs'!$A:$A,'SRV_BY Techs'!$L73,'Key Inputs_BY Techs'!$C:$C,'SRV_BY Techs'!$B73)/8760</f>
        <v>1.198873658198123E-3</v>
      </c>
      <c r="V73" s="353">
        <f>SUMIFS('Key Inputs_BY Techs'!P:P,'Key Inputs_BY Techs'!$A:$A,'SRV_BY Techs'!$L73,'Key Inputs_BY Techs'!$C:$C,'SRV_BY Techs'!$B73)/8760</f>
        <v>1.0995919333785908E-2</v>
      </c>
      <c r="W73" s="353">
        <f>SUMIFS('Key Inputs_BY Techs'!Q:Q,'Key Inputs_BY Techs'!$A:$A,'SRV_BY Techs'!$L73,'Key Inputs_BY Techs'!$C:$C,'SRV_BY Techs'!$B73)/8760</f>
        <v>1.6484512800224189E-3</v>
      </c>
      <c r="X73" s="353">
        <f>SUMIFS('Key Inputs_BY Techs'!R:R,'Key Inputs_BY Techs'!$A:$A,'SRV_BY Techs'!$L73,'Key Inputs_BY Techs'!$C:$C,'SRV_BY Techs'!$B73)/8760</f>
        <v>8.4745381713879811E-2</v>
      </c>
      <c r="Y73" s="353">
        <f>SUMIFS('Key Inputs_BY Techs'!S:S,'Key Inputs_BY Techs'!$A:$A,'SRV_BY Techs'!$L73,'Key Inputs_BY Techs'!$C:$C,'SRV_BY Techs'!$B73)/8760</f>
        <v>4.8479453553386592E-2</v>
      </c>
      <c r="Z73" s="353">
        <f>SUMIFS('Key Inputs_BY Techs'!T:T,'Key Inputs_BY Techs'!$A:$A,'SRV_BY Techs'!$L73,'Key Inputs_BY Techs'!$C:$C,'SRV_BY Techs'!$B73)/8760</f>
        <v>4.0668042374189445E-2</v>
      </c>
      <c r="AA73" s="353">
        <f>SUMIFS('Key Inputs_BY Techs'!U:U,'Key Inputs_BY Techs'!$A:$A,'SRV_BY Techs'!$L73,'Key Inputs_BY Techs'!$C:$C,'SRV_BY Techs'!$B73)/8760</f>
        <v>5.8520020440795871E-2</v>
      </c>
      <c r="AB73" s="353">
        <f>SUMIFS('Key Inputs_BY Techs'!V:V,'Key Inputs_BY Techs'!$A:$A,'SRV_BY Techs'!$L73,'Key Inputs_BY Techs'!$C:$C,'SRV_BY Techs'!$B73)/8760</f>
        <v>4.9153819986123039E-2</v>
      </c>
      <c r="AC73" s="353">
        <f>SUMIFS('Key Inputs_BY Techs'!W:W,'Key Inputs_BY Techs'!$A:$A,'SRV_BY Techs'!$L73,'Key Inputs_BY Techs'!$C:$C,'SRV_BY Techs'!$B73)/8760</f>
        <v>0.10237257096957408</v>
      </c>
      <c r="AD73" s="353">
        <f>SUMIFS('Key Inputs_BY Techs'!X:X,'Key Inputs_BY Techs'!$A:$A,'SRV_BY Techs'!$L73,'Key Inputs_BY Techs'!$C:$C,'SRV_BY Techs'!$B73)/8760</f>
        <v>3.8457619066886661E-2</v>
      </c>
      <c r="AE73" s="353">
        <f>SUMIFS('Key Inputs_BY Techs'!Y:Y,'Key Inputs_BY Techs'!$A:$A,'SRV_BY Techs'!$L73,'Key Inputs_BY Techs'!$C:$C,'SRV_BY Techs'!$B73)/8760</f>
        <v>5.7077625570776253E-2</v>
      </c>
      <c r="AF73" s="353">
        <f>SUMIFS('Key Inputs_BY Techs'!Z:Z,'Key Inputs_BY Techs'!$A:$A,'SRV_BY Techs'!$L73,'Key Inputs_BY Techs'!$C:$C,'SRV_BY Techs'!$B73)/8760</f>
        <v>4.3084522091495041E-4</v>
      </c>
      <c r="AG73" s="353">
        <f>SUMIFS('Key Inputs_BY Techs'!AA:AA,'Key Inputs_BY Techs'!$A:$A,'SRV_BY Techs'!$L73,'Key Inputs_BY Techs'!$C:$C,'SRV_BY Techs'!$B73)/8760</f>
        <v>5.6946498764410833E-3</v>
      </c>
      <c r="AH73" s="353">
        <f>SUMIFS('Key Inputs_BY Techs'!AB:AB,'Key Inputs_BY Techs'!$A:$A,'SRV_BY Techs'!$L73,'Key Inputs_BY Techs'!$C:$C,'SRV_BY Techs'!$B73)/8760</f>
        <v>3.0964658703148393E-2</v>
      </c>
      <c r="AI73" s="353">
        <f>SUMIFS('Key Inputs_BY Techs'!AC:AC,'Key Inputs_BY Techs'!$A:$A,'SRV_BY Techs'!$L73,'Key Inputs_BY Techs'!$C:$C,'SRV_BY Techs'!$B73)/8760</f>
        <v>7.6990167737410707E-3</v>
      </c>
      <c r="AJ73" s="353">
        <f>SUMIFS('Key Inputs_BY Techs'!AD:AD,'Key Inputs_BY Techs'!$A:$A,'SRV_BY Techs'!$L73,'Key Inputs_BY Techs'!$C:$C,'SRV_BY Techs'!$B73)/8760</f>
        <v>3.6846632588682933E-2</v>
      </c>
      <c r="AK73" s="353">
        <f>SUMIFS('Key Inputs_BY Techs'!AE:AE,'Key Inputs_BY Techs'!$A:$A,'SRV_BY Techs'!$L73,'Key Inputs_BY Techs'!$C:$C,'SRV_BY Techs'!$B73)/8760</f>
        <v>2.339676873577274E-2</v>
      </c>
      <c r="AL73" s="353">
        <f>SUMIFS('Key Inputs_BY Techs'!AF:AF,'Key Inputs_BY Techs'!$A:$A,'SRV_BY Techs'!$L73,'Key Inputs_BY Techs'!$C:$C,'SRV_BY Techs'!$B73)/8760</f>
        <v>7.5866223682849966E-3</v>
      </c>
      <c r="AM73" s="353">
        <f>SUMIFS('Key Inputs_BY Techs'!AG:AG,'Key Inputs_BY Techs'!$A:$A,'SRV_BY Techs'!$L73,'Key Inputs_BY Techs'!$C:$C,'SRV_BY Techs'!$B73)/8760</f>
        <v>9.7408484728597484E-4</v>
      </c>
      <c r="AN73" s="353">
        <f>SUMIFS('Key Inputs_BY Techs'!AH:AH,'Key Inputs_BY Techs'!$A:$A,'SRV_BY Techs'!$L73,'Key Inputs_BY Techs'!$C:$C,'SRV_BY Techs'!$B73)/8760</f>
        <v>8.9859327162131172E-2</v>
      </c>
      <c r="AO73" s="353">
        <f>SUMIFS('Key Inputs_BY Techs'!AI:AI,'Key Inputs_BY Techs'!$A:$A,'SRV_BY Techs'!$L73,'Key Inputs_BY Techs'!$C:$C,'SRV_BY Techs'!$B73)/8760</f>
        <v>3.9225647504169833E-2</v>
      </c>
      <c r="AP73" s="353">
        <f>SUMIFS('Key Inputs_BY Techs'!AJ:AJ,'Key Inputs_BY Techs'!$A:$A,'SRV_BY Techs'!$L73,'Key Inputs_BY Techs'!$C:$C,'SRV_BY Techs'!$B73)/8760</f>
        <v>4.3964944934234286E-2</v>
      </c>
    </row>
    <row r="74" spans="1:42" x14ac:dyDescent="0.3">
      <c r="A74" s="499" t="str">
        <f t="shared" ref="A74:D74" si="13">A50</f>
        <v>Thermal uses</v>
      </c>
      <c r="B74" s="499" t="str">
        <f t="shared" si="13"/>
        <v>S-TH</v>
      </c>
      <c r="C74" s="499" t="str">
        <f t="shared" si="13"/>
        <v>Natural gas, Biogas</v>
      </c>
      <c r="D74" s="499" t="str">
        <f t="shared" si="13"/>
        <v>SRVGAS, SRVBGS</v>
      </c>
      <c r="E74" s="499" t="str">
        <f t="shared" si="8"/>
        <v>SRVGAS</v>
      </c>
      <c r="F74" s="499"/>
      <c r="G74" s="499"/>
      <c r="I74" s="353" t="str">
        <f t="shared" si="9"/>
        <v>S-TH-HPA_GAS00</v>
      </c>
      <c r="J74" s="353" t="str">
        <f t="shared" si="9"/>
        <v>SRV Thermal uses technology: Natural gas, Biogas - Existing</v>
      </c>
      <c r="K74" s="353"/>
      <c r="L74" s="353" t="s">
        <v>452</v>
      </c>
      <c r="M74" s="353" t="s">
        <v>154</v>
      </c>
      <c r="N74" s="353"/>
      <c r="O74" s="353">
        <f>SUMIFS('Key Inputs_BY Techs'!I:I,'Key Inputs_BY Techs'!$A:$A,'SRV_BY Techs'!$L74,'Key Inputs_BY Techs'!$C:$C,'SRV_BY Techs'!$B74)/8760</f>
        <v>1.9669020954812956E-3</v>
      </c>
      <c r="P74" s="353">
        <f>SUMIFS('Key Inputs_BY Techs'!J:J,'Key Inputs_BY Techs'!$A:$A,'SRV_BY Techs'!$L74,'Key Inputs_BY Techs'!$C:$C,'SRV_BY Techs'!$B74)/8760</f>
        <v>1.938803494117277E-2</v>
      </c>
      <c r="Q74" s="353">
        <f>SUMIFS('Key Inputs_BY Techs'!K:K,'Key Inputs_BY Techs'!$A:$A,'SRV_BY Techs'!$L74,'Key Inputs_BY Techs'!$C:$C,'SRV_BY Techs'!$B74)/8760</f>
        <v>8.0549323910186386E-4</v>
      </c>
      <c r="R74" s="353">
        <f>SUMIFS('Key Inputs_BY Techs'!L:L,'Key Inputs_BY Techs'!$A:$A,'SRV_BY Techs'!$L74,'Key Inputs_BY Techs'!$C:$C,'SRV_BY Techs'!$B74)/8760</f>
        <v>7.2681715528261194E-3</v>
      </c>
      <c r="S74" s="353">
        <f>SUMIFS('Key Inputs_BY Techs'!M:M,'Key Inputs_BY Techs'!$A:$A,'SRV_BY Techs'!$L74,'Key Inputs_BY Techs'!$C:$C,'SRV_BY Techs'!$B74)/8760</f>
        <v>1.3618455461094301E-2</v>
      </c>
      <c r="T74" s="353">
        <f>SUMIFS('Key Inputs_BY Techs'!N:N,'Key Inputs_BY Techs'!$A:$A,'SRV_BY Techs'!$L74,'Key Inputs_BY Techs'!$C:$C,'SRV_BY Techs'!$B74)/8760</f>
        <v>5.200114492434358E-2</v>
      </c>
      <c r="U74" s="353">
        <f>SUMIFS('Key Inputs_BY Techs'!O:O,'Key Inputs_BY Techs'!$A:$A,'SRV_BY Techs'!$L74,'Key Inputs_BY Techs'!$C:$C,'SRV_BY Techs'!$B74)/8760</f>
        <v>1.198873658198123E-3</v>
      </c>
      <c r="V74" s="353">
        <f>SUMIFS('Key Inputs_BY Techs'!P:P,'Key Inputs_BY Techs'!$A:$A,'SRV_BY Techs'!$L74,'Key Inputs_BY Techs'!$C:$C,'SRV_BY Techs'!$B74)/8760</f>
        <v>1.0995919333785908E-2</v>
      </c>
      <c r="W74" s="353">
        <f>SUMIFS('Key Inputs_BY Techs'!Q:Q,'Key Inputs_BY Techs'!$A:$A,'SRV_BY Techs'!$L74,'Key Inputs_BY Techs'!$C:$C,'SRV_BY Techs'!$B74)/8760</f>
        <v>1.6484512800224189E-3</v>
      </c>
      <c r="X74" s="353">
        <f>SUMIFS('Key Inputs_BY Techs'!R:R,'Key Inputs_BY Techs'!$A:$A,'SRV_BY Techs'!$L74,'Key Inputs_BY Techs'!$C:$C,'SRV_BY Techs'!$B74)/8760</f>
        <v>8.4745381713879811E-2</v>
      </c>
      <c r="Y74" s="353">
        <f>SUMIFS('Key Inputs_BY Techs'!S:S,'Key Inputs_BY Techs'!$A:$A,'SRV_BY Techs'!$L74,'Key Inputs_BY Techs'!$C:$C,'SRV_BY Techs'!$B74)/8760</f>
        <v>4.8479453553386592E-2</v>
      </c>
      <c r="Z74" s="353">
        <f>SUMIFS('Key Inputs_BY Techs'!T:T,'Key Inputs_BY Techs'!$A:$A,'SRV_BY Techs'!$L74,'Key Inputs_BY Techs'!$C:$C,'SRV_BY Techs'!$B74)/8760</f>
        <v>4.0668042374189445E-2</v>
      </c>
      <c r="AA74" s="353">
        <f>SUMIFS('Key Inputs_BY Techs'!U:U,'Key Inputs_BY Techs'!$A:$A,'SRV_BY Techs'!$L74,'Key Inputs_BY Techs'!$C:$C,'SRV_BY Techs'!$B74)/8760</f>
        <v>5.8520020440795871E-2</v>
      </c>
      <c r="AB74" s="353">
        <f>SUMIFS('Key Inputs_BY Techs'!V:V,'Key Inputs_BY Techs'!$A:$A,'SRV_BY Techs'!$L74,'Key Inputs_BY Techs'!$C:$C,'SRV_BY Techs'!$B74)/8760</f>
        <v>4.9153819986123039E-2</v>
      </c>
      <c r="AC74" s="353">
        <f>SUMIFS('Key Inputs_BY Techs'!W:W,'Key Inputs_BY Techs'!$A:$A,'SRV_BY Techs'!$L74,'Key Inputs_BY Techs'!$C:$C,'SRV_BY Techs'!$B74)/8760</f>
        <v>0.10237257096957408</v>
      </c>
      <c r="AD74" s="353">
        <f>SUMIFS('Key Inputs_BY Techs'!X:X,'Key Inputs_BY Techs'!$A:$A,'SRV_BY Techs'!$L74,'Key Inputs_BY Techs'!$C:$C,'SRV_BY Techs'!$B74)/8760</f>
        <v>3.8457619066886661E-2</v>
      </c>
      <c r="AE74" s="353">
        <f>SUMIFS('Key Inputs_BY Techs'!Y:Y,'Key Inputs_BY Techs'!$A:$A,'SRV_BY Techs'!$L74,'Key Inputs_BY Techs'!$C:$C,'SRV_BY Techs'!$B74)/8760</f>
        <v>5.7077625570776253E-2</v>
      </c>
      <c r="AF74" s="353">
        <f>SUMIFS('Key Inputs_BY Techs'!Z:Z,'Key Inputs_BY Techs'!$A:$A,'SRV_BY Techs'!$L74,'Key Inputs_BY Techs'!$C:$C,'SRV_BY Techs'!$B74)/8760</f>
        <v>4.3084522091495041E-4</v>
      </c>
      <c r="AG74" s="353">
        <f>SUMIFS('Key Inputs_BY Techs'!AA:AA,'Key Inputs_BY Techs'!$A:$A,'SRV_BY Techs'!$L74,'Key Inputs_BY Techs'!$C:$C,'SRV_BY Techs'!$B74)/8760</f>
        <v>5.6946498764410833E-3</v>
      </c>
      <c r="AH74" s="353">
        <f>SUMIFS('Key Inputs_BY Techs'!AB:AB,'Key Inputs_BY Techs'!$A:$A,'SRV_BY Techs'!$L74,'Key Inputs_BY Techs'!$C:$C,'SRV_BY Techs'!$B74)/8760</f>
        <v>3.0964658703148393E-2</v>
      </c>
      <c r="AI74" s="353">
        <f>SUMIFS('Key Inputs_BY Techs'!AC:AC,'Key Inputs_BY Techs'!$A:$A,'SRV_BY Techs'!$L74,'Key Inputs_BY Techs'!$C:$C,'SRV_BY Techs'!$B74)/8760</f>
        <v>7.6990167737410707E-3</v>
      </c>
      <c r="AJ74" s="353">
        <f>SUMIFS('Key Inputs_BY Techs'!AD:AD,'Key Inputs_BY Techs'!$A:$A,'SRV_BY Techs'!$L74,'Key Inputs_BY Techs'!$C:$C,'SRV_BY Techs'!$B74)/8760</f>
        <v>3.6846632588682933E-2</v>
      </c>
      <c r="AK74" s="353">
        <f>SUMIFS('Key Inputs_BY Techs'!AE:AE,'Key Inputs_BY Techs'!$A:$A,'SRV_BY Techs'!$L74,'Key Inputs_BY Techs'!$C:$C,'SRV_BY Techs'!$B74)/8760</f>
        <v>2.339676873577274E-2</v>
      </c>
      <c r="AL74" s="353">
        <f>SUMIFS('Key Inputs_BY Techs'!AF:AF,'Key Inputs_BY Techs'!$A:$A,'SRV_BY Techs'!$L74,'Key Inputs_BY Techs'!$C:$C,'SRV_BY Techs'!$B74)/8760</f>
        <v>7.5866223682849966E-3</v>
      </c>
      <c r="AM74" s="353">
        <f>SUMIFS('Key Inputs_BY Techs'!AG:AG,'Key Inputs_BY Techs'!$A:$A,'SRV_BY Techs'!$L74,'Key Inputs_BY Techs'!$C:$C,'SRV_BY Techs'!$B74)/8760</f>
        <v>9.7408484728597484E-4</v>
      </c>
      <c r="AN74" s="353">
        <f>SUMIFS('Key Inputs_BY Techs'!AH:AH,'Key Inputs_BY Techs'!$A:$A,'SRV_BY Techs'!$L74,'Key Inputs_BY Techs'!$C:$C,'SRV_BY Techs'!$B74)/8760</f>
        <v>8.9859327162131172E-2</v>
      </c>
      <c r="AO74" s="353">
        <f>SUMIFS('Key Inputs_BY Techs'!AI:AI,'Key Inputs_BY Techs'!$A:$A,'SRV_BY Techs'!$L74,'Key Inputs_BY Techs'!$C:$C,'SRV_BY Techs'!$B74)/8760</f>
        <v>3.9225647504169833E-2</v>
      </c>
      <c r="AP74" s="353">
        <f>SUMIFS('Key Inputs_BY Techs'!AJ:AJ,'Key Inputs_BY Techs'!$A:$A,'SRV_BY Techs'!$L74,'Key Inputs_BY Techs'!$C:$C,'SRV_BY Techs'!$B74)/8760</f>
        <v>4.3964944934234286E-2</v>
      </c>
    </row>
    <row r="75" spans="1:42" x14ac:dyDescent="0.3">
      <c r="A75" s="499" t="str">
        <f t="shared" ref="A75:D75" si="14">A51</f>
        <v>Thermal uses</v>
      </c>
      <c r="B75" s="499" t="str">
        <f t="shared" si="14"/>
        <v>S-TH</v>
      </c>
      <c r="C75" s="499" t="str">
        <f t="shared" si="14"/>
        <v>Geothermal</v>
      </c>
      <c r="D75" s="499" t="str">
        <f t="shared" si="14"/>
        <v>SRVGEO</v>
      </c>
      <c r="E75" s="499" t="str">
        <f t="shared" si="8"/>
        <v>SRVGEO</v>
      </c>
      <c r="F75" s="499"/>
      <c r="G75" s="499"/>
      <c r="I75" s="353" t="str">
        <f t="shared" si="9"/>
        <v>S-TH-HEX_GEO00</v>
      </c>
      <c r="J75" s="353" t="str">
        <f t="shared" si="9"/>
        <v>SRV Thermal uses technology: Geothermal - Existing</v>
      </c>
      <c r="K75" s="353"/>
      <c r="L75" s="353" t="s">
        <v>452</v>
      </c>
      <c r="M75" s="353" t="s">
        <v>154</v>
      </c>
      <c r="N75" s="353"/>
      <c r="O75" s="353">
        <f>SUMIFS('Key Inputs_BY Techs'!I:I,'Key Inputs_BY Techs'!$A:$A,'SRV_BY Techs'!$L75,'Key Inputs_BY Techs'!$C:$C,'SRV_BY Techs'!$B75)/8760</f>
        <v>1.9669020954812956E-3</v>
      </c>
      <c r="P75" s="353">
        <f>SUMIFS('Key Inputs_BY Techs'!J:J,'Key Inputs_BY Techs'!$A:$A,'SRV_BY Techs'!$L75,'Key Inputs_BY Techs'!$C:$C,'SRV_BY Techs'!$B75)/8760</f>
        <v>1.938803494117277E-2</v>
      </c>
      <c r="Q75" s="353">
        <f>SUMIFS('Key Inputs_BY Techs'!K:K,'Key Inputs_BY Techs'!$A:$A,'SRV_BY Techs'!$L75,'Key Inputs_BY Techs'!$C:$C,'SRV_BY Techs'!$B75)/8760</f>
        <v>8.0549323910186386E-4</v>
      </c>
      <c r="R75" s="353">
        <f>SUMIFS('Key Inputs_BY Techs'!L:L,'Key Inputs_BY Techs'!$A:$A,'SRV_BY Techs'!$L75,'Key Inputs_BY Techs'!$C:$C,'SRV_BY Techs'!$B75)/8760</f>
        <v>7.2681715528261194E-3</v>
      </c>
      <c r="S75" s="353">
        <f>SUMIFS('Key Inputs_BY Techs'!M:M,'Key Inputs_BY Techs'!$A:$A,'SRV_BY Techs'!$L75,'Key Inputs_BY Techs'!$C:$C,'SRV_BY Techs'!$B75)/8760</f>
        <v>1.3618455461094301E-2</v>
      </c>
      <c r="T75" s="353">
        <f>SUMIFS('Key Inputs_BY Techs'!N:N,'Key Inputs_BY Techs'!$A:$A,'SRV_BY Techs'!$L75,'Key Inputs_BY Techs'!$C:$C,'SRV_BY Techs'!$B75)/8760</f>
        <v>5.200114492434358E-2</v>
      </c>
      <c r="U75" s="353">
        <f>SUMIFS('Key Inputs_BY Techs'!O:O,'Key Inputs_BY Techs'!$A:$A,'SRV_BY Techs'!$L75,'Key Inputs_BY Techs'!$C:$C,'SRV_BY Techs'!$B75)/8760</f>
        <v>1.198873658198123E-3</v>
      </c>
      <c r="V75" s="353">
        <f>SUMIFS('Key Inputs_BY Techs'!P:P,'Key Inputs_BY Techs'!$A:$A,'SRV_BY Techs'!$L75,'Key Inputs_BY Techs'!$C:$C,'SRV_BY Techs'!$B75)/8760</f>
        <v>1.0995919333785908E-2</v>
      </c>
      <c r="W75" s="353">
        <f>SUMIFS('Key Inputs_BY Techs'!Q:Q,'Key Inputs_BY Techs'!$A:$A,'SRV_BY Techs'!$L75,'Key Inputs_BY Techs'!$C:$C,'SRV_BY Techs'!$B75)/8760</f>
        <v>1.6484512800224189E-3</v>
      </c>
      <c r="X75" s="353">
        <f>SUMIFS('Key Inputs_BY Techs'!R:R,'Key Inputs_BY Techs'!$A:$A,'SRV_BY Techs'!$L75,'Key Inputs_BY Techs'!$C:$C,'SRV_BY Techs'!$B75)/8760</f>
        <v>8.4745381713879811E-2</v>
      </c>
      <c r="Y75" s="353">
        <f>SUMIFS('Key Inputs_BY Techs'!S:S,'Key Inputs_BY Techs'!$A:$A,'SRV_BY Techs'!$L75,'Key Inputs_BY Techs'!$C:$C,'SRV_BY Techs'!$B75)/8760</f>
        <v>4.8479453553386592E-2</v>
      </c>
      <c r="Z75" s="353">
        <f>SUMIFS('Key Inputs_BY Techs'!T:T,'Key Inputs_BY Techs'!$A:$A,'SRV_BY Techs'!$L75,'Key Inputs_BY Techs'!$C:$C,'SRV_BY Techs'!$B75)/8760</f>
        <v>4.0668042374189445E-2</v>
      </c>
      <c r="AA75" s="353">
        <f>SUMIFS('Key Inputs_BY Techs'!U:U,'Key Inputs_BY Techs'!$A:$A,'SRV_BY Techs'!$L75,'Key Inputs_BY Techs'!$C:$C,'SRV_BY Techs'!$B75)/8760</f>
        <v>5.8520020440795871E-2</v>
      </c>
      <c r="AB75" s="353">
        <f>SUMIFS('Key Inputs_BY Techs'!V:V,'Key Inputs_BY Techs'!$A:$A,'SRV_BY Techs'!$L75,'Key Inputs_BY Techs'!$C:$C,'SRV_BY Techs'!$B75)/8760</f>
        <v>4.9153819986123039E-2</v>
      </c>
      <c r="AC75" s="353">
        <f>SUMIFS('Key Inputs_BY Techs'!W:W,'Key Inputs_BY Techs'!$A:$A,'SRV_BY Techs'!$L75,'Key Inputs_BY Techs'!$C:$C,'SRV_BY Techs'!$B75)/8760</f>
        <v>0.10237257096957408</v>
      </c>
      <c r="AD75" s="353">
        <f>SUMIFS('Key Inputs_BY Techs'!X:X,'Key Inputs_BY Techs'!$A:$A,'SRV_BY Techs'!$L75,'Key Inputs_BY Techs'!$C:$C,'SRV_BY Techs'!$B75)/8760</f>
        <v>3.8457619066886661E-2</v>
      </c>
      <c r="AE75" s="353">
        <f>SUMIFS('Key Inputs_BY Techs'!Y:Y,'Key Inputs_BY Techs'!$A:$A,'SRV_BY Techs'!$L75,'Key Inputs_BY Techs'!$C:$C,'SRV_BY Techs'!$B75)/8760</f>
        <v>5.7077625570776253E-2</v>
      </c>
      <c r="AF75" s="353">
        <f>SUMIFS('Key Inputs_BY Techs'!Z:Z,'Key Inputs_BY Techs'!$A:$A,'SRV_BY Techs'!$L75,'Key Inputs_BY Techs'!$C:$C,'SRV_BY Techs'!$B75)/8760</f>
        <v>4.3084522091495041E-4</v>
      </c>
      <c r="AG75" s="353">
        <f>SUMIFS('Key Inputs_BY Techs'!AA:AA,'Key Inputs_BY Techs'!$A:$A,'SRV_BY Techs'!$L75,'Key Inputs_BY Techs'!$C:$C,'SRV_BY Techs'!$B75)/8760</f>
        <v>5.6946498764410833E-3</v>
      </c>
      <c r="AH75" s="353">
        <f>SUMIFS('Key Inputs_BY Techs'!AB:AB,'Key Inputs_BY Techs'!$A:$A,'SRV_BY Techs'!$L75,'Key Inputs_BY Techs'!$C:$C,'SRV_BY Techs'!$B75)/8760</f>
        <v>3.0964658703148393E-2</v>
      </c>
      <c r="AI75" s="353">
        <f>SUMIFS('Key Inputs_BY Techs'!AC:AC,'Key Inputs_BY Techs'!$A:$A,'SRV_BY Techs'!$L75,'Key Inputs_BY Techs'!$C:$C,'SRV_BY Techs'!$B75)/8760</f>
        <v>7.6990167737410707E-3</v>
      </c>
      <c r="AJ75" s="353">
        <f>SUMIFS('Key Inputs_BY Techs'!AD:AD,'Key Inputs_BY Techs'!$A:$A,'SRV_BY Techs'!$L75,'Key Inputs_BY Techs'!$C:$C,'SRV_BY Techs'!$B75)/8760</f>
        <v>3.6846632588682933E-2</v>
      </c>
      <c r="AK75" s="353">
        <f>SUMIFS('Key Inputs_BY Techs'!AE:AE,'Key Inputs_BY Techs'!$A:$A,'SRV_BY Techs'!$L75,'Key Inputs_BY Techs'!$C:$C,'SRV_BY Techs'!$B75)/8760</f>
        <v>2.339676873577274E-2</v>
      </c>
      <c r="AL75" s="353">
        <f>SUMIFS('Key Inputs_BY Techs'!AF:AF,'Key Inputs_BY Techs'!$A:$A,'SRV_BY Techs'!$L75,'Key Inputs_BY Techs'!$C:$C,'SRV_BY Techs'!$B75)/8760</f>
        <v>7.5866223682849966E-3</v>
      </c>
      <c r="AM75" s="353">
        <f>SUMIFS('Key Inputs_BY Techs'!AG:AG,'Key Inputs_BY Techs'!$A:$A,'SRV_BY Techs'!$L75,'Key Inputs_BY Techs'!$C:$C,'SRV_BY Techs'!$B75)/8760</f>
        <v>9.7408484728597484E-4</v>
      </c>
      <c r="AN75" s="353">
        <f>SUMIFS('Key Inputs_BY Techs'!AH:AH,'Key Inputs_BY Techs'!$A:$A,'SRV_BY Techs'!$L75,'Key Inputs_BY Techs'!$C:$C,'SRV_BY Techs'!$B75)/8760</f>
        <v>8.9859327162131172E-2</v>
      </c>
      <c r="AO75" s="353">
        <f>SUMIFS('Key Inputs_BY Techs'!AI:AI,'Key Inputs_BY Techs'!$A:$A,'SRV_BY Techs'!$L75,'Key Inputs_BY Techs'!$C:$C,'SRV_BY Techs'!$B75)/8760</f>
        <v>3.9225647504169833E-2</v>
      </c>
      <c r="AP75" s="353">
        <f>SUMIFS('Key Inputs_BY Techs'!AJ:AJ,'Key Inputs_BY Techs'!$A:$A,'SRV_BY Techs'!$L75,'Key Inputs_BY Techs'!$C:$C,'SRV_BY Techs'!$B75)/8760</f>
        <v>4.3964944934234286E-2</v>
      </c>
    </row>
    <row r="76" spans="1:42" x14ac:dyDescent="0.3">
      <c r="A76" s="499" t="str">
        <f t="shared" ref="A76:D76" si="15">A52</f>
        <v>Thermal uses</v>
      </c>
      <c r="B76" s="499" t="str">
        <f t="shared" si="15"/>
        <v>S-TH</v>
      </c>
      <c r="C76" s="499" t="str">
        <f t="shared" si="15"/>
        <v>Heat</v>
      </c>
      <c r="D76" s="499" t="str">
        <f t="shared" si="15"/>
        <v>SRVHET</v>
      </c>
      <c r="E76" s="499" t="str">
        <f t="shared" si="8"/>
        <v>SRVHET</v>
      </c>
      <c r="F76" s="499"/>
      <c r="G76" s="499"/>
      <c r="I76" s="353" t="str">
        <f t="shared" si="9"/>
        <v>S-TH-HEX_HET00</v>
      </c>
      <c r="J76" s="353" t="str">
        <f t="shared" si="9"/>
        <v>SRV Thermal uses technology: Heat - Existing</v>
      </c>
      <c r="K76" s="353"/>
      <c r="L76" s="353" t="s">
        <v>452</v>
      </c>
      <c r="M76" s="353" t="s">
        <v>154</v>
      </c>
      <c r="N76" s="353"/>
      <c r="O76" s="353">
        <f>SUMIFS('Key Inputs_BY Techs'!I:I,'Key Inputs_BY Techs'!$A:$A,'SRV_BY Techs'!$L76,'Key Inputs_BY Techs'!$C:$C,'SRV_BY Techs'!$B76)/8760</f>
        <v>1.9669020954812956E-3</v>
      </c>
      <c r="P76" s="353">
        <f>SUMIFS('Key Inputs_BY Techs'!J:J,'Key Inputs_BY Techs'!$A:$A,'SRV_BY Techs'!$L76,'Key Inputs_BY Techs'!$C:$C,'SRV_BY Techs'!$B76)/8760</f>
        <v>1.938803494117277E-2</v>
      </c>
      <c r="Q76" s="353">
        <f>SUMIFS('Key Inputs_BY Techs'!K:K,'Key Inputs_BY Techs'!$A:$A,'SRV_BY Techs'!$L76,'Key Inputs_BY Techs'!$C:$C,'SRV_BY Techs'!$B76)/8760</f>
        <v>8.0549323910186386E-4</v>
      </c>
      <c r="R76" s="353">
        <f>SUMIFS('Key Inputs_BY Techs'!L:L,'Key Inputs_BY Techs'!$A:$A,'SRV_BY Techs'!$L76,'Key Inputs_BY Techs'!$C:$C,'SRV_BY Techs'!$B76)/8760</f>
        <v>7.2681715528261194E-3</v>
      </c>
      <c r="S76" s="353">
        <f>SUMIFS('Key Inputs_BY Techs'!M:M,'Key Inputs_BY Techs'!$A:$A,'SRV_BY Techs'!$L76,'Key Inputs_BY Techs'!$C:$C,'SRV_BY Techs'!$B76)/8760</f>
        <v>1.3618455461094301E-2</v>
      </c>
      <c r="T76" s="353">
        <f>SUMIFS('Key Inputs_BY Techs'!N:N,'Key Inputs_BY Techs'!$A:$A,'SRV_BY Techs'!$L76,'Key Inputs_BY Techs'!$C:$C,'SRV_BY Techs'!$B76)/8760</f>
        <v>5.200114492434358E-2</v>
      </c>
      <c r="U76" s="353">
        <f>SUMIFS('Key Inputs_BY Techs'!O:O,'Key Inputs_BY Techs'!$A:$A,'SRV_BY Techs'!$L76,'Key Inputs_BY Techs'!$C:$C,'SRV_BY Techs'!$B76)/8760</f>
        <v>1.198873658198123E-3</v>
      </c>
      <c r="V76" s="353">
        <f>SUMIFS('Key Inputs_BY Techs'!P:P,'Key Inputs_BY Techs'!$A:$A,'SRV_BY Techs'!$L76,'Key Inputs_BY Techs'!$C:$C,'SRV_BY Techs'!$B76)/8760</f>
        <v>1.0995919333785908E-2</v>
      </c>
      <c r="W76" s="353">
        <f>SUMIFS('Key Inputs_BY Techs'!Q:Q,'Key Inputs_BY Techs'!$A:$A,'SRV_BY Techs'!$L76,'Key Inputs_BY Techs'!$C:$C,'SRV_BY Techs'!$B76)/8760</f>
        <v>1.6484512800224189E-3</v>
      </c>
      <c r="X76" s="353">
        <f>SUMIFS('Key Inputs_BY Techs'!R:R,'Key Inputs_BY Techs'!$A:$A,'SRV_BY Techs'!$L76,'Key Inputs_BY Techs'!$C:$C,'SRV_BY Techs'!$B76)/8760</f>
        <v>8.4745381713879811E-2</v>
      </c>
      <c r="Y76" s="353">
        <f>SUMIFS('Key Inputs_BY Techs'!S:S,'Key Inputs_BY Techs'!$A:$A,'SRV_BY Techs'!$L76,'Key Inputs_BY Techs'!$C:$C,'SRV_BY Techs'!$B76)/8760</f>
        <v>4.8479453553386592E-2</v>
      </c>
      <c r="Z76" s="353">
        <f>SUMIFS('Key Inputs_BY Techs'!T:T,'Key Inputs_BY Techs'!$A:$A,'SRV_BY Techs'!$L76,'Key Inputs_BY Techs'!$C:$C,'SRV_BY Techs'!$B76)/8760</f>
        <v>4.0668042374189445E-2</v>
      </c>
      <c r="AA76" s="353">
        <f>SUMIFS('Key Inputs_BY Techs'!U:U,'Key Inputs_BY Techs'!$A:$A,'SRV_BY Techs'!$L76,'Key Inputs_BY Techs'!$C:$C,'SRV_BY Techs'!$B76)/8760</f>
        <v>5.8520020440795871E-2</v>
      </c>
      <c r="AB76" s="353">
        <f>SUMIFS('Key Inputs_BY Techs'!V:V,'Key Inputs_BY Techs'!$A:$A,'SRV_BY Techs'!$L76,'Key Inputs_BY Techs'!$C:$C,'SRV_BY Techs'!$B76)/8760</f>
        <v>4.9153819986123039E-2</v>
      </c>
      <c r="AC76" s="353">
        <f>SUMIFS('Key Inputs_BY Techs'!W:W,'Key Inputs_BY Techs'!$A:$A,'SRV_BY Techs'!$L76,'Key Inputs_BY Techs'!$C:$C,'SRV_BY Techs'!$B76)/8760</f>
        <v>0.10237257096957408</v>
      </c>
      <c r="AD76" s="353">
        <f>SUMIFS('Key Inputs_BY Techs'!X:X,'Key Inputs_BY Techs'!$A:$A,'SRV_BY Techs'!$L76,'Key Inputs_BY Techs'!$C:$C,'SRV_BY Techs'!$B76)/8760</f>
        <v>3.8457619066886661E-2</v>
      </c>
      <c r="AE76" s="353">
        <f>SUMIFS('Key Inputs_BY Techs'!Y:Y,'Key Inputs_BY Techs'!$A:$A,'SRV_BY Techs'!$L76,'Key Inputs_BY Techs'!$C:$C,'SRV_BY Techs'!$B76)/8760</f>
        <v>5.7077625570776253E-2</v>
      </c>
      <c r="AF76" s="353">
        <f>SUMIFS('Key Inputs_BY Techs'!Z:Z,'Key Inputs_BY Techs'!$A:$A,'SRV_BY Techs'!$L76,'Key Inputs_BY Techs'!$C:$C,'SRV_BY Techs'!$B76)/8760</f>
        <v>4.3084522091495041E-4</v>
      </c>
      <c r="AG76" s="353">
        <f>SUMIFS('Key Inputs_BY Techs'!AA:AA,'Key Inputs_BY Techs'!$A:$A,'SRV_BY Techs'!$L76,'Key Inputs_BY Techs'!$C:$C,'SRV_BY Techs'!$B76)/8760</f>
        <v>5.6946498764410833E-3</v>
      </c>
      <c r="AH76" s="353">
        <f>SUMIFS('Key Inputs_BY Techs'!AB:AB,'Key Inputs_BY Techs'!$A:$A,'SRV_BY Techs'!$L76,'Key Inputs_BY Techs'!$C:$C,'SRV_BY Techs'!$B76)/8760</f>
        <v>3.0964658703148393E-2</v>
      </c>
      <c r="AI76" s="353">
        <f>SUMIFS('Key Inputs_BY Techs'!AC:AC,'Key Inputs_BY Techs'!$A:$A,'SRV_BY Techs'!$L76,'Key Inputs_BY Techs'!$C:$C,'SRV_BY Techs'!$B76)/8760</f>
        <v>7.6990167737410707E-3</v>
      </c>
      <c r="AJ76" s="353">
        <f>SUMIFS('Key Inputs_BY Techs'!AD:AD,'Key Inputs_BY Techs'!$A:$A,'SRV_BY Techs'!$L76,'Key Inputs_BY Techs'!$C:$C,'SRV_BY Techs'!$B76)/8760</f>
        <v>3.6846632588682933E-2</v>
      </c>
      <c r="AK76" s="353">
        <f>SUMIFS('Key Inputs_BY Techs'!AE:AE,'Key Inputs_BY Techs'!$A:$A,'SRV_BY Techs'!$L76,'Key Inputs_BY Techs'!$C:$C,'SRV_BY Techs'!$B76)/8760</f>
        <v>2.339676873577274E-2</v>
      </c>
      <c r="AL76" s="353">
        <f>SUMIFS('Key Inputs_BY Techs'!AF:AF,'Key Inputs_BY Techs'!$A:$A,'SRV_BY Techs'!$L76,'Key Inputs_BY Techs'!$C:$C,'SRV_BY Techs'!$B76)/8760</f>
        <v>7.5866223682849966E-3</v>
      </c>
      <c r="AM76" s="353">
        <f>SUMIFS('Key Inputs_BY Techs'!AG:AG,'Key Inputs_BY Techs'!$A:$A,'SRV_BY Techs'!$L76,'Key Inputs_BY Techs'!$C:$C,'SRV_BY Techs'!$B76)/8760</f>
        <v>9.7408484728597484E-4</v>
      </c>
      <c r="AN76" s="353">
        <f>SUMIFS('Key Inputs_BY Techs'!AH:AH,'Key Inputs_BY Techs'!$A:$A,'SRV_BY Techs'!$L76,'Key Inputs_BY Techs'!$C:$C,'SRV_BY Techs'!$B76)/8760</f>
        <v>8.9859327162131172E-2</v>
      </c>
      <c r="AO76" s="353">
        <f>SUMIFS('Key Inputs_BY Techs'!AI:AI,'Key Inputs_BY Techs'!$A:$A,'SRV_BY Techs'!$L76,'Key Inputs_BY Techs'!$C:$C,'SRV_BY Techs'!$B76)/8760</f>
        <v>3.9225647504169833E-2</v>
      </c>
      <c r="AP76" s="353">
        <f>SUMIFS('Key Inputs_BY Techs'!AJ:AJ,'Key Inputs_BY Techs'!$A:$A,'SRV_BY Techs'!$L76,'Key Inputs_BY Techs'!$C:$C,'SRV_BY Techs'!$B76)/8760</f>
        <v>4.3964944934234286E-2</v>
      </c>
    </row>
    <row r="77" spans="1:42" x14ac:dyDescent="0.3">
      <c r="A77" s="499" t="str">
        <f t="shared" ref="A77:D77" si="16">A53</f>
        <v>Thermal uses</v>
      </c>
      <c r="B77" s="499" t="str">
        <f t="shared" si="16"/>
        <v>S-TH</v>
      </c>
      <c r="C77" s="499" t="str">
        <f t="shared" si="16"/>
        <v>LPG</v>
      </c>
      <c r="D77" s="499" t="str">
        <f t="shared" si="16"/>
        <v>SRVLPG</v>
      </c>
      <c r="E77" s="499" t="str">
        <f t="shared" si="8"/>
        <v>SRVLPG</v>
      </c>
      <c r="F77" s="499"/>
      <c r="G77" s="499"/>
      <c r="I77" s="353" t="str">
        <f t="shared" si="9"/>
        <v>S-TH-BLR_LPG00</v>
      </c>
      <c r="J77" s="353" t="str">
        <f t="shared" si="9"/>
        <v>SRV Thermal uses technology: LPG - Existing</v>
      </c>
      <c r="K77" s="353"/>
      <c r="L77" s="353" t="s">
        <v>452</v>
      </c>
      <c r="M77" s="353" t="s">
        <v>154</v>
      </c>
      <c r="N77" s="353"/>
      <c r="O77" s="353">
        <f>SUMIFS('Key Inputs_BY Techs'!I:I,'Key Inputs_BY Techs'!$A:$A,'SRV_BY Techs'!$L77,'Key Inputs_BY Techs'!$C:$C,'SRV_BY Techs'!$B77)/8760</f>
        <v>1.9669020954812956E-3</v>
      </c>
      <c r="P77" s="353">
        <f>SUMIFS('Key Inputs_BY Techs'!J:J,'Key Inputs_BY Techs'!$A:$A,'SRV_BY Techs'!$L77,'Key Inputs_BY Techs'!$C:$C,'SRV_BY Techs'!$B77)/8760</f>
        <v>1.938803494117277E-2</v>
      </c>
      <c r="Q77" s="353">
        <f>SUMIFS('Key Inputs_BY Techs'!K:K,'Key Inputs_BY Techs'!$A:$A,'SRV_BY Techs'!$L77,'Key Inputs_BY Techs'!$C:$C,'SRV_BY Techs'!$B77)/8760</f>
        <v>8.0549323910186386E-4</v>
      </c>
      <c r="R77" s="353">
        <f>SUMIFS('Key Inputs_BY Techs'!L:L,'Key Inputs_BY Techs'!$A:$A,'SRV_BY Techs'!$L77,'Key Inputs_BY Techs'!$C:$C,'SRV_BY Techs'!$B77)/8760</f>
        <v>7.2681715528261194E-3</v>
      </c>
      <c r="S77" s="353">
        <f>SUMIFS('Key Inputs_BY Techs'!M:M,'Key Inputs_BY Techs'!$A:$A,'SRV_BY Techs'!$L77,'Key Inputs_BY Techs'!$C:$C,'SRV_BY Techs'!$B77)/8760</f>
        <v>1.3618455461094301E-2</v>
      </c>
      <c r="T77" s="353">
        <f>SUMIFS('Key Inputs_BY Techs'!N:N,'Key Inputs_BY Techs'!$A:$A,'SRV_BY Techs'!$L77,'Key Inputs_BY Techs'!$C:$C,'SRV_BY Techs'!$B77)/8760</f>
        <v>5.200114492434358E-2</v>
      </c>
      <c r="U77" s="353">
        <f>SUMIFS('Key Inputs_BY Techs'!O:O,'Key Inputs_BY Techs'!$A:$A,'SRV_BY Techs'!$L77,'Key Inputs_BY Techs'!$C:$C,'SRV_BY Techs'!$B77)/8760</f>
        <v>1.198873658198123E-3</v>
      </c>
      <c r="V77" s="353">
        <f>SUMIFS('Key Inputs_BY Techs'!P:P,'Key Inputs_BY Techs'!$A:$A,'SRV_BY Techs'!$L77,'Key Inputs_BY Techs'!$C:$C,'SRV_BY Techs'!$B77)/8760</f>
        <v>1.0995919333785908E-2</v>
      </c>
      <c r="W77" s="353">
        <f>SUMIFS('Key Inputs_BY Techs'!Q:Q,'Key Inputs_BY Techs'!$A:$A,'SRV_BY Techs'!$L77,'Key Inputs_BY Techs'!$C:$C,'SRV_BY Techs'!$B77)/8760</f>
        <v>1.6484512800224189E-3</v>
      </c>
      <c r="X77" s="353">
        <f>SUMIFS('Key Inputs_BY Techs'!R:R,'Key Inputs_BY Techs'!$A:$A,'SRV_BY Techs'!$L77,'Key Inputs_BY Techs'!$C:$C,'SRV_BY Techs'!$B77)/8760</f>
        <v>8.4745381713879811E-2</v>
      </c>
      <c r="Y77" s="353">
        <f>SUMIFS('Key Inputs_BY Techs'!S:S,'Key Inputs_BY Techs'!$A:$A,'SRV_BY Techs'!$L77,'Key Inputs_BY Techs'!$C:$C,'SRV_BY Techs'!$B77)/8760</f>
        <v>4.8479453553386592E-2</v>
      </c>
      <c r="Z77" s="353">
        <f>SUMIFS('Key Inputs_BY Techs'!T:T,'Key Inputs_BY Techs'!$A:$A,'SRV_BY Techs'!$L77,'Key Inputs_BY Techs'!$C:$C,'SRV_BY Techs'!$B77)/8760</f>
        <v>4.0668042374189445E-2</v>
      </c>
      <c r="AA77" s="353">
        <f>SUMIFS('Key Inputs_BY Techs'!U:U,'Key Inputs_BY Techs'!$A:$A,'SRV_BY Techs'!$L77,'Key Inputs_BY Techs'!$C:$C,'SRV_BY Techs'!$B77)/8760</f>
        <v>5.8520020440795871E-2</v>
      </c>
      <c r="AB77" s="353">
        <f>SUMIFS('Key Inputs_BY Techs'!V:V,'Key Inputs_BY Techs'!$A:$A,'SRV_BY Techs'!$L77,'Key Inputs_BY Techs'!$C:$C,'SRV_BY Techs'!$B77)/8760</f>
        <v>4.9153819986123039E-2</v>
      </c>
      <c r="AC77" s="353">
        <f>SUMIFS('Key Inputs_BY Techs'!W:W,'Key Inputs_BY Techs'!$A:$A,'SRV_BY Techs'!$L77,'Key Inputs_BY Techs'!$C:$C,'SRV_BY Techs'!$B77)/8760</f>
        <v>0.10237257096957408</v>
      </c>
      <c r="AD77" s="353">
        <f>SUMIFS('Key Inputs_BY Techs'!X:X,'Key Inputs_BY Techs'!$A:$A,'SRV_BY Techs'!$L77,'Key Inputs_BY Techs'!$C:$C,'SRV_BY Techs'!$B77)/8760</f>
        <v>3.8457619066886661E-2</v>
      </c>
      <c r="AE77" s="353">
        <f>SUMIFS('Key Inputs_BY Techs'!Y:Y,'Key Inputs_BY Techs'!$A:$A,'SRV_BY Techs'!$L77,'Key Inputs_BY Techs'!$C:$C,'SRV_BY Techs'!$B77)/8760</f>
        <v>5.7077625570776253E-2</v>
      </c>
      <c r="AF77" s="353">
        <f>SUMIFS('Key Inputs_BY Techs'!Z:Z,'Key Inputs_BY Techs'!$A:$A,'SRV_BY Techs'!$L77,'Key Inputs_BY Techs'!$C:$C,'SRV_BY Techs'!$B77)/8760</f>
        <v>4.3084522091495041E-4</v>
      </c>
      <c r="AG77" s="353">
        <f>SUMIFS('Key Inputs_BY Techs'!AA:AA,'Key Inputs_BY Techs'!$A:$A,'SRV_BY Techs'!$L77,'Key Inputs_BY Techs'!$C:$C,'SRV_BY Techs'!$B77)/8760</f>
        <v>5.6946498764410833E-3</v>
      </c>
      <c r="AH77" s="353">
        <f>SUMIFS('Key Inputs_BY Techs'!AB:AB,'Key Inputs_BY Techs'!$A:$A,'SRV_BY Techs'!$L77,'Key Inputs_BY Techs'!$C:$C,'SRV_BY Techs'!$B77)/8760</f>
        <v>3.0964658703148393E-2</v>
      </c>
      <c r="AI77" s="353">
        <f>SUMIFS('Key Inputs_BY Techs'!AC:AC,'Key Inputs_BY Techs'!$A:$A,'SRV_BY Techs'!$L77,'Key Inputs_BY Techs'!$C:$C,'SRV_BY Techs'!$B77)/8760</f>
        <v>7.6990167737410707E-3</v>
      </c>
      <c r="AJ77" s="353">
        <f>SUMIFS('Key Inputs_BY Techs'!AD:AD,'Key Inputs_BY Techs'!$A:$A,'SRV_BY Techs'!$L77,'Key Inputs_BY Techs'!$C:$C,'SRV_BY Techs'!$B77)/8760</f>
        <v>3.6846632588682933E-2</v>
      </c>
      <c r="AK77" s="353">
        <f>SUMIFS('Key Inputs_BY Techs'!AE:AE,'Key Inputs_BY Techs'!$A:$A,'SRV_BY Techs'!$L77,'Key Inputs_BY Techs'!$C:$C,'SRV_BY Techs'!$B77)/8760</f>
        <v>2.339676873577274E-2</v>
      </c>
      <c r="AL77" s="353">
        <f>SUMIFS('Key Inputs_BY Techs'!AF:AF,'Key Inputs_BY Techs'!$A:$A,'SRV_BY Techs'!$L77,'Key Inputs_BY Techs'!$C:$C,'SRV_BY Techs'!$B77)/8760</f>
        <v>7.5866223682849966E-3</v>
      </c>
      <c r="AM77" s="353">
        <f>SUMIFS('Key Inputs_BY Techs'!AG:AG,'Key Inputs_BY Techs'!$A:$A,'SRV_BY Techs'!$L77,'Key Inputs_BY Techs'!$C:$C,'SRV_BY Techs'!$B77)/8760</f>
        <v>9.7408484728597484E-4</v>
      </c>
      <c r="AN77" s="353">
        <f>SUMIFS('Key Inputs_BY Techs'!AH:AH,'Key Inputs_BY Techs'!$A:$A,'SRV_BY Techs'!$L77,'Key Inputs_BY Techs'!$C:$C,'SRV_BY Techs'!$B77)/8760</f>
        <v>8.9859327162131172E-2</v>
      </c>
      <c r="AO77" s="353">
        <f>SUMIFS('Key Inputs_BY Techs'!AI:AI,'Key Inputs_BY Techs'!$A:$A,'SRV_BY Techs'!$L77,'Key Inputs_BY Techs'!$C:$C,'SRV_BY Techs'!$B77)/8760</f>
        <v>3.9225647504169833E-2</v>
      </c>
      <c r="AP77" s="353">
        <f>SUMIFS('Key Inputs_BY Techs'!AJ:AJ,'Key Inputs_BY Techs'!$A:$A,'SRV_BY Techs'!$L77,'Key Inputs_BY Techs'!$C:$C,'SRV_BY Techs'!$B77)/8760</f>
        <v>4.3964944934234286E-2</v>
      </c>
    </row>
    <row r="78" spans="1:42" x14ac:dyDescent="0.3">
      <c r="A78" s="499" t="str">
        <f t="shared" ref="A78:D78" si="17">A54</f>
        <v>Thermal uses</v>
      </c>
      <c r="B78" s="499" t="str">
        <f t="shared" si="17"/>
        <v>S-TH</v>
      </c>
      <c r="C78" s="499" t="str">
        <f t="shared" si="17"/>
        <v>Oil, Liquid biofuels</v>
      </c>
      <c r="D78" s="499" t="str">
        <f t="shared" si="17"/>
        <v>SRVOIL, SRVBLQ</v>
      </c>
      <c r="E78" s="499" t="str">
        <f t="shared" si="8"/>
        <v>SRVOIL</v>
      </c>
      <c r="F78" s="499"/>
      <c r="G78" s="499"/>
      <c r="I78" s="353" t="str">
        <f t="shared" si="9"/>
        <v>S-TH-BLR_OIL00</v>
      </c>
      <c r="J78" s="353" t="str">
        <f t="shared" si="9"/>
        <v>SRV Thermal uses technology: Oil, Liquid biofuels - Existing</v>
      </c>
      <c r="K78" s="353"/>
      <c r="L78" s="353" t="s">
        <v>452</v>
      </c>
      <c r="M78" s="353" t="s">
        <v>154</v>
      </c>
      <c r="N78" s="353"/>
      <c r="O78" s="353">
        <f>SUMIFS('Key Inputs_BY Techs'!I:I,'Key Inputs_BY Techs'!$A:$A,'SRV_BY Techs'!$L78,'Key Inputs_BY Techs'!$C:$C,'SRV_BY Techs'!$B78)/8760</f>
        <v>1.9669020954812956E-3</v>
      </c>
      <c r="P78" s="353">
        <f>SUMIFS('Key Inputs_BY Techs'!J:J,'Key Inputs_BY Techs'!$A:$A,'SRV_BY Techs'!$L78,'Key Inputs_BY Techs'!$C:$C,'SRV_BY Techs'!$B78)/8760</f>
        <v>1.938803494117277E-2</v>
      </c>
      <c r="Q78" s="353">
        <f>SUMIFS('Key Inputs_BY Techs'!K:K,'Key Inputs_BY Techs'!$A:$A,'SRV_BY Techs'!$L78,'Key Inputs_BY Techs'!$C:$C,'SRV_BY Techs'!$B78)/8760</f>
        <v>8.0549323910186386E-4</v>
      </c>
      <c r="R78" s="353">
        <f>SUMIFS('Key Inputs_BY Techs'!L:L,'Key Inputs_BY Techs'!$A:$A,'SRV_BY Techs'!$L78,'Key Inputs_BY Techs'!$C:$C,'SRV_BY Techs'!$B78)/8760</f>
        <v>7.2681715528261194E-3</v>
      </c>
      <c r="S78" s="353">
        <f>SUMIFS('Key Inputs_BY Techs'!M:M,'Key Inputs_BY Techs'!$A:$A,'SRV_BY Techs'!$L78,'Key Inputs_BY Techs'!$C:$C,'SRV_BY Techs'!$B78)/8760</f>
        <v>1.3618455461094301E-2</v>
      </c>
      <c r="T78" s="353">
        <f>SUMIFS('Key Inputs_BY Techs'!N:N,'Key Inputs_BY Techs'!$A:$A,'SRV_BY Techs'!$L78,'Key Inputs_BY Techs'!$C:$C,'SRV_BY Techs'!$B78)/8760</f>
        <v>5.200114492434358E-2</v>
      </c>
      <c r="U78" s="353">
        <f>SUMIFS('Key Inputs_BY Techs'!O:O,'Key Inputs_BY Techs'!$A:$A,'SRV_BY Techs'!$L78,'Key Inputs_BY Techs'!$C:$C,'SRV_BY Techs'!$B78)/8760</f>
        <v>1.198873658198123E-3</v>
      </c>
      <c r="V78" s="353">
        <f>SUMIFS('Key Inputs_BY Techs'!P:P,'Key Inputs_BY Techs'!$A:$A,'SRV_BY Techs'!$L78,'Key Inputs_BY Techs'!$C:$C,'SRV_BY Techs'!$B78)/8760</f>
        <v>1.0995919333785908E-2</v>
      </c>
      <c r="W78" s="353">
        <f>SUMIFS('Key Inputs_BY Techs'!Q:Q,'Key Inputs_BY Techs'!$A:$A,'SRV_BY Techs'!$L78,'Key Inputs_BY Techs'!$C:$C,'SRV_BY Techs'!$B78)/8760</f>
        <v>1.6484512800224189E-3</v>
      </c>
      <c r="X78" s="353">
        <f>SUMIFS('Key Inputs_BY Techs'!R:R,'Key Inputs_BY Techs'!$A:$A,'SRV_BY Techs'!$L78,'Key Inputs_BY Techs'!$C:$C,'SRV_BY Techs'!$B78)/8760</f>
        <v>8.4745381713879811E-2</v>
      </c>
      <c r="Y78" s="353">
        <f>SUMIFS('Key Inputs_BY Techs'!S:S,'Key Inputs_BY Techs'!$A:$A,'SRV_BY Techs'!$L78,'Key Inputs_BY Techs'!$C:$C,'SRV_BY Techs'!$B78)/8760</f>
        <v>4.8479453553386592E-2</v>
      </c>
      <c r="Z78" s="353">
        <f>SUMIFS('Key Inputs_BY Techs'!T:T,'Key Inputs_BY Techs'!$A:$A,'SRV_BY Techs'!$L78,'Key Inputs_BY Techs'!$C:$C,'SRV_BY Techs'!$B78)/8760</f>
        <v>4.0668042374189445E-2</v>
      </c>
      <c r="AA78" s="353">
        <f>SUMIFS('Key Inputs_BY Techs'!U:U,'Key Inputs_BY Techs'!$A:$A,'SRV_BY Techs'!$L78,'Key Inputs_BY Techs'!$C:$C,'SRV_BY Techs'!$B78)/8760</f>
        <v>5.8520020440795871E-2</v>
      </c>
      <c r="AB78" s="353">
        <f>SUMIFS('Key Inputs_BY Techs'!V:V,'Key Inputs_BY Techs'!$A:$A,'SRV_BY Techs'!$L78,'Key Inputs_BY Techs'!$C:$C,'SRV_BY Techs'!$B78)/8760</f>
        <v>4.9153819986123039E-2</v>
      </c>
      <c r="AC78" s="353">
        <f>SUMIFS('Key Inputs_BY Techs'!W:W,'Key Inputs_BY Techs'!$A:$A,'SRV_BY Techs'!$L78,'Key Inputs_BY Techs'!$C:$C,'SRV_BY Techs'!$B78)/8760</f>
        <v>0.10237257096957408</v>
      </c>
      <c r="AD78" s="353">
        <f>SUMIFS('Key Inputs_BY Techs'!X:X,'Key Inputs_BY Techs'!$A:$A,'SRV_BY Techs'!$L78,'Key Inputs_BY Techs'!$C:$C,'SRV_BY Techs'!$B78)/8760</f>
        <v>3.8457619066886661E-2</v>
      </c>
      <c r="AE78" s="353">
        <f>SUMIFS('Key Inputs_BY Techs'!Y:Y,'Key Inputs_BY Techs'!$A:$A,'SRV_BY Techs'!$L78,'Key Inputs_BY Techs'!$C:$C,'SRV_BY Techs'!$B78)/8760</f>
        <v>5.7077625570776253E-2</v>
      </c>
      <c r="AF78" s="353">
        <f>SUMIFS('Key Inputs_BY Techs'!Z:Z,'Key Inputs_BY Techs'!$A:$A,'SRV_BY Techs'!$L78,'Key Inputs_BY Techs'!$C:$C,'SRV_BY Techs'!$B78)/8760</f>
        <v>4.3084522091495041E-4</v>
      </c>
      <c r="AG78" s="353">
        <f>SUMIFS('Key Inputs_BY Techs'!AA:AA,'Key Inputs_BY Techs'!$A:$A,'SRV_BY Techs'!$L78,'Key Inputs_BY Techs'!$C:$C,'SRV_BY Techs'!$B78)/8760</f>
        <v>5.6946498764410833E-3</v>
      </c>
      <c r="AH78" s="353">
        <f>SUMIFS('Key Inputs_BY Techs'!AB:AB,'Key Inputs_BY Techs'!$A:$A,'SRV_BY Techs'!$L78,'Key Inputs_BY Techs'!$C:$C,'SRV_BY Techs'!$B78)/8760</f>
        <v>3.0964658703148393E-2</v>
      </c>
      <c r="AI78" s="353">
        <f>SUMIFS('Key Inputs_BY Techs'!AC:AC,'Key Inputs_BY Techs'!$A:$A,'SRV_BY Techs'!$L78,'Key Inputs_BY Techs'!$C:$C,'SRV_BY Techs'!$B78)/8760</f>
        <v>7.6990167737410707E-3</v>
      </c>
      <c r="AJ78" s="353">
        <f>SUMIFS('Key Inputs_BY Techs'!AD:AD,'Key Inputs_BY Techs'!$A:$A,'SRV_BY Techs'!$L78,'Key Inputs_BY Techs'!$C:$C,'SRV_BY Techs'!$B78)/8760</f>
        <v>3.6846632588682933E-2</v>
      </c>
      <c r="AK78" s="353">
        <f>SUMIFS('Key Inputs_BY Techs'!AE:AE,'Key Inputs_BY Techs'!$A:$A,'SRV_BY Techs'!$L78,'Key Inputs_BY Techs'!$C:$C,'SRV_BY Techs'!$B78)/8760</f>
        <v>2.339676873577274E-2</v>
      </c>
      <c r="AL78" s="353">
        <f>SUMIFS('Key Inputs_BY Techs'!AF:AF,'Key Inputs_BY Techs'!$A:$A,'SRV_BY Techs'!$L78,'Key Inputs_BY Techs'!$C:$C,'SRV_BY Techs'!$B78)/8760</f>
        <v>7.5866223682849966E-3</v>
      </c>
      <c r="AM78" s="353">
        <f>SUMIFS('Key Inputs_BY Techs'!AG:AG,'Key Inputs_BY Techs'!$A:$A,'SRV_BY Techs'!$L78,'Key Inputs_BY Techs'!$C:$C,'SRV_BY Techs'!$B78)/8760</f>
        <v>9.7408484728597484E-4</v>
      </c>
      <c r="AN78" s="353">
        <f>SUMIFS('Key Inputs_BY Techs'!AH:AH,'Key Inputs_BY Techs'!$A:$A,'SRV_BY Techs'!$L78,'Key Inputs_BY Techs'!$C:$C,'SRV_BY Techs'!$B78)/8760</f>
        <v>8.9859327162131172E-2</v>
      </c>
      <c r="AO78" s="353">
        <f>SUMIFS('Key Inputs_BY Techs'!AI:AI,'Key Inputs_BY Techs'!$A:$A,'SRV_BY Techs'!$L78,'Key Inputs_BY Techs'!$C:$C,'SRV_BY Techs'!$B78)/8760</f>
        <v>3.9225647504169833E-2</v>
      </c>
      <c r="AP78" s="353">
        <f>SUMIFS('Key Inputs_BY Techs'!AJ:AJ,'Key Inputs_BY Techs'!$A:$A,'SRV_BY Techs'!$L78,'Key Inputs_BY Techs'!$C:$C,'SRV_BY Techs'!$B78)/8760</f>
        <v>4.3964944934234286E-2</v>
      </c>
    </row>
    <row r="79" spans="1:42" x14ac:dyDescent="0.3">
      <c r="A79" s="499" t="str">
        <f t="shared" ref="A79:D79" si="18">A55</f>
        <v>Thermal uses</v>
      </c>
      <c r="B79" s="499" t="str">
        <f t="shared" si="18"/>
        <v>S-TH</v>
      </c>
      <c r="C79" s="499" t="str">
        <f t="shared" si="18"/>
        <v>Solar</v>
      </c>
      <c r="D79" s="499" t="str">
        <f t="shared" si="18"/>
        <v>SRVSOL</v>
      </c>
      <c r="E79" s="499" t="str">
        <f t="shared" si="8"/>
        <v>SRVSOL</v>
      </c>
      <c r="F79" s="499"/>
      <c r="G79" s="499"/>
      <c r="I79" s="356" t="str">
        <f t="shared" si="9"/>
        <v>S-TH-STV_SOL00</v>
      </c>
      <c r="J79" s="356" t="str">
        <f t="shared" si="9"/>
        <v>SRV Thermal uses technology: Solar - Existing</v>
      </c>
      <c r="K79" s="356"/>
      <c r="L79" s="356" t="s">
        <v>452</v>
      </c>
      <c r="M79" s="356" t="s">
        <v>154</v>
      </c>
      <c r="N79" s="356"/>
      <c r="O79" s="356">
        <f>SUMIFS('Key Inputs_BY Techs'!I:I,'Key Inputs_BY Techs'!$A:$A,'SRV_BY Techs'!$L79,'Key Inputs_BY Techs'!$C:$C,'SRV_BY Techs'!$B79)/8760</f>
        <v>1.9669020954812956E-3</v>
      </c>
      <c r="P79" s="356">
        <f>SUMIFS('Key Inputs_BY Techs'!J:J,'Key Inputs_BY Techs'!$A:$A,'SRV_BY Techs'!$L79,'Key Inputs_BY Techs'!$C:$C,'SRV_BY Techs'!$B79)/8760</f>
        <v>1.938803494117277E-2</v>
      </c>
      <c r="Q79" s="356">
        <f>SUMIFS('Key Inputs_BY Techs'!K:K,'Key Inputs_BY Techs'!$A:$A,'SRV_BY Techs'!$L79,'Key Inputs_BY Techs'!$C:$C,'SRV_BY Techs'!$B79)/8760</f>
        <v>8.0549323910186386E-4</v>
      </c>
      <c r="R79" s="356">
        <f>SUMIFS('Key Inputs_BY Techs'!L:L,'Key Inputs_BY Techs'!$A:$A,'SRV_BY Techs'!$L79,'Key Inputs_BY Techs'!$C:$C,'SRV_BY Techs'!$B79)/8760</f>
        <v>7.2681715528261194E-3</v>
      </c>
      <c r="S79" s="356">
        <f>SUMIFS('Key Inputs_BY Techs'!M:M,'Key Inputs_BY Techs'!$A:$A,'SRV_BY Techs'!$L79,'Key Inputs_BY Techs'!$C:$C,'SRV_BY Techs'!$B79)/8760</f>
        <v>1.3618455461094301E-2</v>
      </c>
      <c r="T79" s="356">
        <f>SUMIFS('Key Inputs_BY Techs'!N:N,'Key Inputs_BY Techs'!$A:$A,'SRV_BY Techs'!$L79,'Key Inputs_BY Techs'!$C:$C,'SRV_BY Techs'!$B79)/8760</f>
        <v>5.200114492434358E-2</v>
      </c>
      <c r="U79" s="356">
        <f>SUMIFS('Key Inputs_BY Techs'!O:O,'Key Inputs_BY Techs'!$A:$A,'SRV_BY Techs'!$L79,'Key Inputs_BY Techs'!$C:$C,'SRV_BY Techs'!$B79)/8760</f>
        <v>1.198873658198123E-3</v>
      </c>
      <c r="V79" s="356">
        <f>SUMIFS('Key Inputs_BY Techs'!P:P,'Key Inputs_BY Techs'!$A:$A,'SRV_BY Techs'!$L79,'Key Inputs_BY Techs'!$C:$C,'SRV_BY Techs'!$B79)/8760</f>
        <v>1.0995919333785908E-2</v>
      </c>
      <c r="W79" s="356">
        <f>SUMIFS('Key Inputs_BY Techs'!Q:Q,'Key Inputs_BY Techs'!$A:$A,'SRV_BY Techs'!$L79,'Key Inputs_BY Techs'!$C:$C,'SRV_BY Techs'!$B79)/8760</f>
        <v>1.6484512800224189E-3</v>
      </c>
      <c r="X79" s="356">
        <f>SUMIFS('Key Inputs_BY Techs'!R:R,'Key Inputs_BY Techs'!$A:$A,'SRV_BY Techs'!$L79,'Key Inputs_BY Techs'!$C:$C,'SRV_BY Techs'!$B79)/8760</f>
        <v>8.4745381713879811E-2</v>
      </c>
      <c r="Y79" s="356">
        <f>SUMIFS('Key Inputs_BY Techs'!S:S,'Key Inputs_BY Techs'!$A:$A,'SRV_BY Techs'!$L79,'Key Inputs_BY Techs'!$C:$C,'SRV_BY Techs'!$B79)/8760</f>
        <v>4.8479453553386592E-2</v>
      </c>
      <c r="Z79" s="356">
        <f>SUMIFS('Key Inputs_BY Techs'!T:T,'Key Inputs_BY Techs'!$A:$A,'SRV_BY Techs'!$L79,'Key Inputs_BY Techs'!$C:$C,'SRV_BY Techs'!$B79)/8760</f>
        <v>4.0668042374189445E-2</v>
      </c>
      <c r="AA79" s="356">
        <f>SUMIFS('Key Inputs_BY Techs'!U:U,'Key Inputs_BY Techs'!$A:$A,'SRV_BY Techs'!$L79,'Key Inputs_BY Techs'!$C:$C,'SRV_BY Techs'!$B79)/8760</f>
        <v>5.8520020440795871E-2</v>
      </c>
      <c r="AB79" s="356">
        <f>SUMIFS('Key Inputs_BY Techs'!V:V,'Key Inputs_BY Techs'!$A:$A,'SRV_BY Techs'!$L79,'Key Inputs_BY Techs'!$C:$C,'SRV_BY Techs'!$B79)/8760</f>
        <v>4.9153819986123039E-2</v>
      </c>
      <c r="AC79" s="356">
        <f>SUMIFS('Key Inputs_BY Techs'!W:W,'Key Inputs_BY Techs'!$A:$A,'SRV_BY Techs'!$L79,'Key Inputs_BY Techs'!$C:$C,'SRV_BY Techs'!$B79)/8760</f>
        <v>0.10237257096957408</v>
      </c>
      <c r="AD79" s="356">
        <f>SUMIFS('Key Inputs_BY Techs'!X:X,'Key Inputs_BY Techs'!$A:$A,'SRV_BY Techs'!$L79,'Key Inputs_BY Techs'!$C:$C,'SRV_BY Techs'!$B79)/8760</f>
        <v>3.8457619066886661E-2</v>
      </c>
      <c r="AE79" s="356">
        <f>SUMIFS('Key Inputs_BY Techs'!Y:Y,'Key Inputs_BY Techs'!$A:$A,'SRV_BY Techs'!$L79,'Key Inputs_BY Techs'!$C:$C,'SRV_BY Techs'!$B79)/8760</f>
        <v>5.7077625570776253E-2</v>
      </c>
      <c r="AF79" s="356">
        <f>SUMIFS('Key Inputs_BY Techs'!Z:Z,'Key Inputs_BY Techs'!$A:$A,'SRV_BY Techs'!$L79,'Key Inputs_BY Techs'!$C:$C,'SRV_BY Techs'!$B79)/8760</f>
        <v>4.3084522091495041E-4</v>
      </c>
      <c r="AG79" s="356">
        <f>SUMIFS('Key Inputs_BY Techs'!AA:AA,'Key Inputs_BY Techs'!$A:$A,'SRV_BY Techs'!$L79,'Key Inputs_BY Techs'!$C:$C,'SRV_BY Techs'!$B79)/8760</f>
        <v>5.6946498764410833E-3</v>
      </c>
      <c r="AH79" s="356">
        <f>SUMIFS('Key Inputs_BY Techs'!AB:AB,'Key Inputs_BY Techs'!$A:$A,'SRV_BY Techs'!$L79,'Key Inputs_BY Techs'!$C:$C,'SRV_BY Techs'!$B79)/8760</f>
        <v>3.0964658703148393E-2</v>
      </c>
      <c r="AI79" s="356">
        <f>SUMIFS('Key Inputs_BY Techs'!AC:AC,'Key Inputs_BY Techs'!$A:$A,'SRV_BY Techs'!$L79,'Key Inputs_BY Techs'!$C:$C,'SRV_BY Techs'!$B79)/8760</f>
        <v>7.6990167737410707E-3</v>
      </c>
      <c r="AJ79" s="356">
        <f>SUMIFS('Key Inputs_BY Techs'!AD:AD,'Key Inputs_BY Techs'!$A:$A,'SRV_BY Techs'!$L79,'Key Inputs_BY Techs'!$C:$C,'SRV_BY Techs'!$B79)/8760</f>
        <v>3.6846632588682933E-2</v>
      </c>
      <c r="AK79" s="356">
        <f>SUMIFS('Key Inputs_BY Techs'!AE:AE,'Key Inputs_BY Techs'!$A:$A,'SRV_BY Techs'!$L79,'Key Inputs_BY Techs'!$C:$C,'SRV_BY Techs'!$B79)/8760</f>
        <v>2.339676873577274E-2</v>
      </c>
      <c r="AL79" s="356">
        <f>SUMIFS('Key Inputs_BY Techs'!AF:AF,'Key Inputs_BY Techs'!$A:$A,'SRV_BY Techs'!$L79,'Key Inputs_BY Techs'!$C:$C,'SRV_BY Techs'!$B79)/8760</f>
        <v>7.5866223682849966E-3</v>
      </c>
      <c r="AM79" s="356">
        <f>SUMIFS('Key Inputs_BY Techs'!AG:AG,'Key Inputs_BY Techs'!$A:$A,'SRV_BY Techs'!$L79,'Key Inputs_BY Techs'!$C:$C,'SRV_BY Techs'!$B79)/8760</f>
        <v>9.7408484728597484E-4</v>
      </c>
      <c r="AN79" s="356">
        <f>SUMIFS('Key Inputs_BY Techs'!AH:AH,'Key Inputs_BY Techs'!$A:$A,'SRV_BY Techs'!$L79,'Key Inputs_BY Techs'!$C:$C,'SRV_BY Techs'!$B79)/8760</f>
        <v>8.9859327162131172E-2</v>
      </c>
      <c r="AO79" s="356">
        <f>SUMIFS('Key Inputs_BY Techs'!AI:AI,'Key Inputs_BY Techs'!$A:$A,'SRV_BY Techs'!$L79,'Key Inputs_BY Techs'!$C:$C,'SRV_BY Techs'!$B79)/8760</f>
        <v>3.9225647504169833E-2</v>
      </c>
      <c r="AP79" s="356">
        <f>SUMIFS('Key Inputs_BY Techs'!AJ:AJ,'Key Inputs_BY Techs'!$A:$A,'SRV_BY Techs'!$L79,'Key Inputs_BY Techs'!$C:$C,'SRV_BY Techs'!$B79)/8760</f>
        <v>4.3964944934234286E-2</v>
      </c>
    </row>
    <row r="80" spans="1:42" x14ac:dyDescent="0.3">
      <c r="A80" s="499" t="str">
        <f t="shared" ref="A80:D80" si="19">A56</f>
        <v>Air conditioning</v>
      </c>
      <c r="B80" s="499" t="str">
        <f t="shared" si="19"/>
        <v>S-AC</v>
      </c>
      <c r="C80" s="499" t="str">
        <f t="shared" si="19"/>
        <v>Natural gas, Biogas</v>
      </c>
      <c r="D80" s="499" t="str">
        <f t="shared" si="19"/>
        <v>SRVGAS, SRVBGS</v>
      </c>
      <c r="E80" s="499" t="str">
        <f t="shared" si="8"/>
        <v>SRVGAS</v>
      </c>
      <c r="F80" s="499"/>
      <c r="G80" s="499"/>
      <c r="I80" s="353" t="str">
        <f t="shared" si="9"/>
        <v>S-AC_GAS00</v>
      </c>
      <c r="J80" s="353" t="str">
        <f t="shared" si="9"/>
        <v>SRV Air conditioning technology: Natural gas, Biogas - Existing</v>
      </c>
      <c r="K80" s="353"/>
      <c r="L80" s="353" t="s">
        <v>452</v>
      </c>
      <c r="M80" s="353" t="s">
        <v>154</v>
      </c>
      <c r="N80" s="353"/>
      <c r="O80" s="353">
        <f>SUMIFS('Key Inputs_BY Techs'!I:I,'Key Inputs_BY Techs'!$A:$A,'SRV_BY Techs'!$L80,'Key Inputs_BY Techs'!$C:$C,'SRV_BY Techs'!$B80)/8760</f>
        <v>0.86498547114985469</v>
      </c>
      <c r="P80" s="353">
        <f>SUMIFS('Key Inputs_BY Techs'!J:J,'Key Inputs_BY Techs'!$A:$A,'SRV_BY Techs'!$L80,'Key Inputs_BY Techs'!$C:$C,'SRV_BY Techs'!$B80)/8760</f>
        <v>0.68596928185969286</v>
      </c>
      <c r="Q80" s="353">
        <f>SUMIFS('Key Inputs_BY Techs'!K:K,'Key Inputs_BY Techs'!$A:$A,'SRV_BY Techs'!$L80,'Key Inputs_BY Techs'!$C:$C,'SRV_BY Techs'!$B80)/8760</f>
        <v>1.0585305105853051</v>
      </c>
      <c r="R80" s="353">
        <f>SUMIFS('Key Inputs_BY Techs'!L:L,'Key Inputs_BY Techs'!$A:$A,'SRV_BY Techs'!$L80,'Key Inputs_BY Techs'!$C:$C,'SRV_BY Techs'!$B80)/8760</f>
        <v>0.6122872561228726</v>
      </c>
      <c r="S80" s="353">
        <f>SUMIFS('Key Inputs_BY Techs'!M:M,'Key Inputs_BY Techs'!$A:$A,'SRV_BY Techs'!$L80,'Key Inputs_BY Techs'!$C:$C,'SRV_BY Techs'!$B80)/8760</f>
        <v>0.31755915317559152</v>
      </c>
      <c r="T80" s="353">
        <f>SUMIFS('Key Inputs_BY Techs'!N:N,'Key Inputs_BY Techs'!$A:$A,'SRV_BY Techs'!$L80,'Key Inputs_BY Techs'!$C:$C,'SRV_BY Techs'!$B80)/8760</f>
        <v>0.26151930261519302</v>
      </c>
      <c r="U80" s="353">
        <f>SUMIFS('Key Inputs_BY Techs'!O:O,'Key Inputs_BY Techs'!$A:$A,'SRV_BY Techs'!$L80,'Key Inputs_BY Techs'!$C:$C,'SRV_BY Techs'!$B80)/8760</f>
        <v>0.94645080946450799</v>
      </c>
      <c r="V80" s="353">
        <f>SUMIFS('Key Inputs_BY Techs'!P:P,'Key Inputs_BY Techs'!$A:$A,'SRV_BY Techs'!$L80,'Key Inputs_BY Techs'!$C:$C,'SRV_BY Techs'!$B80)/8760</f>
        <v>1.2448111249481113</v>
      </c>
      <c r="W80" s="353">
        <f>SUMIFS('Key Inputs_BY Techs'!Q:Q,'Key Inputs_BY Techs'!$A:$A,'SRV_BY Techs'!$L80,'Key Inputs_BY Techs'!$C:$C,'SRV_BY Techs'!$B80)/8760</f>
        <v>0.81932337069323369</v>
      </c>
      <c r="X80" s="353">
        <f>SUMIFS('Key Inputs_BY Techs'!R:R,'Key Inputs_BY Techs'!$A:$A,'SRV_BY Techs'!$L80,'Key Inputs_BY Techs'!$C:$C,'SRV_BY Techs'!$B80)/8760</f>
        <v>0.10170195101701951</v>
      </c>
      <c r="Y80" s="353">
        <f>SUMIFS('Key Inputs_BY Techs'!S:S,'Key Inputs_BY Techs'!$A:$A,'SRV_BY Techs'!$L80,'Key Inputs_BY Techs'!$C:$C,'SRV_BY Techs'!$B80)/8760</f>
        <v>0.12090078870900788</v>
      </c>
      <c r="Z80" s="353">
        <f>SUMIFS('Key Inputs_BY Techs'!T:T,'Key Inputs_BY Techs'!$A:$A,'SRV_BY Techs'!$L80,'Key Inputs_BY Techs'!$C:$C,'SRV_BY Techs'!$B80)/8760</f>
        <v>0.40525114155251141</v>
      </c>
      <c r="AA80" s="353">
        <f>SUMIFS('Key Inputs_BY Techs'!U:U,'Key Inputs_BY Techs'!$A:$A,'SRV_BY Techs'!$L80,'Key Inputs_BY Techs'!$C:$C,'SRV_BY Techs'!$B80)/8760</f>
        <v>0.16085512660855125</v>
      </c>
      <c r="AB80" s="353">
        <f>SUMIFS('Key Inputs_BY Techs'!V:V,'Key Inputs_BY Techs'!$A:$A,'SRV_BY Techs'!$L80,'Key Inputs_BY Techs'!$C:$C,'SRV_BY Techs'!$B80)/8760</f>
        <v>3.3208800332088007E-2</v>
      </c>
      <c r="AC80" s="353">
        <f>SUMIFS('Key Inputs_BY Techs'!W:W,'Key Inputs_BY Techs'!$A:$A,'SRV_BY Techs'!$L80,'Key Inputs_BY Techs'!$C:$C,'SRV_BY Techs'!$B80)/8760</f>
        <v>0.16760066417600664</v>
      </c>
      <c r="AD80" s="353">
        <f>SUMIFS('Key Inputs_BY Techs'!X:X,'Key Inputs_BY Techs'!$A:$A,'SRV_BY Techs'!$L80,'Key Inputs_BY Techs'!$C:$C,'SRV_BY Techs'!$B80)/8760</f>
        <v>0.19925280199252801</v>
      </c>
      <c r="AE80" s="353">
        <f>SUMIFS('Key Inputs_BY Techs'!Y:Y,'Key Inputs_BY Techs'!$A:$A,'SRV_BY Techs'!$L80,'Key Inputs_BY Techs'!$C:$C,'SRV_BY Techs'!$B80)/8760</f>
        <v>6.8493150684931503E-2</v>
      </c>
      <c r="AF80" s="353">
        <f>SUMIFS('Key Inputs_BY Techs'!Z:Z,'Key Inputs_BY Techs'!$A:$A,'SRV_BY Techs'!$L80,'Key Inputs_BY Techs'!$C:$C,'SRV_BY Techs'!$B80)/8760</f>
        <v>1.3008509755085098</v>
      </c>
      <c r="AG80" s="353">
        <f>SUMIFS('Key Inputs_BY Techs'!AA:AA,'Key Inputs_BY Techs'!$A:$A,'SRV_BY Techs'!$L80,'Key Inputs_BY Techs'!$C:$C,'SRV_BY Techs'!$B80)/8760</f>
        <v>1.4009962640099625</v>
      </c>
      <c r="AH80" s="353">
        <f>SUMIFS('Key Inputs_BY Techs'!AB:AB,'Key Inputs_BY Techs'!$A:$A,'SRV_BY Techs'!$L80,'Key Inputs_BY Techs'!$C:$C,'SRV_BY Techs'!$B80)/8760</f>
        <v>0.30510585305105853</v>
      </c>
      <c r="AI80" s="353">
        <f>SUMIFS('Key Inputs_BY Techs'!AC:AC,'Key Inputs_BY Techs'!$A:$A,'SRV_BY Techs'!$L80,'Key Inputs_BY Techs'!$C:$C,'SRV_BY Techs'!$B80)/8760</f>
        <v>0.67559153175591535</v>
      </c>
      <c r="AJ80" s="353">
        <f>SUMIFS('Key Inputs_BY Techs'!AD:AD,'Key Inputs_BY Techs'!$A:$A,'SRV_BY Techs'!$L80,'Key Inputs_BY Techs'!$C:$C,'SRV_BY Techs'!$B80)/8760</f>
        <v>0.40577002905770027</v>
      </c>
      <c r="AK80" s="353">
        <f>SUMIFS('Key Inputs_BY Techs'!AE:AE,'Key Inputs_BY Techs'!$A:$A,'SRV_BY Techs'!$L80,'Key Inputs_BY Techs'!$C:$C,'SRV_BY Techs'!$B80)/8760</f>
        <v>1.083437110834371</v>
      </c>
      <c r="AL80" s="353">
        <f>SUMIFS('Key Inputs_BY Techs'!AF:AF,'Key Inputs_BY Techs'!$A:$A,'SRV_BY Techs'!$L80,'Key Inputs_BY Techs'!$C:$C,'SRV_BY Techs'!$B80)/8760</f>
        <v>0.51162308011623081</v>
      </c>
      <c r="AM80" s="353">
        <f>SUMIFS('Key Inputs_BY Techs'!AG:AG,'Key Inputs_BY Techs'!$A:$A,'SRV_BY Techs'!$L80,'Key Inputs_BY Techs'!$C:$C,'SRV_BY Techs'!$B80)/8760</f>
        <v>1.3371731008717311</v>
      </c>
      <c r="AN80" s="353">
        <f>SUMIFS('Key Inputs_BY Techs'!AH:AH,'Key Inputs_BY Techs'!$A:$A,'SRV_BY Techs'!$L80,'Key Inputs_BY Techs'!$C:$C,'SRV_BY Techs'!$B80)/8760</f>
        <v>0.12090078870900788</v>
      </c>
      <c r="AO80" s="353">
        <f>SUMIFS('Key Inputs_BY Techs'!AI:AI,'Key Inputs_BY Techs'!$A:$A,'SRV_BY Techs'!$L80,'Key Inputs_BY Techs'!$C:$C,'SRV_BY Techs'!$B80)/8760</f>
        <v>0.24647156496471564</v>
      </c>
      <c r="AP80" s="353">
        <f>SUMIFS('Key Inputs_BY Techs'!AJ:AJ,'Key Inputs_BY Techs'!$A:$A,'SRV_BY Techs'!$L80,'Key Inputs_BY Techs'!$C:$C,'SRV_BY Techs'!$B80)/8760</f>
        <v>0.37826899128268993</v>
      </c>
    </row>
    <row r="81" spans="1:42" x14ac:dyDescent="0.3">
      <c r="A81" s="499" t="str">
        <f t="shared" ref="A81:D81" si="20">A57</f>
        <v>Air conditioning</v>
      </c>
      <c r="B81" s="499" t="str">
        <f t="shared" si="20"/>
        <v>S-AC</v>
      </c>
      <c r="C81" s="499" t="str">
        <f t="shared" si="20"/>
        <v>Electricity</v>
      </c>
      <c r="D81" s="499" t="str">
        <f t="shared" si="20"/>
        <v>SRVELC</v>
      </c>
      <c r="E81" s="499" t="str">
        <f t="shared" si="8"/>
        <v>SRVELC</v>
      </c>
      <c r="F81" s="499"/>
      <c r="G81" s="499"/>
      <c r="I81" s="356" t="str">
        <f t="shared" si="9"/>
        <v>S-AC_ELC00</v>
      </c>
      <c r="J81" s="356" t="str">
        <f t="shared" si="9"/>
        <v>SRV Air conditioning technology: Electricity - Existing</v>
      </c>
      <c r="K81" s="356"/>
      <c r="L81" s="356" t="s">
        <v>452</v>
      </c>
      <c r="M81" s="356" t="s">
        <v>154</v>
      </c>
      <c r="N81" s="356"/>
      <c r="O81" s="356">
        <f>SUMIFS('Key Inputs_BY Techs'!I:I,'Key Inputs_BY Techs'!$A:$A,'SRV_BY Techs'!$L81,'Key Inputs_BY Techs'!$C:$C,'SRV_BY Techs'!$B81)/8760</f>
        <v>0.86498547114985469</v>
      </c>
      <c r="P81" s="356">
        <f>SUMIFS('Key Inputs_BY Techs'!J:J,'Key Inputs_BY Techs'!$A:$A,'SRV_BY Techs'!$L81,'Key Inputs_BY Techs'!$C:$C,'SRV_BY Techs'!$B81)/8760</f>
        <v>0.68596928185969286</v>
      </c>
      <c r="Q81" s="356">
        <f>SUMIFS('Key Inputs_BY Techs'!K:K,'Key Inputs_BY Techs'!$A:$A,'SRV_BY Techs'!$L81,'Key Inputs_BY Techs'!$C:$C,'SRV_BY Techs'!$B81)/8760</f>
        <v>1.0585305105853051</v>
      </c>
      <c r="R81" s="356">
        <f>SUMIFS('Key Inputs_BY Techs'!L:L,'Key Inputs_BY Techs'!$A:$A,'SRV_BY Techs'!$L81,'Key Inputs_BY Techs'!$C:$C,'SRV_BY Techs'!$B81)/8760</f>
        <v>0.6122872561228726</v>
      </c>
      <c r="S81" s="356">
        <f>SUMIFS('Key Inputs_BY Techs'!M:M,'Key Inputs_BY Techs'!$A:$A,'SRV_BY Techs'!$L81,'Key Inputs_BY Techs'!$C:$C,'SRV_BY Techs'!$B81)/8760</f>
        <v>0.31755915317559152</v>
      </c>
      <c r="T81" s="356">
        <f>SUMIFS('Key Inputs_BY Techs'!N:N,'Key Inputs_BY Techs'!$A:$A,'SRV_BY Techs'!$L81,'Key Inputs_BY Techs'!$C:$C,'SRV_BY Techs'!$B81)/8760</f>
        <v>0.26151930261519302</v>
      </c>
      <c r="U81" s="356">
        <f>SUMIFS('Key Inputs_BY Techs'!O:O,'Key Inputs_BY Techs'!$A:$A,'SRV_BY Techs'!$L81,'Key Inputs_BY Techs'!$C:$C,'SRV_BY Techs'!$B81)/8760</f>
        <v>0.94645080946450799</v>
      </c>
      <c r="V81" s="356">
        <f>SUMIFS('Key Inputs_BY Techs'!P:P,'Key Inputs_BY Techs'!$A:$A,'SRV_BY Techs'!$L81,'Key Inputs_BY Techs'!$C:$C,'SRV_BY Techs'!$B81)/8760</f>
        <v>1.2448111249481113</v>
      </c>
      <c r="W81" s="356">
        <f>SUMIFS('Key Inputs_BY Techs'!Q:Q,'Key Inputs_BY Techs'!$A:$A,'SRV_BY Techs'!$L81,'Key Inputs_BY Techs'!$C:$C,'SRV_BY Techs'!$B81)/8760</f>
        <v>0.81932337069323369</v>
      </c>
      <c r="X81" s="356">
        <f>SUMIFS('Key Inputs_BY Techs'!R:R,'Key Inputs_BY Techs'!$A:$A,'SRV_BY Techs'!$L81,'Key Inputs_BY Techs'!$C:$C,'SRV_BY Techs'!$B81)/8760</f>
        <v>0.10170195101701951</v>
      </c>
      <c r="Y81" s="356">
        <f>SUMIFS('Key Inputs_BY Techs'!S:S,'Key Inputs_BY Techs'!$A:$A,'SRV_BY Techs'!$L81,'Key Inputs_BY Techs'!$C:$C,'SRV_BY Techs'!$B81)/8760</f>
        <v>0.12090078870900788</v>
      </c>
      <c r="Z81" s="356">
        <f>SUMIFS('Key Inputs_BY Techs'!T:T,'Key Inputs_BY Techs'!$A:$A,'SRV_BY Techs'!$L81,'Key Inputs_BY Techs'!$C:$C,'SRV_BY Techs'!$B81)/8760</f>
        <v>0.40525114155251141</v>
      </c>
      <c r="AA81" s="356">
        <f>SUMIFS('Key Inputs_BY Techs'!U:U,'Key Inputs_BY Techs'!$A:$A,'SRV_BY Techs'!$L81,'Key Inputs_BY Techs'!$C:$C,'SRV_BY Techs'!$B81)/8760</f>
        <v>0.16085512660855125</v>
      </c>
      <c r="AB81" s="356">
        <f>SUMIFS('Key Inputs_BY Techs'!V:V,'Key Inputs_BY Techs'!$A:$A,'SRV_BY Techs'!$L81,'Key Inputs_BY Techs'!$C:$C,'SRV_BY Techs'!$B81)/8760</f>
        <v>3.3208800332088007E-2</v>
      </c>
      <c r="AC81" s="356">
        <f>SUMIFS('Key Inputs_BY Techs'!W:W,'Key Inputs_BY Techs'!$A:$A,'SRV_BY Techs'!$L81,'Key Inputs_BY Techs'!$C:$C,'SRV_BY Techs'!$B81)/8760</f>
        <v>0.16760066417600664</v>
      </c>
      <c r="AD81" s="356">
        <f>SUMIFS('Key Inputs_BY Techs'!X:X,'Key Inputs_BY Techs'!$A:$A,'SRV_BY Techs'!$L81,'Key Inputs_BY Techs'!$C:$C,'SRV_BY Techs'!$B81)/8760</f>
        <v>0.19925280199252801</v>
      </c>
      <c r="AE81" s="356">
        <f>SUMIFS('Key Inputs_BY Techs'!Y:Y,'Key Inputs_BY Techs'!$A:$A,'SRV_BY Techs'!$L81,'Key Inputs_BY Techs'!$C:$C,'SRV_BY Techs'!$B81)/8760</f>
        <v>6.8493150684931503E-2</v>
      </c>
      <c r="AF81" s="356">
        <f>SUMIFS('Key Inputs_BY Techs'!Z:Z,'Key Inputs_BY Techs'!$A:$A,'SRV_BY Techs'!$L81,'Key Inputs_BY Techs'!$C:$C,'SRV_BY Techs'!$B81)/8760</f>
        <v>1.3008509755085098</v>
      </c>
      <c r="AG81" s="356">
        <f>SUMIFS('Key Inputs_BY Techs'!AA:AA,'Key Inputs_BY Techs'!$A:$A,'SRV_BY Techs'!$L81,'Key Inputs_BY Techs'!$C:$C,'SRV_BY Techs'!$B81)/8760</f>
        <v>1.4009962640099625</v>
      </c>
      <c r="AH81" s="356">
        <f>SUMIFS('Key Inputs_BY Techs'!AB:AB,'Key Inputs_BY Techs'!$A:$A,'SRV_BY Techs'!$L81,'Key Inputs_BY Techs'!$C:$C,'SRV_BY Techs'!$B81)/8760</f>
        <v>0.30510585305105853</v>
      </c>
      <c r="AI81" s="356">
        <f>SUMIFS('Key Inputs_BY Techs'!AC:AC,'Key Inputs_BY Techs'!$A:$A,'SRV_BY Techs'!$L81,'Key Inputs_BY Techs'!$C:$C,'SRV_BY Techs'!$B81)/8760</f>
        <v>0.67559153175591535</v>
      </c>
      <c r="AJ81" s="356">
        <f>SUMIFS('Key Inputs_BY Techs'!AD:AD,'Key Inputs_BY Techs'!$A:$A,'SRV_BY Techs'!$L81,'Key Inputs_BY Techs'!$C:$C,'SRV_BY Techs'!$B81)/8760</f>
        <v>0.40577002905770027</v>
      </c>
      <c r="AK81" s="356">
        <f>SUMIFS('Key Inputs_BY Techs'!AE:AE,'Key Inputs_BY Techs'!$A:$A,'SRV_BY Techs'!$L81,'Key Inputs_BY Techs'!$C:$C,'SRV_BY Techs'!$B81)/8760</f>
        <v>1.083437110834371</v>
      </c>
      <c r="AL81" s="356">
        <f>SUMIFS('Key Inputs_BY Techs'!AF:AF,'Key Inputs_BY Techs'!$A:$A,'SRV_BY Techs'!$L81,'Key Inputs_BY Techs'!$C:$C,'SRV_BY Techs'!$B81)/8760</f>
        <v>0.51162308011623081</v>
      </c>
      <c r="AM81" s="356">
        <f>SUMIFS('Key Inputs_BY Techs'!AG:AG,'Key Inputs_BY Techs'!$A:$A,'SRV_BY Techs'!$L81,'Key Inputs_BY Techs'!$C:$C,'SRV_BY Techs'!$B81)/8760</f>
        <v>1.3371731008717311</v>
      </c>
      <c r="AN81" s="356">
        <f>SUMIFS('Key Inputs_BY Techs'!AH:AH,'Key Inputs_BY Techs'!$A:$A,'SRV_BY Techs'!$L81,'Key Inputs_BY Techs'!$C:$C,'SRV_BY Techs'!$B81)/8760</f>
        <v>0.12090078870900788</v>
      </c>
      <c r="AO81" s="356">
        <f>SUMIFS('Key Inputs_BY Techs'!AI:AI,'Key Inputs_BY Techs'!$A:$A,'SRV_BY Techs'!$L81,'Key Inputs_BY Techs'!$C:$C,'SRV_BY Techs'!$B81)/8760</f>
        <v>0.24647156496471564</v>
      </c>
      <c r="AP81" s="356">
        <f>SUMIFS('Key Inputs_BY Techs'!AJ:AJ,'Key Inputs_BY Techs'!$A:$A,'SRV_BY Techs'!$L81,'Key Inputs_BY Techs'!$C:$C,'SRV_BY Techs'!$B81)/8760</f>
        <v>0.37826899128268993</v>
      </c>
    </row>
    <row r="82" spans="1:42" x14ac:dyDescent="0.3">
      <c r="A82" s="499" t="str">
        <f t="shared" ref="A82:D82" si="21">A58</f>
        <v>Cooking</v>
      </c>
      <c r="B82" s="499" t="str">
        <f t="shared" si="21"/>
        <v>S-CK</v>
      </c>
      <c r="C82" s="499" t="str">
        <f t="shared" si="21"/>
        <v>Biomass</v>
      </c>
      <c r="D82" s="499" t="str">
        <f t="shared" si="21"/>
        <v>SRVBIO</v>
      </c>
      <c r="E82" s="499" t="str">
        <f t="shared" si="8"/>
        <v>SRVBIO</v>
      </c>
      <c r="F82" s="499"/>
      <c r="G82" s="499"/>
      <c r="I82" s="354" t="str">
        <f t="shared" si="9"/>
        <v>S-CK_BIO00</v>
      </c>
      <c r="J82" s="354" t="str">
        <f t="shared" si="9"/>
        <v>SRV Cooking technology: Biomass - Existing</v>
      </c>
      <c r="K82" s="354"/>
      <c r="L82" s="354" t="s">
        <v>452</v>
      </c>
      <c r="M82" s="354" t="s">
        <v>154</v>
      </c>
      <c r="N82" s="354"/>
      <c r="O82" s="354">
        <f>SUMIFS('Key Inputs_BY Techs'!I:I,'Key Inputs_BY Techs'!$A:$A,'SRV_BY Techs'!$L82,'Key Inputs_BY Techs'!$C:$C,'SRV_BY Techs'!$B82)/8760</f>
        <v>8.3333333333333329E-2</v>
      </c>
      <c r="P82" s="354">
        <f>SUMIFS('Key Inputs_BY Techs'!J:J,'Key Inputs_BY Techs'!$A:$A,'SRV_BY Techs'!$L82,'Key Inputs_BY Techs'!$C:$C,'SRV_BY Techs'!$B82)/8760</f>
        <v>8.3333333333333329E-2</v>
      </c>
      <c r="Q82" s="354">
        <f>SUMIFS('Key Inputs_BY Techs'!K:K,'Key Inputs_BY Techs'!$A:$A,'SRV_BY Techs'!$L82,'Key Inputs_BY Techs'!$C:$C,'SRV_BY Techs'!$B82)/8760</f>
        <v>8.3333333333333329E-2</v>
      </c>
      <c r="R82" s="354">
        <f>SUMIFS('Key Inputs_BY Techs'!L:L,'Key Inputs_BY Techs'!$A:$A,'SRV_BY Techs'!$L82,'Key Inputs_BY Techs'!$C:$C,'SRV_BY Techs'!$B82)/8760</f>
        <v>8.3333333333333329E-2</v>
      </c>
      <c r="S82" s="354">
        <f>SUMIFS('Key Inputs_BY Techs'!M:M,'Key Inputs_BY Techs'!$A:$A,'SRV_BY Techs'!$L82,'Key Inputs_BY Techs'!$C:$C,'SRV_BY Techs'!$B82)/8760</f>
        <v>8.3333333333333329E-2</v>
      </c>
      <c r="T82" s="354">
        <f>SUMIFS('Key Inputs_BY Techs'!N:N,'Key Inputs_BY Techs'!$A:$A,'SRV_BY Techs'!$L82,'Key Inputs_BY Techs'!$C:$C,'SRV_BY Techs'!$B82)/8760</f>
        <v>8.3333333333333329E-2</v>
      </c>
      <c r="U82" s="354">
        <f>SUMIFS('Key Inputs_BY Techs'!O:O,'Key Inputs_BY Techs'!$A:$A,'SRV_BY Techs'!$L82,'Key Inputs_BY Techs'!$C:$C,'SRV_BY Techs'!$B82)/8760</f>
        <v>8.3333333333333329E-2</v>
      </c>
      <c r="V82" s="354">
        <f>SUMIFS('Key Inputs_BY Techs'!P:P,'Key Inputs_BY Techs'!$A:$A,'SRV_BY Techs'!$L82,'Key Inputs_BY Techs'!$C:$C,'SRV_BY Techs'!$B82)/8760</f>
        <v>8.3333333333333329E-2</v>
      </c>
      <c r="W82" s="354">
        <f>SUMIFS('Key Inputs_BY Techs'!Q:Q,'Key Inputs_BY Techs'!$A:$A,'SRV_BY Techs'!$L82,'Key Inputs_BY Techs'!$C:$C,'SRV_BY Techs'!$B82)/8760</f>
        <v>8.3333333333333329E-2</v>
      </c>
      <c r="X82" s="354">
        <f>SUMIFS('Key Inputs_BY Techs'!R:R,'Key Inputs_BY Techs'!$A:$A,'SRV_BY Techs'!$L82,'Key Inputs_BY Techs'!$C:$C,'SRV_BY Techs'!$B82)/8760</f>
        <v>8.3333333333333329E-2</v>
      </c>
      <c r="Y82" s="354">
        <f>SUMIFS('Key Inputs_BY Techs'!S:S,'Key Inputs_BY Techs'!$A:$A,'SRV_BY Techs'!$L82,'Key Inputs_BY Techs'!$C:$C,'SRV_BY Techs'!$B82)/8760</f>
        <v>8.3333333333333329E-2</v>
      </c>
      <c r="Z82" s="354">
        <f>SUMIFS('Key Inputs_BY Techs'!T:T,'Key Inputs_BY Techs'!$A:$A,'SRV_BY Techs'!$L82,'Key Inputs_BY Techs'!$C:$C,'SRV_BY Techs'!$B82)/8760</f>
        <v>8.3333333333333329E-2</v>
      </c>
      <c r="AA82" s="354">
        <f>SUMIFS('Key Inputs_BY Techs'!U:U,'Key Inputs_BY Techs'!$A:$A,'SRV_BY Techs'!$L82,'Key Inputs_BY Techs'!$C:$C,'SRV_BY Techs'!$B82)/8760</f>
        <v>8.3333333333333329E-2</v>
      </c>
      <c r="AB82" s="354">
        <f>SUMIFS('Key Inputs_BY Techs'!V:V,'Key Inputs_BY Techs'!$A:$A,'SRV_BY Techs'!$L82,'Key Inputs_BY Techs'!$C:$C,'SRV_BY Techs'!$B82)/8760</f>
        <v>8.3333333333333329E-2</v>
      </c>
      <c r="AC82" s="354">
        <f>SUMIFS('Key Inputs_BY Techs'!W:W,'Key Inputs_BY Techs'!$A:$A,'SRV_BY Techs'!$L82,'Key Inputs_BY Techs'!$C:$C,'SRV_BY Techs'!$B82)/8760</f>
        <v>8.3333333333333329E-2</v>
      </c>
      <c r="AD82" s="354">
        <f>SUMIFS('Key Inputs_BY Techs'!X:X,'Key Inputs_BY Techs'!$A:$A,'SRV_BY Techs'!$L82,'Key Inputs_BY Techs'!$C:$C,'SRV_BY Techs'!$B82)/8760</f>
        <v>8.3333333333333329E-2</v>
      </c>
      <c r="AE82" s="354">
        <f>SUMIFS('Key Inputs_BY Techs'!Y:Y,'Key Inputs_BY Techs'!$A:$A,'SRV_BY Techs'!$L82,'Key Inputs_BY Techs'!$C:$C,'SRV_BY Techs'!$B82)/8760</f>
        <v>8.3333333333333329E-2</v>
      </c>
      <c r="AF82" s="354">
        <f>SUMIFS('Key Inputs_BY Techs'!Z:Z,'Key Inputs_BY Techs'!$A:$A,'SRV_BY Techs'!$L82,'Key Inputs_BY Techs'!$C:$C,'SRV_BY Techs'!$B82)/8760</f>
        <v>8.3333333333333329E-2</v>
      </c>
      <c r="AG82" s="354">
        <f>SUMIFS('Key Inputs_BY Techs'!AA:AA,'Key Inputs_BY Techs'!$A:$A,'SRV_BY Techs'!$L82,'Key Inputs_BY Techs'!$C:$C,'SRV_BY Techs'!$B82)/8760</f>
        <v>8.3333333333333329E-2</v>
      </c>
      <c r="AH82" s="354">
        <f>SUMIFS('Key Inputs_BY Techs'!AB:AB,'Key Inputs_BY Techs'!$A:$A,'SRV_BY Techs'!$L82,'Key Inputs_BY Techs'!$C:$C,'SRV_BY Techs'!$B82)/8760</f>
        <v>8.3333333333333329E-2</v>
      </c>
      <c r="AI82" s="354">
        <f>SUMIFS('Key Inputs_BY Techs'!AC:AC,'Key Inputs_BY Techs'!$A:$A,'SRV_BY Techs'!$L82,'Key Inputs_BY Techs'!$C:$C,'SRV_BY Techs'!$B82)/8760</f>
        <v>8.3333333333333329E-2</v>
      </c>
      <c r="AJ82" s="354">
        <f>SUMIFS('Key Inputs_BY Techs'!AD:AD,'Key Inputs_BY Techs'!$A:$A,'SRV_BY Techs'!$L82,'Key Inputs_BY Techs'!$C:$C,'SRV_BY Techs'!$B82)/8760</f>
        <v>8.3333333333333329E-2</v>
      </c>
      <c r="AK82" s="354">
        <f>SUMIFS('Key Inputs_BY Techs'!AE:AE,'Key Inputs_BY Techs'!$A:$A,'SRV_BY Techs'!$L82,'Key Inputs_BY Techs'!$C:$C,'SRV_BY Techs'!$B82)/8760</f>
        <v>8.3333333333333329E-2</v>
      </c>
      <c r="AL82" s="354">
        <f>SUMIFS('Key Inputs_BY Techs'!AF:AF,'Key Inputs_BY Techs'!$A:$A,'SRV_BY Techs'!$L82,'Key Inputs_BY Techs'!$C:$C,'SRV_BY Techs'!$B82)/8760</f>
        <v>8.3333333333333329E-2</v>
      </c>
      <c r="AM82" s="354">
        <f>SUMIFS('Key Inputs_BY Techs'!AG:AG,'Key Inputs_BY Techs'!$A:$A,'SRV_BY Techs'!$L82,'Key Inputs_BY Techs'!$C:$C,'SRV_BY Techs'!$B82)/8760</f>
        <v>8.3333333333333329E-2</v>
      </c>
      <c r="AN82" s="354">
        <f>SUMIFS('Key Inputs_BY Techs'!AH:AH,'Key Inputs_BY Techs'!$A:$A,'SRV_BY Techs'!$L82,'Key Inputs_BY Techs'!$C:$C,'SRV_BY Techs'!$B82)/8760</f>
        <v>8.3333333333333329E-2</v>
      </c>
      <c r="AO82" s="354">
        <f>SUMIFS('Key Inputs_BY Techs'!AI:AI,'Key Inputs_BY Techs'!$A:$A,'SRV_BY Techs'!$L82,'Key Inputs_BY Techs'!$C:$C,'SRV_BY Techs'!$B82)/8760</f>
        <v>8.3333333333333329E-2</v>
      </c>
      <c r="AP82" s="354">
        <f>SUMIFS('Key Inputs_BY Techs'!AJ:AJ,'Key Inputs_BY Techs'!$A:$A,'SRV_BY Techs'!$L82,'Key Inputs_BY Techs'!$C:$C,'SRV_BY Techs'!$B82)/8760</f>
        <v>8.3333333333333329E-2</v>
      </c>
    </row>
    <row r="83" spans="1:42" x14ac:dyDescent="0.3">
      <c r="A83" s="499" t="str">
        <f t="shared" ref="A83:D83" si="22">A59</f>
        <v>Cooking</v>
      </c>
      <c r="B83" s="499" t="str">
        <f t="shared" si="22"/>
        <v>S-CK</v>
      </c>
      <c r="C83" s="499" t="str">
        <f t="shared" si="22"/>
        <v>Coal</v>
      </c>
      <c r="D83" s="499" t="str">
        <f t="shared" si="22"/>
        <v>SRVCOA</v>
      </c>
      <c r="E83" s="499" t="str">
        <f t="shared" si="8"/>
        <v>SRVCOA</v>
      </c>
      <c r="F83" s="499"/>
      <c r="G83" s="499"/>
      <c r="I83" s="353" t="str">
        <f t="shared" si="9"/>
        <v>S-CK_COA00</v>
      </c>
      <c r="J83" s="353" t="str">
        <f t="shared" si="9"/>
        <v>SRV Cooking technology: Coal - Existing</v>
      </c>
      <c r="K83" s="353"/>
      <c r="L83" s="353" t="s">
        <v>452</v>
      </c>
      <c r="M83" s="353" t="s">
        <v>154</v>
      </c>
      <c r="N83" s="353"/>
      <c r="O83" s="353">
        <f>SUMIFS('Key Inputs_BY Techs'!I:I,'Key Inputs_BY Techs'!$A:$A,'SRV_BY Techs'!$L83,'Key Inputs_BY Techs'!$C:$C,'SRV_BY Techs'!$B83)/8760</f>
        <v>8.3333333333333329E-2</v>
      </c>
      <c r="P83" s="353">
        <f>SUMIFS('Key Inputs_BY Techs'!J:J,'Key Inputs_BY Techs'!$A:$A,'SRV_BY Techs'!$L83,'Key Inputs_BY Techs'!$C:$C,'SRV_BY Techs'!$B83)/8760</f>
        <v>8.3333333333333329E-2</v>
      </c>
      <c r="Q83" s="353">
        <f>SUMIFS('Key Inputs_BY Techs'!K:K,'Key Inputs_BY Techs'!$A:$A,'SRV_BY Techs'!$L83,'Key Inputs_BY Techs'!$C:$C,'SRV_BY Techs'!$B83)/8760</f>
        <v>8.3333333333333329E-2</v>
      </c>
      <c r="R83" s="353">
        <f>SUMIFS('Key Inputs_BY Techs'!L:L,'Key Inputs_BY Techs'!$A:$A,'SRV_BY Techs'!$L83,'Key Inputs_BY Techs'!$C:$C,'SRV_BY Techs'!$B83)/8760</f>
        <v>8.3333333333333329E-2</v>
      </c>
      <c r="S83" s="353">
        <f>SUMIFS('Key Inputs_BY Techs'!M:M,'Key Inputs_BY Techs'!$A:$A,'SRV_BY Techs'!$L83,'Key Inputs_BY Techs'!$C:$C,'SRV_BY Techs'!$B83)/8760</f>
        <v>8.3333333333333329E-2</v>
      </c>
      <c r="T83" s="353">
        <f>SUMIFS('Key Inputs_BY Techs'!N:N,'Key Inputs_BY Techs'!$A:$A,'SRV_BY Techs'!$L83,'Key Inputs_BY Techs'!$C:$C,'SRV_BY Techs'!$B83)/8760</f>
        <v>8.3333333333333329E-2</v>
      </c>
      <c r="U83" s="353">
        <f>SUMIFS('Key Inputs_BY Techs'!O:O,'Key Inputs_BY Techs'!$A:$A,'SRV_BY Techs'!$L83,'Key Inputs_BY Techs'!$C:$C,'SRV_BY Techs'!$B83)/8760</f>
        <v>8.3333333333333329E-2</v>
      </c>
      <c r="V83" s="353">
        <f>SUMIFS('Key Inputs_BY Techs'!P:P,'Key Inputs_BY Techs'!$A:$A,'SRV_BY Techs'!$L83,'Key Inputs_BY Techs'!$C:$C,'SRV_BY Techs'!$B83)/8760</f>
        <v>8.3333333333333329E-2</v>
      </c>
      <c r="W83" s="353">
        <f>SUMIFS('Key Inputs_BY Techs'!Q:Q,'Key Inputs_BY Techs'!$A:$A,'SRV_BY Techs'!$L83,'Key Inputs_BY Techs'!$C:$C,'SRV_BY Techs'!$B83)/8760</f>
        <v>8.3333333333333329E-2</v>
      </c>
      <c r="X83" s="353">
        <f>SUMIFS('Key Inputs_BY Techs'!R:R,'Key Inputs_BY Techs'!$A:$A,'SRV_BY Techs'!$L83,'Key Inputs_BY Techs'!$C:$C,'SRV_BY Techs'!$B83)/8760</f>
        <v>8.3333333333333329E-2</v>
      </c>
      <c r="Y83" s="353">
        <f>SUMIFS('Key Inputs_BY Techs'!S:S,'Key Inputs_BY Techs'!$A:$A,'SRV_BY Techs'!$L83,'Key Inputs_BY Techs'!$C:$C,'SRV_BY Techs'!$B83)/8760</f>
        <v>8.3333333333333329E-2</v>
      </c>
      <c r="Z83" s="353">
        <f>SUMIFS('Key Inputs_BY Techs'!T:T,'Key Inputs_BY Techs'!$A:$A,'SRV_BY Techs'!$L83,'Key Inputs_BY Techs'!$C:$C,'SRV_BY Techs'!$B83)/8760</f>
        <v>8.3333333333333329E-2</v>
      </c>
      <c r="AA83" s="353">
        <f>SUMIFS('Key Inputs_BY Techs'!U:U,'Key Inputs_BY Techs'!$A:$A,'SRV_BY Techs'!$L83,'Key Inputs_BY Techs'!$C:$C,'SRV_BY Techs'!$B83)/8760</f>
        <v>8.3333333333333329E-2</v>
      </c>
      <c r="AB83" s="353">
        <f>SUMIFS('Key Inputs_BY Techs'!V:V,'Key Inputs_BY Techs'!$A:$A,'SRV_BY Techs'!$L83,'Key Inputs_BY Techs'!$C:$C,'SRV_BY Techs'!$B83)/8760</f>
        <v>8.3333333333333329E-2</v>
      </c>
      <c r="AC83" s="353">
        <f>SUMIFS('Key Inputs_BY Techs'!W:W,'Key Inputs_BY Techs'!$A:$A,'SRV_BY Techs'!$L83,'Key Inputs_BY Techs'!$C:$C,'SRV_BY Techs'!$B83)/8760</f>
        <v>8.3333333333333329E-2</v>
      </c>
      <c r="AD83" s="353">
        <f>SUMIFS('Key Inputs_BY Techs'!X:X,'Key Inputs_BY Techs'!$A:$A,'SRV_BY Techs'!$L83,'Key Inputs_BY Techs'!$C:$C,'SRV_BY Techs'!$B83)/8760</f>
        <v>8.3333333333333329E-2</v>
      </c>
      <c r="AE83" s="353">
        <f>SUMIFS('Key Inputs_BY Techs'!Y:Y,'Key Inputs_BY Techs'!$A:$A,'SRV_BY Techs'!$L83,'Key Inputs_BY Techs'!$C:$C,'SRV_BY Techs'!$B83)/8760</f>
        <v>8.3333333333333329E-2</v>
      </c>
      <c r="AF83" s="353">
        <f>SUMIFS('Key Inputs_BY Techs'!Z:Z,'Key Inputs_BY Techs'!$A:$A,'SRV_BY Techs'!$L83,'Key Inputs_BY Techs'!$C:$C,'SRV_BY Techs'!$B83)/8760</f>
        <v>8.3333333333333329E-2</v>
      </c>
      <c r="AG83" s="353">
        <f>SUMIFS('Key Inputs_BY Techs'!AA:AA,'Key Inputs_BY Techs'!$A:$A,'SRV_BY Techs'!$L83,'Key Inputs_BY Techs'!$C:$C,'SRV_BY Techs'!$B83)/8760</f>
        <v>8.3333333333333329E-2</v>
      </c>
      <c r="AH83" s="353">
        <f>SUMIFS('Key Inputs_BY Techs'!AB:AB,'Key Inputs_BY Techs'!$A:$A,'SRV_BY Techs'!$L83,'Key Inputs_BY Techs'!$C:$C,'SRV_BY Techs'!$B83)/8760</f>
        <v>8.3333333333333329E-2</v>
      </c>
      <c r="AI83" s="353">
        <f>SUMIFS('Key Inputs_BY Techs'!AC:AC,'Key Inputs_BY Techs'!$A:$A,'SRV_BY Techs'!$L83,'Key Inputs_BY Techs'!$C:$C,'SRV_BY Techs'!$B83)/8760</f>
        <v>8.3333333333333329E-2</v>
      </c>
      <c r="AJ83" s="353">
        <f>SUMIFS('Key Inputs_BY Techs'!AD:AD,'Key Inputs_BY Techs'!$A:$A,'SRV_BY Techs'!$L83,'Key Inputs_BY Techs'!$C:$C,'SRV_BY Techs'!$B83)/8760</f>
        <v>8.3333333333333329E-2</v>
      </c>
      <c r="AK83" s="353">
        <f>SUMIFS('Key Inputs_BY Techs'!AE:AE,'Key Inputs_BY Techs'!$A:$A,'SRV_BY Techs'!$L83,'Key Inputs_BY Techs'!$C:$C,'SRV_BY Techs'!$B83)/8760</f>
        <v>8.3333333333333329E-2</v>
      </c>
      <c r="AL83" s="353">
        <f>SUMIFS('Key Inputs_BY Techs'!AF:AF,'Key Inputs_BY Techs'!$A:$A,'SRV_BY Techs'!$L83,'Key Inputs_BY Techs'!$C:$C,'SRV_BY Techs'!$B83)/8760</f>
        <v>8.3333333333333329E-2</v>
      </c>
      <c r="AM83" s="353">
        <f>SUMIFS('Key Inputs_BY Techs'!AG:AG,'Key Inputs_BY Techs'!$A:$A,'SRV_BY Techs'!$L83,'Key Inputs_BY Techs'!$C:$C,'SRV_BY Techs'!$B83)/8760</f>
        <v>8.3333333333333329E-2</v>
      </c>
      <c r="AN83" s="353">
        <f>SUMIFS('Key Inputs_BY Techs'!AH:AH,'Key Inputs_BY Techs'!$A:$A,'SRV_BY Techs'!$L83,'Key Inputs_BY Techs'!$C:$C,'SRV_BY Techs'!$B83)/8760</f>
        <v>8.3333333333333329E-2</v>
      </c>
      <c r="AO83" s="353">
        <f>SUMIFS('Key Inputs_BY Techs'!AI:AI,'Key Inputs_BY Techs'!$A:$A,'SRV_BY Techs'!$L83,'Key Inputs_BY Techs'!$C:$C,'SRV_BY Techs'!$B83)/8760</f>
        <v>8.3333333333333329E-2</v>
      </c>
      <c r="AP83" s="353">
        <f>SUMIFS('Key Inputs_BY Techs'!AJ:AJ,'Key Inputs_BY Techs'!$A:$A,'SRV_BY Techs'!$L83,'Key Inputs_BY Techs'!$C:$C,'SRV_BY Techs'!$B83)/8760</f>
        <v>8.3333333333333329E-2</v>
      </c>
    </row>
    <row r="84" spans="1:42" x14ac:dyDescent="0.3">
      <c r="A84" s="499" t="str">
        <f t="shared" ref="A84:D84" si="23">A60</f>
        <v>Cooking</v>
      </c>
      <c r="B84" s="499" t="str">
        <f t="shared" si="23"/>
        <v>S-CK</v>
      </c>
      <c r="C84" s="499" t="str">
        <f t="shared" si="23"/>
        <v>Electricity</v>
      </c>
      <c r="D84" s="499" t="str">
        <f t="shared" si="23"/>
        <v>SRVELC</v>
      </c>
      <c r="E84" s="499" t="str">
        <f t="shared" si="8"/>
        <v>SRVELC</v>
      </c>
      <c r="F84" s="499"/>
      <c r="G84" s="499"/>
      <c r="I84" s="353" t="str">
        <f t="shared" si="9"/>
        <v>S-CK_ELC00</v>
      </c>
      <c r="J84" s="353" t="str">
        <f t="shared" si="9"/>
        <v>SRV Cooking technology: Electricity - Existing</v>
      </c>
      <c r="K84" s="353"/>
      <c r="L84" s="353" t="s">
        <v>452</v>
      </c>
      <c r="M84" s="353" t="s">
        <v>154</v>
      </c>
      <c r="N84" s="353"/>
      <c r="O84" s="353">
        <f>SUMIFS('Key Inputs_BY Techs'!I:I,'Key Inputs_BY Techs'!$A:$A,'SRV_BY Techs'!$L84,'Key Inputs_BY Techs'!$C:$C,'SRV_BY Techs'!$B84)/8760</f>
        <v>8.3333333333333329E-2</v>
      </c>
      <c r="P84" s="353">
        <f>SUMIFS('Key Inputs_BY Techs'!J:J,'Key Inputs_BY Techs'!$A:$A,'SRV_BY Techs'!$L84,'Key Inputs_BY Techs'!$C:$C,'SRV_BY Techs'!$B84)/8760</f>
        <v>8.3333333333333329E-2</v>
      </c>
      <c r="Q84" s="353">
        <f>SUMIFS('Key Inputs_BY Techs'!K:K,'Key Inputs_BY Techs'!$A:$A,'SRV_BY Techs'!$L84,'Key Inputs_BY Techs'!$C:$C,'SRV_BY Techs'!$B84)/8760</f>
        <v>8.3333333333333329E-2</v>
      </c>
      <c r="R84" s="353">
        <f>SUMIFS('Key Inputs_BY Techs'!L:L,'Key Inputs_BY Techs'!$A:$A,'SRV_BY Techs'!$L84,'Key Inputs_BY Techs'!$C:$C,'SRV_BY Techs'!$B84)/8760</f>
        <v>8.3333333333333329E-2</v>
      </c>
      <c r="S84" s="353">
        <f>SUMIFS('Key Inputs_BY Techs'!M:M,'Key Inputs_BY Techs'!$A:$A,'SRV_BY Techs'!$L84,'Key Inputs_BY Techs'!$C:$C,'SRV_BY Techs'!$B84)/8760</f>
        <v>8.3333333333333329E-2</v>
      </c>
      <c r="T84" s="353">
        <f>SUMIFS('Key Inputs_BY Techs'!N:N,'Key Inputs_BY Techs'!$A:$A,'SRV_BY Techs'!$L84,'Key Inputs_BY Techs'!$C:$C,'SRV_BY Techs'!$B84)/8760</f>
        <v>8.3333333333333329E-2</v>
      </c>
      <c r="U84" s="353">
        <f>SUMIFS('Key Inputs_BY Techs'!O:O,'Key Inputs_BY Techs'!$A:$A,'SRV_BY Techs'!$L84,'Key Inputs_BY Techs'!$C:$C,'SRV_BY Techs'!$B84)/8760</f>
        <v>8.3333333333333329E-2</v>
      </c>
      <c r="V84" s="353">
        <f>SUMIFS('Key Inputs_BY Techs'!P:P,'Key Inputs_BY Techs'!$A:$A,'SRV_BY Techs'!$L84,'Key Inputs_BY Techs'!$C:$C,'SRV_BY Techs'!$B84)/8760</f>
        <v>8.3333333333333329E-2</v>
      </c>
      <c r="W84" s="353">
        <f>SUMIFS('Key Inputs_BY Techs'!Q:Q,'Key Inputs_BY Techs'!$A:$A,'SRV_BY Techs'!$L84,'Key Inputs_BY Techs'!$C:$C,'SRV_BY Techs'!$B84)/8760</f>
        <v>8.3333333333333329E-2</v>
      </c>
      <c r="X84" s="353">
        <f>SUMIFS('Key Inputs_BY Techs'!R:R,'Key Inputs_BY Techs'!$A:$A,'SRV_BY Techs'!$L84,'Key Inputs_BY Techs'!$C:$C,'SRV_BY Techs'!$B84)/8760</f>
        <v>8.3333333333333329E-2</v>
      </c>
      <c r="Y84" s="353">
        <f>SUMIFS('Key Inputs_BY Techs'!S:S,'Key Inputs_BY Techs'!$A:$A,'SRV_BY Techs'!$L84,'Key Inputs_BY Techs'!$C:$C,'SRV_BY Techs'!$B84)/8760</f>
        <v>8.3333333333333329E-2</v>
      </c>
      <c r="Z84" s="353">
        <f>SUMIFS('Key Inputs_BY Techs'!T:T,'Key Inputs_BY Techs'!$A:$A,'SRV_BY Techs'!$L84,'Key Inputs_BY Techs'!$C:$C,'SRV_BY Techs'!$B84)/8760</f>
        <v>8.3333333333333329E-2</v>
      </c>
      <c r="AA84" s="353">
        <f>SUMIFS('Key Inputs_BY Techs'!U:U,'Key Inputs_BY Techs'!$A:$A,'SRV_BY Techs'!$L84,'Key Inputs_BY Techs'!$C:$C,'SRV_BY Techs'!$B84)/8760</f>
        <v>8.3333333333333329E-2</v>
      </c>
      <c r="AB84" s="353">
        <f>SUMIFS('Key Inputs_BY Techs'!V:V,'Key Inputs_BY Techs'!$A:$A,'SRV_BY Techs'!$L84,'Key Inputs_BY Techs'!$C:$C,'SRV_BY Techs'!$B84)/8760</f>
        <v>8.3333333333333329E-2</v>
      </c>
      <c r="AC84" s="353">
        <f>SUMIFS('Key Inputs_BY Techs'!W:W,'Key Inputs_BY Techs'!$A:$A,'SRV_BY Techs'!$L84,'Key Inputs_BY Techs'!$C:$C,'SRV_BY Techs'!$B84)/8760</f>
        <v>8.3333333333333329E-2</v>
      </c>
      <c r="AD84" s="353">
        <f>SUMIFS('Key Inputs_BY Techs'!X:X,'Key Inputs_BY Techs'!$A:$A,'SRV_BY Techs'!$L84,'Key Inputs_BY Techs'!$C:$C,'SRV_BY Techs'!$B84)/8760</f>
        <v>8.3333333333333329E-2</v>
      </c>
      <c r="AE84" s="353">
        <f>SUMIFS('Key Inputs_BY Techs'!Y:Y,'Key Inputs_BY Techs'!$A:$A,'SRV_BY Techs'!$L84,'Key Inputs_BY Techs'!$C:$C,'SRV_BY Techs'!$B84)/8760</f>
        <v>8.3333333333333329E-2</v>
      </c>
      <c r="AF84" s="353">
        <f>SUMIFS('Key Inputs_BY Techs'!Z:Z,'Key Inputs_BY Techs'!$A:$A,'SRV_BY Techs'!$L84,'Key Inputs_BY Techs'!$C:$C,'SRV_BY Techs'!$B84)/8760</f>
        <v>8.3333333333333329E-2</v>
      </c>
      <c r="AG84" s="353">
        <f>SUMIFS('Key Inputs_BY Techs'!AA:AA,'Key Inputs_BY Techs'!$A:$A,'SRV_BY Techs'!$L84,'Key Inputs_BY Techs'!$C:$C,'SRV_BY Techs'!$B84)/8760</f>
        <v>8.3333333333333329E-2</v>
      </c>
      <c r="AH84" s="353">
        <f>SUMIFS('Key Inputs_BY Techs'!AB:AB,'Key Inputs_BY Techs'!$A:$A,'SRV_BY Techs'!$L84,'Key Inputs_BY Techs'!$C:$C,'SRV_BY Techs'!$B84)/8760</f>
        <v>8.3333333333333329E-2</v>
      </c>
      <c r="AI84" s="353">
        <f>SUMIFS('Key Inputs_BY Techs'!AC:AC,'Key Inputs_BY Techs'!$A:$A,'SRV_BY Techs'!$L84,'Key Inputs_BY Techs'!$C:$C,'SRV_BY Techs'!$B84)/8760</f>
        <v>8.3333333333333329E-2</v>
      </c>
      <c r="AJ84" s="353">
        <f>SUMIFS('Key Inputs_BY Techs'!AD:AD,'Key Inputs_BY Techs'!$A:$A,'SRV_BY Techs'!$L84,'Key Inputs_BY Techs'!$C:$C,'SRV_BY Techs'!$B84)/8760</f>
        <v>8.3333333333333329E-2</v>
      </c>
      <c r="AK84" s="353">
        <f>SUMIFS('Key Inputs_BY Techs'!AE:AE,'Key Inputs_BY Techs'!$A:$A,'SRV_BY Techs'!$L84,'Key Inputs_BY Techs'!$C:$C,'SRV_BY Techs'!$B84)/8760</f>
        <v>8.3333333333333329E-2</v>
      </c>
      <c r="AL84" s="353">
        <f>SUMIFS('Key Inputs_BY Techs'!AF:AF,'Key Inputs_BY Techs'!$A:$A,'SRV_BY Techs'!$L84,'Key Inputs_BY Techs'!$C:$C,'SRV_BY Techs'!$B84)/8760</f>
        <v>8.3333333333333329E-2</v>
      </c>
      <c r="AM84" s="353">
        <f>SUMIFS('Key Inputs_BY Techs'!AG:AG,'Key Inputs_BY Techs'!$A:$A,'SRV_BY Techs'!$L84,'Key Inputs_BY Techs'!$C:$C,'SRV_BY Techs'!$B84)/8760</f>
        <v>8.3333333333333329E-2</v>
      </c>
      <c r="AN84" s="353">
        <f>SUMIFS('Key Inputs_BY Techs'!AH:AH,'Key Inputs_BY Techs'!$A:$A,'SRV_BY Techs'!$L84,'Key Inputs_BY Techs'!$C:$C,'SRV_BY Techs'!$B84)/8760</f>
        <v>8.3333333333333329E-2</v>
      </c>
      <c r="AO84" s="353">
        <f>SUMIFS('Key Inputs_BY Techs'!AI:AI,'Key Inputs_BY Techs'!$A:$A,'SRV_BY Techs'!$L84,'Key Inputs_BY Techs'!$C:$C,'SRV_BY Techs'!$B84)/8760</f>
        <v>8.3333333333333329E-2</v>
      </c>
      <c r="AP84" s="353">
        <f>SUMIFS('Key Inputs_BY Techs'!AJ:AJ,'Key Inputs_BY Techs'!$A:$A,'SRV_BY Techs'!$L84,'Key Inputs_BY Techs'!$C:$C,'SRV_BY Techs'!$B84)/8760</f>
        <v>8.3333333333333329E-2</v>
      </c>
    </row>
    <row r="85" spans="1:42" x14ac:dyDescent="0.3">
      <c r="A85" s="499" t="str">
        <f t="shared" ref="A85:D85" si="24">A61</f>
        <v>Cooking</v>
      </c>
      <c r="B85" s="499" t="str">
        <f t="shared" si="24"/>
        <v>S-CK</v>
      </c>
      <c r="C85" s="499" t="str">
        <f t="shared" si="24"/>
        <v>Natural gas, Biogas</v>
      </c>
      <c r="D85" s="499" t="str">
        <f t="shared" si="24"/>
        <v>SRVGAS, SRVBGS</v>
      </c>
      <c r="E85" s="499" t="str">
        <f t="shared" si="8"/>
        <v>SRVGAS</v>
      </c>
      <c r="F85" s="499"/>
      <c r="G85" s="499"/>
      <c r="I85" s="353" t="str">
        <f t="shared" si="9"/>
        <v>S-CK_GAS00</v>
      </c>
      <c r="J85" s="353" t="str">
        <f t="shared" si="9"/>
        <v>SRV Cooking technology: Natural gas, Biogas - Existing</v>
      </c>
      <c r="K85" s="353"/>
      <c r="L85" s="353" t="s">
        <v>452</v>
      </c>
      <c r="M85" s="353" t="s">
        <v>154</v>
      </c>
      <c r="N85" s="353"/>
      <c r="O85" s="353">
        <f>SUMIFS('Key Inputs_BY Techs'!I:I,'Key Inputs_BY Techs'!$A:$A,'SRV_BY Techs'!$L85,'Key Inputs_BY Techs'!$C:$C,'SRV_BY Techs'!$B85)/8760</f>
        <v>8.3333333333333329E-2</v>
      </c>
      <c r="P85" s="353">
        <f>SUMIFS('Key Inputs_BY Techs'!J:J,'Key Inputs_BY Techs'!$A:$A,'SRV_BY Techs'!$L85,'Key Inputs_BY Techs'!$C:$C,'SRV_BY Techs'!$B85)/8760</f>
        <v>8.3333333333333329E-2</v>
      </c>
      <c r="Q85" s="353">
        <f>SUMIFS('Key Inputs_BY Techs'!K:K,'Key Inputs_BY Techs'!$A:$A,'SRV_BY Techs'!$L85,'Key Inputs_BY Techs'!$C:$C,'SRV_BY Techs'!$B85)/8760</f>
        <v>8.3333333333333329E-2</v>
      </c>
      <c r="R85" s="353">
        <f>SUMIFS('Key Inputs_BY Techs'!L:L,'Key Inputs_BY Techs'!$A:$A,'SRV_BY Techs'!$L85,'Key Inputs_BY Techs'!$C:$C,'SRV_BY Techs'!$B85)/8760</f>
        <v>8.3333333333333329E-2</v>
      </c>
      <c r="S85" s="353">
        <f>SUMIFS('Key Inputs_BY Techs'!M:M,'Key Inputs_BY Techs'!$A:$A,'SRV_BY Techs'!$L85,'Key Inputs_BY Techs'!$C:$C,'SRV_BY Techs'!$B85)/8760</f>
        <v>8.3333333333333329E-2</v>
      </c>
      <c r="T85" s="353">
        <f>SUMIFS('Key Inputs_BY Techs'!N:N,'Key Inputs_BY Techs'!$A:$A,'SRV_BY Techs'!$L85,'Key Inputs_BY Techs'!$C:$C,'SRV_BY Techs'!$B85)/8760</f>
        <v>8.3333333333333329E-2</v>
      </c>
      <c r="U85" s="353">
        <f>SUMIFS('Key Inputs_BY Techs'!O:O,'Key Inputs_BY Techs'!$A:$A,'SRV_BY Techs'!$L85,'Key Inputs_BY Techs'!$C:$C,'SRV_BY Techs'!$B85)/8760</f>
        <v>8.3333333333333329E-2</v>
      </c>
      <c r="V85" s="353">
        <f>SUMIFS('Key Inputs_BY Techs'!P:P,'Key Inputs_BY Techs'!$A:$A,'SRV_BY Techs'!$L85,'Key Inputs_BY Techs'!$C:$C,'SRV_BY Techs'!$B85)/8760</f>
        <v>8.3333333333333329E-2</v>
      </c>
      <c r="W85" s="353">
        <f>SUMIFS('Key Inputs_BY Techs'!Q:Q,'Key Inputs_BY Techs'!$A:$A,'SRV_BY Techs'!$L85,'Key Inputs_BY Techs'!$C:$C,'SRV_BY Techs'!$B85)/8760</f>
        <v>8.3333333333333329E-2</v>
      </c>
      <c r="X85" s="353">
        <f>SUMIFS('Key Inputs_BY Techs'!R:R,'Key Inputs_BY Techs'!$A:$A,'SRV_BY Techs'!$L85,'Key Inputs_BY Techs'!$C:$C,'SRV_BY Techs'!$B85)/8760</f>
        <v>8.3333333333333329E-2</v>
      </c>
      <c r="Y85" s="353">
        <f>SUMIFS('Key Inputs_BY Techs'!S:S,'Key Inputs_BY Techs'!$A:$A,'SRV_BY Techs'!$L85,'Key Inputs_BY Techs'!$C:$C,'SRV_BY Techs'!$B85)/8760</f>
        <v>8.3333333333333329E-2</v>
      </c>
      <c r="Z85" s="353">
        <f>SUMIFS('Key Inputs_BY Techs'!T:T,'Key Inputs_BY Techs'!$A:$A,'SRV_BY Techs'!$L85,'Key Inputs_BY Techs'!$C:$C,'SRV_BY Techs'!$B85)/8760</f>
        <v>8.3333333333333329E-2</v>
      </c>
      <c r="AA85" s="353">
        <f>SUMIFS('Key Inputs_BY Techs'!U:U,'Key Inputs_BY Techs'!$A:$A,'SRV_BY Techs'!$L85,'Key Inputs_BY Techs'!$C:$C,'SRV_BY Techs'!$B85)/8760</f>
        <v>8.3333333333333329E-2</v>
      </c>
      <c r="AB85" s="353">
        <f>SUMIFS('Key Inputs_BY Techs'!V:V,'Key Inputs_BY Techs'!$A:$A,'SRV_BY Techs'!$L85,'Key Inputs_BY Techs'!$C:$C,'SRV_BY Techs'!$B85)/8760</f>
        <v>8.3333333333333329E-2</v>
      </c>
      <c r="AC85" s="353">
        <f>SUMIFS('Key Inputs_BY Techs'!W:W,'Key Inputs_BY Techs'!$A:$A,'SRV_BY Techs'!$L85,'Key Inputs_BY Techs'!$C:$C,'SRV_BY Techs'!$B85)/8760</f>
        <v>8.3333333333333329E-2</v>
      </c>
      <c r="AD85" s="353">
        <f>SUMIFS('Key Inputs_BY Techs'!X:X,'Key Inputs_BY Techs'!$A:$A,'SRV_BY Techs'!$L85,'Key Inputs_BY Techs'!$C:$C,'SRV_BY Techs'!$B85)/8760</f>
        <v>8.3333333333333329E-2</v>
      </c>
      <c r="AE85" s="353">
        <f>SUMIFS('Key Inputs_BY Techs'!Y:Y,'Key Inputs_BY Techs'!$A:$A,'SRV_BY Techs'!$L85,'Key Inputs_BY Techs'!$C:$C,'SRV_BY Techs'!$B85)/8760</f>
        <v>8.3333333333333329E-2</v>
      </c>
      <c r="AF85" s="353">
        <f>SUMIFS('Key Inputs_BY Techs'!Z:Z,'Key Inputs_BY Techs'!$A:$A,'SRV_BY Techs'!$L85,'Key Inputs_BY Techs'!$C:$C,'SRV_BY Techs'!$B85)/8760</f>
        <v>8.3333333333333329E-2</v>
      </c>
      <c r="AG85" s="353">
        <f>SUMIFS('Key Inputs_BY Techs'!AA:AA,'Key Inputs_BY Techs'!$A:$A,'SRV_BY Techs'!$L85,'Key Inputs_BY Techs'!$C:$C,'SRV_BY Techs'!$B85)/8760</f>
        <v>8.3333333333333329E-2</v>
      </c>
      <c r="AH85" s="353">
        <f>SUMIFS('Key Inputs_BY Techs'!AB:AB,'Key Inputs_BY Techs'!$A:$A,'SRV_BY Techs'!$L85,'Key Inputs_BY Techs'!$C:$C,'SRV_BY Techs'!$B85)/8760</f>
        <v>8.3333333333333329E-2</v>
      </c>
      <c r="AI85" s="353">
        <f>SUMIFS('Key Inputs_BY Techs'!AC:AC,'Key Inputs_BY Techs'!$A:$A,'SRV_BY Techs'!$L85,'Key Inputs_BY Techs'!$C:$C,'SRV_BY Techs'!$B85)/8760</f>
        <v>8.3333333333333329E-2</v>
      </c>
      <c r="AJ85" s="353">
        <f>SUMIFS('Key Inputs_BY Techs'!AD:AD,'Key Inputs_BY Techs'!$A:$A,'SRV_BY Techs'!$L85,'Key Inputs_BY Techs'!$C:$C,'SRV_BY Techs'!$B85)/8760</f>
        <v>8.3333333333333329E-2</v>
      </c>
      <c r="AK85" s="353">
        <f>SUMIFS('Key Inputs_BY Techs'!AE:AE,'Key Inputs_BY Techs'!$A:$A,'SRV_BY Techs'!$L85,'Key Inputs_BY Techs'!$C:$C,'SRV_BY Techs'!$B85)/8760</f>
        <v>8.3333333333333329E-2</v>
      </c>
      <c r="AL85" s="353">
        <f>SUMIFS('Key Inputs_BY Techs'!AF:AF,'Key Inputs_BY Techs'!$A:$A,'SRV_BY Techs'!$L85,'Key Inputs_BY Techs'!$C:$C,'SRV_BY Techs'!$B85)/8760</f>
        <v>8.3333333333333329E-2</v>
      </c>
      <c r="AM85" s="353">
        <f>SUMIFS('Key Inputs_BY Techs'!AG:AG,'Key Inputs_BY Techs'!$A:$A,'SRV_BY Techs'!$L85,'Key Inputs_BY Techs'!$C:$C,'SRV_BY Techs'!$B85)/8760</f>
        <v>8.3333333333333329E-2</v>
      </c>
      <c r="AN85" s="353">
        <f>SUMIFS('Key Inputs_BY Techs'!AH:AH,'Key Inputs_BY Techs'!$A:$A,'SRV_BY Techs'!$L85,'Key Inputs_BY Techs'!$C:$C,'SRV_BY Techs'!$B85)/8760</f>
        <v>8.3333333333333329E-2</v>
      </c>
      <c r="AO85" s="353">
        <f>SUMIFS('Key Inputs_BY Techs'!AI:AI,'Key Inputs_BY Techs'!$A:$A,'SRV_BY Techs'!$L85,'Key Inputs_BY Techs'!$C:$C,'SRV_BY Techs'!$B85)/8760</f>
        <v>8.3333333333333329E-2</v>
      </c>
      <c r="AP85" s="353">
        <f>SUMIFS('Key Inputs_BY Techs'!AJ:AJ,'Key Inputs_BY Techs'!$A:$A,'SRV_BY Techs'!$L85,'Key Inputs_BY Techs'!$C:$C,'SRV_BY Techs'!$B85)/8760</f>
        <v>8.3333333333333329E-2</v>
      </c>
    </row>
    <row r="86" spans="1:42" x14ac:dyDescent="0.3">
      <c r="A86" s="499" t="str">
        <f t="shared" ref="A86:D86" si="25">A62</f>
        <v>Cooking</v>
      </c>
      <c r="B86" s="499" t="str">
        <f t="shared" si="25"/>
        <v>S-CK</v>
      </c>
      <c r="C86" s="499" t="str">
        <f t="shared" si="25"/>
        <v>LPG</v>
      </c>
      <c r="D86" s="499" t="str">
        <f t="shared" si="25"/>
        <v>SRVLPG</v>
      </c>
      <c r="E86" s="499" t="str">
        <f t="shared" si="8"/>
        <v>SRVLPG</v>
      </c>
      <c r="F86" s="499"/>
      <c r="G86" s="499"/>
      <c r="I86" s="353" t="str">
        <f t="shared" si="9"/>
        <v>S-CK_LPG00</v>
      </c>
      <c r="J86" s="353" t="str">
        <f t="shared" si="9"/>
        <v>SRV Cooking technology: LPG - Existing</v>
      </c>
      <c r="K86" s="353"/>
      <c r="L86" s="353" t="s">
        <v>452</v>
      </c>
      <c r="M86" s="353" t="s">
        <v>154</v>
      </c>
      <c r="N86" s="353"/>
      <c r="O86" s="353">
        <f>SUMIFS('Key Inputs_BY Techs'!I:I,'Key Inputs_BY Techs'!$A:$A,'SRV_BY Techs'!$L86,'Key Inputs_BY Techs'!$C:$C,'SRV_BY Techs'!$B86)/8760</f>
        <v>8.3333333333333329E-2</v>
      </c>
      <c r="P86" s="353">
        <f>SUMIFS('Key Inputs_BY Techs'!J:J,'Key Inputs_BY Techs'!$A:$A,'SRV_BY Techs'!$L86,'Key Inputs_BY Techs'!$C:$C,'SRV_BY Techs'!$B86)/8760</f>
        <v>8.3333333333333329E-2</v>
      </c>
      <c r="Q86" s="353">
        <f>SUMIFS('Key Inputs_BY Techs'!K:K,'Key Inputs_BY Techs'!$A:$A,'SRV_BY Techs'!$L86,'Key Inputs_BY Techs'!$C:$C,'SRV_BY Techs'!$B86)/8760</f>
        <v>8.3333333333333329E-2</v>
      </c>
      <c r="R86" s="353">
        <f>SUMIFS('Key Inputs_BY Techs'!L:L,'Key Inputs_BY Techs'!$A:$A,'SRV_BY Techs'!$L86,'Key Inputs_BY Techs'!$C:$C,'SRV_BY Techs'!$B86)/8760</f>
        <v>8.3333333333333329E-2</v>
      </c>
      <c r="S86" s="353">
        <f>SUMIFS('Key Inputs_BY Techs'!M:M,'Key Inputs_BY Techs'!$A:$A,'SRV_BY Techs'!$L86,'Key Inputs_BY Techs'!$C:$C,'SRV_BY Techs'!$B86)/8760</f>
        <v>8.3333333333333329E-2</v>
      </c>
      <c r="T86" s="353">
        <f>SUMIFS('Key Inputs_BY Techs'!N:N,'Key Inputs_BY Techs'!$A:$A,'SRV_BY Techs'!$L86,'Key Inputs_BY Techs'!$C:$C,'SRV_BY Techs'!$B86)/8760</f>
        <v>8.3333333333333329E-2</v>
      </c>
      <c r="U86" s="353">
        <f>SUMIFS('Key Inputs_BY Techs'!O:O,'Key Inputs_BY Techs'!$A:$A,'SRV_BY Techs'!$L86,'Key Inputs_BY Techs'!$C:$C,'SRV_BY Techs'!$B86)/8760</f>
        <v>8.3333333333333329E-2</v>
      </c>
      <c r="V86" s="353">
        <f>SUMIFS('Key Inputs_BY Techs'!P:P,'Key Inputs_BY Techs'!$A:$A,'SRV_BY Techs'!$L86,'Key Inputs_BY Techs'!$C:$C,'SRV_BY Techs'!$B86)/8760</f>
        <v>8.3333333333333329E-2</v>
      </c>
      <c r="W86" s="353">
        <f>SUMIFS('Key Inputs_BY Techs'!Q:Q,'Key Inputs_BY Techs'!$A:$A,'SRV_BY Techs'!$L86,'Key Inputs_BY Techs'!$C:$C,'SRV_BY Techs'!$B86)/8760</f>
        <v>8.3333333333333329E-2</v>
      </c>
      <c r="X86" s="353">
        <f>SUMIFS('Key Inputs_BY Techs'!R:R,'Key Inputs_BY Techs'!$A:$A,'SRV_BY Techs'!$L86,'Key Inputs_BY Techs'!$C:$C,'SRV_BY Techs'!$B86)/8760</f>
        <v>8.3333333333333329E-2</v>
      </c>
      <c r="Y86" s="353">
        <f>SUMIFS('Key Inputs_BY Techs'!S:S,'Key Inputs_BY Techs'!$A:$A,'SRV_BY Techs'!$L86,'Key Inputs_BY Techs'!$C:$C,'SRV_BY Techs'!$B86)/8760</f>
        <v>8.3333333333333329E-2</v>
      </c>
      <c r="Z86" s="353">
        <f>SUMIFS('Key Inputs_BY Techs'!T:T,'Key Inputs_BY Techs'!$A:$A,'SRV_BY Techs'!$L86,'Key Inputs_BY Techs'!$C:$C,'SRV_BY Techs'!$B86)/8760</f>
        <v>8.3333333333333329E-2</v>
      </c>
      <c r="AA86" s="353">
        <f>SUMIFS('Key Inputs_BY Techs'!U:U,'Key Inputs_BY Techs'!$A:$A,'SRV_BY Techs'!$L86,'Key Inputs_BY Techs'!$C:$C,'SRV_BY Techs'!$B86)/8760</f>
        <v>8.3333333333333329E-2</v>
      </c>
      <c r="AB86" s="353">
        <f>SUMIFS('Key Inputs_BY Techs'!V:V,'Key Inputs_BY Techs'!$A:$A,'SRV_BY Techs'!$L86,'Key Inputs_BY Techs'!$C:$C,'SRV_BY Techs'!$B86)/8760</f>
        <v>8.3333333333333329E-2</v>
      </c>
      <c r="AC86" s="353">
        <f>SUMIFS('Key Inputs_BY Techs'!W:W,'Key Inputs_BY Techs'!$A:$A,'SRV_BY Techs'!$L86,'Key Inputs_BY Techs'!$C:$C,'SRV_BY Techs'!$B86)/8760</f>
        <v>8.3333333333333329E-2</v>
      </c>
      <c r="AD86" s="353">
        <f>SUMIFS('Key Inputs_BY Techs'!X:X,'Key Inputs_BY Techs'!$A:$A,'SRV_BY Techs'!$L86,'Key Inputs_BY Techs'!$C:$C,'SRV_BY Techs'!$B86)/8760</f>
        <v>8.3333333333333329E-2</v>
      </c>
      <c r="AE86" s="353">
        <f>SUMIFS('Key Inputs_BY Techs'!Y:Y,'Key Inputs_BY Techs'!$A:$A,'SRV_BY Techs'!$L86,'Key Inputs_BY Techs'!$C:$C,'SRV_BY Techs'!$B86)/8760</f>
        <v>8.3333333333333329E-2</v>
      </c>
      <c r="AF86" s="353">
        <f>SUMIFS('Key Inputs_BY Techs'!Z:Z,'Key Inputs_BY Techs'!$A:$A,'SRV_BY Techs'!$L86,'Key Inputs_BY Techs'!$C:$C,'SRV_BY Techs'!$B86)/8760</f>
        <v>8.3333333333333329E-2</v>
      </c>
      <c r="AG86" s="353">
        <f>SUMIFS('Key Inputs_BY Techs'!AA:AA,'Key Inputs_BY Techs'!$A:$A,'SRV_BY Techs'!$L86,'Key Inputs_BY Techs'!$C:$C,'SRV_BY Techs'!$B86)/8760</f>
        <v>8.3333333333333329E-2</v>
      </c>
      <c r="AH86" s="353">
        <f>SUMIFS('Key Inputs_BY Techs'!AB:AB,'Key Inputs_BY Techs'!$A:$A,'SRV_BY Techs'!$L86,'Key Inputs_BY Techs'!$C:$C,'SRV_BY Techs'!$B86)/8760</f>
        <v>8.3333333333333329E-2</v>
      </c>
      <c r="AI86" s="353">
        <f>SUMIFS('Key Inputs_BY Techs'!AC:AC,'Key Inputs_BY Techs'!$A:$A,'SRV_BY Techs'!$L86,'Key Inputs_BY Techs'!$C:$C,'SRV_BY Techs'!$B86)/8760</f>
        <v>8.3333333333333329E-2</v>
      </c>
      <c r="AJ86" s="353">
        <f>SUMIFS('Key Inputs_BY Techs'!AD:AD,'Key Inputs_BY Techs'!$A:$A,'SRV_BY Techs'!$L86,'Key Inputs_BY Techs'!$C:$C,'SRV_BY Techs'!$B86)/8760</f>
        <v>8.3333333333333329E-2</v>
      </c>
      <c r="AK86" s="353">
        <f>SUMIFS('Key Inputs_BY Techs'!AE:AE,'Key Inputs_BY Techs'!$A:$A,'SRV_BY Techs'!$L86,'Key Inputs_BY Techs'!$C:$C,'SRV_BY Techs'!$B86)/8760</f>
        <v>8.3333333333333329E-2</v>
      </c>
      <c r="AL86" s="353">
        <f>SUMIFS('Key Inputs_BY Techs'!AF:AF,'Key Inputs_BY Techs'!$A:$A,'SRV_BY Techs'!$L86,'Key Inputs_BY Techs'!$C:$C,'SRV_BY Techs'!$B86)/8760</f>
        <v>8.3333333333333329E-2</v>
      </c>
      <c r="AM86" s="353">
        <f>SUMIFS('Key Inputs_BY Techs'!AG:AG,'Key Inputs_BY Techs'!$A:$A,'SRV_BY Techs'!$L86,'Key Inputs_BY Techs'!$C:$C,'SRV_BY Techs'!$B86)/8760</f>
        <v>8.3333333333333329E-2</v>
      </c>
      <c r="AN86" s="353">
        <f>SUMIFS('Key Inputs_BY Techs'!AH:AH,'Key Inputs_BY Techs'!$A:$A,'SRV_BY Techs'!$L86,'Key Inputs_BY Techs'!$C:$C,'SRV_BY Techs'!$B86)/8760</f>
        <v>8.3333333333333329E-2</v>
      </c>
      <c r="AO86" s="353">
        <f>SUMIFS('Key Inputs_BY Techs'!AI:AI,'Key Inputs_BY Techs'!$A:$A,'SRV_BY Techs'!$L86,'Key Inputs_BY Techs'!$C:$C,'SRV_BY Techs'!$B86)/8760</f>
        <v>8.3333333333333329E-2</v>
      </c>
      <c r="AP86" s="353">
        <f>SUMIFS('Key Inputs_BY Techs'!AJ:AJ,'Key Inputs_BY Techs'!$A:$A,'SRV_BY Techs'!$L86,'Key Inputs_BY Techs'!$C:$C,'SRV_BY Techs'!$B86)/8760</f>
        <v>8.3333333333333329E-2</v>
      </c>
    </row>
    <row r="87" spans="1:42" x14ac:dyDescent="0.3">
      <c r="A87" s="499" t="str">
        <f t="shared" ref="A87:D87" si="26">A63</f>
        <v>Cooking</v>
      </c>
      <c r="B87" s="499" t="str">
        <f t="shared" si="26"/>
        <v>S-CK</v>
      </c>
      <c r="C87" s="499" t="str">
        <f t="shared" si="26"/>
        <v>Oil, Liquid biofuels</v>
      </c>
      <c r="D87" s="499" t="str">
        <f t="shared" si="26"/>
        <v>SRVOIL, SRVBLQ</v>
      </c>
      <c r="E87" s="499" t="str">
        <f t="shared" si="8"/>
        <v>SRVOIL</v>
      </c>
      <c r="F87" s="499"/>
      <c r="G87" s="499"/>
      <c r="I87" s="353" t="str">
        <f t="shared" si="9"/>
        <v>S-CK_OIL00</v>
      </c>
      <c r="J87" s="353" t="str">
        <f t="shared" si="9"/>
        <v>SRV Cooking technology: Oil, Liquid biofuels - Existing</v>
      </c>
      <c r="K87" s="353"/>
      <c r="L87" s="353" t="s">
        <v>452</v>
      </c>
      <c r="M87" s="357" t="s">
        <v>154</v>
      </c>
      <c r="N87" s="357"/>
      <c r="O87" s="353">
        <f>SUMIFS('Key Inputs_BY Techs'!I:I,'Key Inputs_BY Techs'!$A:$A,'SRV_BY Techs'!$L87,'Key Inputs_BY Techs'!$C:$C,'SRV_BY Techs'!$B87)/8760</f>
        <v>8.3333333333333329E-2</v>
      </c>
      <c r="P87" s="353">
        <f>SUMIFS('Key Inputs_BY Techs'!J:J,'Key Inputs_BY Techs'!$A:$A,'SRV_BY Techs'!$L87,'Key Inputs_BY Techs'!$C:$C,'SRV_BY Techs'!$B87)/8760</f>
        <v>8.3333333333333329E-2</v>
      </c>
      <c r="Q87" s="353">
        <f>SUMIFS('Key Inputs_BY Techs'!K:K,'Key Inputs_BY Techs'!$A:$A,'SRV_BY Techs'!$L87,'Key Inputs_BY Techs'!$C:$C,'SRV_BY Techs'!$B87)/8760</f>
        <v>8.3333333333333329E-2</v>
      </c>
      <c r="R87" s="353">
        <f>SUMIFS('Key Inputs_BY Techs'!L:L,'Key Inputs_BY Techs'!$A:$A,'SRV_BY Techs'!$L87,'Key Inputs_BY Techs'!$C:$C,'SRV_BY Techs'!$B87)/8760</f>
        <v>8.3333333333333329E-2</v>
      </c>
      <c r="S87" s="353">
        <f>SUMIFS('Key Inputs_BY Techs'!M:M,'Key Inputs_BY Techs'!$A:$A,'SRV_BY Techs'!$L87,'Key Inputs_BY Techs'!$C:$C,'SRV_BY Techs'!$B87)/8760</f>
        <v>8.3333333333333329E-2</v>
      </c>
      <c r="T87" s="353">
        <f>SUMIFS('Key Inputs_BY Techs'!N:N,'Key Inputs_BY Techs'!$A:$A,'SRV_BY Techs'!$L87,'Key Inputs_BY Techs'!$C:$C,'SRV_BY Techs'!$B87)/8760</f>
        <v>8.3333333333333329E-2</v>
      </c>
      <c r="U87" s="353">
        <f>SUMIFS('Key Inputs_BY Techs'!O:O,'Key Inputs_BY Techs'!$A:$A,'SRV_BY Techs'!$L87,'Key Inputs_BY Techs'!$C:$C,'SRV_BY Techs'!$B87)/8760</f>
        <v>8.3333333333333329E-2</v>
      </c>
      <c r="V87" s="353">
        <f>SUMIFS('Key Inputs_BY Techs'!P:P,'Key Inputs_BY Techs'!$A:$A,'SRV_BY Techs'!$L87,'Key Inputs_BY Techs'!$C:$C,'SRV_BY Techs'!$B87)/8760</f>
        <v>8.3333333333333329E-2</v>
      </c>
      <c r="W87" s="353">
        <f>SUMIFS('Key Inputs_BY Techs'!Q:Q,'Key Inputs_BY Techs'!$A:$A,'SRV_BY Techs'!$L87,'Key Inputs_BY Techs'!$C:$C,'SRV_BY Techs'!$B87)/8760</f>
        <v>8.3333333333333329E-2</v>
      </c>
      <c r="X87" s="353">
        <f>SUMIFS('Key Inputs_BY Techs'!R:R,'Key Inputs_BY Techs'!$A:$A,'SRV_BY Techs'!$L87,'Key Inputs_BY Techs'!$C:$C,'SRV_BY Techs'!$B87)/8760</f>
        <v>8.3333333333333329E-2</v>
      </c>
      <c r="Y87" s="353">
        <f>SUMIFS('Key Inputs_BY Techs'!S:S,'Key Inputs_BY Techs'!$A:$A,'SRV_BY Techs'!$L87,'Key Inputs_BY Techs'!$C:$C,'SRV_BY Techs'!$B87)/8760</f>
        <v>8.3333333333333329E-2</v>
      </c>
      <c r="Z87" s="353">
        <f>SUMIFS('Key Inputs_BY Techs'!T:T,'Key Inputs_BY Techs'!$A:$A,'SRV_BY Techs'!$L87,'Key Inputs_BY Techs'!$C:$C,'SRV_BY Techs'!$B87)/8760</f>
        <v>8.3333333333333329E-2</v>
      </c>
      <c r="AA87" s="353">
        <f>SUMIFS('Key Inputs_BY Techs'!U:U,'Key Inputs_BY Techs'!$A:$A,'SRV_BY Techs'!$L87,'Key Inputs_BY Techs'!$C:$C,'SRV_BY Techs'!$B87)/8760</f>
        <v>8.3333333333333329E-2</v>
      </c>
      <c r="AB87" s="353">
        <f>SUMIFS('Key Inputs_BY Techs'!V:V,'Key Inputs_BY Techs'!$A:$A,'SRV_BY Techs'!$L87,'Key Inputs_BY Techs'!$C:$C,'SRV_BY Techs'!$B87)/8760</f>
        <v>8.3333333333333329E-2</v>
      </c>
      <c r="AC87" s="353">
        <f>SUMIFS('Key Inputs_BY Techs'!W:W,'Key Inputs_BY Techs'!$A:$A,'SRV_BY Techs'!$L87,'Key Inputs_BY Techs'!$C:$C,'SRV_BY Techs'!$B87)/8760</f>
        <v>8.3333333333333329E-2</v>
      </c>
      <c r="AD87" s="353">
        <f>SUMIFS('Key Inputs_BY Techs'!X:X,'Key Inputs_BY Techs'!$A:$A,'SRV_BY Techs'!$L87,'Key Inputs_BY Techs'!$C:$C,'SRV_BY Techs'!$B87)/8760</f>
        <v>8.3333333333333329E-2</v>
      </c>
      <c r="AE87" s="353">
        <f>SUMIFS('Key Inputs_BY Techs'!Y:Y,'Key Inputs_BY Techs'!$A:$A,'SRV_BY Techs'!$L87,'Key Inputs_BY Techs'!$C:$C,'SRV_BY Techs'!$B87)/8760</f>
        <v>8.3333333333333329E-2</v>
      </c>
      <c r="AF87" s="353">
        <f>SUMIFS('Key Inputs_BY Techs'!Z:Z,'Key Inputs_BY Techs'!$A:$A,'SRV_BY Techs'!$L87,'Key Inputs_BY Techs'!$C:$C,'SRV_BY Techs'!$B87)/8760</f>
        <v>8.3333333333333329E-2</v>
      </c>
      <c r="AG87" s="353">
        <f>SUMIFS('Key Inputs_BY Techs'!AA:AA,'Key Inputs_BY Techs'!$A:$A,'SRV_BY Techs'!$L87,'Key Inputs_BY Techs'!$C:$C,'SRV_BY Techs'!$B87)/8760</f>
        <v>8.3333333333333329E-2</v>
      </c>
      <c r="AH87" s="353">
        <f>SUMIFS('Key Inputs_BY Techs'!AB:AB,'Key Inputs_BY Techs'!$A:$A,'SRV_BY Techs'!$L87,'Key Inputs_BY Techs'!$C:$C,'SRV_BY Techs'!$B87)/8760</f>
        <v>8.3333333333333329E-2</v>
      </c>
      <c r="AI87" s="353">
        <f>SUMIFS('Key Inputs_BY Techs'!AC:AC,'Key Inputs_BY Techs'!$A:$A,'SRV_BY Techs'!$L87,'Key Inputs_BY Techs'!$C:$C,'SRV_BY Techs'!$B87)/8760</f>
        <v>8.3333333333333329E-2</v>
      </c>
      <c r="AJ87" s="353">
        <f>SUMIFS('Key Inputs_BY Techs'!AD:AD,'Key Inputs_BY Techs'!$A:$A,'SRV_BY Techs'!$L87,'Key Inputs_BY Techs'!$C:$C,'SRV_BY Techs'!$B87)/8760</f>
        <v>8.3333333333333329E-2</v>
      </c>
      <c r="AK87" s="353">
        <f>SUMIFS('Key Inputs_BY Techs'!AE:AE,'Key Inputs_BY Techs'!$A:$A,'SRV_BY Techs'!$L87,'Key Inputs_BY Techs'!$C:$C,'SRV_BY Techs'!$B87)/8760</f>
        <v>8.3333333333333329E-2</v>
      </c>
      <c r="AL87" s="353">
        <f>SUMIFS('Key Inputs_BY Techs'!AF:AF,'Key Inputs_BY Techs'!$A:$A,'SRV_BY Techs'!$L87,'Key Inputs_BY Techs'!$C:$C,'SRV_BY Techs'!$B87)/8760</f>
        <v>8.3333333333333329E-2</v>
      </c>
      <c r="AM87" s="353">
        <f>SUMIFS('Key Inputs_BY Techs'!AG:AG,'Key Inputs_BY Techs'!$A:$A,'SRV_BY Techs'!$L87,'Key Inputs_BY Techs'!$C:$C,'SRV_BY Techs'!$B87)/8760</f>
        <v>8.3333333333333329E-2</v>
      </c>
      <c r="AN87" s="353">
        <f>SUMIFS('Key Inputs_BY Techs'!AH:AH,'Key Inputs_BY Techs'!$A:$A,'SRV_BY Techs'!$L87,'Key Inputs_BY Techs'!$C:$C,'SRV_BY Techs'!$B87)/8760</f>
        <v>8.3333333333333329E-2</v>
      </c>
      <c r="AO87" s="353">
        <f>SUMIFS('Key Inputs_BY Techs'!AI:AI,'Key Inputs_BY Techs'!$A:$A,'SRV_BY Techs'!$L87,'Key Inputs_BY Techs'!$C:$C,'SRV_BY Techs'!$B87)/8760</f>
        <v>8.3333333333333329E-2</v>
      </c>
      <c r="AP87" s="353">
        <f>SUMIFS('Key Inputs_BY Techs'!AJ:AJ,'Key Inputs_BY Techs'!$A:$A,'SRV_BY Techs'!$L87,'Key Inputs_BY Techs'!$C:$C,'SRV_BY Techs'!$B87)/8760</f>
        <v>8.3333333333333329E-2</v>
      </c>
    </row>
    <row r="88" spans="1:42" x14ac:dyDescent="0.3">
      <c r="A88" s="499" t="str">
        <f t="shared" ref="A88:D88" si="27">A64</f>
        <v>Cooking</v>
      </c>
      <c r="B88" s="499" t="str">
        <f t="shared" si="27"/>
        <v>S-CK</v>
      </c>
      <c r="C88" s="499" t="str">
        <f t="shared" si="27"/>
        <v>Solar</v>
      </c>
      <c r="D88" s="499" t="str">
        <f t="shared" si="27"/>
        <v>SRVSOL</v>
      </c>
      <c r="E88" s="503" t="str">
        <f t="shared" si="8"/>
        <v>SRVSOL</v>
      </c>
      <c r="F88" s="503"/>
      <c r="G88" s="503"/>
      <c r="I88" s="356" t="str">
        <f t="shared" si="9"/>
        <v>S-CK_SOL00</v>
      </c>
      <c r="J88" s="356" t="str">
        <f t="shared" si="9"/>
        <v>SRV Cooking technology: Solar - Existing</v>
      </c>
      <c r="K88" s="356"/>
      <c r="L88" s="356" t="s">
        <v>452</v>
      </c>
      <c r="M88" s="356" t="s">
        <v>154</v>
      </c>
      <c r="N88" s="356"/>
      <c r="O88" s="356">
        <f>SUMIFS('Key Inputs_BY Techs'!I:I,'Key Inputs_BY Techs'!$A:$A,'SRV_BY Techs'!$L88,'Key Inputs_BY Techs'!$C:$C,'SRV_BY Techs'!$B88)/8760</f>
        <v>8.3333333333333329E-2</v>
      </c>
      <c r="P88" s="356">
        <f>SUMIFS('Key Inputs_BY Techs'!J:J,'Key Inputs_BY Techs'!$A:$A,'SRV_BY Techs'!$L88,'Key Inputs_BY Techs'!$C:$C,'SRV_BY Techs'!$B88)/8760</f>
        <v>8.3333333333333329E-2</v>
      </c>
      <c r="Q88" s="356">
        <f>SUMIFS('Key Inputs_BY Techs'!K:K,'Key Inputs_BY Techs'!$A:$A,'SRV_BY Techs'!$L88,'Key Inputs_BY Techs'!$C:$C,'SRV_BY Techs'!$B88)/8760</f>
        <v>8.3333333333333329E-2</v>
      </c>
      <c r="R88" s="356">
        <f>SUMIFS('Key Inputs_BY Techs'!L:L,'Key Inputs_BY Techs'!$A:$A,'SRV_BY Techs'!$L88,'Key Inputs_BY Techs'!$C:$C,'SRV_BY Techs'!$B88)/8760</f>
        <v>8.3333333333333329E-2</v>
      </c>
      <c r="S88" s="356">
        <f>SUMIFS('Key Inputs_BY Techs'!M:M,'Key Inputs_BY Techs'!$A:$A,'SRV_BY Techs'!$L88,'Key Inputs_BY Techs'!$C:$C,'SRV_BY Techs'!$B88)/8760</f>
        <v>8.3333333333333329E-2</v>
      </c>
      <c r="T88" s="356">
        <f>SUMIFS('Key Inputs_BY Techs'!N:N,'Key Inputs_BY Techs'!$A:$A,'SRV_BY Techs'!$L88,'Key Inputs_BY Techs'!$C:$C,'SRV_BY Techs'!$B88)/8760</f>
        <v>8.3333333333333329E-2</v>
      </c>
      <c r="U88" s="356">
        <f>SUMIFS('Key Inputs_BY Techs'!O:O,'Key Inputs_BY Techs'!$A:$A,'SRV_BY Techs'!$L88,'Key Inputs_BY Techs'!$C:$C,'SRV_BY Techs'!$B88)/8760</f>
        <v>8.3333333333333329E-2</v>
      </c>
      <c r="V88" s="356">
        <f>SUMIFS('Key Inputs_BY Techs'!P:P,'Key Inputs_BY Techs'!$A:$A,'SRV_BY Techs'!$L88,'Key Inputs_BY Techs'!$C:$C,'SRV_BY Techs'!$B88)/8760</f>
        <v>8.3333333333333329E-2</v>
      </c>
      <c r="W88" s="356">
        <f>SUMIFS('Key Inputs_BY Techs'!Q:Q,'Key Inputs_BY Techs'!$A:$A,'SRV_BY Techs'!$L88,'Key Inputs_BY Techs'!$C:$C,'SRV_BY Techs'!$B88)/8760</f>
        <v>8.3333333333333329E-2</v>
      </c>
      <c r="X88" s="356">
        <f>SUMIFS('Key Inputs_BY Techs'!R:R,'Key Inputs_BY Techs'!$A:$A,'SRV_BY Techs'!$L88,'Key Inputs_BY Techs'!$C:$C,'SRV_BY Techs'!$B88)/8760</f>
        <v>8.3333333333333329E-2</v>
      </c>
      <c r="Y88" s="356">
        <f>SUMIFS('Key Inputs_BY Techs'!S:S,'Key Inputs_BY Techs'!$A:$A,'SRV_BY Techs'!$L88,'Key Inputs_BY Techs'!$C:$C,'SRV_BY Techs'!$B88)/8760</f>
        <v>8.3333333333333329E-2</v>
      </c>
      <c r="Z88" s="356">
        <f>SUMIFS('Key Inputs_BY Techs'!T:T,'Key Inputs_BY Techs'!$A:$A,'SRV_BY Techs'!$L88,'Key Inputs_BY Techs'!$C:$C,'SRV_BY Techs'!$B88)/8760</f>
        <v>8.3333333333333329E-2</v>
      </c>
      <c r="AA88" s="356">
        <f>SUMIFS('Key Inputs_BY Techs'!U:U,'Key Inputs_BY Techs'!$A:$A,'SRV_BY Techs'!$L88,'Key Inputs_BY Techs'!$C:$C,'SRV_BY Techs'!$B88)/8760</f>
        <v>8.3333333333333329E-2</v>
      </c>
      <c r="AB88" s="356">
        <f>SUMIFS('Key Inputs_BY Techs'!V:V,'Key Inputs_BY Techs'!$A:$A,'SRV_BY Techs'!$L88,'Key Inputs_BY Techs'!$C:$C,'SRV_BY Techs'!$B88)/8760</f>
        <v>8.3333333333333329E-2</v>
      </c>
      <c r="AC88" s="356">
        <f>SUMIFS('Key Inputs_BY Techs'!W:W,'Key Inputs_BY Techs'!$A:$A,'SRV_BY Techs'!$L88,'Key Inputs_BY Techs'!$C:$C,'SRV_BY Techs'!$B88)/8760</f>
        <v>8.3333333333333329E-2</v>
      </c>
      <c r="AD88" s="356">
        <f>SUMIFS('Key Inputs_BY Techs'!X:X,'Key Inputs_BY Techs'!$A:$A,'SRV_BY Techs'!$L88,'Key Inputs_BY Techs'!$C:$C,'SRV_BY Techs'!$B88)/8760</f>
        <v>8.3333333333333329E-2</v>
      </c>
      <c r="AE88" s="356">
        <f>SUMIFS('Key Inputs_BY Techs'!Y:Y,'Key Inputs_BY Techs'!$A:$A,'SRV_BY Techs'!$L88,'Key Inputs_BY Techs'!$C:$C,'SRV_BY Techs'!$B88)/8760</f>
        <v>8.3333333333333329E-2</v>
      </c>
      <c r="AF88" s="356">
        <f>SUMIFS('Key Inputs_BY Techs'!Z:Z,'Key Inputs_BY Techs'!$A:$A,'SRV_BY Techs'!$L88,'Key Inputs_BY Techs'!$C:$C,'SRV_BY Techs'!$B88)/8760</f>
        <v>8.3333333333333329E-2</v>
      </c>
      <c r="AG88" s="356">
        <f>SUMIFS('Key Inputs_BY Techs'!AA:AA,'Key Inputs_BY Techs'!$A:$A,'SRV_BY Techs'!$L88,'Key Inputs_BY Techs'!$C:$C,'SRV_BY Techs'!$B88)/8760</f>
        <v>8.3333333333333329E-2</v>
      </c>
      <c r="AH88" s="356">
        <f>SUMIFS('Key Inputs_BY Techs'!AB:AB,'Key Inputs_BY Techs'!$A:$A,'SRV_BY Techs'!$L88,'Key Inputs_BY Techs'!$C:$C,'SRV_BY Techs'!$B88)/8760</f>
        <v>8.3333333333333329E-2</v>
      </c>
      <c r="AI88" s="356">
        <f>SUMIFS('Key Inputs_BY Techs'!AC:AC,'Key Inputs_BY Techs'!$A:$A,'SRV_BY Techs'!$L88,'Key Inputs_BY Techs'!$C:$C,'SRV_BY Techs'!$B88)/8760</f>
        <v>8.3333333333333329E-2</v>
      </c>
      <c r="AJ88" s="356">
        <f>SUMIFS('Key Inputs_BY Techs'!AD:AD,'Key Inputs_BY Techs'!$A:$A,'SRV_BY Techs'!$L88,'Key Inputs_BY Techs'!$C:$C,'SRV_BY Techs'!$B88)/8760</f>
        <v>8.3333333333333329E-2</v>
      </c>
      <c r="AK88" s="356">
        <f>SUMIFS('Key Inputs_BY Techs'!AE:AE,'Key Inputs_BY Techs'!$A:$A,'SRV_BY Techs'!$L88,'Key Inputs_BY Techs'!$C:$C,'SRV_BY Techs'!$B88)/8760</f>
        <v>8.3333333333333329E-2</v>
      </c>
      <c r="AL88" s="356">
        <f>SUMIFS('Key Inputs_BY Techs'!AF:AF,'Key Inputs_BY Techs'!$A:$A,'SRV_BY Techs'!$L88,'Key Inputs_BY Techs'!$C:$C,'SRV_BY Techs'!$B88)/8760</f>
        <v>8.3333333333333329E-2</v>
      </c>
      <c r="AM88" s="356">
        <f>SUMIFS('Key Inputs_BY Techs'!AG:AG,'Key Inputs_BY Techs'!$A:$A,'SRV_BY Techs'!$L88,'Key Inputs_BY Techs'!$C:$C,'SRV_BY Techs'!$B88)/8760</f>
        <v>8.3333333333333329E-2</v>
      </c>
      <c r="AN88" s="356">
        <f>SUMIFS('Key Inputs_BY Techs'!AH:AH,'Key Inputs_BY Techs'!$A:$A,'SRV_BY Techs'!$L88,'Key Inputs_BY Techs'!$C:$C,'SRV_BY Techs'!$B88)/8760</f>
        <v>8.3333333333333329E-2</v>
      </c>
      <c r="AO88" s="356">
        <f>SUMIFS('Key Inputs_BY Techs'!AI:AI,'Key Inputs_BY Techs'!$A:$A,'SRV_BY Techs'!$L88,'Key Inputs_BY Techs'!$C:$C,'SRV_BY Techs'!$B88)/8760</f>
        <v>8.3333333333333329E-2</v>
      </c>
      <c r="AP88" s="356">
        <f>SUMIFS('Key Inputs_BY Techs'!AJ:AJ,'Key Inputs_BY Techs'!$A:$A,'SRV_BY Techs'!$L88,'Key Inputs_BY Techs'!$C:$C,'SRV_BY Techs'!$B88)/8760</f>
        <v>8.3333333333333329E-2</v>
      </c>
    </row>
    <row r="89" spans="1:42" x14ac:dyDescent="0.3">
      <c r="A89" s="499" t="str">
        <f>A67</f>
        <v>Electric Appliances</v>
      </c>
      <c r="B89" s="499" t="str">
        <f>B67</f>
        <v>S-EAP</v>
      </c>
      <c r="C89" s="499" t="str">
        <f>C67</f>
        <v>Electricity</v>
      </c>
      <c r="D89" s="499" t="str">
        <f>D67</f>
        <v>SRVELC</v>
      </c>
      <c r="E89" s="503" t="str">
        <f>E67</f>
        <v>SRVELC</v>
      </c>
      <c r="F89" s="503"/>
      <c r="G89" s="503"/>
      <c r="I89" s="108" t="str">
        <f>I27</f>
        <v>S-EAP_ELC00</v>
      </c>
      <c r="J89" s="108" t="str">
        <f>J27</f>
        <v>SRV Electric Appliances technology: Electricity - Existing</v>
      </c>
      <c r="K89" s="108"/>
      <c r="L89" s="108" t="s">
        <v>452</v>
      </c>
      <c r="M89" s="108" t="s">
        <v>154</v>
      </c>
      <c r="N89" s="108"/>
      <c r="O89" s="108">
        <f>SUMIFS('Key Inputs_BY Techs'!I:I,'Key Inputs_BY Techs'!$A:$A,'SRV_BY Techs'!$L89,'Key Inputs_BY Techs'!$C:$C,'SRV_BY Techs'!$B89)/8760</f>
        <v>0.23744292237442921</v>
      </c>
      <c r="P89" s="108">
        <f>SUMIFS('Key Inputs_BY Techs'!J:J,'Key Inputs_BY Techs'!$A:$A,'SRV_BY Techs'!$L89,'Key Inputs_BY Techs'!$C:$C,'SRV_BY Techs'!$B89)/8760</f>
        <v>0.23744292237442921</v>
      </c>
      <c r="Q89" s="108">
        <f>SUMIFS('Key Inputs_BY Techs'!K:K,'Key Inputs_BY Techs'!$A:$A,'SRV_BY Techs'!$L89,'Key Inputs_BY Techs'!$C:$C,'SRV_BY Techs'!$B89)/8760</f>
        <v>0.23744292237442921</v>
      </c>
      <c r="R89" s="108">
        <f>SUMIFS('Key Inputs_BY Techs'!L:L,'Key Inputs_BY Techs'!$A:$A,'SRV_BY Techs'!$L89,'Key Inputs_BY Techs'!$C:$C,'SRV_BY Techs'!$B89)/8760</f>
        <v>0.23744292237442921</v>
      </c>
      <c r="S89" s="108">
        <f>SUMIFS('Key Inputs_BY Techs'!M:M,'Key Inputs_BY Techs'!$A:$A,'SRV_BY Techs'!$L89,'Key Inputs_BY Techs'!$C:$C,'SRV_BY Techs'!$B89)/8760</f>
        <v>0.23744292237442921</v>
      </c>
      <c r="T89" s="108">
        <f>SUMIFS('Key Inputs_BY Techs'!N:N,'Key Inputs_BY Techs'!$A:$A,'SRV_BY Techs'!$L89,'Key Inputs_BY Techs'!$C:$C,'SRV_BY Techs'!$B89)/8760</f>
        <v>0.23744292237442921</v>
      </c>
      <c r="U89" s="108">
        <f>SUMIFS('Key Inputs_BY Techs'!O:O,'Key Inputs_BY Techs'!$A:$A,'SRV_BY Techs'!$L89,'Key Inputs_BY Techs'!$C:$C,'SRV_BY Techs'!$B89)/8760</f>
        <v>0.23744292237442921</v>
      </c>
      <c r="V89" s="108">
        <f>SUMIFS('Key Inputs_BY Techs'!P:P,'Key Inputs_BY Techs'!$A:$A,'SRV_BY Techs'!$L89,'Key Inputs_BY Techs'!$C:$C,'SRV_BY Techs'!$B89)/8760</f>
        <v>0.23744292237442921</v>
      </c>
      <c r="W89" s="108">
        <f>SUMIFS('Key Inputs_BY Techs'!Q:Q,'Key Inputs_BY Techs'!$A:$A,'SRV_BY Techs'!$L89,'Key Inputs_BY Techs'!$C:$C,'SRV_BY Techs'!$B89)/8760</f>
        <v>0.23744292237442921</v>
      </c>
      <c r="X89" s="108">
        <f>SUMIFS('Key Inputs_BY Techs'!R:R,'Key Inputs_BY Techs'!$A:$A,'SRV_BY Techs'!$L89,'Key Inputs_BY Techs'!$C:$C,'SRV_BY Techs'!$B89)/8760</f>
        <v>0.23744292237442921</v>
      </c>
      <c r="Y89" s="108">
        <f>SUMIFS('Key Inputs_BY Techs'!S:S,'Key Inputs_BY Techs'!$A:$A,'SRV_BY Techs'!$L89,'Key Inputs_BY Techs'!$C:$C,'SRV_BY Techs'!$B89)/8760</f>
        <v>0.23744292237442921</v>
      </c>
      <c r="Z89" s="108">
        <f>SUMIFS('Key Inputs_BY Techs'!T:T,'Key Inputs_BY Techs'!$A:$A,'SRV_BY Techs'!$L89,'Key Inputs_BY Techs'!$C:$C,'SRV_BY Techs'!$B89)/8760</f>
        <v>0.23744292237442921</v>
      </c>
      <c r="AA89" s="108">
        <f>SUMIFS('Key Inputs_BY Techs'!U:U,'Key Inputs_BY Techs'!$A:$A,'SRV_BY Techs'!$L89,'Key Inputs_BY Techs'!$C:$C,'SRV_BY Techs'!$B89)/8760</f>
        <v>0.23744292237442921</v>
      </c>
      <c r="AB89" s="108">
        <f>SUMIFS('Key Inputs_BY Techs'!V:V,'Key Inputs_BY Techs'!$A:$A,'SRV_BY Techs'!$L89,'Key Inputs_BY Techs'!$C:$C,'SRV_BY Techs'!$B89)/8760</f>
        <v>0.23744292237442921</v>
      </c>
      <c r="AC89" s="108">
        <f>SUMIFS('Key Inputs_BY Techs'!W:W,'Key Inputs_BY Techs'!$A:$A,'SRV_BY Techs'!$L89,'Key Inputs_BY Techs'!$C:$C,'SRV_BY Techs'!$B89)/8760</f>
        <v>0.23744292237442921</v>
      </c>
      <c r="AD89" s="108">
        <f>SUMIFS('Key Inputs_BY Techs'!X:X,'Key Inputs_BY Techs'!$A:$A,'SRV_BY Techs'!$L89,'Key Inputs_BY Techs'!$C:$C,'SRV_BY Techs'!$B89)/8760</f>
        <v>0.23744292237442921</v>
      </c>
      <c r="AE89" s="108">
        <f>SUMIFS('Key Inputs_BY Techs'!Y:Y,'Key Inputs_BY Techs'!$A:$A,'SRV_BY Techs'!$L89,'Key Inputs_BY Techs'!$C:$C,'SRV_BY Techs'!$B89)/8760</f>
        <v>0.23744292237442921</v>
      </c>
      <c r="AF89" s="108">
        <f>SUMIFS('Key Inputs_BY Techs'!Z:Z,'Key Inputs_BY Techs'!$A:$A,'SRV_BY Techs'!$L89,'Key Inputs_BY Techs'!$C:$C,'SRV_BY Techs'!$B89)/8760</f>
        <v>0.23744292237442921</v>
      </c>
      <c r="AG89" s="108">
        <f>SUMIFS('Key Inputs_BY Techs'!AA:AA,'Key Inputs_BY Techs'!$A:$A,'SRV_BY Techs'!$L89,'Key Inputs_BY Techs'!$C:$C,'SRV_BY Techs'!$B89)/8760</f>
        <v>0.23744292237442921</v>
      </c>
      <c r="AH89" s="108">
        <f>SUMIFS('Key Inputs_BY Techs'!AB:AB,'Key Inputs_BY Techs'!$A:$A,'SRV_BY Techs'!$L89,'Key Inputs_BY Techs'!$C:$C,'SRV_BY Techs'!$B89)/8760</f>
        <v>0.23744292237442921</v>
      </c>
      <c r="AI89" s="108">
        <f>SUMIFS('Key Inputs_BY Techs'!AC:AC,'Key Inputs_BY Techs'!$A:$A,'SRV_BY Techs'!$L89,'Key Inputs_BY Techs'!$C:$C,'SRV_BY Techs'!$B89)/8760</f>
        <v>0.23744292237442921</v>
      </c>
      <c r="AJ89" s="108">
        <f>SUMIFS('Key Inputs_BY Techs'!AD:AD,'Key Inputs_BY Techs'!$A:$A,'SRV_BY Techs'!$L89,'Key Inputs_BY Techs'!$C:$C,'SRV_BY Techs'!$B89)/8760</f>
        <v>0.23744292237442921</v>
      </c>
      <c r="AK89" s="108">
        <f>SUMIFS('Key Inputs_BY Techs'!AE:AE,'Key Inputs_BY Techs'!$A:$A,'SRV_BY Techs'!$L89,'Key Inputs_BY Techs'!$C:$C,'SRV_BY Techs'!$B89)/8760</f>
        <v>0.23744292237442921</v>
      </c>
      <c r="AL89" s="108">
        <f>SUMIFS('Key Inputs_BY Techs'!AF:AF,'Key Inputs_BY Techs'!$A:$A,'SRV_BY Techs'!$L89,'Key Inputs_BY Techs'!$C:$C,'SRV_BY Techs'!$B89)/8760</f>
        <v>0.23744292237442921</v>
      </c>
      <c r="AM89" s="108">
        <f>SUMIFS('Key Inputs_BY Techs'!AG:AG,'Key Inputs_BY Techs'!$A:$A,'SRV_BY Techs'!$L89,'Key Inputs_BY Techs'!$C:$C,'SRV_BY Techs'!$B89)/8760</f>
        <v>0.23744292237442921</v>
      </c>
      <c r="AN89" s="108">
        <f>SUMIFS('Key Inputs_BY Techs'!AH:AH,'Key Inputs_BY Techs'!$A:$A,'SRV_BY Techs'!$L89,'Key Inputs_BY Techs'!$C:$C,'SRV_BY Techs'!$B89)/8760</f>
        <v>0.23744292237442921</v>
      </c>
      <c r="AO89" s="108">
        <f>SUMIFS('Key Inputs_BY Techs'!AI:AI,'Key Inputs_BY Techs'!$A:$A,'SRV_BY Techs'!$L89,'Key Inputs_BY Techs'!$C:$C,'SRV_BY Techs'!$B89)/8760</f>
        <v>0.23744292237442921</v>
      </c>
      <c r="AP89" s="108">
        <f>SUMIFS('Key Inputs_BY Techs'!AJ:AJ,'Key Inputs_BY Techs'!$A:$A,'SRV_BY Techs'!$L89,'Key Inputs_BY Techs'!$C:$C,'SRV_BY Techs'!$B89)/8760</f>
        <v>0.23744292237442921</v>
      </c>
    </row>
    <row r="90" spans="1:42" x14ac:dyDescent="0.3">
      <c r="I90" s="112" t="str">
        <f>"*"&amp;L91</f>
        <v>*PRC_RESID</v>
      </c>
      <c r="O90" s="110"/>
    </row>
    <row r="91" spans="1:42" x14ac:dyDescent="0.3">
      <c r="A91" s="499" t="str">
        <f t="shared" ref="A91:D112" si="28">A46</f>
        <v>Thermal uses</v>
      </c>
      <c r="B91" s="499" t="str">
        <f t="shared" si="28"/>
        <v>S-TH</v>
      </c>
      <c r="C91" s="499" t="str">
        <f t="shared" si="28"/>
        <v>Biomass, Waste</v>
      </c>
      <c r="D91" s="499" t="str">
        <f t="shared" si="28"/>
        <v>SRVBIO, SRVWAS</v>
      </c>
      <c r="E91" s="499" t="str">
        <f t="shared" ref="E91:E110" si="29">E46</f>
        <v>SRVBIO</v>
      </c>
      <c r="F91" s="499"/>
      <c r="G91" s="499"/>
      <c r="I91" s="351" t="str">
        <f t="shared" ref="I91:J113" si="30">I6</f>
        <v>S-TH-STV_BIO00</v>
      </c>
      <c r="J91" s="351" t="str">
        <f t="shared" si="30"/>
        <v>SRV Thermal uses technology: Biomass, Waste - Existing</v>
      </c>
      <c r="K91" s="351"/>
      <c r="L91" s="485" t="s">
        <v>689</v>
      </c>
      <c r="M91" s="347" t="str">
        <f>'Key Inputs_BY Techs'!F77</f>
        <v>GW</v>
      </c>
      <c r="N91" s="347"/>
      <c r="O91" s="486">
        <f>SUMIFS('Key Inputs_BY Techs'!I:I,'Key Inputs_BY Techs'!$A:$A,$L91,'Key Inputs_BY Techs'!$C:$C,'SRV_BY Techs'!$B91,'Key Inputs_BY Techs'!$D:$D,'SRV_BY Techs'!$C91)</f>
        <v>547.74230091428569</v>
      </c>
      <c r="P91" s="486">
        <f>SUMIFS('Key Inputs_BY Techs'!J:J,'Key Inputs_BY Techs'!$A:$A,$L91,'Key Inputs_BY Techs'!$C:$C,'SRV_BY Techs'!$B91,'Key Inputs_BY Techs'!$D:$D,'SRV_BY Techs'!$C91)</f>
        <v>10.631539408695653</v>
      </c>
      <c r="Q91" s="486">
        <f>SUMIFS('Key Inputs_BY Techs'!K:K,'Key Inputs_BY Techs'!$A:$A,$L91,'Key Inputs_BY Techs'!$C:$C,'SRV_BY Techs'!$B91,'Key Inputs_BY Techs'!$D:$D,'SRV_BY Techs'!$C91)</f>
        <v>864.36785804651163</v>
      </c>
      <c r="R91" s="486">
        <f>SUMIFS('Key Inputs_BY Techs'!L:L,'Key Inputs_BY Techs'!$A:$A,$L91,'Key Inputs_BY Techs'!$C:$C,'SRV_BY Techs'!$B91,'Key Inputs_BY Techs'!$D:$D,'SRV_BY Techs'!$C91)</f>
        <v>4.471362556701032</v>
      </c>
      <c r="S91" s="486">
        <f>SUMIFS('Key Inputs_BY Techs'!M:M,'Key Inputs_BY Techs'!$A:$A,$L91,'Key Inputs_BY Techs'!$C:$C,'SRV_BY Techs'!$B91,'Key Inputs_BY Techs'!$D:$D,'SRV_BY Techs'!$C91)</f>
        <v>0.35004874828060528</v>
      </c>
      <c r="T91" s="486">
        <f>SUMIFS('Key Inputs_BY Techs'!N:N,'Key Inputs_BY Techs'!$A:$A,$L91,'Key Inputs_BY Techs'!$C:$C,'SRV_BY Techs'!$B91,'Key Inputs_BY Techs'!$D:$D,'SRV_BY Techs'!$C91)</f>
        <v>0.43979537463976942</v>
      </c>
      <c r="U91" s="486">
        <f>SUMIFS('Key Inputs_BY Techs'!O:O,'Key Inputs_BY Techs'!$A:$A,$L91,'Key Inputs_BY Techs'!$C:$C,'SRV_BY Techs'!$B91,'Key Inputs_BY Techs'!$D:$D,'SRV_BY Techs'!$C91)</f>
        <v>172.35355499999997</v>
      </c>
      <c r="V91" s="486">
        <f>SUMIFS('Key Inputs_BY Techs'!P:P,'Key Inputs_BY Techs'!$A:$A,$L91,'Key Inputs_BY Techs'!$C:$C,'SRV_BY Techs'!$B91,'Key Inputs_BY Techs'!$D:$D,'SRV_BY Techs'!$C91)</f>
        <v>11.631649982964225</v>
      </c>
      <c r="W91" s="486">
        <f>SUMIFS('Key Inputs_BY Techs'!Q:Q,'Key Inputs_BY Techs'!$A:$A,$L91,'Key Inputs_BY Techs'!$C:$C,'SRV_BY Techs'!$B91,'Key Inputs_BY Techs'!$D:$D,'SRV_BY Techs'!$C91)</f>
        <v>13.320099000000004</v>
      </c>
      <c r="X91" s="486">
        <f>SUMIFS('Key Inputs_BY Techs'!R:R,'Key Inputs_BY Techs'!$A:$A,$L91,'Key Inputs_BY Techs'!$C:$C,'SRV_BY Techs'!$B91,'Key Inputs_BY Techs'!$D:$D,'SRV_BY Techs'!$C91)</f>
        <v>0</v>
      </c>
      <c r="Y91" s="486">
        <f>SUMIFS('Key Inputs_BY Techs'!S:S,'Key Inputs_BY Techs'!$A:$A,$L91,'Key Inputs_BY Techs'!$C:$C,'SRV_BY Techs'!$B91,'Key Inputs_BY Techs'!$D:$D,'SRV_BY Techs'!$C91)</f>
        <v>8.23961545595054E-2</v>
      </c>
      <c r="Z91" s="486">
        <f>SUMIFS('Key Inputs_BY Techs'!T:T,'Key Inputs_BY Techs'!$A:$A,$L91,'Key Inputs_BY Techs'!$C:$C,'SRV_BY Techs'!$B91,'Key Inputs_BY Techs'!$D:$D,'SRV_BY Techs'!$C91)</f>
        <v>9.7011736167664662</v>
      </c>
      <c r="AA91" s="486">
        <f>SUMIFS('Key Inputs_BY Techs'!U:U,'Key Inputs_BY Techs'!$A:$A,$L91,'Key Inputs_BY Techs'!$C:$C,'SRV_BY Techs'!$B91,'Key Inputs_BY Techs'!$D:$D,'SRV_BY Techs'!$C91)</f>
        <v>4.0088142253521122</v>
      </c>
      <c r="AB91" s="486">
        <f>SUMIFS('Key Inputs_BY Techs'!V:V,'Key Inputs_BY Techs'!$A:$A,$L91,'Key Inputs_BY Techs'!$C:$C,'SRV_BY Techs'!$B91,'Key Inputs_BY Techs'!$D:$D,'SRV_BY Techs'!$C91)</f>
        <v>7.6796941006097574</v>
      </c>
      <c r="AC91" s="486">
        <f>SUMIFS('Key Inputs_BY Techs'!W:W,'Key Inputs_BY Techs'!$A:$A,$L91,'Key Inputs_BY Techs'!$C:$C,'SRV_BY Techs'!$B91,'Key Inputs_BY Techs'!$D:$D,'SRV_BY Techs'!$C91)</f>
        <v>5.6238978005489475</v>
      </c>
      <c r="AD91" s="486">
        <f>SUMIFS('Key Inputs_BY Techs'!X:X,'Key Inputs_BY Techs'!$A:$A,$L91,'Key Inputs_BY Techs'!$C:$C,'SRV_BY Techs'!$B91,'Key Inputs_BY Techs'!$D:$D,'SRV_BY Techs'!$C91)</f>
        <v>12.556074037993177</v>
      </c>
      <c r="AE91" s="486">
        <f>SUMIFS('Key Inputs_BY Techs'!Y:Y,'Key Inputs_BY Techs'!$A:$A,$L91,'Key Inputs_BY Techs'!$C:$C,'SRV_BY Techs'!$B91,'Key Inputs_BY Techs'!$D:$D,'SRV_BY Techs'!$C91)</f>
        <v>26.569368000000001</v>
      </c>
      <c r="AF91" s="486">
        <f>SUMIFS('Key Inputs_BY Techs'!Z:Z,'Key Inputs_BY Techs'!$A:$A,$L91,'Key Inputs_BY Techs'!$C:$C,'SRV_BY Techs'!$B91,'Key Inputs_BY Techs'!$D:$D,'SRV_BY Techs'!$C91)</f>
        <v>1355.5785052173912</v>
      </c>
      <c r="AG91" s="486">
        <f>SUMIFS('Key Inputs_BY Techs'!AA:AA,'Key Inputs_BY Techs'!$A:$A,$L91,'Key Inputs_BY Techs'!$C:$C,'SRV_BY Techs'!$B91,'Key Inputs_BY Techs'!$D:$D,'SRV_BY Techs'!$C91)</f>
        <v>118.796436</v>
      </c>
      <c r="AH91" s="486">
        <f>SUMIFS('Key Inputs_BY Techs'!AB:AB,'Key Inputs_BY Techs'!$A:$A,$L91,'Key Inputs_BY Techs'!$C:$C,'SRV_BY Techs'!$B91,'Key Inputs_BY Techs'!$D:$D,'SRV_BY Techs'!$C91)</f>
        <v>48.180203629764065</v>
      </c>
      <c r="AI91" s="486">
        <f>SUMIFS('Key Inputs_BY Techs'!AC:AC,'Key Inputs_BY Techs'!$A:$A,$L91,'Key Inputs_BY Techs'!$C:$C,'SRV_BY Techs'!$B91,'Key Inputs_BY Techs'!$D:$D,'SRV_BY Techs'!$C91)</f>
        <v>22.819138686131385</v>
      </c>
      <c r="AJ91" s="486">
        <f>SUMIFS('Key Inputs_BY Techs'!AD:AD,'Key Inputs_BY Techs'!$A:$A,$L91,'Key Inputs_BY Techs'!$C:$C,'SRV_BY Techs'!$B91,'Key Inputs_BY Techs'!$D:$D,'SRV_BY Techs'!$C91)</f>
        <v>3.0671377732587695E-2</v>
      </c>
      <c r="AK91" s="486">
        <f>SUMIFS('Key Inputs_BY Techs'!AE:AE,'Key Inputs_BY Techs'!$A:$A,$L91,'Key Inputs_BY Techs'!$C:$C,'SRV_BY Techs'!$B91,'Key Inputs_BY Techs'!$D:$D,'SRV_BY Techs'!$C91)</f>
        <v>0</v>
      </c>
      <c r="AL91" s="486">
        <f>SUMIFS('Key Inputs_BY Techs'!AF:AF,'Key Inputs_BY Techs'!$A:$A,$L91,'Key Inputs_BY Techs'!$C:$C,'SRV_BY Techs'!$B91,'Key Inputs_BY Techs'!$D:$D,'SRV_BY Techs'!$C91)</f>
        <v>0</v>
      </c>
      <c r="AM91" s="486">
        <f>SUMIFS('Key Inputs_BY Techs'!AG:AG,'Key Inputs_BY Techs'!$A:$A,$L91,'Key Inputs_BY Techs'!$C:$C,'SRV_BY Techs'!$B91,'Key Inputs_BY Techs'!$D:$D,'SRV_BY Techs'!$C91)</f>
        <v>731.04233400000021</v>
      </c>
      <c r="AN91" s="486">
        <f>SUMIFS('Key Inputs_BY Techs'!AH:AH,'Key Inputs_BY Techs'!$A:$A,$L91,'Key Inputs_BY Techs'!$C:$C,'SRV_BY Techs'!$B91,'Key Inputs_BY Techs'!$D:$D,'SRV_BY Techs'!$C91)</f>
        <v>10.971258011257037</v>
      </c>
      <c r="AO91" s="486">
        <f>SUMIFS('Key Inputs_BY Techs'!AI:AI,'Key Inputs_BY Techs'!$A:$A,$L91,'Key Inputs_BY Techs'!$C:$C,'SRV_BY Techs'!$B91,'Key Inputs_BY Techs'!$D:$D,'SRV_BY Techs'!$C91)</f>
        <v>11.746315959885388</v>
      </c>
      <c r="AP91" s="486">
        <f>SUMIFS('Key Inputs_BY Techs'!AJ:AJ,'Key Inputs_BY Techs'!$A:$A,$L91,'Key Inputs_BY Techs'!$C:$C,'SRV_BY Techs'!$B91,'Key Inputs_BY Techs'!$D:$D,'SRV_BY Techs'!$C91)</f>
        <v>37.659362096293137</v>
      </c>
    </row>
    <row r="92" spans="1:42" x14ac:dyDescent="0.3">
      <c r="A92" s="499" t="str">
        <f t="shared" si="28"/>
        <v>Thermal uses</v>
      </c>
      <c r="B92" s="499" t="str">
        <f t="shared" si="28"/>
        <v>S-TH</v>
      </c>
      <c r="C92" s="499" t="str">
        <f t="shared" si="28"/>
        <v>Coal</v>
      </c>
      <c r="D92" s="499" t="str">
        <f t="shared" si="28"/>
        <v>SRVCOA</v>
      </c>
      <c r="E92" s="499" t="str">
        <f t="shared" si="29"/>
        <v>SRVCOA</v>
      </c>
      <c r="F92" s="499"/>
      <c r="G92" s="499"/>
      <c r="I92" s="103" t="str">
        <f t="shared" si="30"/>
        <v>S-TH-STV_COA00</v>
      </c>
      <c r="J92" s="103" t="str">
        <f t="shared" si="30"/>
        <v>SRV Thermal uses technology: Coal - Existing</v>
      </c>
      <c r="L92" s="103" t="s">
        <v>689</v>
      </c>
      <c r="M92" s="103" t="str">
        <f>'Key Inputs_BY Techs'!F78</f>
        <v>GW</v>
      </c>
      <c r="O92" s="487">
        <f>SUMIFS('Key Inputs_BY Techs'!I:I,'Key Inputs_BY Techs'!$A:$A,$L92,'Key Inputs_BY Techs'!$C:$C,'SRV_BY Techs'!$B92,'Key Inputs_BY Techs'!$D:$D,'SRV_BY Techs'!$C92)</f>
        <v>0</v>
      </c>
      <c r="P92" s="487">
        <f>SUMIFS('Key Inputs_BY Techs'!J:J,'Key Inputs_BY Techs'!$A:$A,$L92,'Key Inputs_BY Techs'!$C:$C,'SRV_BY Techs'!$B92,'Key Inputs_BY Techs'!$D:$D,'SRV_BY Techs'!$C92)</f>
        <v>0</v>
      </c>
      <c r="Q92" s="487">
        <f>SUMIFS('Key Inputs_BY Techs'!K:K,'Key Inputs_BY Techs'!$A:$A,$L92,'Key Inputs_BY Techs'!$C:$C,'SRV_BY Techs'!$B92,'Key Inputs_BY Techs'!$D:$D,'SRV_BY Techs'!$C92)</f>
        <v>0</v>
      </c>
      <c r="R92" s="487">
        <f>SUMIFS('Key Inputs_BY Techs'!L:L,'Key Inputs_BY Techs'!$A:$A,$L92,'Key Inputs_BY Techs'!$C:$C,'SRV_BY Techs'!$B92,'Key Inputs_BY Techs'!$D:$D,'SRV_BY Techs'!$C92)</f>
        <v>171.02092442010314</v>
      </c>
      <c r="S92" s="487">
        <f>SUMIFS('Key Inputs_BY Techs'!M:M,'Key Inputs_BY Techs'!$A:$A,$L92,'Key Inputs_BY Techs'!$C:$C,'SRV_BY Techs'!$B92,'Key Inputs_BY Techs'!$D:$D,'SRV_BY Techs'!$C92)</f>
        <v>2.5477236932599725</v>
      </c>
      <c r="T92" s="487">
        <f>SUMIFS('Key Inputs_BY Techs'!N:N,'Key Inputs_BY Techs'!$A:$A,$L92,'Key Inputs_BY Techs'!$C:$C,'SRV_BY Techs'!$B92,'Key Inputs_BY Techs'!$D:$D,'SRV_BY Techs'!$C92)</f>
        <v>26.894494776657066</v>
      </c>
      <c r="U92" s="487">
        <f>SUMIFS('Key Inputs_BY Techs'!O:O,'Key Inputs_BY Techs'!$A:$A,$L92,'Key Inputs_BY Techs'!$C:$C,'SRV_BY Techs'!$B92,'Key Inputs_BY Techs'!$D:$D,'SRV_BY Techs'!$C92)</f>
        <v>147.8360361328125</v>
      </c>
      <c r="V92" s="487">
        <f>SUMIFS('Key Inputs_BY Techs'!P:P,'Key Inputs_BY Techs'!$A:$A,$L92,'Key Inputs_BY Techs'!$C:$C,'SRV_BY Techs'!$B92,'Key Inputs_BY Techs'!$D:$D,'SRV_BY Techs'!$C92)</f>
        <v>0</v>
      </c>
      <c r="W92" s="487">
        <f>SUMIFS('Key Inputs_BY Techs'!Q:Q,'Key Inputs_BY Techs'!$A:$A,$L92,'Key Inputs_BY Techs'!$C:$C,'SRV_BY Techs'!$B92,'Key Inputs_BY Techs'!$D:$D,'SRV_BY Techs'!$C92)</f>
        <v>0</v>
      </c>
      <c r="X92" s="487">
        <f>SUMIFS('Key Inputs_BY Techs'!R:R,'Key Inputs_BY Techs'!$A:$A,$L92,'Key Inputs_BY Techs'!$C:$C,'SRV_BY Techs'!$B92,'Key Inputs_BY Techs'!$D:$D,'SRV_BY Techs'!$C92)</f>
        <v>0</v>
      </c>
      <c r="Y92" s="487">
        <f>SUMIFS('Key Inputs_BY Techs'!S:S,'Key Inputs_BY Techs'!$A:$A,$L92,'Key Inputs_BY Techs'!$C:$C,'SRV_BY Techs'!$B92,'Key Inputs_BY Techs'!$D:$D,'SRV_BY Techs'!$C92)</f>
        <v>0</v>
      </c>
      <c r="Z92" s="487">
        <f>SUMIFS('Key Inputs_BY Techs'!T:T,'Key Inputs_BY Techs'!$A:$A,$L92,'Key Inputs_BY Techs'!$C:$C,'SRV_BY Techs'!$B92,'Key Inputs_BY Techs'!$D:$D,'SRV_BY Techs'!$C92)</f>
        <v>10.483729111008753</v>
      </c>
      <c r="AA92" s="487">
        <f>SUMIFS('Key Inputs_BY Techs'!U:U,'Key Inputs_BY Techs'!$A:$A,$L92,'Key Inputs_BY Techs'!$C:$C,'SRV_BY Techs'!$B92,'Key Inputs_BY Techs'!$D:$D,'SRV_BY Techs'!$C92)</f>
        <v>7.788796214788734</v>
      </c>
      <c r="AB92" s="487">
        <f>SUMIFS('Key Inputs_BY Techs'!V:V,'Key Inputs_BY Techs'!$A:$A,$L92,'Key Inputs_BY Techs'!$C:$C,'SRV_BY Techs'!$B92,'Key Inputs_BY Techs'!$D:$D,'SRV_BY Techs'!$C92)</f>
        <v>0.2830435403963415</v>
      </c>
      <c r="AC92" s="487">
        <f>SUMIFS('Key Inputs_BY Techs'!W:W,'Key Inputs_BY Techs'!$A:$A,$L92,'Key Inputs_BY Techs'!$C:$C,'SRV_BY Techs'!$B92,'Key Inputs_BY Techs'!$D:$D,'SRV_BY Techs'!$C92)</f>
        <v>5.9613035681610249</v>
      </c>
      <c r="AD92" s="487">
        <f>SUMIFS('Key Inputs_BY Techs'!X:X,'Key Inputs_BY Techs'!$A:$A,$L92,'Key Inputs_BY Techs'!$C:$C,'SRV_BY Techs'!$B92,'Key Inputs_BY Techs'!$D:$D,'SRV_BY Techs'!$C92)</f>
        <v>0.83762816609839252</v>
      </c>
      <c r="AE92" s="487">
        <f>SUMIFS('Key Inputs_BY Techs'!Y:Y,'Key Inputs_BY Techs'!$A:$A,$L92,'Key Inputs_BY Techs'!$C:$C,'SRV_BY Techs'!$B92,'Key Inputs_BY Techs'!$D:$D,'SRV_BY Techs'!$C92)</f>
        <v>0.12150000000000001</v>
      </c>
      <c r="AF92" s="487">
        <f>SUMIFS('Key Inputs_BY Techs'!Z:Z,'Key Inputs_BY Techs'!$A:$A,$L92,'Key Inputs_BY Techs'!$C:$C,'SRV_BY Techs'!$B92,'Key Inputs_BY Techs'!$D:$D,'SRV_BY Techs'!$C92)</f>
        <v>822.98807608695643</v>
      </c>
      <c r="AG92" s="487">
        <f>SUMIFS('Key Inputs_BY Techs'!AA:AA,'Key Inputs_BY Techs'!$A:$A,$L92,'Key Inputs_BY Techs'!$C:$C,'SRV_BY Techs'!$B92,'Key Inputs_BY Techs'!$D:$D,'SRV_BY Techs'!$C92)</f>
        <v>0</v>
      </c>
      <c r="AH92" s="487">
        <f>SUMIFS('Key Inputs_BY Techs'!AB:AB,'Key Inputs_BY Techs'!$A:$A,$L92,'Key Inputs_BY Techs'!$C:$C,'SRV_BY Techs'!$B92,'Key Inputs_BY Techs'!$D:$D,'SRV_BY Techs'!$C92)</f>
        <v>2.7400603720508165</v>
      </c>
      <c r="AI92" s="487">
        <f>SUMIFS('Key Inputs_BY Techs'!AC:AC,'Key Inputs_BY Techs'!$A:$A,$L92,'Key Inputs_BY Techs'!$C:$C,'SRV_BY Techs'!$B92,'Key Inputs_BY Techs'!$D:$D,'SRV_BY Techs'!$C92)</f>
        <v>0</v>
      </c>
      <c r="AJ92" s="487">
        <f>SUMIFS('Key Inputs_BY Techs'!AD:AD,'Key Inputs_BY Techs'!$A:$A,$L92,'Key Inputs_BY Techs'!$C:$C,'SRV_BY Techs'!$B92,'Key Inputs_BY Techs'!$D:$D,'SRV_BY Techs'!$C92)</f>
        <v>65.106389107778341</v>
      </c>
      <c r="AK92" s="487">
        <f>SUMIFS('Key Inputs_BY Techs'!AE:AE,'Key Inputs_BY Techs'!$A:$A,$L92,'Key Inputs_BY Techs'!$C:$C,'SRV_BY Techs'!$B92,'Key Inputs_BY Techs'!$D:$D,'SRV_BY Techs'!$C92)</f>
        <v>0</v>
      </c>
      <c r="AL92" s="487">
        <f>SUMIFS('Key Inputs_BY Techs'!AF:AF,'Key Inputs_BY Techs'!$A:$A,$L92,'Key Inputs_BY Techs'!$C:$C,'SRV_BY Techs'!$B92,'Key Inputs_BY Techs'!$D:$D,'SRV_BY Techs'!$C92)</f>
        <v>0</v>
      </c>
      <c r="AM92" s="487">
        <f>SUMIFS('Key Inputs_BY Techs'!AG:AG,'Key Inputs_BY Techs'!$A:$A,$L92,'Key Inputs_BY Techs'!$C:$C,'SRV_BY Techs'!$B92,'Key Inputs_BY Techs'!$D:$D,'SRV_BY Techs'!$C92)</f>
        <v>0</v>
      </c>
      <c r="AN92" s="487">
        <f>SUMIFS('Key Inputs_BY Techs'!AH:AH,'Key Inputs_BY Techs'!$A:$A,$L92,'Key Inputs_BY Techs'!$C:$C,'SRV_BY Techs'!$B92,'Key Inputs_BY Techs'!$D:$D,'SRV_BY Techs'!$C92)</f>
        <v>7.9071460287679827</v>
      </c>
      <c r="AO92" s="487">
        <f>SUMIFS('Key Inputs_BY Techs'!AI:AI,'Key Inputs_BY Techs'!$A:$A,$L92,'Key Inputs_BY Techs'!$C:$C,'SRV_BY Techs'!$B92,'Key Inputs_BY Techs'!$D:$D,'SRV_BY Techs'!$C92)</f>
        <v>0</v>
      </c>
      <c r="AP92" s="487">
        <f>SUMIFS('Key Inputs_BY Techs'!AJ:AJ,'Key Inputs_BY Techs'!$A:$A,$L92,'Key Inputs_BY Techs'!$C:$C,'SRV_BY Techs'!$B92,'Key Inputs_BY Techs'!$D:$D,'SRV_BY Techs'!$C92)</f>
        <v>7.7593341499786961</v>
      </c>
    </row>
    <row r="93" spans="1:42" x14ac:dyDescent="0.3">
      <c r="A93" s="499" t="str">
        <f t="shared" si="28"/>
        <v>Thermal uses</v>
      </c>
      <c r="B93" s="499" t="str">
        <f t="shared" si="28"/>
        <v>S-TH</v>
      </c>
      <c r="C93" s="499" t="str">
        <f t="shared" si="28"/>
        <v>Electricity</v>
      </c>
      <c r="D93" s="499" t="str">
        <f t="shared" si="28"/>
        <v>SRVELC</v>
      </c>
      <c r="E93" s="499" t="str">
        <f t="shared" si="29"/>
        <v>SRVELC</v>
      </c>
      <c r="F93" s="499"/>
      <c r="G93" s="499"/>
      <c r="I93" s="103" t="str">
        <f t="shared" si="30"/>
        <v>S-TH-RST_ELC00</v>
      </c>
      <c r="J93" s="103" t="str">
        <f t="shared" si="30"/>
        <v>SRV Thermal uses technology: Electricity - Existing</v>
      </c>
      <c r="L93" s="103" t="s">
        <v>689</v>
      </c>
      <c r="M93" s="103" t="str">
        <f>'Key Inputs_BY Techs'!F79</f>
        <v>GW</v>
      </c>
      <c r="O93" s="487">
        <f>SUMIFS('Key Inputs_BY Techs'!I:I,'Key Inputs_BY Techs'!$A:$A,$L93,'Key Inputs_BY Techs'!$C:$C,'SRV_BY Techs'!$B93,'Key Inputs_BY Techs'!$D:$D,'SRV_BY Techs'!$C93)</f>
        <v>29.557684671428571</v>
      </c>
      <c r="P93" s="487">
        <f>SUMIFS('Key Inputs_BY Techs'!J:J,'Key Inputs_BY Techs'!$A:$A,$L93,'Key Inputs_BY Techs'!$C:$C,'SRV_BY Techs'!$B93,'Key Inputs_BY Techs'!$D:$D,'SRV_BY Techs'!$C93)</f>
        <v>16.571241978260868</v>
      </c>
      <c r="Q93" s="487">
        <f>SUMIFS('Key Inputs_BY Techs'!K:K,'Key Inputs_BY Techs'!$A:$A,$L93,'Key Inputs_BY Techs'!$C:$C,'SRV_BY Techs'!$B93,'Key Inputs_BY Techs'!$D:$D,'SRV_BY Techs'!$C93)</f>
        <v>92.705683604651156</v>
      </c>
      <c r="R93" s="487">
        <f>SUMIFS('Key Inputs_BY Techs'!L:L,'Key Inputs_BY Techs'!$A:$A,$L93,'Key Inputs_BY Techs'!$C:$C,'SRV_BY Techs'!$B93,'Key Inputs_BY Techs'!$D:$D,'SRV_BY Techs'!$C93)</f>
        <v>26.929760592525774</v>
      </c>
      <c r="S93" s="487">
        <f>SUMIFS('Key Inputs_BY Techs'!M:M,'Key Inputs_BY Techs'!$A:$A,$L93,'Key Inputs_BY Techs'!$C:$C,'SRV_BY Techs'!$B93,'Key Inputs_BY Techs'!$D:$D,'SRV_BY Techs'!$C93)</f>
        <v>84.512506938239355</v>
      </c>
      <c r="T93" s="487">
        <f>SUMIFS('Key Inputs_BY Techs'!N:N,'Key Inputs_BY Techs'!$A:$A,$L93,'Key Inputs_BY Techs'!$C:$C,'SRV_BY Techs'!$B93,'Key Inputs_BY Techs'!$D:$D,'SRV_BY Techs'!$C93)</f>
        <v>10.84429495244957</v>
      </c>
      <c r="U93" s="487">
        <f>SUMIFS('Key Inputs_BY Techs'!O:O,'Key Inputs_BY Techs'!$A:$A,$L93,'Key Inputs_BY Techs'!$C:$C,'SRV_BY Techs'!$B93,'Key Inputs_BY Techs'!$D:$D,'SRV_BY Techs'!$C93)</f>
        <v>1008.2904708164062</v>
      </c>
      <c r="V93" s="487">
        <f>SUMIFS('Key Inputs_BY Techs'!P:P,'Key Inputs_BY Techs'!$A:$A,$L93,'Key Inputs_BY Techs'!$C:$C,'SRV_BY Techs'!$B93,'Key Inputs_BY Techs'!$D:$D,'SRV_BY Techs'!$C93)</f>
        <v>25.398206210391823</v>
      </c>
      <c r="W93" s="487">
        <f>SUMIFS('Key Inputs_BY Techs'!Q:Q,'Key Inputs_BY Techs'!$A:$A,$L93,'Key Inputs_BY Techs'!$C:$C,'SRV_BY Techs'!$B93,'Key Inputs_BY Techs'!$D:$D,'SRV_BY Techs'!$C93)</f>
        <v>348.10139182500001</v>
      </c>
      <c r="X93" s="487">
        <f>SUMIFS('Key Inputs_BY Techs'!R:R,'Key Inputs_BY Techs'!$A:$A,$L93,'Key Inputs_BY Techs'!$C:$C,'SRV_BY Techs'!$B93,'Key Inputs_BY Techs'!$D:$D,'SRV_BY Techs'!$C93)</f>
        <v>36.329449698938994</v>
      </c>
      <c r="Y93" s="487">
        <f>SUMIFS('Key Inputs_BY Techs'!S:S,'Key Inputs_BY Techs'!$A:$A,$L93,'Key Inputs_BY Techs'!$C:$C,'SRV_BY Techs'!$B93,'Key Inputs_BY Techs'!$D:$D,'SRV_BY Techs'!$C93)</f>
        <v>1.0297230537867077</v>
      </c>
      <c r="Z93" s="487">
        <f>SUMIFS('Key Inputs_BY Techs'!T:T,'Key Inputs_BY Techs'!$A:$A,$L93,'Key Inputs_BY Techs'!$C:$C,'SRV_BY Techs'!$B93,'Key Inputs_BY Techs'!$D:$D,'SRV_BY Techs'!$C93)</f>
        <v>3.0000509369875634</v>
      </c>
      <c r="AA93" s="487">
        <f>SUMIFS('Key Inputs_BY Techs'!U:U,'Key Inputs_BY Techs'!$A:$A,$L93,'Key Inputs_BY Techs'!$C:$C,'SRV_BY Techs'!$B93,'Key Inputs_BY Techs'!$D:$D,'SRV_BY Techs'!$C93)</f>
        <v>15.118570267605635</v>
      </c>
      <c r="AB93" s="487">
        <f>SUMIFS('Key Inputs_BY Techs'!V:V,'Key Inputs_BY Techs'!$A:$A,$L93,'Key Inputs_BY Techs'!$C:$C,'SRV_BY Techs'!$B93,'Key Inputs_BY Techs'!$D:$D,'SRV_BY Techs'!$C93)</f>
        <v>58.460541082717221</v>
      </c>
      <c r="AC93" s="487">
        <f>SUMIFS('Key Inputs_BY Techs'!W:W,'Key Inputs_BY Techs'!$A:$A,$L93,'Key Inputs_BY Techs'!$C:$C,'SRV_BY Techs'!$B93,'Key Inputs_BY Techs'!$D:$D,'SRV_BY Techs'!$C93)</f>
        <v>23.202442235132661</v>
      </c>
      <c r="AD93" s="487">
        <f>SUMIFS('Key Inputs_BY Techs'!X:X,'Key Inputs_BY Techs'!$A:$A,$L93,'Key Inputs_BY Techs'!$C:$C,'SRV_BY Techs'!$B93,'Key Inputs_BY Techs'!$D:$D,'SRV_BY Techs'!$C93)</f>
        <v>187.76576854968334</v>
      </c>
      <c r="AE93" s="487">
        <f>SUMIFS('Key Inputs_BY Techs'!Y:Y,'Key Inputs_BY Techs'!$A:$A,$L93,'Key Inputs_BY Techs'!$C:$C,'SRV_BY Techs'!$B93,'Key Inputs_BY Techs'!$D:$D,'SRV_BY Techs'!$C93)</f>
        <v>101.67276734999999</v>
      </c>
      <c r="AF93" s="487">
        <f>SUMIFS('Key Inputs_BY Techs'!Z:Z,'Key Inputs_BY Techs'!$A:$A,$L93,'Key Inputs_BY Techs'!$C:$C,'SRV_BY Techs'!$B93,'Key Inputs_BY Techs'!$D:$D,'SRV_BY Techs'!$C93)</f>
        <v>2329.1165859260864</v>
      </c>
      <c r="AG93" s="487">
        <f>SUMIFS('Key Inputs_BY Techs'!AA:AA,'Key Inputs_BY Techs'!$A:$A,$L93,'Key Inputs_BY Techs'!$C:$C,'SRV_BY Techs'!$B93,'Key Inputs_BY Techs'!$D:$D,'SRV_BY Techs'!$C93)</f>
        <v>55.663760174506571</v>
      </c>
      <c r="AH93" s="487">
        <f>SUMIFS('Key Inputs_BY Techs'!AB:AB,'Key Inputs_BY Techs'!$A:$A,$L93,'Key Inputs_BY Techs'!$C:$C,'SRV_BY Techs'!$B93,'Key Inputs_BY Techs'!$D:$D,'SRV_BY Techs'!$C93)</f>
        <v>51.994721362976399</v>
      </c>
      <c r="AI93" s="487">
        <f>SUMIFS('Key Inputs_BY Techs'!AC:AC,'Key Inputs_BY Techs'!$A:$A,$L93,'Key Inputs_BY Techs'!$C:$C,'SRV_BY Techs'!$B93,'Key Inputs_BY Techs'!$D:$D,'SRV_BY Techs'!$C93)</f>
        <v>61.095668338686117</v>
      </c>
      <c r="AJ93" s="487">
        <f>SUMIFS('Key Inputs_BY Techs'!AD:AD,'Key Inputs_BY Techs'!$A:$A,$L93,'Key Inputs_BY Techs'!$C:$C,'SRV_BY Techs'!$B93,'Key Inputs_BY Techs'!$D:$D,'SRV_BY Techs'!$C93)</f>
        <v>28.29687634697509</v>
      </c>
      <c r="AK93" s="487">
        <f>SUMIFS('Key Inputs_BY Techs'!AE:AE,'Key Inputs_BY Techs'!$A:$A,$L93,'Key Inputs_BY Techs'!$C:$C,'SRV_BY Techs'!$B93,'Key Inputs_BY Techs'!$D:$D,'SRV_BY Techs'!$C93)</f>
        <v>96.453124097678128</v>
      </c>
      <c r="AL93" s="487">
        <f>SUMIFS('Key Inputs_BY Techs'!AF:AF,'Key Inputs_BY Techs'!$A:$A,$L93,'Key Inputs_BY Techs'!$C:$C,'SRV_BY Techs'!$B93,'Key Inputs_BY Techs'!$D:$D,'SRV_BY Techs'!$C93)</f>
        <v>38.499488255555555</v>
      </c>
      <c r="AM93" s="487">
        <f>SUMIFS('Key Inputs_BY Techs'!AG:AG,'Key Inputs_BY Techs'!$A:$A,$L93,'Key Inputs_BY Techs'!$C:$C,'SRV_BY Techs'!$B93,'Key Inputs_BY Techs'!$D:$D,'SRV_BY Techs'!$C93)</f>
        <v>46.325199271153849</v>
      </c>
      <c r="AN93" s="487">
        <f>SUMIFS('Key Inputs_BY Techs'!AH:AH,'Key Inputs_BY Techs'!$A:$A,$L93,'Key Inputs_BY Techs'!$C:$C,'SRV_BY Techs'!$B93,'Key Inputs_BY Techs'!$D:$D,'SRV_BY Techs'!$C93)</f>
        <v>34.606648360225144</v>
      </c>
      <c r="AO93" s="487">
        <f>SUMIFS('Key Inputs_BY Techs'!AI:AI,'Key Inputs_BY Techs'!$A:$A,$L93,'Key Inputs_BY Techs'!$C:$C,'SRV_BY Techs'!$B93,'Key Inputs_BY Techs'!$D:$D,'SRV_BY Techs'!$C93)</f>
        <v>25.454759356160459</v>
      </c>
      <c r="AP93" s="487">
        <f>SUMIFS('Key Inputs_BY Techs'!AJ:AJ,'Key Inputs_BY Techs'!$A:$A,$L93,'Key Inputs_BY Techs'!$C:$C,'SRV_BY Techs'!$B93,'Key Inputs_BY Techs'!$D:$D,'SRV_BY Techs'!$C93)</f>
        <v>293.17024907836395</v>
      </c>
    </row>
    <row r="94" spans="1:42" x14ac:dyDescent="0.3">
      <c r="A94" s="499" t="str">
        <f t="shared" si="28"/>
        <v>Thermal uses</v>
      </c>
      <c r="B94" s="499" t="str">
        <f t="shared" si="28"/>
        <v>S-TH</v>
      </c>
      <c r="C94" s="499" t="str">
        <f t="shared" si="28"/>
        <v>Electricity (Heat Pump)</v>
      </c>
      <c r="D94" s="499" t="str">
        <f t="shared" si="28"/>
        <v>SRVELC</v>
      </c>
      <c r="E94" s="499" t="str">
        <f t="shared" si="29"/>
        <v>SRVELC</v>
      </c>
      <c r="F94" s="499"/>
      <c r="G94" s="499"/>
      <c r="I94" s="103" t="str">
        <f t="shared" si="30"/>
        <v>S-TH-HPA_ELC00</v>
      </c>
      <c r="J94" s="103" t="str">
        <f t="shared" si="30"/>
        <v>SRV Thermal uses technology: Electricity (Heat Pump) - Existing</v>
      </c>
      <c r="L94" s="103" t="s">
        <v>689</v>
      </c>
      <c r="M94" s="103" t="str">
        <f>'Key Inputs_BY Techs'!F80</f>
        <v>GW</v>
      </c>
      <c r="O94" s="487">
        <f>SUMIFS('Key Inputs_BY Techs'!I:I,'Key Inputs_BY Techs'!$A:$A,$L94,'Key Inputs_BY Techs'!$C:$C,'SRV_BY Techs'!$B94,'Key Inputs_BY Techs'!$D:$D,'SRV_BY Techs'!$C94)</f>
        <v>8.8427569315555559</v>
      </c>
      <c r="P94" s="487">
        <f>SUMIFS('Key Inputs_BY Techs'!J:J,'Key Inputs_BY Techs'!$A:$A,$L94,'Key Inputs_BY Techs'!$C:$C,'SRV_BY Techs'!$B94,'Key Inputs_BY Techs'!$D:$D,'SRV_BY Techs'!$C94)</f>
        <v>4.9576097213526573</v>
      </c>
      <c r="Q94" s="487">
        <f>SUMIFS('Key Inputs_BY Techs'!K:K,'Key Inputs_BY Techs'!$A:$A,$L94,'Key Inputs_BY Techs'!$C:$C,'SRV_BY Techs'!$B94,'Key Inputs_BY Techs'!$D:$D,'SRV_BY Techs'!$C94)</f>
        <v>27.734710462015506</v>
      </c>
      <c r="R94" s="487">
        <f>SUMIFS('Key Inputs_BY Techs'!L:L,'Key Inputs_BY Techs'!$A:$A,$L94,'Key Inputs_BY Techs'!$C:$C,'SRV_BY Techs'!$B94,'Key Inputs_BY Techs'!$D:$D,'SRV_BY Techs'!$C94)</f>
        <v>8.0565622710927833</v>
      </c>
      <c r="S94" s="487">
        <f>SUMIFS('Key Inputs_BY Techs'!M:M,'Key Inputs_BY Techs'!$A:$A,$L94,'Key Inputs_BY Techs'!$C:$C,'SRV_BY Techs'!$B94,'Key Inputs_BY Techs'!$D:$D,'SRV_BY Techs'!$C94)</f>
        <v>22.574609036252482</v>
      </c>
      <c r="T94" s="487">
        <f>SUMIFS('Key Inputs_BY Techs'!N:N,'Key Inputs_BY Techs'!$A:$A,$L94,'Key Inputs_BY Techs'!$C:$C,'SRV_BY Techs'!$B94,'Key Inputs_BY Techs'!$D:$D,'SRV_BY Techs'!$C94)</f>
        <v>2.4042446968651943</v>
      </c>
      <c r="U94" s="487">
        <f>SUMIFS('Key Inputs_BY Techs'!O:O,'Key Inputs_BY Techs'!$A:$A,$L94,'Key Inputs_BY Techs'!$C:$C,'SRV_BY Techs'!$B94,'Key Inputs_BY Techs'!$D:$D,'SRV_BY Techs'!$C94)</f>
        <v>223.54399506742183</v>
      </c>
      <c r="V94" s="487">
        <f>SUMIFS('Key Inputs_BY Techs'!P:P,'Key Inputs_BY Techs'!$A:$A,$L94,'Key Inputs_BY Techs'!$C:$C,'SRV_BY Techs'!$B94,'Key Inputs_BY Techs'!$D:$D,'SRV_BY Techs'!$C94)</f>
        <v>6.7842571022146494</v>
      </c>
      <c r="W94" s="487">
        <f>SUMIFS('Key Inputs_BY Techs'!Q:Q,'Key Inputs_BY Techs'!$A:$A,$L94,'Key Inputs_BY Techs'!$C:$C,'SRV_BY Techs'!$B94,'Key Inputs_BY Techs'!$D:$D,'SRV_BY Techs'!$C94)</f>
        <v>104.14130976977779</v>
      </c>
      <c r="X94" s="487">
        <f>SUMIFS('Key Inputs_BY Techs'!R:R,'Key Inputs_BY Techs'!$A:$A,$L94,'Key Inputs_BY Techs'!$C:$C,'SRV_BY Techs'!$B94,'Key Inputs_BY Techs'!$D:$D,'SRV_BY Techs'!$C94)</f>
        <v>9.7041627703114273</v>
      </c>
      <c r="Y94" s="487">
        <f>SUMIFS('Key Inputs_BY Techs'!S:S,'Key Inputs_BY Techs'!$A:$A,$L94,'Key Inputs_BY Techs'!$C:$C,'SRV_BY Techs'!$B94,'Key Inputs_BY Techs'!$D:$D,'SRV_BY Techs'!$C94)</f>
        <v>0.30806170282534773</v>
      </c>
      <c r="Z94" s="487">
        <f>SUMIFS('Key Inputs_BY Techs'!T:T,'Key Inputs_BY Techs'!$A:$A,$L94,'Key Inputs_BY Techs'!$C:$C,'SRV_BY Techs'!$B94,'Key Inputs_BY Techs'!$D:$D,'SRV_BY Techs'!$C94)</f>
        <v>0.66512913815098007</v>
      </c>
      <c r="AA94" s="487">
        <f>SUMIFS('Key Inputs_BY Techs'!U:U,'Key Inputs_BY Techs'!$A:$A,$L94,'Key Inputs_BY Techs'!$C:$C,'SRV_BY Techs'!$B94,'Key Inputs_BY Techs'!$D:$D,'SRV_BY Techs'!$C94)</f>
        <v>4.523014691956182</v>
      </c>
      <c r="AB94" s="487">
        <f>SUMIFS('Key Inputs_BY Techs'!V:V,'Key Inputs_BY Techs'!$A:$A,$L94,'Key Inputs_BY Techs'!$C:$C,'SRV_BY Techs'!$B94,'Key Inputs_BY Techs'!$D:$D,'SRV_BY Techs'!$C94)</f>
        <v>17.489609237945121</v>
      </c>
      <c r="AC94" s="487">
        <f>SUMIFS('Key Inputs_BY Techs'!W:W,'Key Inputs_BY Techs'!$A:$A,$L94,'Key Inputs_BY Techs'!$C:$C,'SRV_BY Techs'!$B94,'Key Inputs_BY Techs'!$D:$D,'SRV_BY Techs'!$C94)</f>
        <v>6.941462404261463</v>
      </c>
      <c r="AD94" s="487">
        <f>SUMIFS('Key Inputs_BY Techs'!X:X,'Key Inputs_BY Techs'!$A:$A,$L94,'Key Inputs_BY Techs'!$C:$C,'SRV_BY Techs'!$B94,'Key Inputs_BY Techs'!$D:$D,'SRV_BY Techs'!$C94)</f>
        <v>41.628787788220478</v>
      </c>
      <c r="AE94" s="487">
        <f>SUMIFS('Key Inputs_BY Techs'!Y:Y,'Key Inputs_BY Techs'!$A:$A,$L94,'Key Inputs_BY Techs'!$C:$C,'SRV_BY Techs'!$B94,'Key Inputs_BY Techs'!$D:$D,'SRV_BY Techs'!$C94)</f>
        <v>22.541457308999995</v>
      </c>
      <c r="AF94" s="487">
        <f>SUMIFS('Key Inputs_BY Techs'!Z:Z,'Key Inputs_BY Techs'!$A:$A,$L94,'Key Inputs_BY Techs'!$C:$C,'SRV_BY Techs'!$B94,'Key Inputs_BY Techs'!$D:$D,'SRV_BY Techs'!$C94)</f>
        <v>516.37900155313037</v>
      </c>
      <c r="AG94" s="487">
        <f>SUMIFS('Key Inputs_BY Techs'!AA:AA,'Key Inputs_BY Techs'!$A:$A,$L94,'Key Inputs_BY Techs'!$C:$C,'SRV_BY Techs'!$B94,'Key Inputs_BY Techs'!$D:$D,'SRV_BY Techs'!$C94)</f>
        <v>14.86865872225877</v>
      </c>
      <c r="AH94" s="487">
        <f>SUMIFS('Key Inputs_BY Techs'!AB:AB,'Key Inputs_BY Techs'!$A:$A,$L94,'Key Inputs_BY Techs'!$C:$C,'SRV_BY Techs'!$B94,'Key Inputs_BY Techs'!$D:$D,'SRV_BY Techs'!$C94)</f>
        <v>13.888601217046446</v>
      </c>
      <c r="AI94" s="487">
        <f>SUMIFS('Key Inputs_BY Techs'!AC:AC,'Key Inputs_BY Techs'!$A:$A,$L94,'Key Inputs_BY Techs'!$C:$C,'SRV_BY Techs'!$B94,'Key Inputs_BY Techs'!$D:$D,'SRV_BY Techs'!$C94)</f>
        <v>18.277958869091105</v>
      </c>
      <c r="AJ94" s="487">
        <f>SUMIFS('Key Inputs_BY Techs'!AD:AD,'Key Inputs_BY Techs'!$A:$A,$L94,'Key Inputs_BY Techs'!$C:$C,'SRV_BY Techs'!$B94,'Key Inputs_BY Techs'!$D:$D,'SRV_BY Techs'!$C94)</f>
        <v>8.4655615702016629</v>
      </c>
      <c r="AK94" s="487">
        <f>SUMIFS('Key Inputs_BY Techs'!AE:AE,'Key Inputs_BY Techs'!$A:$A,$L94,'Key Inputs_BY Techs'!$C:$C,'SRV_BY Techs'!$B94,'Key Inputs_BY Techs'!$D:$D,'SRV_BY Techs'!$C94)</f>
        <v>28.855830257550039</v>
      </c>
      <c r="AL94" s="487">
        <f>SUMIFS('Key Inputs_BY Techs'!AF:AF,'Key Inputs_BY Techs'!$A:$A,$L94,'Key Inputs_BY Techs'!$C:$C,'SRV_BY Techs'!$B94,'Key Inputs_BY Techs'!$D:$D,'SRV_BY Techs'!$C94)</f>
        <v>11.517871593042523</v>
      </c>
      <c r="AM94" s="487">
        <f>SUMIFS('Key Inputs_BY Techs'!AG:AG,'Key Inputs_BY Techs'!$A:$A,$L94,'Key Inputs_BY Techs'!$C:$C,'SRV_BY Techs'!$B94,'Key Inputs_BY Techs'!$D:$D,'SRV_BY Techs'!$C94)</f>
        <v>13.859085429538464</v>
      </c>
      <c r="AN94" s="487">
        <f>SUMIFS('Key Inputs_BY Techs'!AH:AH,'Key Inputs_BY Techs'!$A:$A,$L94,'Key Inputs_BY Techs'!$C:$C,'SRV_BY Techs'!$B94,'Key Inputs_BY Techs'!$D:$D,'SRV_BY Techs'!$C94)</f>
        <v>10.353252735018648</v>
      </c>
      <c r="AO94" s="487">
        <f>SUMIFS('Key Inputs_BY Techs'!AI:AI,'Key Inputs_BY Techs'!$A:$A,$L94,'Key Inputs_BY Techs'!$C:$C,'SRV_BY Techs'!$B94,'Key Inputs_BY Techs'!$D:$D,'SRV_BY Techs'!$C94)</f>
        <v>5.6434715636542494</v>
      </c>
      <c r="AP94" s="487">
        <f>SUMIFS('Key Inputs_BY Techs'!AJ:AJ,'Key Inputs_BY Techs'!$A:$A,$L94,'Key Inputs_BY Techs'!$C:$C,'SRV_BY Techs'!$B94,'Key Inputs_BY Techs'!$D:$D,'SRV_BY Techs'!$C94)</f>
        <v>64.997588106554446</v>
      </c>
    </row>
    <row r="95" spans="1:42" x14ac:dyDescent="0.3">
      <c r="A95" s="499" t="str">
        <f t="shared" si="28"/>
        <v>Thermal uses</v>
      </c>
      <c r="B95" s="499" t="str">
        <f t="shared" si="28"/>
        <v>S-TH</v>
      </c>
      <c r="C95" s="499" t="str">
        <f t="shared" si="28"/>
        <v>Natural gas, Biogas</v>
      </c>
      <c r="D95" s="499" t="str">
        <f t="shared" si="28"/>
        <v>SRVGAS, SRVBGS</v>
      </c>
      <c r="E95" s="499" t="str">
        <f t="shared" si="29"/>
        <v>SRVGAS</v>
      </c>
      <c r="F95" s="499"/>
      <c r="G95" s="499"/>
      <c r="I95" s="103" t="str">
        <f t="shared" si="30"/>
        <v>S-TH-HPA_GAS00</v>
      </c>
      <c r="J95" s="103" t="str">
        <f t="shared" si="30"/>
        <v>SRV Thermal uses technology: Natural gas, Biogas - Existing</v>
      </c>
      <c r="L95" s="103" t="s">
        <v>689</v>
      </c>
      <c r="M95" s="103" t="str">
        <f>'Key Inputs_BY Techs'!F81</f>
        <v>GW</v>
      </c>
      <c r="O95" s="487">
        <f>SUMIFS('Key Inputs_BY Techs'!I:I,'Key Inputs_BY Techs'!$A:$A,$L95,'Key Inputs_BY Techs'!$C:$C,'SRV_BY Techs'!$B95,'Key Inputs_BY Techs'!$D:$D,'SRV_BY Techs'!$C95)</f>
        <v>0</v>
      </c>
      <c r="P95" s="487">
        <f>SUMIFS('Key Inputs_BY Techs'!J:J,'Key Inputs_BY Techs'!$A:$A,$L95,'Key Inputs_BY Techs'!$C:$C,'SRV_BY Techs'!$B95,'Key Inputs_BY Techs'!$D:$D,'SRV_BY Techs'!$C95)</f>
        <v>3.7545577007304352</v>
      </c>
      <c r="Q95" s="487">
        <f>SUMIFS('Key Inputs_BY Techs'!K:K,'Key Inputs_BY Techs'!$A:$A,$L95,'Key Inputs_BY Techs'!$C:$C,'SRV_BY Techs'!$B95,'Key Inputs_BY Techs'!$D:$D,'SRV_BY Techs'!$C95)</f>
        <v>0</v>
      </c>
      <c r="R95" s="487">
        <f>SUMIFS('Key Inputs_BY Techs'!L:L,'Key Inputs_BY Techs'!$A:$A,$L95,'Key Inputs_BY Techs'!$C:$C,'SRV_BY Techs'!$B95,'Key Inputs_BY Techs'!$D:$D,'SRV_BY Techs'!$C95)</f>
        <v>1.4742774426804131</v>
      </c>
      <c r="S95" s="487">
        <f>SUMIFS('Key Inputs_BY Techs'!M:M,'Key Inputs_BY Techs'!$A:$A,$L95,'Key Inputs_BY Techs'!$C:$C,'SRV_BY Techs'!$B95,'Key Inputs_BY Techs'!$D:$D,'SRV_BY Techs'!$C95)</f>
        <v>119.82814493585697</v>
      </c>
      <c r="T95" s="487">
        <f>SUMIFS('Key Inputs_BY Techs'!N:N,'Key Inputs_BY Techs'!$A:$A,$L95,'Key Inputs_BY Techs'!$C:$C,'SRV_BY Techs'!$B95,'Key Inputs_BY Techs'!$D:$D,'SRV_BY Techs'!$C95)</f>
        <v>167.27215518459943</v>
      </c>
      <c r="U95" s="487">
        <f>SUMIFS('Key Inputs_BY Techs'!O:O,'Key Inputs_BY Techs'!$A:$A,$L95,'Key Inputs_BY Techs'!$C:$C,'SRV_BY Techs'!$B95,'Key Inputs_BY Techs'!$D:$D,'SRV_BY Techs'!$C95)</f>
        <v>57.178424872800008</v>
      </c>
      <c r="V95" s="487">
        <f>SUMIFS('Key Inputs_BY Techs'!P:P,'Key Inputs_BY Techs'!$A:$A,$L95,'Key Inputs_BY Techs'!$C:$C,'SRV_BY Techs'!$B95,'Key Inputs_BY Techs'!$D:$D,'SRV_BY Techs'!$C95)</f>
        <v>10.24045942274617</v>
      </c>
      <c r="W95" s="487">
        <f>SUMIFS('Key Inputs_BY Techs'!Q:Q,'Key Inputs_BY Techs'!$A:$A,$L95,'Key Inputs_BY Techs'!$C:$C,'SRV_BY Techs'!$B95,'Key Inputs_BY Techs'!$D:$D,'SRV_BY Techs'!$C95)</f>
        <v>31.158271872000011</v>
      </c>
      <c r="X95" s="487">
        <f>SUMIFS('Key Inputs_BY Techs'!R:R,'Key Inputs_BY Techs'!$A:$A,$L95,'Key Inputs_BY Techs'!$C:$C,'SRV_BY Techs'!$B95,'Key Inputs_BY Techs'!$D:$D,'SRV_BY Techs'!$C95)</f>
        <v>174.73098471907696</v>
      </c>
      <c r="Y95" s="487">
        <f>SUMIFS('Key Inputs_BY Techs'!S:S,'Key Inputs_BY Techs'!$A:$A,$L95,'Key Inputs_BY Techs'!$C:$C,'SRV_BY Techs'!$B95,'Key Inputs_BY Techs'!$D:$D,'SRV_BY Techs'!$C95)</f>
        <v>1.1906388442349307</v>
      </c>
      <c r="Z95" s="487">
        <f>SUMIFS('Key Inputs_BY Techs'!T:T,'Key Inputs_BY Techs'!$A:$A,$L95,'Key Inputs_BY Techs'!$C:$C,'SRV_BY Techs'!$B95,'Key Inputs_BY Techs'!$D:$D,'SRV_BY Techs'!$C95)</f>
        <v>0</v>
      </c>
      <c r="AA95" s="487">
        <f>SUMIFS('Key Inputs_BY Techs'!U:U,'Key Inputs_BY Techs'!$A:$A,$L95,'Key Inputs_BY Techs'!$C:$C,'SRV_BY Techs'!$B95,'Key Inputs_BY Techs'!$D:$D,'SRV_BY Techs'!$C95)</f>
        <v>19.542037949746483</v>
      </c>
      <c r="AB95" s="487">
        <f>SUMIFS('Key Inputs_BY Techs'!V:V,'Key Inputs_BY Techs'!$A:$A,$L95,'Key Inputs_BY Techs'!$C:$C,'SRV_BY Techs'!$B95,'Key Inputs_BY Techs'!$D:$D,'SRV_BY Techs'!$C95)</f>
        <v>141.03373211899026</v>
      </c>
      <c r="AC95" s="487">
        <f>SUMIFS('Key Inputs_BY Techs'!W:W,'Key Inputs_BY Techs'!$A:$A,$L95,'Key Inputs_BY Techs'!$C:$C,'SRV_BY Techs'!$B95,'Key Inputs_BY Techs'!$D:$D,'SRV_BY Techs'!$C95)</f>
        <v>52.423385963365405</v>
      </c>
      <c r="AD95" s="487">
        <f>SUMIFS('Key Inputs_BY Techs'!X:X,'Key Inputs_BY Techs'!$A:$A,$L95,'Key Inputs_BY Techs'!$C:$C,'SRV_BY Techs'!$B95,'Key Inputs_BY Techs'!$D:$D,'SRV_BY Techs'!$C95)</f>
        <v>396.22133451020989</v>
      </c>
      <c r="AE95" s="487">
        <f>SUMIFS('Key Inputs_BY Techs'!Y:Y,'Key Inputs_BY Techs'!$A:$A,$L95,'Key Inputs_BY Techs'!$C:$C,'SRV_BY Techs'!$B95,'Key Inputs_BY Techs'!$D:$D,'SRV_BY Techs'!$C95)</f>
        <v>268.88291033759998</v>
      </c>
      <c r="AF95" s="487">
        <f>SUMIFS('Key Inputs_BY Techs'!Z:Z,'Key Inputs_BY Techs'!$A:$A,$L95,'Key Inputs_BY Techs'!$C:$C,'SRV_BY Techs'!$B95,'Key Inputs_BY Techs'!$D:$D,'SRV_BY Techs'!$C95)</f>
        <v>325.77588470316522</v>
      </c>
      <c r="AG95" s="487">
        <f>SUMIFS('Key Inputs_BY Techs'!AA:AA,'Key Inputs_BY Techs'!$A:$A,$L95,'Key Inputs_BY Techs'!$C:$C,'SRV_BY Techs'!$B95,'Key Inputs_BY Techs'!$D:$D,'SRV_BY Techs'!$C95)</f>
        <v>150.67861064763156</v>
      </c>
      <c r="AH95" s="487">
        <f>SUMIFS('Key Inputs_BY Techs'!AB:AB,'Key Inputs_BY Techs'!$A:$A,$L95,'Key Inputs_BY Techs'!$C:$C,'SRV_BY Techs'!$B95,'Key Inputs_BY Techs'!$D:$D,'SRV_BY Techs'!$C95)</f>
        <v>185.95874151359996</v>
      </c>
      <c r="AI95" s="487">
        <f>SUMIFS('Key Inputs_BY Techs'!AC:AC,'Key Inputs_BY Techs'!$A:$A,$L95,'Key Inputs_BY Techs'!$C:$C,'SRV_BY Techs'!$B95,'Key Inputs_BY Techs'!$D:$D,'SRV_BY Techs'!$C95)</f>
        <v>90.044998089810235</v>
      </c>
      <c r="AJ95" s="487">
        <f>SUMIFS('Key Inputs_BY Techs'!AD:AD,'Key Inputs_BY Techs'!$A:$A,$L95,'Key Inputs_BY Techs'!$C:$C,'SRV_BY Techs'!$B95,'Key Inputs_BY Techs'!$D:$D,'SRV_BY Techs'!$C95)</f>
        <v>25.334057896361976</v>
      </c>
      <c r="AK95" s="487">
        <f>SUMIFS('Key Inputs_BY Techs'!AE:AE,'Key Inputs_BY Techs'!$A:$A,$L95,'Key Inputs_BY Techs'!$C:$C,'SRV_BY Techs'!$B95,'Key Inputs_BY Techs'!$D:$D,'SRV_BY Techs'!$C95)</f>
        <v>135.89993840796799</v>
      </c>
      <c r="AL95" s="487">
        <f>SUMIFS('Key Inputs_BY Techs'!AF:AF,'Key Inputs_BY Techs'!$A:$A,$L95,'Key Inputs_BY Techs'!$C:$C,'SRV_BY Techs'!$B95,'Key Inputs_BY Techs'!$D:$D,'SRV_BY Techs'!$C95)</f>
        <v>11.468873331911112</v>
      </c>
      <c r="AM95" s="487">
        <f>SUMIFS('Key Inputs_BY Techs'!AG:AG,'Key Inputs_BY Techs'!$A:$A,$L95,'Key Inputs_BY Techs'!$C:$C,'SRV_BY Techs'!$B95,'Key Inputs_BY Techs'!$D:$D,'SRV_BY Techs'!$C95)</f>
        <v>0</v>
      </c>
      <c r="AN95" s="487">
        <f>SUMIFS('Key Inputs_BY Techs'!AH:AH,'Key Inputs_BY Techs'!$A:$A,$L95,'Key Inputs_BY Techs'!$C:$C,'SRV_BY Techs'!$B95,'Key Inputs_BY Techs'!$D:$D,'SRV_BY Techs'!$C95)</f>
        <v>61.785089546966866</v>
      </c>
      <c r="AO95" s="487">
        <f>SUMIFS('Key Inputs_BY Techs'!AI:AI,'Key Inputs_BY Techs'!$A:$A,$L95,'Key Inputs_BY Techs'!$C:$C,'SRV_BY Techs'!$B95,'Key Inputs_BY Techs'!$D:$D,'SRV_BY Techs'!$C95)</f>
        <v>88.319828218177648</v>
      </c>
      <c r="AP95" s="487">
        <f>SUMIFS('Key Inputs_BY Techs'!AJ:AJ,'Key Inputs_BY Techs'!$A:$A,$L95,'Key Inputs_BY Techs'!$C:$C,'SRV_BY Techs'!$B95,'Key Inputs_BY Techs'!$D:$D,'SRV_BY Techs'!$C95)</f>
        <v>1922.670981862565</v>
      </c>
    </row>
    <row r="96" spans="1:42" x14ac:dyDescent="0.3">
      <c r="A96" s="499" t="str">
        <f t="shared" si="28"/>
        <v>Thermal uses</v>
      </c>
      <c r="B96" s="499" t="str">
        <f t="shared" si="28"/>
        <v>S-TH</v>
      </c>
      <c r="C96" s="499" t="str">
        <f t="shared" si="28"/>
        <v>Geothermal</v>
      </c>
      <c r="D96" s="499" t="str">
        <f t="shared" si="28"/>
        <v>SRVGEO</v>
      </c>
      <c r="E96" s="499" t="str">
        <f t="shared" si="29"/>
        <v>SRVGEO</v>
      </c>
      <c r="F96" s="499"/>
      <c r="G96" s="499"/>
      <c r="I96" s="103" t="str">
        <f t="shared" si="30"/>
        <v>S-TH-HEX_GEO00</v>
      </c>
      <c r="J96" s="103" t="str">
        <f t="shared" si="30"/>
        <v>SRV Thermal uses technology: Geothermal - Existing</v>
      </c>
      <c r="L96" s="103" t="s">
        <v>689</v>
      </c>
      <c r="M96" s="103" t="str">
        <f>'Key Inputs_BY Techs'!F82</f>
        <v>GW</v>
      </c>
      <c r="O96" s="487">
        <f>SUMIFS('Key Inputs_BY Techs'!I:I,'Key Inputs_BY Techs'!$A:$A,$L96,'Key Inputs_BY Techs'!$C:$C,'SRV_BY Techs'!$B96,'Key Inputs_BY Techs'!$D:$D,'SRV_BY Techs'!$C96)</f>
        <v>0</v>
      </c>
      <c r="P96" s="487">
        <f>SUMIFS('Key Inputs_BY Techs'!J:J,'Key Inputs_BY Techs'!$A:$A,$L96,'Key Inputs_BY Techs'!$C:$C,'SRV_BY Techs'!$B96,'Key Inputs_BY Techs'!$D:$D,'SRV_BY Techs'!$C96)</f>
        <v>0</v>
      </c>
      <c r="Q96" s="487">
        <f>SUMIFS('Key Inputs_BY Techs'!K:K,'Key Inputs_BY Techs'!$A:$A,$L96,'Key Inputs_BY Techs'!$C:$C,'SRV_BY Techs'!$B96,'Key Inputs_BY Techs'!$D:$D,'SRV_BY Techs'!$C96)</f>
        <v>0</v>
      </c>
      <c r="R96" s="487">
        <f>SUMIFS('Key Inputs_BY Techs'!L:L,'Key Inputs_BY Techs'!$A:$A,$L96,'Key Inputs_BY Techs'!$C:$C,'SRV_BY Techs'!$B96,'Key Inputs_BY Techs'!$D:$D,'SRV_BY Techs'!$C96)</f>
        <v>0</v>
      </c>
      <c r="S96" s="487">
        <f>SUMIFS('Key Inputs_BY Techs'!M:M,'Key Inputs_BY Techs'!$A:$A,$L96,'Key Inputs_BY Techs'!$C:$C,'SRV_BY Techs'!$B96,'Key Inputs_BY Techs'!$D:$D,'SRV_BY Techs'!$C96)</f>
        <v>17.939998349381018</v>
      </c>
      <c r="T96" s="487">
        <f>SUMIFS('Key Inputs_BY Techs'!N:N,'Key Inputs_BY Techs'!$A:$A,$L96,'Key Inputs_BY Techs'!$C:$C,'SRV_BY Techs'!$B96,'Key Inputs_BY Techs'!$D:$D,'SRV_BY Techs'!$C96)</f>
        <v>0.73496801152737756</v>
      </c>
      <c r="U96" s="487">
        <f>SUMIFS('Key Inputs_BY Techs'!O:O,'Key Inputs_BY Techs'!$A:$A,$L96,'Key Inputs_BY Techs'!$C:$C,'SRV_BY Techs'!$B96,'Key Inputs_BY Techs'!$D:$D,'SRV_BY Techs'!$C96)</f>
        <v>0</v>
      </c>
      <c r="V96" s="487">
        <f>SUMIFS('Key Inputs_BY Techs'!P:P,'Key Inputs_BY Techs'!$A:$A,$L96,'Key Inputs_BY Techs'!$C:$C,'SRV_BY Techs'!$B96,'Key Inputs_BY Techs'!$D:$D,'SRV_BY Techs'!$C96)</f>
        <v>0</v>
      </c>
      <c r="W96" s="487">
        <f>SUMIFS('Key Inputs_BY Techs'!Q:Q,'Key Inputs_BY Techs'!$A:$A,$L96,'Key Inputs_BY Techs'!$C:$C,'SRV_BY Techs'!$B96,'Key Inputs_BY Techs'!$D:$D,'SRV_BY Techs'!$C96)</f>
        <v>0</v>
      </c>
      <c r="X96" s="487">
        <f>SUMIFS('Key Inputs_BY Techs'!R:R,'Key Inputs_BY Techs'!$A:$A,$L96,'Key Inputs_BY Techs'!$C:$C,'SRV_BY Techs'!$B96,'Key Inputs_BY Techs'!$D:$D,'SRV_BY Techs'!$C96)</f>
        <v>0</v>
      </c>
      <c r="Y96" s="487">
        <f>SUMIFS('Key Inputs_BY Techs'!S:S,'Key Inputs_BY Techs'!$A:$A,$L96,'Key Inputs_BY Techs'!$C:$C,'SRV_BY Techs'!$B96,'Key Inputs_BY Techs'!$D:$D,'SRV_BY Techs'!$C96)</f>
        <v>0</v>
      </c>
      <c r="Z96" s="487">
        <f>SUMIFS('Key Inputs_BY Techs'!T:T,'Key Inputs_BY Techs'!$A:$A,$L96,'Key Inputs_BY Techs'!$C:$C,'SRV_BY Techs'!$B96,'Key Inputs_BY Techs'!$D:$D,'SRV_BY Techs'!$C96)</f>
        <v>0</v>
      </c>
      <c r="AA96" s="487">
        <f>SUMIFS('Key Inputs_BY Techs'!U:U,'Key Inputs_BY Techs'!$A:$A,$L96,'Key Inputs_BY Techs'!$C:$C,'SRV_BY Techs'!$B96,'Key Inputs_BY Techs'!$D:$D,'SRV_BY Techs'!$C96)</f>
        <v>0.1544957746478873</v>
      </c>
      <c r="AB96" s="487">
        <f>SUMIFS('Key Inputs_BY Techs'!V:V,'Key Inputs_BY Techs'!$A:$A,$L96,'Key Inputs_BY Techs'!$C:$C,'SRV_BY Techs'!$B96,'Key Inputs_BY Techs'!$D:$D,'SRV_BY Techs'!$C96)</f>
        <v>0.58106661585365871</v>
      </c>
      <c r="AC96" s="487">
        <f>SUMIFS('Key Inputs_BY Techs'!W:W,'Key Inputs_BY Techs'!$A:$A,$L96,'Key Inputs_BY Techs'!$C:$C,'SRV_BY Techs'!$B96,'Key Inputs_BY Techs'!$D:$D,'SRV_BY Techs'!$C96)</f>
        <v>4.3254576395242443</v>
      </c>
      <c r="AD96" s="487">
        <f>SUMIFS('Key Inputs_BY Techs'!X:X,'Key Inputs_BY Techs'!$A:$A,$L96,'Key Inputs_BY Techs'!$C:$C,'SRV_BY Techs'!$B96,'Key Inputs_BY Techs'!$D:$D,'SRV_BY Techs'!$C96)</f>
        <v>11.733250462737457</v>
      </c>
      <c r="AE96" s="487">
        <f>SUMIFS('Key Inputs_BY Techs'!Y:Y,'Key Inputs_BY Techs'!$A:$A,$L96,'Key Inputs_BY Techs'!$C:$C,'SRV_BY Techs'!$B96,'Key Inputs_BY Techs'!$D:$D,'SRV_BY Techs'!$C96)</f>
        <v>5.0507999999999997</v>
      </c>
      <c r="AF96" s="487">
        <f>SUMIFS('Key Inputs_BY Techs'!Z:Z,'Key Inputs_BY Techs'!$A:$A,$L96,'Key Inputs_BY Techs'!$C:$C,'SRV_BY Techs'!$B96,'Key Inputs_BY Techs'!$D:$D,'SRV_BY Techs'!$C96)</f>
        <v>0</v>
      </c>
      <c r="AG96" s="487">
        <f>SUMIFS('Key Inputs_BY Techs'!AA:AA,'Key Inputs_BY Techs'!$A:$A,$L96,'Key Inputs_BY Techs'!$C:$C,'SRV_BY Techs'!$B96,'Key Inputs_BY Techs'!$D:$D,'SRV_BY Techs'!$C96)</f>
        <v>0</v>
      </c>
      <c r="AH96" s="487">
        <f>SUMIFS('Key Inputs_BY Techs'!AB:AB,'Key Inputs_BY Techs'!$A:$A,$L96,'Key Inputs_BY Techs'!$C:$C,'SRV_BY Techs'!$B96,'Key Inputs_BY Techs'!$D:$D,'SRV_BY Techs'!$C96)</f>
        <v>6.9710493647912877</v>
      </c>
      <c r="AI96" s="487">
        <f>SUMIFS('Key Inputs_BY Techs'!AC:AC,'Key Inputs_BY Techs'!$A:$A,$L96,'Key Inputs_BY Techs'!$C:$C,'SRV_BY Techs'!$B96,'Key Inputs_BY Techs'!$D:$D,'SRV_BY Techs'!$C96)</f>
        <v>1.3611416058394157</v>
      </c>
      <c r="AJ96" s="487">
        <f>SUMIFS('Key Inputs_BY Techs'!AD:AD,'Key Inputs_BY Techs'!$A:$A,$L96,'Key Inputs_BY Techs'!$C:$C,'SRV_BY Techs'!$B96,'Key Inputs_BY Techs'!$D:$D,'SRV_BY Techs'!$C96)</f>
        <v>0</v>
      </c>
      <c r="AK96" s="487">
        <f>SUMIFS('Key Inputs_BY Techs'!AE:AE,'Key Inputs_BY Techs'!$A:$A,$L96,'Key Inputs_BY Techs'!$C:$C,'SRV_BY Techs'!$B96,'Key Inputs_BY Techs'!$D:$D,'SRV_BY Techs'!$C96)</f>
        <v>0</v>
      </c>
      <c r="AL96" s="487">
        <f>SUMIFS('Key Inputs_BY Techs'!AF:AF,'Key Inputs_BY Techs'!$A:$A,$L96,'Key Inputs_BY Techs'!$C:$C,'SRV_BY Techs'!$B96,'Key Inputs_BY Techs'!$D:$D,'SRV_BY Techs'!$C96)</f>
        <v>0</v>
      </c>
      <c r="AM96" s="487">
        <f>SUMIFS('Key Inputs_BY Techs'!AG:AG,'Key Inputs_BY Techs'!$A:$A,$L96,'Key Inputs_BY Techs'!$C:$C,'SRV_BY Techs'!$B96,'Key Inputs_BY Techs'!$D:$D,'SRV_BY Techs'!$C96)</f>
        <v>0</v>
      </c>
      <c r="AN96" s="487">
        <f>SUMIFS('Key Inputs_BY Techs'!AH:AH,'Key Inputs_BY Techs'!$A:$A,$L96,'Key Inputs_BY Techs'!$C:$C,'SRV_BY Techs'!$B96,'Key Inputs_BY Techs'!$D:$D,'SRV_BY Techs'!$C96)</f>
        <v>0</v>
      </c>
      <c r="AO96" s="487">
        <f>SUMIFS('Key Inputs_BY Techs'!AI:AI,'Key Inputs_BY Techs'!$A:$A,$L96,'Key Inputs_BY Techs'!$C:$C,'SRV_BY Techs'!$B96,'Key Inputs_BY Techs'!$D:$D,'SRV_BY Techs'!$C96)</f>
        <v>16.969781948424071</v>
      </c>
      <c r="AP96" s="487">
        <f>SUMIFS('Key Inputs_BY Techs'!AJ:AJ,'Key Inputs_BY Techs'!$A:$A,$L96,'Key Inputs_BY Techs'!$C:$C,'SRV_BY Techs'!$B96,'Key Inputs_BY Techs'!$D:$D,'SRV_BY Techs'!$C96)</f>
        <v>0</v>
      </c>
    </row>
    <row r="97" spans="1:42" x14ac:dyDescent="0.3">
      <c r="A97" s="499" t="str">
        <f t="shared" si="28"/>
        <v>Thermal uses</v>
      </c>
      <c r="B97" s="499" t="str">
        <f t="shared" si="28"/>
        <v>S-TH</v>
      </c>
      <c r="C97" s="499" t="str">
        <f t="shared" si="28"/>
        <v>Heat</v>
      </c>
      <c r="D97" s="499" t="str">
        <f t="shared" si="28"/>
        <v>SRVHET</v>
      </c>
      <c r="E97" s="499" t="str">
        <f t="shared" si="29"/>
        <v>SRVHET</v>
      </c>
      <c r="F97" s="499"/>
      <c r="G97" s="499"/>
      <c r="I97" s="103" t="str">
        <f t="shared" si="30"/>
        <v>S-TH-HEX_HET00</v>
      </c>
      <c r="J97" s="103" t="str">
        <f t="shared" si="30"/>
        <v>SRV Thermal uses technology: Heat - Existing</v>
      </c>
      <c r="L97" s="103" t="s">
        <v>689</v>
      </c>
      <c r="M97" s="103" t="str">
        <f>'Key Inputs_BY Techs'!F83</f>
        <v>GW</v>
      </c>
      <c r="O97" s="487">
        <f>SUMIFS('Key Inputs_BY Techs'!I:I,'Key Inputs_BY Techs'!$A:$A,$L97,'Key Inputs_BY Techs'!$C:$C,'SRV_BY Techs'!$B97,'Key Inputs_BY Techs'!$D:$D,'SRV_BY Techs'!$C97)</f>
        <v>0</v>
      </c>
      <c r="P97" s="487">
        <f>SUMIFS('Key Inputs_BY Techs'!J:J,'Key Inputs_BY Techs'!$A:$A,$L97,'Key Inputs_BY Techs'!$C:$C,'SRV_BY Techs'!$B97,'Key Inputs_BY Techs'!$D:$D,'SRV_BY Techs'!$C97)</f>
        <v>0</v>
      </c>
      <c r="Q97" s="487">
        <f>SUMIFS('Key Inputs_BY Techs'!K:K,'Key Inputs_BY Techs'!$A:$A,$L97,'Key Inputs_BY Techs'!$C:$C,'SRV_BY Techs'!$B97,'Key Inputs_BY Techs'!$D:$D,'SRV_BY Techs'!$C97)</f>
        <v>0</v>
      </c>
      <c r="R97" s="487">
        <f>SUMIFS('Key Inputs_BY Techs'!L:L,'Key Inputs_BY Techs'!$A:$A,$L97,'Key Inputs_BY Techs'!$C:$C,'SRV_BY Techs'!$B97,'Key Inputs_BY Techs'!$D:$D,'SRV_BY Techs'!$C97)</f>
        <v>0</v>
      </c>
      <c r="S97" s="487">
        <f>SUMIFS('Key Inputs_BY Techs'!M:M,'Key Inputs_BY Techs'!$A:$A,$L97,'Key Inputs_BY Techs'!$C:$C,'SRV_BY Techs'!$B97,'Key Inputs_BY Techs'!$D:$D,'SRV_BY Techs'!$C97)</f>
        <v>0</v>
      </c>
      <c r="T97" s="487">
        <f>SUMIFS('Key Inputs_BY Techs'!N:N,'Key Inputs_BY Techs'!$A:$A,$L97,'Key Inputs_BY Techs'!$C:$C,'SRV_BY Techs'!$B97,'Key Inputs_BY Techs'!$D:$D,'SRV_BY Techs'!$C97)</f>
        <v>43.578996344685969</v>
      </c>
      <c r="U97" s="487">
        <f>SUMIFS('Key Inputs_BY Techs'!O:O,'Key Inputs_BY Techs'!$A:$A,$L97,'Key Inputs_BY Techs'!$C:$C,'SRV_BY Techs'!$B97,'Key Inputs_BY Techs'!$D:$D,'SRV_BY Techs'!$C97)</f>
        <v>2.4274223728294606</v>
      </c>
      <c r="V97" s="487">
        <f>SUMIFS('Key Inputs_BY Techs'!P:P,'Key Inputs_BY Techs'!$A:$A,$L97,'Key Inputs_BY Techs'!$C:$C,'SRV_BY Techs'!$B97,'Key Inputs_BY Techs'!$D:$D,'SRV_BY Techs'!$C97)</f>
        <v>0</v>
      </c>
      <c r="W97" s="487">
        <f>SUMIFS('Key Inputs_BY Techs'!Q:Q,'Key Inputs_BY Techs'!$A:$A,$L97,'Key Inputs_BY Techs'!$C:$C,'SRV_BY Techs'!$B97,'Key Inputs_BY Techs'!$D:$D,'SRV_BY Techs'!$C97)</f>
        <v>0</v>
      </c>
      <c r="X97" s="487">
        <f>SUMIFS('Key Inputs_BY Techs'!R:R,'Key Inputs_BY Techs'!$A:$A,$L97,'Key Inputs_BY Techs'!$C:$C,'SRV_BY Techs'!$B97,'Key Inputs_BY Techs'!$D:$D,'SRV_BY Techs'!$C97)</f>
        <v>7.1115860099072822E-2</v>
      </c>
      <c r="Y97" s="487">
        <f>SUMIFS('Key Inputs_BY Techs'!S:S,'Key Inputs_BY Techs'!$A:$A,$L97,'Key Inputs_BY Techs'!$C:$C,'SRV_BY Techs'!$B97,'Key Inputs_BY Techs'!$D:$D,'SRV_BY Techs'!$C97)</f>
        <v>0</v>
      </c>
      <c r="Z97" s="487">
        <f>SUMIFS('Key Inputs_BY Techs'!T:T,'Key Inputs_BY Techs'!$A:$A,$L97,'Key Inputs_BY Techs'!$C:$C,'SRV_BY Techs'!$B97,'Key Inputs_BY Techs'!$D:$D,'SRV_BY Techs'!$C97)</f>
        <v>0</v>
      </c>
      <c r="AA97" s="487">
        <f>SUMIFS('Key Inputs_BY Techs'!U:U,'Key Inputs_BY Techs'!$A:$A,$L97,'Key Inputs_BY Techs'!$C:$C,'SRV_BY Techs'!$B97,'Key Inputs_BY Techs'!$D:$D,'SRV_BY Techs'!$C97)</f>
        <v>21.777299055799045</v>
      </c>
      <c r="AB97" s="487">
        <f>SUMIFS('Key Inputs_BY Techs'!V:V,'Key Inputs_BY Techs'!$A:$A,$L97,'Key Inputs_BY Techs'!$C:$C,'SRV_BY Techs'!$B97,'Key Inputs_BY Techs'!$D:$D,'SRV_BY Techs'!$C97)</f>
        <v>19.324062449400557</v>
      </c>
      <c r="AC97" s="487">
        <f>SUMIFS('Key Inputs_BY Techs'!W:W,'Key Inputs_BY Techs'!$A:$A,$L97,'Key Inputs_BY Techs'!$C:$C,'SRV_BY Techs'!$B97,'Key Inputs_BY Techs'!$D:$D,'SRV_BY Techs'!$C97)</f>
        <v>21.468032550962093</v>
      </c>
      <c r="AD97" s="487">
        <f>SUMIFS('Key Inputs_BY Techs'!X:X,'Key Inputs_BY Techs'!$A:$A,$L97,'Key Inputs_BY Techs'!$C:$C,'SRV_BY Techs'!$B97,'Key Inputs_BY Techs'!$D:$D,'SRV_BY Techs'!$C97)</f>
        <v>25.182742984726431</v>
      </c>
      <c r="AE97" s="487">
        <f>SUMIFS('Key Inputs_BY Techs'!Y:Y,'Key Inputs_BY Techs'!$A:$A,$L97,'Key Inputs_BY Techs'!$C:$C,'SRV_BY Techs'!$B97,'Key Inputs_BY Techs'!$D:$D,'SRV_BY Techs'!$C97)</f>
        <v>83.349824019394049</v>
      </c>
      <c r="AF97" s="487">
        <f>SUMIFS('Key Inputs_BY Techs'!Z:Z,'Key Inputs_BY Techs'!$A:$A,$L97,'Key Inputs_BY Techs'!$C:$C,'SRV_BY Techs'!$B97,'Key Inputs_BY Techs'!$D:$D,'SRV_BY Techs'!$C97)</f>
        <v>0</v>
      </c>
      <c r="AG97" s="487">
        <f>SUMIFS('Key Inputs_BY Techs'!AA:AA,'Key Inputs_BY Techs'!$A:$A,$L97,'Key Inputs_BY Techs'!$C:$C,'SRV_BY Techs'!$B97,'Key Inputs_BY Techs'!$D:$D,'SRV_BY Techs'!$C97)</f>
        <v>0</v>
      </c>
      <c r="AH97" s="487">
        <f>SUMIFS('Key Inputs_BY Techs'!AB:AB,'Key Inputs_BY Techs'!$A:$A,$L97,'Key Inputs_BY Techs'!$C:$C,'SRV_BY Techs'!$B97,'Key Inputs_BY Techs'!$D:$D,'SRV_BY Techs'!$C97)</f>
        <v>14.371505244952715</v>
      </c>
      <c r="AI97" s="487">
        <f>SUMIFS('Key Inputs_BY Techs'!AC:AC,'Key Inputs_BY Techs'!$A:$A,$L97,'Key Inputs_BY Techs'!$C:$C,'SRV_BY Techs'!$B97,'Key Inputs_BY Techs'!$D:$D,'SRV_BY Techs'!$C97)</f>
        <v>7.5062395681013153E-2</v>
      </c>
      <c r="AJ97" s="487">
        <f>SUMIFS('Key Inputs_BY Techs'!AD:AD,'Key Inputs_BY Techs'!$A:$A,$L97,'Key Inputs_BY Techs'!$C:$C,'SRV_BY Techs'!$B97,'Key Inputs_BY Techs'!$D:$D,'SRV_BY Techs'!$C97)</f>
        <v>0</v>
      </c>
      <c r="AK97" s="487">
        <f>SUMIFS('Key Inputs_BY Techs'!AE:AE,'Key Inputs_BY Techs'!$A:$A,$L97,'Key Inputs_BY Techs'!$C:$C,'SRV_BY Techs'!$B97,'Key Inputs_BY Techs'!$D:$D,'SRV_BY Techs'!$C97)</f>
        <v>0</v>
      </c>
      <c r="AL97" s="487">
        <f>SUMIFS('Key Inputs_BY Techs'!AF:AF,'Key Inputs_BY Techs'!$A:$A,$L97,'Key Inputs_BY Techs'!$C:$C,'SRV_BY Techs'!$B97,'Key Inputs_BY Techs'!$D:$D,'SRV_BY Techs'!$C97)</f>
        <v>0</v>
      </c>
      <c r="AM97" s="487">
        <f>SUMIFS('Key Inputs_BY Techs'!AG:AG,'Key Inputs_BY Techs'!$A:$A,$L97,'Key Inputs_BY Techs'!$C:$C,'SRV_BY Techs'!$B97,'Key Inputs_BY Techs'!$D:$D,'SRV_BY Techs'!$C97)</f>
        <v>0</v>
      </c>
      <c r="AN97" s="487">
        <f>SUMIFS('Key Inputs_BY Techs'!AH:AH,'Key Inputs_BY Techs'!$A:$A,$L97,'Key Inputs_BY Techs'!$C:$C,'SRV_BY Techs'!$B97,'Key Inputs_BY Techs'!$D:$D,'SRV_BY Techs'!$C97)</f>
        <v>181.76284004818325</v>
      </c>
      <c r="AO97" s="487">
        <f>SUMIFS('Key Inputs_BY Techs'!AI:AI,'Key Inputs_BY Techs'!$A:$A,$L97,'Key Inputs_BY Techs'!$C:$C,'SRV_BY Techs'!$B97,'Key Inputs_BY Techs'!$D:$D,'SRV_BY Techs'!$C97)</f>
        <v>7.0202159330291991</v>
      </c>
      <c r="AP97" s="487">
        <f>SUMIFS('Key Inputs_BY Techs'!AJ:AJ,'Key Inputs_BY Techs'!$A:$A,$L97,'Key Inputs_BY Techs'!$C:$C,'SRV_BY Techs'!$B97,'Key Inputs_BY Techs'!$D:$D,'SRV_BY Techs'!$C97)</f>
        <v>24.886699933882291</v>
      </c>
    </row>
    <row r="98" spans="1:42" x14ac:dyDescent="0.3">
      <c r="A98" s="499" t="str">
        <f t="shared" si="28"/>
        <v>Thermal uses</v>
      </c>
      <c r="B98" s="499" t="str">
        <f t="shared" si="28"/>
        <v>S-TH</v>
      </c>
      <c r="C98" s="499" t="str">
        <f t="shared" si="28"/>
        <v>LPG</v>
      </c>
      <c r="D98" s="499" t="str">
        <f t="shared" si="28"/>
        <v>SRVLPG</v>
      </c>
      <c r="E98" s="499" t="str">
        <f t="shared" si="29"/>
        <v>SRVLPG</v>
      </c>
      <c r="F98" s="499"/>
      <c r="G98" s="499"/>
      <c r="I98" s="103" t="str">
        <f t="shared" si="30"/>
        <v>S-TH-BLR_LPG00</v>
      </c>
      <c r="J98" s="103" t="str">
        <f t="shared" si="30"/>
        <v>SRV Thermal uses technology: LPG - Existing</v>
      </c>
      <c r="L98" s="103" t="s">
        <v>689</v>
      </c>
      <c r="M98" s="103" t="str">
        <f>'Key Inputs_BY Techs'!F84</f>
        <v>GW</v>
      </c>
      <c r="O98" s="487">
        <f>SUMIFS('Key Inputs_BY Techs'!I:I,'Key Inputs_BY Techs'!$A:$A,$L98,'Key Inputs_BY Techs'!$C:$C,'SRV_BY Techs'!$B98,'Key Inputs_BY Techs'!$D:$D,'SRV_BY Techs'!$C98)</f>
        <v>19.471635857142861</v>
      </c>
      <c r="P98" s="487">
        <f>SUMIFS('Key Inputs_BY Techs'!J:J,'Key Inputs_BY Techs'!$A:$A,$L98,'Key Inputs_BY Techs'!$C:$C,'SRV_BY Techs'!$B98,'Key Inputs_BY Techs'!$D:$D,'SRV_BY Techs'!$C98)</f>
        <v>2.4806819304347831</v>
      </c>
      <c r="Q98" s="487">
        <f>SUMIFS('Key Inputs_BY Techs'!K:K,'Key Inputs_BY Techs'!$A:$A,$L98,'Key Inputs_BY Techs'!$C:$C,'SRV_BY Techs'!$B98,'Key Inputs_BY Techs'!$D:$D,'SRV_BY Techs'!$C98)</f>
        <v>61.682617674418623</v>
      </c>
      <c r="R98" s="487">
        <f>SUMIFS('Key Inputs_BY Techs'!L:L,'Key Inputs_BY Techs'!$A:$A,$L98,'Key Inputs_BY Techs'!$C:$C,'SRV_BY Techs'!$B98,'Key Inputs_BY Techs'!$D:$D,'SRV_BY Techs'!$C98)</f>
        <v>2.1527761778350518</v>
      </c>
      <c r="S98" s="487">
        <f>SUMIFS('Key Inputs_BY Techs'!M:M,'Key Inputs_BY Techs'!$A:$A,$L98,'Key Inputs_BY Techs'!$C:$C,'SRV_BY Techs'!$B98,'Key Inputs_BY Techs'!$D:$D,'SRV_BY Techs'!$C98)</f>
        <v>2.1635125006877578</v>
      </c>
      <c r="T98" s="487">
        <f>SUMIFS('Key Inputs_BY Techs'!N:N,'Key Inputs_BY Techs'!$A:$A,$L98,'Key Inputs_BY Techs'!$C:$C,'SRV_BY Techs'!$B98,'Key Inputs_BY Techs'!$D:$D,'SRV_BY Techs'!$C98)</f>
        <v>0.84501674564369844</v>
      </c>
      <c r="U98" s="487">
        <f>SUMIFS('Key Inputs_BY Techs'!O:O,'Key Inputs_BY Techs'!$A:$A,$L98,'Key Inputs_BY Techs'!$C:$C,'SRV_BY Techs'!$B98,'Key Inputs_BY Techs'!$D:$D,'SRV_BY Techs'!$C98)</f>
        <v>274.01404387500003</v>
      </c>
      <c r="V98" s="487">
        <f>SUMIFS('Key Inputs_BY Techs'!P:P,'Key Inputs_BY Techs'!$A:$A,$L98,'Key Inputs_BY Techs'!$C:$C,'SRV_BY Techs'!$B98,'Key Inputs_BY Techs'!$D:$D,'SRV_BY Techs'!$C98)</f>
        <v>20.029534957410565</v>
      </c>
      <c r="W98" s="487">
        <f>SUMIFS('Key Inputs_BY Techs'!Q:Q,'Key Inputs_BY Techs'!$A:$A,$L98,'Key Inputs_BY Techs'!$C:$C,'SRV_BY Techs'!$B98,'Key Inputs_BY Techs'!$D:$D,'SRV_BY Techs'!$C98)</f>
        <v>0</v>
      </c>
      <c r="X98" s="487">
        <f>SUMIFS('Key Inputs_BY Techs'!R:R,'Key Inputs_BY Techs'!$A:$A,$L98,'Key Inputs_BY Techs'!$C:$C,'SRV_BY Techs'!$B98,'Key Inputs_BY Techs'!$D:$D,'SRV_BY Techs'!$C98)</f>
        <v>2.9689337586206905</v>
      </c>
      <c r="Y98" s="487">
        <f>SUMIFS('Key Inputs_BY Techs'!S:S,'Key Inputs_BY Techs'!$A:$A,$L98,'Key Inputs_BY Techs'!$C:$C,'SRV_BY Techs'!$B98,'Key Inputs_BY Techs'!$D:$D,'SRV_BY Techs'!$C98)</f>
        <v>0.41476757689335392</v>
      </c>
      <c r="Z98" s="487">
        <f>SUMIFS('Key Inputs_BY Techs'!T:T,'Key Inputs_BY Techs'!$A:$A,$L98,'Key Inputs_BY Techs'!$C:$C,'SRV_BY Techs'!$B98,'Key Inputs_BY Techs'!$D:$D,'SRV_BY Techs'!$C98)</f>
        <v>0</v>
      </c>
      <c r="AA98" s="487">
        <f>SUMIFS('Key Inputs_BY Techs'!U:U,'Key Inputs_BY Techs'!$A:$A,$L98,'Key Inputs_BY Techs'!$C:$C,'SRV_BY Techs'!$B98,'Key Inputs_BY Techs'!$D:$D,'SRV_BY Techs'!$C98)</f>
        <v>1.2677151113769407</v>
      </c>
      <c r="AB98" s="487">
        <f>SUMIFS('Key Inputs_BY Techs'!V:V,'Key Inputs_BY Techs'!$A:$A,$L98,'Key Inputs_BY Techs'!$C:$C,'SRV_BY Techs'!$B98,'Key Inputs_BY Techs'!$D:$D,'SRV_BY Techs'!$C98)</f>
        <v>4.0013299218749996</v>
      </c>
      <c r="AC98" s="487">
        <f>SUMIFS('Key Inputs_BY Techs'!W:W,'Key Inputs_BY Techs'!$A:$A,$L98,'Key Inputs_BY Techs'!$C:$C,'SRV_BY Techs'!$B98,'Key Inputs_BY Techs'!$D:$D,'SRV_BY Techs'!$C98)</f>
        <v>1.4332032653760547</v>
      </c>
      <c r="AD98" s="487">
        <f>SUMIFS('Key Inputs_BY Techs'!X:X,'Key Inputs_BY Techs'!$A:$A,$L98,'Key Inputs_BY Techs'!$C:$C,'SRV_BY Techs'!$B98,'Key Inputs_BY Techs'!$D:$D,'SRV_BY Techs'!$C98)</f>
        <v>13.743068285435944</v>
      </c>
      <c r="AE98" s="487">
        <f>SUMIFS('Key Inputs_BY Techs'!Y:Y,'Key Inputs_BY Techs'!$A:$A,$L98,'Key Inputs_BY Techs'!$C:$C,'SRV_BY Techs'!$B98,'Key Inputs_BY Techs'!$D:$D,'SRV_BY Techs'!$C98)</f>
        <v>3.5166300000000001</v>
      </c>
      <c r="AF98" s="487">
        <f>SUMIFS('Key Inputs_BY Techs'!Z:Z,'Key Inputs_BY Techs'!$A:$A,$L98,'Key Inputs_BY Techs'!$C:$C,'SRV_BY Techs'!$B98,'Key Inputs_BY Techs'!$D:$D,'SRV_BY Techs'!$C98)</f>
        <v>898.87347860869579</v>
      </c>
      <c r="AG98" s="487">
        <f>SUMIFS('Key Inputs_BY Techs'!AA:AA,'Key Inputs_BY Techs'!$A:$A,$L98,'Key Inputs_BY Techs'!$C:$C,'SRV_BY Techs'!$B98,'Key Inputs_BY Techs'!$D:$D,'SRV_BY Techs'!$C98)</f>
        <v>0</v>
      </c>
      <c r="AH98" s="487">
        <f>SUMIFS('Key Inputs_BY Techs'!AB:AB,'Key Inputs_BY Techs'!$A:$A,$L98,'Key Inputs_BY Techs'!$C:$C,'SRV_BY Techs'!$B98,'Key Inputs_BY Techs'!$D:$D,'SRV_BY Techs'!$C98)</f>
        <v>26.509895390199631</v>
      </c>
      <c r="AI98" s="487">
        <f>SUMIFS('Key Inputs_BY Techs'!AC:AC,'Key Inputs_BY Techs'!$A:$A,$L98,'Key Inputs_BY Techs'!$C:$C,'SRV_BY Techs'!$B98,'Key Inputs_BY Techs'!$D:$D,'SRV_BY Techs'!$C98)</f>
        <v>9.7992409635036495</v>
      </c>
      <c r="AJ98" s="487">
        <f>SUMIFS('Key Inputs_BY Techs'!AD:AD,'Key Inputs_BY Techs'!$A:$A,$L98,'Key Inputs_BY Techs'!$C:$C,'SRV_BY Techs'!$B98,'Key Inputs_BY Techs'!$D:$D,'SRV_BY Techs'!$C98)</f>
        <v>3.0780888492628375</v>
      </c>
      <c r="AK98" s="487">
        <f>SUMIFS('Key Inputs_BY Techs'!AE:AE,'Key Inputs_BY Techs'!$A:$A,$L98,'Key Inputs_BY Techs'!$C:$C,'SRV_BY Techs'!$B98,'Key Inputs_BY Techs'!$D:$D,'SRV_BY Techs'!$C98)</f>
        <v>0.32424568775020024</v>
      </c>
      <c r="AL98" s="487">
        <f>SUMIFS('Key Inputs_BY Techs'!AF:AF,'Key Inputs_BY Techs'!$A:$A,$L98,'Key Inputs_BY Techs'!$C:$C,'SRV_BY Techs'!$B98,'Key Inputs_BY Techs'!$D:$D,'SRV_BY Techs'!$C98)</f>
        <v>17.745434585185187</v>
      </c>
      <c r="AM98" s="487">
        <f>SUMIFS('Key Inputs_BY Techs'!AG:AG,'Key Inputs_BY Techs'!$A:$A,$L98,'Key Inputs_BY Techs'!$C:$C,'SRV_BY Techs'!$B98,'Key Inputs_BY Techs'!$D:$D,'SRV_BY Techs'!$C98)</f>
        <v>0</v>
      </c>
      <c r="AN98" s="487">
        <f>SUMIFS('Key Inputs_BY Techs'!AH:AH,'Key Inputs_BY Techs'!$A:$A,$L98,'Key Inputs_BY Techs'!$C:$C,'SRV_BY Techs'!$B98,'Key Inputs_BY Techs'!$D:$D,'SRV_BY Techs'!$C98)</f>
        <v>0.22737560122564571</v>
      </c>
      <c r="AO98" s="487">
        <f>SUMIFS('Key Inputs_BY Techs'!AI:AI,'Key Inputs_BY Techs'!$A:$A,$L98,'Key Inputs_BY Techs'!$C:$C,'SRV_BY Techs'!$B98,'Key Inputs_BY Techs'!$D:$D,'SRV_BY Techs'!$C98)</f>
        <v>23.381556110315188</v>
      </c>
      <c r="AP98" s="487">
        <f>SUMIFS('Key Inputs_BY Techs'!AJ:AJ,'Key Inputs_BY Techs'!$A:$A,$L98,'Key Inputs_BY Techs'!$C:$C,'SRV_BY Techs'!$B98,'Key Inputs_BY Techs'!$D:$D,'SRV_BY Techs'!$C98)</f>
        <v>31.291021030163414</v>
      </c>
    </row>
    <row r="99" spans="1:42" x14ac:dyDescent="0.3">
      <c r="A99" s="499" t="str">
        <f t="shared" si="28"/>
        <v>Thermal uses</v>
      </c>
      <c r="B99" s="499" t="str">
        <f t="shared" si="28"/>
        <v>S-TH</v>
      </c>
      <c r="C99" s="499" t="str">
        <f t="shared" si="28"/>
        <v>Oil, Liquid biofuels</v>
      </c>
      <c r="D99" s="499" t="str">
        <f t="shared" si="28"/>
        <v>SRVOIL, SRVBLQ</v>
      </c>
      <c r="E99" s="499" t="str">
        <f t="shared" si="29"/>
        <v>SRVOIL</v>
      </c>
      <c r="F99" s="499"/>
      <c r="G99" s="499"/>
      <c r="I99" s="103" t="str">
        <f t="shared" si="30"/>
        <v>S-TH-BLR_OIL00</v>
      </c>
      <c r="J99" s="103" t="str">
        <f t="shared" si="30"/>
        <v>SRV Thermal uses technology: Oil, Liquid biofuels - Existing</v>
      </c>
      <c r="L99" s="103" t="s">
        <v>689</v>
      </c>
      <c r="M99" s="103" t="str">
        <f>'Key Inputs_BY Techs'!F85</f>
        <v>GW</v>
      </c>
      <c r="O99" s="487">
        <f>SUMIFS('Key Inputs_BY Techs'!I:I,'Key Inputs_BY Techs'!$A:$A,$L99,'Key Inputs_BY Techs'!$C:$C,'SRV_BY Techs'!$B99,'Key Inputs_BY Techs'!$D:$D,'SRV_BY Techs'!$C99)</f>
        <v>180.90909571428571</v>
      </c>
      <c r="P99" s="487">
        <f>SUMIFS('Key Inputs_BY Techs'!J:J,'Key Inputs_BY Techs'!$A:$A,$L99,'Key Inputs_BY Techs'!$C:$C,'SRV_BY Techs'!$B99,'Key Inputs_BY Techs'!$D:$D,'SRV_BY Techs'!$C99)</f>
        <v>6.1942418840579716</v>
      </c>
      <c r="Q99" s="487">
        <f>SUMIFS('Key Inputs_BY Techs'!K:K,'Key Inputs_BY Techs'!$A:$A,$L99,'Key Inputs_BY Techs'!$C:$C,'SRV_BY Techs'!$B99,'Key Inputs_BY Techs'!$D:$D,'SRV_BY Techs'!$C99)</f>
        <v>25.756361860465113</v>
      </c>
      <c r="R99" s="487">
        <f>SUMIFS('Key Inputs_BY Techs'!L:L,'Key Inputs_BY Techs'!$A:$A,$L99,'Key Inputs_BY Techs'!$C:$C,'SRV_BY Techs'!$B99,'Key Inputs_BY Techs'!$D:$D,'SRV_BY Techs'!$C99)</f>
        <v>107.88382538659796</v>
      </c>
      <c r="S99" s="487">
        <f>SUMIFS('Key Inputs_BY Techs'!M:M,'Key Inputs_BY Techs'!$A:$A,$L99,'Key Inputs_BY Techs'!$C:$C,'SRV_BY Techs'!$B99,'Key Inputs_BY Techs'!$D:$D,'SRV_BY Techs'!$C99)</f>
        <v>52.32738416781293</v>
      </c>
      <c r="T99" s="487">
        <f>SUMIFS('Key Inputs_BY Techs'!N:N,'Key Inputs_BY Techs'!$A:$A,$L99,'Key Inputs_BY Techs'!$C:$C,'SRV_BY Techs'!$B99,'Key Inputs_BY Techs'!$D:$D,'SRV_BY Techs'!$C99)</f>
        <v>12.224473994956773</v>
      </c>
      <c r="U99" s="487">
        <f>SUMIFS('Key Inputs_BY Techs'!O:O,'Key Inputs_BY Techs'!$A:$A,$L99,'Key Inputs_BY Techs'!$C:$C,'SRV_BY Techs'!$B99,'Key Inputs_BY Techs'!$D:$D,'SRV_BY Techs'!$C99)</f>
        <v>199.53546112499998</v>
      </c>
      <c r="V99" s="487">
        <f>SUMIFS('Key Inputs_BY Techs'!P:P,'Key Inputs_BY Techs'!$A:$A,$L99,'Key Inputs_BY Techs'!$C:$C,'SRV_BY Techs'!$B99,'Key Inputs_BY Techs'!$D:$D,'SRV_BY Techs'!$C99)</f>
        <v>4.2512657580919933E-2</v>
      </c>
      <c r="W99" s="487">
        <f>SUMIFS('Key Inputs_BY Techs'!Q:Q,'Key Inputs_BY Techs'!$A:$A,$L99,'Key Inputs_BY Techs'!$C:$C,'SRV_BY Techs'!$B99,'Key Inputs_BY Techs'!$D:$D,'SRV_BY Techs'!$C99)</f>
        <v>16.224755625000004</v>
      </c>
      <c r="X99" s="487">
        <f>SUMIFS('Key Inputs_BY Techs'!R:R,'Key Inputs_BY Techs'!$A:$A,$L99,'Key Inputs_BY Techs'!$C:$C,'SRV_BY Techs'!$B99,'Key Inputs_BY Techs'!$D:$D,'SRV_BY Techs'!$C99)</f>
        <v>5.7906133620689655</v>
      </c>
      <c r="Y99" s="487">
        <f>SUMIFS('Key Inputs_BY Techs'!S:S,'Key Inputs_BY Techs'!$A:$A,$L99,'Key Inputs_BY Techs'!$C:$C,'SRV_BY Techs'!$B99,'Key Inputs_BY Techs'!$D:$D,'SRV_BY Techs'!$C99)</f>
        <v>4.2339995865533231</v>
      </c>
      <c r="Z99" s="487">
        <f>SUMIFS('Key Inputs_BY Techs'!T:T,'Key Inputs_BY Techs'!$A:$A,$L99,'Key Inputs_BY Techs'!$C:$C,'SRV_BY Techs'!$B99,'Key Inputs_BY Techs'!$D:$D,'SRV_BY Techs'!$C99)</f>
        <v>0</v>
      </c>
      <c r="AA99" s="487">
        <f>SUMIFS('Key Inputs_BY Techs'!U:U,'Key Inputs_BY Techs'!$A:$A,$L99,'Key Inputs_BY Techs'!$C:$C,'SRV_BY Techs'!$B99,'Key Inputs_BY Techs'!$D:$D,'SRV_BY Techs'!$C99)</f>
        <v>5.0188303521126763</v>
      </c>
      <c r="AB99" s="487">
        <f>SUMIFS('Key Inputs_BY Techs'!V:V,'Key Inputs_BY Techs'!$A:$A,$L99,'Key Inputs_BY Techs'!$C:$C,'SRV_BY Techs'!$B99,'Key Inputs_BY Techs'!$D:$D,'SRV_BY Techs'!$C99)</f>
        <v>52.279726955030497</v>
      </c>
      <c r="AC99" s="487">
        <f>SUMIFS('Key Inputs_BY Techs'!W:W,'Key Inputs_BY Techs'!$A:$A,$L99,'Key Inputs_BY Techs'!$C:$C,'SRV_BY Techs'!$B99,'Key Inputs_BY Techs'!$D:$D,'SRV_BY Techs'!$C99)</f>
        <v>5.4778425178408048</v>
      </c>
      <c r="AD99" s="487">
        <f>SUMIFS('Key Inputs_BY Techs'!X:X,'Key Inputs_BY Techs'!$A:$A,$L99,'Key Inputs_BY Techs'!$C:$C,'SRV_BY Techs'!$B99,'Key Inputs_BY Techs'!$D:$D,'SRV_BY Techs'!$C99)</f>
        <v>83.695361105698979</v>
      </c>
      <c r="AE99" s="487">
        <f>SUMIFS('Key Inputs_BY Techs'!Y:Y,'Key Inputs_BY Techs'!$A:$A,$L99,'Key Inputs_BY Techs'!$C:$C,'SRV_BY Techs'!$B99,'Key Inputs_BY Techs'!$D:$D,'SRV_BY Techs'!$C99)</f>
        <v>83.484960000000001</v>
      </c>
      <c r="AF99" s="487">
        <f>SUMIFS('Key Inputs_BY Techs'!Z:Z,'Key Inputs_BY Techs'!$A:$A,$L99,'Key Inputs_BY Techs'!$C:$C,'SRV_BY Techs'!$B99,'Key Inputs_BY Techs'!$D:$D,'SRV_BY Techs'!$C99)</f>
        <v>4137.1295617826081</v>
      </c>
      <c r="AG99" s="487">
        <f>SUMIFS('Key Inputs_BY Techs'!AA:AA,'Key Inputs_BY Techs'!$A:$A,$L99,'Key Inputs_BY Techs'!$C:$C,'SRV_BY Techs'!$B99,'Key Inputs_BY Techs'!$D:$D,'SRV_BY Techs'!$C99)</f>
        <v>7.448561891447369</v>
      </c>
      <c r="AH99" s="487">
        <f>SUMIFS('Key Inputs_BY Techs'!AB:AB,'Key Inputs_BY Techs'!$A:$A,$L99,'Key Inputs_BY Techs'!$C:$C,'SRV_BY Techs'!$B99,'Key Inputs_BY Techs'!$D:$D,'SRV_BY Techs'!$C99)</f>
        <v>291.61388154264966</v>
      </c>
      <c r="AI99" s="487">
        <f>SUMIFS('Key Inputs_BY Techs'!AC:AC,'Key Inputs_BY Techs'!$A:$A,$L99,'Key Inputs_BY Techs'!$C:$C,'SRV_BY Techs'!$B99,'Key Inputs_BY Techs'!$D:$D,'SRV_BY Techs'!$C99)</f>
        <v>69.304793430656929</v>
      </c>
      <c r="AJ99" s="487">
        <f>SUMIFS('Key Inputs_BY Techs'!AD:AD,'Key Inputs_BY Techs'!$A:$A,$L99,'Key Inputs_BY Techs'!$C:$C,'SRV_BY Techs'!$B99,'Key Inputs_BY Techs'!$D:$D,'SRV_BY Techs'!$C99)</f>
        <v>4.4500451347229291</v>
      </c>
      <c r="AK99" s="487">
        <f>SUMIFS('Key Inputs_BY Techs'!AE:AE,'Key Inputs_BY Techs'!$A:$A,$L99,'Key Inputs_BY Techs'!$C:$C,'SRV_BY Techs'!$B99,'Key Inputs_BY Techs'!$D:$D,'SRV_BY Techs'!$C99)</f>
        <v>13.391879702161727</v>
      </c>
      <c r="AL99" s="487">
        <f>SUMIFS('Key Inputs_BY Techs'!AF:AF,'Key Inputs_BY Techs'!$A:$A,$L99,'Key Inputs_BY Techs'!$C:$C,'SRV_BY Techs'!$B99,'Key Inputs_BY Techs'!$D:$D,'SRV_BY Techs'!$C99)</f>
        <v>1.6243444148148145</v>
      </c>
      <c r="AM99" s="487">
        <f>SUMIFS('Key Inputs_BY Techs'!AG:AG,'Key Inputs_BY Techs'!$A:$A,$L99,'Key Inputs_BY Techs'!$C:$C,'SRV_BY Techs'!$B99,'Key Inputs_BY Techs'!$D:$D,'SRV_BY Techs'!$C99)</f>
        <v>1.051215</v>
      </c>
      <c r="AN99" s="487">
        <f>SUMIFS('Key Inputs_BY Techs'!AH:AH,'Key Inputs_BY Techs'!$A:$A,$L99,'Key Inputs_BY Techs'!$C:$C,'SRV_BY Techs'!$B99,'Key Inputs_BY Techs'!$D:$D,'SRV_BY Techs'!$C99)</f>
        <v>15.221375203252036</v>
      </c>
      <c r="AO99" s="487">
        <f>SUMIFS('Key Inputs_BY Techs'!AI:AI,'Key Inputs_BY Techs'!$A:$A,$L99,'Key Inputs_BY Techs'!$C:$C,'SRV_BY Techs'!$B99,'Key Inputs_BY Techs'!$D:$D,'SRV_BY Techs'!$C99)</f>
        <v>14.481849699140405</v>
      </c>
      <c r="AP99" s="487">
        <f>SUMIFS('Key Inputs_BY Techs'!AJ:AJ,'Key Inputs_BY Techs'!$A:$A,$L99,'Key Inputs_BY Techs'!$C:$C,'SRV_BY Techs'!$B99,'Key Inputs_BY Techs'!$D:$D,'SRV_BY Techs'!$C99)</f>
        <v>190.09609695709415</v>
      </c>
    </row>
    <row r="100" spans="1:42" x14ac:dyDescent="0.3">
      <c r="A100" s="499" t="str">
        <f t="shared" si="28"/>
        <v>Thermal uses</v>
      </c>
      <c r="B100" s="499" t="str">
        <f t="shared" si="28"/>
        <v>S-TH</v>
      </c>
      <c r="C100" s="499" t="str">
        <f t="shared" si="28"/>
        <v>Solar</v>
      </c>
      <c r="D100" s="499" t="str">
        <f t="shared" si="28"/>
        <v>SRVSOL</v>
      </c>
      <c r="E100" s="499" t="str">
        <f t="shared" si="29"/>
        <v>SRVSOL</v>
      </c>
      <c r="F100" s="499"/>
      <c r="G100" s="499"/>
      <c r="I100" s="106" t="str">
        <f t="shared" si="30"/>
        <v>S-TH-STV_SOL00</v>
      </c>
      <c r="J100" s="106" t="str">
        <f t="shared" si="30"/>
        <v>SRV Thermal uses technology: Solar - Existing</v>
      </c>
      <c r="K100" s="106"/>
      <c r="L100" s="106" t="s">
        <v>689</v>
      </c>
      <c r="M100" s="106" t="str">
        <f>'Key Inputs_BY Techs'!F86</f>
        <v>GW</v>
      </c>
      <c r="N100" s="106"/>
      <c r="O100" s="588">
        <f>SUMIFS('Key Inputs_BY Techs'!I:I,'Key Inputs_BY Techs'!$A:$A,$L100,'Key Inputs_BY Techs'!$C:$C,'SRV_BY Techs'!$B100,'Key Inputs_BY Techs'!$D:$D,'SRV_BY Techs'!$C100)</f>
        <v>0</v>
      </c>
      <c r="P100" s="488">
        <f>SUMIFS('Key Inputs_BY Techs'!J:J,'Key Inputs_BY Techs'!$A:$A,$L100,'Key Inputs_BY Techs'!$C:$C,'SRV_BY Techs'!$B100,'Key Inputs_BY Techs'!$D:$D,'SRV_BY Techs'!$C100)</f>
        <v>0.16338985507246376</v>
      </c>
      <c r="Q100" s="488">
        <f>SUMIFS('Key Inputs_BY Techs'!K:K,'Key Inputs_BY Techs'!$A:$A,$L100,'Key Inputs_BY Techs'!$C:$C,'SRV_BY Techs'!$B100,'Key Inputs_BY Techs'!$D:$D,'SRV_BY Techs'!$C100)</f>
        <v>0</v>
      </c>
      <c r="R100" s="488">
        <f>SUMIFS('Key Inputs_BY Techs'!L:L,'Key Inputs_BY Techs'!$A:$A,$L100,'Key Inputs_BY Techs'!$C:$C,'SRV_BY Techs'!$B100,'Key Inputs_BY Techs'!$D:$D,'SRV_BY Techs'!$C100)</f>
        <v>0</v>
      </c>
      <c r="S100" s="488">
        <f>SUMIFS('Key Inputs_BY Techs'!M:M,'Key Inputs_BY Techs'!$A:$A,$L100,'Key Inputs_BY Techs'!$C:$C,'SRV_BY Techs'!$B100,'Key Inputs_BY Techs'!$D:$D,'SRV_BY Techs'!$C100)</f>
        <v>0.9870268225584593</v>
      </c>
      <c r="T100" s="488">
        <f>SUMIFS('Key Inputs_BY Techs'!N:N,'Key Inputs_BY Techs'!$A:$A,$L100,'Key Inputs_BY Techs'!$C:$C,'SRV_BY Techs'!$B100,'Key Inputs_BY Techs'!$D:$D,'SRV_BY Techs'!$C100)</f>
        <v>0.1673874279538905</v>
      </c>
      <c r="U100" s="488">
        <f>SUMIFS('Key Inputs_BY Techs'!O:O,'Key Inputs_BY Techs'!$A:$A,$L100,'Key Inputs_BY Techs'!$C:$C,'SRV_BY Techs'!$B100,'Key Inputs_BY Techs'!$D:$D,'SRV_BY Techs'!$C100)</f>
        <v>10.140796874999999</v>
      </c>
      <c r="V100" s="488">
        <f>SUMIFS('Key Inputs_BY Techs'!P:P,'Key Inputs_BY Techs'!$A:$A,$L100,'Key Inputs_BY Techs'!$C:$C,'SRV_BY Techs'!$B100,'Key Inputs_BY Techs'!$D:$D,'SRV_BY Techs'!$C100)</f>
        <v>0</v>
      </c>
      <c r="W100" s="488">
        <f>SUMIFS('Key Inputs_BY Techs'!Q:Q,'Key Inputs_BY Techs'!$A:$A,$L100,'Key Inputs_BY Techs'!$C:$C,'SRV_BY Techs'!$B100,'Key Inputs_BY Techs'!$D:$D,'SRV_BY Techs'!$C100)</f>
        <v>0</v>
      </c>
      <c r="X100" s="488">
        <f>SUMIFS('Key Inputs_BY Techs'!R:R,'Key Inputs_BY Techs'!$A:$A,$L100,'Key Inputs_BY Techs'!$C:$C,'SRV_BY Techs'!$B100,'Key Inputs_BY Techs'!$D:$D,'SRV_BY Techs'!$C100)</f>
        <v>0</v>
      </c>
      <c r="Y100" s="488">
        <f>SUMIFS('Key Inputs_BY Techs'!S:S,'Key Inputs_BY Techs'!$A:$A,$L100,'Key Inputs_BY Techs'!$C:$C,'SRV_BY Techs'!$B100,'Key Inputs_BY Techs'!$D:$D,'SRV_BY Techs'!$C100)</f>
        <v>0</v>
      </c>
      <c r="Z100" s="488">
        <f>SUMIFS('Key Inputs_BY Techs'!T:T,'Key Inputs_BY Techs'!$A:$A,$L100,'Key Inputs_BY Techs'!$C:$C,'SRV_BY Techs'!$B100,'Key Inputs_BY Techs'!$D:$D,'SRV_BY Techs'!$C100)</f>
        <v>0</v>
      </c>
      <c r="AA100" s="488">
        <f>SUMIFS('Key Inputs_BY Techs'!U:U,'Key Inputs_BY Techs'!$A:$A,$L100,'Key Inputs_BY Techs'!$C:$C,'SRV_BY Techs'!$B100,'Key Inputs_BY Techs'!$D:$D,'SRV_BY Techs'!$C100)</f>
        <v>9.8510563380281704E-2</v>
      </c>
      <c r="AB100" s="488">
        <f>SUMIFS('Key Inputs_BY Techs'!V:V,'Key Inputs_BY Techs'!$A:$A,$L100,'Key Inputs_BY Techs'!$C:$C,'SRV_BY Techs'!$B100,'Key Inputs_BY Techs'!$D:$D,'SRV_BY Techs'!$C100)</f>
        <v>0.64853258384146351</v>
      </c>
      <c r="AC100" s="488">
        <f>SUMIFS('Key Inputs_BY Techs'!W:W,'Key Inputs_BY Techs'!$A:$A,$L100,'Key Inputs_BY Techs'!$C:$C,'SRV_BY Techs'!$B100,'Key Inputs_BY Techs'!$D:$D,'SRV_BY Techs'!$C100)</f>
        <v>0.35794583714547112</v>
      </c>
      <c r="AD100" s="488">
        <f>SUMIFS('Key Inputs_BY Techs'!X:X,'Key Inputs_BY Techs'!$A:$A,$L100,'Key Inputs_BY Techs'!$C:$C,'SRV_BY Techs'!$B100,'Key Inputs_BY Techs'!$D:$D,'SRV_BY Techs'!$C100)</f>
        <v>5.2406025328787136</v>
      </c>
      <c r="AE100" s="488">
        <f>SUMIFS('Key Inputs_BY Techs'!Y:Y,'Key Inputs_BY Techs'!$A:$A,$L100,'Key Inputs_BY Techs'!$C:$C,'SRV_BY Techs'!$B100,'Key Inputs_BY Techs'!$D:$D,'SRV_BY Techs'!$C100)</f>
        <v>2.1385000000000001</v>
      </c>
      <c r="AF100" s="488">
        <f>SUMIFS('Key Inputs_BY Techs'!Z:Z,'Key Inputs_BY Techs'!$A:$A,$L100,'Key Inputs_BY Techs'!$C:$C,'SRV_BY Techs'!$B100,'Key Inputs_BY Techs'!$D:$D,'SRV_BY Techs'!$C100)</f>
        <v>0</v>
      </c>
      <c r="AG100" s="488">
        <f>SUMIFS('Key Inputs_BY Techs'!AA:AA,'Key Inputs_BY Techs'!$A:$A,$L100,'Key Inputs_BY Techs'!$C:$C,'SRV_BY Techs'!$B100,'Key Inputs_BY Techs'!$D:$D,'SRV_BY Techs'!$C100)</f>
        <v>0</v>
      </c>
      <c r="AH100" s="488">
        <f>SUMIFS('Key Inputs_BY Techs'!AB:AB,'Key Inputs_BY Techs'!$A:$A,$L100,'Key Inputs_BY Techs'!$C:$C,'SRV_BY Techs'!$B100,'Key Inputs_BY Techs'!$D:$D,'SRV_BY Techs'!$C100)</f>
        <v>0.70598971566848145</v>
      </c>
      <c r="AI100" s="488">
        <f>SUMIFS('Key Inputs_BY Techs'!AC:AC,'Key Inputs_BY Techs'!$A:$A,$L100,'Key Inputs_BY Techs'!$C:$C,'SRV_BY Techs'!$B100,'Key Inputs_BY Techs'!$D:$D,'SRV_BY Techs'!$C100)</f>
        <v>2.1277104622871041</v>
      </c>
      <c r="AJ100" s="488">
        <f>SUMIFS('Key Inputs_BY Techs'!AD:AD,'Key Inputs_BY Techs'!$A:$A,$L100,'Key Inputs_BY Techs'!$C:$C,'SRV_BY Techs'!$B100,'Key Inputs_BY Techs'!$D:$D,'SRV_BY Techs'!$C100)</f>
        <v>1.9998357905439754</v>
      </c>
      <c r="AK100" s="488">
        <f>SUMIFS('Key Inputs_BY Techs'!AE:AE,'Key Inputs_BY Techs'!$A:$A,$L100,'Key Inputs_BY Techs'!$C:$C,'SRV_BY Techs'!$B100,'Key Inputs_BY Techs'!$D:$D,'SRV_BY Techs'!$C100)</f>
        <v>0</v>
      </c>
      <c r="AL100" s="488">
        <f>SUMIFS('Key Inputs_BY Techs'!AF:AF,'Key Inputs_BY Techs'!$A:$A,$L100,'Key Inputs_BY Techs'!$C:$C,'SRV_BY Techs'!$B100,'Key Inputs_BY Techs'!$D:$D,'SRV_BY Techs'!$C100)</f>
        <v>19.46694444444444</v>
      </c>
      <c r="AM100" s="488">
        <f>SUMIFS('Key Inputs_BY Techs'!AG:AG,'Key Inputs_BY Techs'!$A:$A,$L100,'Key Inputs_BY Techs'!$C:$C,'SRV_BY Techs'!$B100,'Key Inputs_BY Techs'!$D:$D,'SRV_BY Techs'!$C100)</f>
        <v>0</v>
      </c>
      <c r="AN100" s="488">
        <f>SUMIFS('Key Inputs_BY Techs'!AH:AH,'Key Inputs_BY Techs'!$A:$A,$L100,'Key Inputs_BY Techs'!$C:$C,'SRV_BY Techs'!$B100,'Key Inputs_BY Techs'!$D:$D,'SRV_BY Techs'!$C100)</f>
        <v>0</v>
      </c>
      <c r="AO100" s="488">
        <f>SUMIFS('Key Inputs_BY Techs'!AI:AI,'Key Inputs_BY Techs'!$A:$A,$L100,'Key Inputs_BY Techs'!$C:$C,'SRV_BY Techs'!$B100,'Key Inputs_BY Techs'!$D:$D,'SRV_BY Techs'!$C100)</f>
        <v>0.66935052531041084</v>
      </c>
      <c r="AP100" s="488">
        <f>SUMIFS('Key Inputs_BY Techs'!AJ:AJ,'Key Inputs_BY Techs'!$A:$A,$L100,'Key Inputs_BY Techs'!$C:$C,'SRV_BY Techs'!$B100,'Key Inputs_BY Techs'!$D:$D,'SRV_BY Techs'!$C100)</f>
        <v>49.030475287601199</v>
      </c>
    </row>
    <row r="101" spans="1:42" x14ac:dyDescent="0.3">
      <c r="A101" s="499" t="str">
        <f t="shared" si="28"/>
        <v>Air conditioning</v>
      </c>
      <c r="B101" s="499" t="str">
        <f t="shared" si="28"/>
        <v>S-AC</v>
      </c>
      <c r="C101" s="499" t="str">
        <f t="shared" si="28"/>
        <v>Natural gas, Biogas</v>
      </c>
      <c r="D101" s="499" t="str">
        <f t="shared" si="28"/>
        <v>SRVGAS, SRVBGS</v>
      </c>
      <c r="E101" s="499" t="str">
        <f t="shared" si="29"/>
        <v>SRVGAS</v>
      </c>
      <c r="F101" s="499"/>
      <c r="G101" s="499"/>
      <c r="I101" s="589" t="str">
        <f t="shared" si="30"/>
        <v>S-AC_GAS00</v>
      </c>
      <c r="J101" s="589" t="str">
        <f t="shared" si="30"/>
        <v>SRV Air conditioning technology: Natural gas, Biogas - Existing</v>
      </c>
      <c r="K101" s="589"/>
      <c r="L101" s="589" t="s">
        <v>689</v>
      </c>
      <c r="M101" s="589" t="str">
        <f>'Key Inputs_BY Techs'!F87</f>
        <v>GW</v>
      </c>
      <c r="N101" s="589"/>
      <c r="O101" s="590">
        <f>SUMIFS('Key Inputs_BY Techs'!I:I,'Key Inputs_BY Techs'!$A:$A,$L101,'Key Inputs_BY Techs'!$C:$C,'SRV_BY Techs'!$B101,'Key Inputs_BY Techs'!$D:$D,'SRV_BY Techs'!$C101)</f>
        <v>0</v>
      </c>
      <c r="P101" s="487">
        <f>SUMIFS('Key Inputs_BY Techs'!J:J,'Key Inputs_BY Techs'!$A:$A,$L101,'Key Inputs_BY Techs'!$C:$C,'SRV_BY Techs'!$B101,'Key Inputs_BY Techs'!$D:$D,'SRV_BY Techs'!$C101)</f>
        <v>0</v>
      </c>
      <c r="Q101" s="487">
        <f>SUMIFS('Key Inputs_BY Techs'!K:K,'Key Inputs_BY Techs'!$A:$A,$L101,'Key Inputs_BY Techs'!$C:$C,'SRV_BY Techs'!$B101,'Key Inputs_BY Techs'!$D:$D,'SRV_BY Techs'!$C101)</f>
        <v>0</v>
      </c>
      <c r="R101" s="487">
        <f>SUMIFS('Key Inputs_BY Techs'!L:L,'Key Inputs_BY Techs'!$A:$A,$L101,'Key Inputs_BY Techs'!$C:$C,'SRV_BY Techs'!$B101,'Key Inputs_BY Techs'!$D:$D,'SRV_BY Techs'!$C101)</f>
        <v>0</v>
      </c>
      <c r="S101" s="487">
        <f>SUMIFS('Key Inputs_BY Techs'!M:M,'Key Inputs_BY Techs'!$A:$A,$L101,'Key Inputs_BY Techs'!$C:$C,'SRV_BY Techs'!$B101,'Key Inputs_BY Techs'!$D:$D,'SRV_BY Techs'!$C101)</f>
        <v>0</v>
      </c>
      <c r="T101" s="487">
        <f>SUMIFS('Key Inputs_BY Techs'!N:N,'Key Inputs_BY Techs'!$A:$A,$L101,'Key Inputs_BY Techs'!$C:$C,'SRV_BY Techs'!$B101,'Key Inputs_BY Techs'!$D:$D,'SRV_BY Techs'!$C101)</f>
        <v>0.58300557760141103</v>
      </c>
      <c r="U101" s="487">
        <f>SUMIFS('Key Inputs_BY Techs'!O:O,'Key Inputs_BY Techs'!$A:$A,$L101,'Key Inputs_BY Techs'!$C:$C,'SRV_BY Techs'!$B101,'Key Inputs_BY Techs'!$D:$D,'SRV_BY Techs'!$C101)</f>
        <v>4.2318104288499034E-3</v>
      </c>
      <c r="V101" s="487">
        <f>SUMIFS('Key Inputs_BY Techs'!P:P,'Key Inputs_BY Techs'!$A:$A,$L101,'Key Inputs_BY Techs'!$C:$C,'SRV_BY Techs'!$B101,'Key Inputs_BY Techs'!$D:$D,'SRV_BY Techs'!$C101)</f>
        <v>5.2773099902737259E-3</v>
      </c>
      <c r="W101" s="487">
        <f>SUMIFS('Key Inputs_BY Techs'!Q:Q,'Key Inputs_BY Techs'!$A:$A,$L101,'Key Inputs_BY Techs'!$C:$C,'SRV_BY Techs'!$B101,'Key Inputs_BY Techs'!$D:$D,'SRV_BY Techs'!$C101)</f>
        <v>0</v>
      </c>
      <c r="X101" s="487">
        <f>SUMIFS('Key Inputs_BY Techs'!R:R,'Key Inputs_BY Techs'!$A:$A,$L101,'Key Inputs_BY Techs'!$C:$C,'SRV_BY Techs'!$B101,'Key Inputs_BY Techs'!$D:$D,'SRV_BY Techs'!$C101)</f>
        <v>0</v>
      </c>
      <c r="Y101" s="487">
        <f>SUMIFS('Key Inputs_BY Techs'!S:S,'Key Inputs_BY Techs'!$A:$A,$L101,'Key Inputs_BY Techs'!$C:$C,'SRV_BY Techs'!$B101,'Key Inputs_BY Techs'!$D:$D,'SRV_BY Techs'!$C101)</f>
        <v>0</v>
      </c>
      <c r="Z101" s="487">
        <f>SUMIFS('Key Inputs_BY Techs'!T:T,'Key Inputs_BY Techs'!$A:$A,$L101,'Key Inputs_BY Techs'!$C:$C,'SRV_BY Techs'!$B101,'Key Inputs_BY Techs'!$D:$D,'SRV_BY Techs'!$C101)</f>
        <v>0</v>
      </c>
      <c r="AA101" s="487">
        <f>SUMIFS('Key Inputs_BY Techs'!U:U,'Key Inputs_BY Techs'!$A:$A,$L101,'Key Inputs_BY Techs'!$C:$C,'SRV_BY Techs'!$B101,'Key Inputs_BY Techs'!$D:$D,'SRV_BY Techs'!$C101)</f>
        <v>0.12448431899641577</v>
      </c>
      <c r="AB101" s="487">
        <f>SUMIFS('Key Inputs_BY Techs'!V:V,'Key Inputs_BY Techs'!$A:$A,$L101,'Key Inputs_BY Techs'!$C:$C,'SRV_BY Techs'!$B101,'Key Inputs_BY Techs'!$D:$D,'SRV_BY Techs'!$C101)</f>
        <v>1.8280166666666664</v>
      </c>
      <c r="AC101" s="487">
        <f>SUMIFS('Key Inputs_BY Techs'!W:W,'Key Inputs_BY Techs'!$A:$A,$L101,'Key Inputs_BY Techs'!$C:$C,'SRV_BY Techs'!$B101,'Key Inputs_BY Techs'!$D:$D,'SRV_BY Techs'!$C101)</f>
        <v>0.55332932576539384</v>
      </c>
      <c r="AD101" s="487">
        <f>SUMIFS('Key Inputs_BY Techs'!X:X,'Key Inputs_BY Techs'!$A:$A,$L101,'Key Inputs_BY Techs'!$C:$C,'SRV_BY Techs'!$B101,'Key Inputs_BY Techs'!$D:$D,'SRV_BY Techs'!$C101)</f>
        <v>0.66748953269675915</v>
      </c>
      <c r="AE101" s="487">
        <f>SUMIFS('Key Inputs_BY Techs'!Y:Y,'Key Inputs_BY Techs'!$A:$A,$L101,'Key Inputs_BY Techs'!$C:$C,'SRV_BY Techs'!$B101,'Key Inputs_BY Techs'!$D:$D,'SRV_BY Techs'!$C101)</f>
        <v>1.9347641203703703</v>
      </c>
      <c r="AF101" s="487">
        <f>SUMIFS('Key Inputs_BY Techs'!Z:Z,'Key Inputs_BY Techs'!$A:$A,$L101,'Key Inputs_BY Techs'!$C:$C,'SRV_BY Techs'!$B101,'Key Inputs_BY Techs'!$D:$D,'SRV_BY Techs'!$C101)</f>
        <v>6.304219297079288E-3</v>
      </c>
      <c r="AG101" s="487">
        <f>SUMIFS('Key Inputs_BY Techs'!AA:AA,'Key Inputs_BY Techs'!$A:$A,$L101,'Key Inputs_BY Techs'!$C:$C,'SRV_BY Techs'!$B101,'Key Inputs_BY Techs'!$D:$D,'SRV_BY Techs'!$C101)</f>
        <v>0</v>
      </c>
      <c r="AH101" s="487">
        <f>SUMIFS('Key Inputs_BY Techs'!AB:AB,'Key Inputs_BY Techs'!$A:$A,$L101,'Key Inputs_BY Techs'!$C:$C,'SRV_BY Techs'!$B101,'Key Inputs_BY Techs'!$D:$D,'SRV_BY Techs'!$C101)</f>
        <v>3.1134602040816328</v>
      </c>
      <c r="AI101" s="487">
        <f>SUMIFS('Key Inputs_BY Techs'!AC:AC,'Key Inputs_BY Techs'!$A:$A,$L101,'Key Inputs_BY Techs'!$C:$C,'SRV_BY Techs'!$B101,'Key Inputs_BY Techs'!$D:$D,'SRV_BY Techs'!$C101)</f>
        <v>0</v>
      </c>
      <c r="AJ101" s="487">
        <f>SUMIFS('Key Inputs_BY Techs'!AD:AD,'Key Inputs_BY Techs'!$A:$A,$L101,'Key Inputs_BY Techs'!$C:$C,'SRV_BY Techs'!$B101,'Key Inputs_BY Techs'!$D:$D,'SRV_BY Techs'!$C101)</f>
        <v>0.16129558823529411</v>
      </c>
      <c r="AK101" s="487">
        <f>SUMIFS('Key Inputs_BY Techs'!AE:AE,'Key Inputs_BY Techs'!$A:$A,$L101,'Key Inputs_BY Techs'!$C:$C,'SRV_BY Techs'!$B101,'Key Inputs_BY Techs'!$D:$D,'SRV_BY Techs'!$C101)</f>
        <v>0.20576491592166885</v>
      </c>
      <c r="AL101" s="487">
        <f>SUMIFS('Key Inputs_BY Techs'!AF:AF,'Key Inputs_BY Techs'!$A:$A,$L101,'Key Inputs_BY Techs'!$C:$C,'SRV_BY Techs'!$B101,'Key Inputs_BY Techs'!$D:$D,'SRV_BY Techs'!$C101)</f>
        <v>0</v>
      </c>
      <c r="AM101" s="487">
        <f>SUMIFS('Key Inputs_BY Techs'!AG:AG,'Key Inputs_BY Techs'!$A:$A,$L101,'Key Inputs_BY Techs'!$C:$C,'SRV_BY Techs'!$B101,'Key Inputs_BY Techs'!$D:$D,'SRV_BY Techs'!$C101)</f>
        <v>0</v>
      </c>
      <c r="AN101" s="487">
        <f>SUMIFS('Key Inputs_BY Techs'!AH:AH,'Key Inputs_BY Techs'!$A:$A,$L101,'Key Inputs_BY Techs'!$C:$C,'SRV_BY Techs'!$B101,'Key Inputs_BY Techs'!$D:$D,'SRV_BY Techs'!$C101)</f>
        <v>0.80492906533142594</v>
      </c>
      <c r="AO101" s="487">
        <f>SUMIFS('Key Inputs_BY Techs'!AI:AI,'Key Inputs_BY Techs'!$A:$A,$L101,'Key Inputs_BY Techs'!$C:$C,'SRV_BY Techs'!$B101,'Key Inputs_BY Techs'!$D:$D,'SRV_BY Techs'!$C101)</f>
        <v>1.3998696491228069</v>
      </c>
      <c r="AP101" s="487">
        <f>SUMIFS('Key Inputs_BY Techs'!AJ:AJ,'Key Inputs_BY Techs'!$A:$A,$L101,'Key Inputs_BY Techs'!$C:$C,'SRV_BY Techs'!$B101,'Key Inputs_BY Techs'!$D:$D,'SRV_BY Techs'!$C101)</f>
        <v>2.3319292575986359</v>
      </c>
    </row>
    <row r="102" spans="1:42" x14ac:dyDescent="0.3">
      <c r="A102" s="499" t="str">
        <f t="shared" si="28"/>
        <v>Air conditioning</v>
      </c>
      <c r="B102" s="499" t="str">
        <f t="shared" si="28"/>
        <v>S-AC</v>
      </c>
      <c r="C102" s="499" t="str">
        <f t="shared" si="28"/>
        <v>Electricity</v>
      </c>
      <c r="D102" s="499" t="str">
        <f t="shared" si="28"/>
        <v>SRVELC</v>
      </c>
      <c r="E102" s="499" t="str">
        <f t="shared" si="29"/>
        <v>SRVELC</v>
      </c>
      <c r="F102" s="499"/>
      <c r="G102" s="499"/>
      <c r="I102" s="591" t="str">
        <f t="shared" si="30"/>
        <v>S-AC_ELC00</v>
      </c>
      <c r="J102" s="591" t="str">
        <f t="shared" si="30"/>
        <v>SRV Air conditioning technology: Electricity - Existing</v>
      </c>
      <c r="K102" s="591"/>
      <c r="L102" s="591" t="s">
        <v>689</v>
      </c>
      <c r="M102" s="591" t="str">
        <f>'Key Inputs_BY Techs'!F88</f>
        <v>GW</v>
      </c>
      <c r="N102" s="591"/>
      <c r="O102" s="592">
        <f>SUMIFS('Key Inputs_BY Techs'!I:I,'Key Inputs_BY Techs'!$A:$A,$L102,'Key Inputs_BY Techs'!$C:$C,'SRV_BY Techs'!$B102,'Key Inputs_BY Techs'!$D:$D,'SRV_BY Techs'!$C102)</f>
        <v>0.10354445493016075</v>
      </c>
      <c r="P102" s="488">
        <f>SUMIFS('Key Inputs_BY Techs'!J:J,'Key Inputs_BY Techs'!$A:$A,$L102,'Key Inputs_BY Techs'!$C:$C,'SRV_BY Techs'!$B102,'Key Inputs_BY Techs'!$D:$D,'SRV_BY Techs'!$C102)</f>
        <v>0.72155042872444808</v>
      </c>
      <c r="Q102" s="488">
        <f>SUMIFS('Key Inputs_BY Techs'!K:K,'Key Inputs_BY Techs'!$A:$A,$L102,'Key Inputs_BY Techs'!$C:$C,'SRV_BY Techs'!$B102,'Key Inputs_BY Techs'!$D:$D,'SRV_BY Techs'!$C102)</f>
        <v>0.10867943807243183</v>
      </c>
      <c r="R102" s="488">
        <f>SUMIFS('Key Inputs_BY Techs'!L:L,'Key Inputs_BY Techs'!$A:$A,$L102,'Key Inputs_BY Techs'!$C:$C,'SRV_BY Techs'!$B102,'Key Inputs_BY Techs'!$D:$D,'SRV_BY Techs'!$C102)</f>
        <v>0.49247585876090993</v>
      </c>
      <c r="S102" s="488">
        <f>SUMIFS('Key Inputs_BY Techs'!M:M,'Key Inputs_BY Techs'!$A:$A,$L102,'Key Inputs_BY Techs'!$C:$C,'SRV_BY Techs'!$B102,'Key Inputs_BY Techs'!$D:$D,'SRV_BY Techs'!$C102)</f>
        <v>4.7858592168556271</v>
      </c>
      <c r="T102" s="488">
        <f>SUMIFS('Key Inputs_BY Techs'!N:N,'Key Inputs_BY Techs'!$A:$A,$L102,'Key Inputs_BY Techs'!$C:$C,'SRV_BY Techs'!$B102,'Key Inputs_BY Techs'!$D:$D,'SRV_BY Techs'!$C102)</f>
        <v>0.33219491636830245</v>
      </c>
      <c r="U102" s="488">
        <f>SUMIFS('Key Inputs_BY Techs'!O:O,'Key Inputs_BY Techs'!$A:$A,$L102,'Key Inputs_BY Techs'!$C:$C,'SRV_BY Techs'!$B102,'Key Inputs_BY Techs'!$D:$D,'SRV_BY Techs'!$C102)</f>
        <v>5.6842657873040618</v>
      </c>
      <c r="V102" s="488">
        <f>SUMIFS('Key Inputs_BY Techs'!P:P,'Key Inputs_BY Techs'!$A:$A,$L102,'Key Inputs_BY Techs'!$C:$C,'SRV_BY Techs'!$B102,'Key Inputs_BY Techs'!$D:$D,'SRV_BY Techs'!$C102)</f>
        <v>0.99849172987891244</v>
      </c>
      <c r="W102" s="488">
        <f>SUMIFS('Key Inputs_BY Techs'!Q:Q,'Key Inputs_BY Techs'!$A:$A,$L102,'Key Inputs_BY Techs'!$C:$C,'SRV_BY Techs'!$B102,'Key Inputs_BY Techs'!$D:$D,'SRV_BY Techs'!$C102)</f>
        <v>4.3158766972342217</v>
      </c>
      <c r="X102" s="488">
        <f>SUMIFS('Key Inputs_BY Techs'!R:R,'Key Inputs_BY Techs'!$A:$A,$L102,'Key Inputs_BY Techs'!$C:$C,'SRV_BY Techs'!$B102,'Key Inputs_BY Techs'!$D:$D,'SRV_BY Techs'!$C102)</f>
        <v>60.627747330902693</v>
      </c>
      <c r="Y102" s="488">
        <f>SUMIFS('Key Inputs_BY Techs'!S:S,'Key Inputs_BY Techs'!$A:$A,$L102,'Key Inputs_BY Techs'!$C:$C,'SRV_BY Techs'!$B102,'Key Inputs_BY Techs'!$D:$D,'SRV_BY Techs'!$C102)</f>
        <v>2.54443589499183</v>
      </c>
      <c r="Z102" s="488">
        <f>SUMIFS('Key Inputs_BY Techs'!T:T,'Key Inputs_BY Techs'!$A:$A,$L102,'Key Inputs_BY Techs'!$C:$C,'SRV_BY Techs'!$B102,'Key Inputs_BY Techs'!$D:$D,'SRV_BY Techs'!$C102)</f>
        <v>0.69571507281506895</v>
      </c>
      <c r="AA102" s="488">
        <f>SUMIFS('Key Inputs_BY Techs'!U:U,'Key Inputs_BY Techs'!$A:$A,$L102,'Key Inputs_BY Techs'!$C:$C,'SRV_BY Techs'!$B102,'Key Inputs_BY Techs'!$D:$D,'SRV_BY Techs'!$C102)</f>
        <v>0.84734991358472544</v>
      </c>
      <c r="AB102" s="488">
        <f>SUMIFS('Key Inputs_BY Techs'!V:V,'Key Inputs_BY Techs'!$A:$A,$L102,'Key Inputs_BY Techs'!$C:$C,'SRV_BY Techs'!$B102,'Key Inputs_BY Techs'!$D:$D,'SRV_BY Techs'!$C102)</f>
        <v>126.95801503288041</v>
      </c>
      <c r="AC102" s="488">
        <f>SUMIFS('Key Inputs_BY Techs'!W:W,'Key Inputs_BY Techs'!$A:$A,$L102,'Key Inputs_BY Techs'!$C:$C,'SRV_BY Techs'!$B102,'Key Inputs_BY Techs'!$D:$D,'SRV_BY Techs'!$C102)</f>
        <v>2.1833536144781442</v>
      </c>
      <c r="AD102" s="488">
        <f>SUMIFS('Key Inputs_BY Techs'!X:X,'Key Inputs_BY Techs'!$A:$A,$L102,'Key Inputs_BY Techs'!$C:$C,'SRV_BY Techs'!$B102,'Key Inputs_BY Techs'!$D:$D,'SRV_BY Techs'!$C102)</f>
        <v>53.172561289323291</v>
      </c>
      <c r="AE102" s="488">
        <f>SUMIFS('Key Inputs_BY Techs'!Y:Y,'Key Inputs_BY Techs'!$A:$A,$L102,'Key Inputs_BY Techs'!$C:$C,'SRV_BY Techs'!$B102,'Key Inputs_BY Techs'!$D:$D,'SRV_BY Techs'!$C102)</f>
        <v>124.31301617197012</v>
      </c>
      <c r="AF102" s="488">
        <f>SUMIFS('Key Inputs_BY Techs'!Z:Z,'Key Inputs_BY Techs'!$A:$A,$L102,'Key Inputs_BY Techs'!$C:$C,'SRV_BY Techs'!$B102,'Key Inputs_BY Techs'!$D:$D,'SRV_BY Techs'!$C102)</f>
        <v>3.4331936771376634</v>
      </c>
      <c r="AG102" s="488">
        <f>SUMIFS('Key Inputs_BY Techs'!AA:AA,'Key Inputs_BY Techs'!$A:$A,$L102,'Key Inputs_BY Techs'!$C:$C,'SRV_BY Techs'!$B102,'Key Inputs_BY Techs'!$D:$D,'SRV_BY Techs'!$C102)</f>
        <v>1.1618868603945509</v>
      </c>
      <c r="AH102" s="488">
        <f>SUMIFS('Key Inputs_BY Techs'!AB:AB,'Key Inputs_BY Techs'!$A:$A,$L102,'Key Inputs_BY Techs'!$C:$C,'SRV_BY Techs'!$B102,'Key Inputs_BY Techs'!$D:$D,'SRV_BY Techs'!$C102)</f>
        <v>45.524537785036571</v>
      </c>
      <c r="AI102" s="488">
        <f>SUMIFS('Key Inputs_BY Techs'!AC:AC,'Key Inputs_BY Techs'!$A:$A,$L102,'Key Inputs_BY Techs'!$C:$C,'SRV_BY Techs'!$B102,'Key Inputs_BY Techs'!$D:$D,'SRV_BY Techs'!$C102)</f>
        <v>4.2904612541915998</v>
      </c>
      <c r="AJ102" s="488">
        <f>SUMIFS('Key Inputs_BY Techs'!AD:AD,'Key Inputs_BY Techs'!$A:$A,$L102,'Key Inputs_BY Techs'!$C:$C,'SRV_BY Techs'!$B102,'Key Inputs_BY Techs'!$D:$D,'SRV_BY Techs'!$C102)</f>
        <v>7.9171493007321185</v>
      </c>
      <c r="AK102" s="488">
        <f>SUMIFS('Key Inputs_BY Techs'!AE:AE,'Key Inputs_BY Techs'!$A:$A,$L102,'Key Inputs_BY Techs'!$C:$C,'SRV_BY Techs'!$B102,'Key Inputs_BY Techs'!$D:$D,'SRV_BY Techs'!$C102)</f>
        <v>6.4177230846955675</v>
      </c>
      <c r="AL102" s="488">
        <f>SUMIFS('Key Inputs_BY Techs'!AF:AF,'Key Inputs_BY Techs'!$A:$A,$L102,'Key Inputs_BY Techs'!$C:$C,'SRV_BY Techs'!$B102,'Key Inputs_BY Techs'!$D:$D,'SRV_BY Techs'!$C102)</f>
        <v>1.7589998244142517</v>
      </c>
      <c r="AM102" s="488">
        <f>SUMIFS('Key Inputs_BY Techs'!AG:AG,'Key Inputs_BY Techs'!$A:$A,$L102,'Key Inputs_BY Techs'!$C:$C,'SRV_BY Techs'!$B102,'Key Inputs_BY Techs'!$D:$D,'SRV_BY Techs'!$C102)</f>
        <v>5.1988699850129098E-2</v>
      </c>
      <c r="AN102" s="488">
        <f>SUMIFS('Key Inputs_BY Techs'!AH:AH,'Key Inputs_BY Techs'!$A:$A,$L102,'Key Inputs_BY Techs'!$C:$C,'SRV_BY Techs'!$B102,'Key Inputs_BY Techs'!$D:$D,'SRV_BY Techs'!$C102)</f>
        <v>3.9625620223757805</v>
      </c>
      <c r="AO102" s="488">
        <f>SUMIFS('Key Inputs_BY Techs'!AI:AI,'Key Inputs_BY Techs'!$A:$A,$L102,'Key Inputs_BY Techs'!$C:$C,'SRV_BY Techs'!$B102,'Key Inputs_BY Techs'!$D:$D,'SRV_BY Techs'!$C102)</f>
        <v>31.205044273234595</v>
      </c>
      <c r="AP102" s="488">
        <f>SUMIFS('Key Inputs_BY Techs'!AJ:AJ,'Key Inputs_BY Techs'!$A:$A,$L102,'Key Inputs_BY Techs'!$C:$C,'SRV_BY Techs'!$B102,'Key Inputs_BY Techs'!$D:$D,'SRV_BY Techs'!$C102)</f>
        <v>234.20413510921708</v>
      </c>
    </row>
    <row r="103" spans="1:42" x14ac:dyDescent="0.3">
      <c r="A103" s="499" t="str">
        <f t="shared" si="28"/>
        <v>Cooking</v>
      </c>
      <c r="B103" s="499" t="str">
        <f t="shared" si="28"/>
        <v>S-CK</v>
      </c>
      <c r="C103" s="499" t="str">
        <f t="shared" si="28"/>
        <v>Biomass</v>
      </c>
      <c r="D103" s="499" t="str">
        <f t="shared" si="28"/>
        <v>SRVBIO</v>
      </c>
      <c r="E103" s="499" t="str">
        <f t="shared" si="29"/>
        <v>SRVBIO</v>
      </c>
      <c r="F103" s="499"/>
      <c r="G103" s="499"/>
      <c r="I103" s="351" t="str">
        <f t="shared" si="30"/>
        <v>S-CK_BIO00</v>
      </c>
      <c r="J103" s="351" t="str">
        <f t="shared" si="30"/>
        <v>SRV Cooking technology: Biomass - Existing</v>
      </c>
      <c r="K103" s="351"/>
      <c r="L103" s="351" t="s">
        <v>689</v>
      </c>
      <c r="M103" s="351" t="str">
        <f>'Key Inputs_BY Techs'!F89</f>
        <v>GW</v>
      </c>
      <c r="N103" s="351"/>
      <c r="O103" s="486">
        <f>SUMIFS('Key Inputs_BY Techs'!I:I,'Key Inputs_BY Techs'!$A:$A,$L103,'Key Inputs_BY Techs'!$C:$C,'SRV_BY Techs'!$B103,'Key Inputs_BY Techs'!$D:$D,'SRV_BY Techs'!$C103)</f>
        <v>20.995131164383558</v>
      </c>
      <c r="P103" s="486">
        <f>SUMIFS('Key Inputs_BY Techs'!J:J,'Key Inputs_BY Techs'!$A:$A,$L103,'Key Inputs_BY Techs'!$C:$C,'SRV_BY Techs'!$B103,'Key Inputs_BY Techs'!$D:$D,'SRV_BY Techs'!$C103)</f>
        <v>4.0168860730593607</v>
      </c>
      <c r="Q103" s="486">
        <f>SUMIFS('Key Inputs_BY Techs'!K:K,'Key Inputs_BY Techs'!$A:$A,$L103,'Key Inputs_BY Techs'!$C:$C,'SRV_BY Techs'!$B103,'Key Inputs_BY Techs'!$D:$D,'SRV_BY Techs'!$C103)</f>
        <v>13.568132496194822</v>
      </c>
      <c r="R103" s="486">
        <f>SUMIFS('Key Inputs_BY Techs'!L:L,'Key Inputs_BY Techs'!$A:$A,$L103,'Key Inputs_BY Techs'!$C:$C,'SRV_BY Techs'!$B103,'Key Inputs_BY Techs'!$D:$D,'SRV_BY Techs'!$C103)</f>
        <v>0.63332207001522067</v>
      </c>
      <c r="S103" s="486">
        <f>SUMIFS('Key Inputs_BY Techs'!M:M,'Key Inputs_BY Techs'!$A:$A,$L103,'Key Inputs_BY Techs'!$C:$C,'SRV_BY Techs'!$B103,'Key Inputs_BY Techs'!$D:$D,'SRV_BY Techs'!$C103)</f>
        <v>0</v>
      </c>
      <c r="T103" s="486">
        <f>SUMIFS('Key Inputs_BY Techs'!N:N,'Key Inputs_BY Techs'!$A:$A,$L103,'Key Inputs_BY Techs'!$C:$C,'SRV_BY Techs'!$B103,'Key Inputs_BY Techs'!$D:$D,'SRV_BY Techs'!$C103)</f>
        <v>0</v>
      </c>
      <c r="U103" s="486">
        <f>SUMIFS('Key Inputs_BY Techs'!O:O,'Key Inputs_BY Techs'!$A:$A,$L103,'Key Inputs_BY Techs'!$C:$C,'SRV_BY Techs'!$B103,'Key Inputs_BY Techs'!$D:$D,'SRV_BY Techs'!$C103)</f>
        <v>1.7257442922374426</v>
      </c>
      <c r="V103" s="486">
        <f>SUMIFS('Key Inputs_BY Techs'!P:P,'Key Inputs_BY Techs'!$A:$A,$L103,'Key Inputs_BY Techs'!$C:$C,'SRV_BY Techs'!$B103,'Key Inputs_BY Techs'!$D:$D,'SRV_BY Techs'!$C103)</f>
        <v>1.068207572298326</v>
      </c>
      <c r="W103" s="486">
        <f>SUMIFS('Key Inputs_BY Techs'!Q:Q,'Key Inputs_BY Techs'!$A:$A,$L103,'Key Inputs_BY Techs'!$C:$C,'SRV_BY Techs'!$B103,'Key Inputs_BY Techs'!$D:$D,'SRV_BY Techs'!$C103)</f>
        <v>0.42790083713850835</v>
      </c>
      <c r="X103" s="486">
        <f>SUMIFS('Key Inputs_BY Techs'!R:R,'Key Inputs_BY Techs'!$A:$A,$L103,'Key Inputs_BY Techs'!$C:$C,'SRV_BY Techs'!$B103,'Key Inputs_BY Techs'!$D:$D,'SRV_BY Techs'!$C103)</f>
        <v>0</v>
      </c>
      <c r="Y103" s="486">
        <f>SUMIFS('Key Inputs_BY Techs'!S:S,'Key Inputs_BY Techs'!$A:$A,$L103,'Key Inputs_BY Techs'!$C:$C,'SRV_BY Techs'!$B103,'Key Inputs_BY Techs'!$D:$D,'SRV_BY Techs'!$C103)</f>
        <v>7.7843835616438345E-2</v>
      </c>
      <c r="Z103" s="486">
        <f>SUMIFS('Key Inputs_BY Techs'!T:T,'Key Inputs_BY Techs'!$A:$A,$L103,'Key Inputs_BY Techs'!$C:$C,'SRV_BY Techs'!$B103,'Key Inputs_BY Techs'!$D:$D,'SRV_BY Techs'!$C103)</f>
        <v>1.7742508181126331</v>
      </c>
      <c r="AA103" s="486">
        <f>SUMIFS('Key Inputs_BY Techs'!U:U,'Key Inputs_BY Techs'!$A:$A,$L103,'Key Inputs_BY Techs'!$C:$C,'SRV_BY Techs'!$B103,'Key Inputs_BY Techs'!$D:$D,'SRV_BY Techs'!$C103)</f>
        <v>0</v>
      </c>
      <c r="AB103" s="486">
        <f>SUMIFS('Key Inputs_BY Techs'!V:V,'Key Inputs_BY Techs'!$A:$A,$L103,'Key Inputs_BY Techs'!$C:$C,'SRV_BY Techs'!$B103,'Key Inputs_BY Techs'!$D:$D,'SRV_BY Techs'!$C103)</f>
        <v>0.58194101978691015</v>
      </c>
      <c r="AC103" s="486">
        <f>SUMIFS('Key Inputs_BY Techs'!W:W,'Key Inputs_BY Techs'!$A:$A,$L103,'Key Inputs_BY Techs'!$C:$C,'SRV_BY Techs'!$B103,'Key Inputs_BY Techs'!$D:$D,'SRV_BY Techs'!$C103)</f>
        <v>0</v>
      </c>
      <c r="AD103" s="486">
        <f>SUMIFS('Key Inputs_BY Techs'!X:X,'Key Inputs_BY Techs'!$A:$A,$L103,'Key Inputs_BY Techs'!$C:$C,'SRV_BY Techs'!$B103,'Key Inputs_BY Techs'!$D:$D,'SRV_BY Techs'!$C103)</f>
        <v>0.83352625570776262</v>
      </c>
      <c r="AE103" s="486">
        <f>SUMIFS('Key Inputs_BY Techs'!Y:Y,'Key Inputs_BY Techs'!$A:$A,$L103,'Key Inputs_BY Techs'!$C:$C,'SRV_BY Techs'!$B103,'Key Inputs_BY Techs'!$D:$D,'SRV_BY Techs'!$C103)</f>
        <v>3.0147668188736683</v>
      </c>
      <c r="AF103" s="486">
        <f>SUMIFS('Key Inputs_BY Techs'!Z:Z,'Key Inputs_BY Techs'!$A:$A,$L103,'Key Inputs_BY Techs'!$C:$C,'SRV_BY Techs'!$B103,'Key Inputs_BY Techs'!$D:$D,'SRV_BY Techs'!$C103)</f>
        <v>4.8778533105022834</v>
      </c>
      <c r="AG103" s="486">
        <f>SUMIFS('Key Inputs_BY Techs'!AA:AA,'Key Inputs_BY Techs'!$A:$A,$L103,'Key Inputs_BY Techs'!$C:$C,'SRV_BY Techs'!$B103,'Key Inputs_BY Techs'!$D:$D,'SRV_BY Techs'!$C103)</f>
        <v>13.18347823439878</v>
      </c>
      <c r="AH103" s="486">
        <f>SUMIFS('Key Inputs_BY Techs'!AB:AB,'Key Inputs_BY Techs'!$A:$A,$L103,'Key Inputs_BY Techs'!$C:$C,'SRV_BY Techs'!$B103,'Key Inputs_BY Techs'!$D:$D,'SRV_BY Techs'!$C103)</f>
        <v>0</v>
      </c>
      <c r="AI103" s="486">
        <f>SUMIFS('Key Inputs_BY Techs'!AC:AC,'Key Inputs_BY Techs'!$A:$A,$L103,'Key Inputs_BY Techs'!$C:$C,'SRV_BY Techs'!$B103,'Key Inputs_BY Techs'!$D:$D,'SRV_BY Techs'!$C103)</f>
        <v>3.4236872146118724</v>
      </c>
      <c r="AJ103" s="486">
        <f>SUMIFS('Key Inputs_BY Techs'!AD:AD,'Key Inputs_BY Techs'!$A:$A,$L103,'Key Inputs_BY Techs'!$C:$C,'SRV_BY Techs'!$B103,'Key Inputs_BY Techs'!$D:$D,'SRV_BY Techs'!$C103)</f>
        <v>0</v>
      </c>
      <c r="AK103" s="486">
        <f>SUMIFS('Key Inputs_BY Techs'!AE:AE,'Key Inputs_BY Techs'!$A:$A,$L103,'Key Inputs_BY Techs'!$C:$C,'SRV_BY Techs'!$B103,'Key Inputs_BY Techs'!$D:$D,'SRV_BY Techs'!$C103)</f>
        <v>0</v>
      </c>
      <c r="AL103" s="486">
        <f>SUMIFS('Key Inputs_BY Techs'!AF:AF,'Key Inputs_BY Techs'!$A:$A,$L103,'Key Inputs_BY Techs'!$C:$C,'SRV_BY Techs'!$B103,'Key Inputs_BY Techs'!$D:$D,'SRV_BY Techs'!$C103)</f>
        <v>0</v>
      </c>
      <c r="AM103" s="486">
        <f>SUMIFS('Key Inputs_BY Techs'!AG:AG,'Key Inputs_BY Techs'!$A:$A,$L103,'Key Inputs_BY Techs'!$C:$C,'SRV_BY Techs'!$B103,'Key Inputs_BY Techs'!$D:$D,'SRV_BY Techs'!$C103)</f>
        <v>13.87710525114155</v>
      </c>
      <c r="AN103" s="486">
        <f>SUMIFS('Key Inputs_BY Techs'!AH:AH,'Key Inputs_BY Techs'!$A:$A,$L103,'Key Inputs_BY Techs'!$C:$C,'SRV_BY Techs'!$B103,'Key Inputs_BY Techs'!$D:$D,'SRV_BY Techs'!$C103)</f>
        <v>0</v>
      </c>
      <c r="AO103" s="486">
        <f>SUMIFS('Key Inputs_BY Techs'!AI:AI,'Key Inputs_BY Techs'!$A:$A,$L103,'Key Inputs_BY Techs'!$C:$C,'SRV_BY Techs'!$B103,'Key Inputs_BY Techs'!$D:$D,'SRV_BY Techs'!$C103)</f>
        <v>0.89676579147640778</v>
      </c>
      <c r="AP103" s="486">
        <f>SUMIFS('Key Inputs_BY Techs'!AJ:AJ,'Key Inputs_BY Techs'!$A:$A,$L103,'Key Inputs_BY Techs'!$C:$C,'SRV_BY Techs'!$B103,'Key Inputs_BY Techs'!$D:$D,'SRV_BY Techs'!$C103)</f>
        <v>0</v>
      </c>
    </row>
    <row r="104" spans="1:42" x14ac:dyDescent="0.3">
      <c r="A104" s="499" t="str">
        <f t="shared" si="28"/>
        <v>Cooking</v>
      </c>
      <c r="B104" s="499" t="str">
        <f t="shared" si="28"/>
        <v>S-CK</v>
      </c>
      <c r="C104" s="499" t="str">
        <f t="shared" si="28"/>
        <v>Coal</v>
      </c>
      <c r="D104" s="499" t="str">
        <f t="shared" si="28"/>
        <v>SRVCOA</v>
      </c>
      <c r="E104" s="499" t="str">
        <f t="shared" si="29"/>
        <v>SRVCOA</v>
      </c>
      <c r="F104" s="499"/>
      <c r="G104" s="499"/>
      <c r="I104" s="103" t="str">
        <f t="shared" si="30"/>
        <v>S-CK_COA00</v>
      </c>
      <c r="J104" s="103" t="str">
        <f t="shared" si="30"/>
        <v>SRV Cooking technology: Coal - Existing</v>
      </c>
      <c r="L104" s="103" t="s">
        <v>689</v>
      </c>
      <c r="M104" s="103" t="str">
        <f>'Key Inputs_BY Techs'!F90</f>
        <v>GW</v>
      </c>
      <c r="O104" s="487">
        <f>SUMIFS('Key Inputs_BY Techs'!I:I,'Key Inputs_BY Techs'!$A:$A,$L104,'Key Inputs_BY Techs'!$C:$C,'SRV_BY Techs'!$B104,'Key Inputs_BY Techs'!$D:$D,'SRV_BY Techs'!$C104)</f>
        <v>0</v>
      </c>
      <c r="P104" s="487">
        <f>SUMIFS('Key Inputs_BY Techs'!J:J,'Key Inputs_BY Techs'!$A:$A,$L104,'Key Inputs_BY Techs'!$C:$C,'SRV_BY Techs'!$B104,'Key Inputs_BY Techs'!$D:$D,'SRV_BY Techs'!$C104)</f>
        <v>0</v>
      </c>
      <c r="Q104" s="487">
        <f>SUMIFS('Key Inputs_BY Techs'!K:K,'Key Inputs_BY Techs'!$A:$A,$L104,'Key Inputs_BY Techs'!$C:$C,'SRV_BY Techs'!$B104,'Key Inputs_BY Techs'!$D:$D,'SRV_BY Techs'!$C104)</f>
        <v>0</v>
      </c>
      <c r="R104" s="487">
        <f>SUMIFS('Key Inputs_BY Techs'!L:L,'Key Inputs_BY Techs'!$A:$A,$L104,'Key Inputs_BY Techs'!$C:$C,'SRV_BY Techs'!$B104,'Key Inputs_BY Techs'!$D:$D,'SRV_BY Techs'!$C104)</f>
        <v>6.6441155251141559</v>
      </c>
      <c r="S104" s="487">
        <f>SUMIFS('Key Inputs_BY Techs'!M:M,'Key Inputs_BY Techs'!$A:$A,$L104,'Key Inputs_BY Techs'!$C:$C,'SRV_BY Techs'!$B104,'Key Inputs_BY Techs'!$D:$D,'SRV_BY Techs'!$C104)</f>
        <v>0</v>
      </c>
      <c r="T104" s="487">
        <f>SUMIFS('Key Inputs_BY Techs'!N:N,'Key Inputs_BY Techs'!$A:$A,$L104,'Key Inputs_BY Techs'!$C:$C,'SRV_BY Techs'!$B104,'Key Inputs_BY Techs'!$D:$D,'SRV_BY Techs'!$C104)</f>
        <v>0</v>
      </c>
      <c r="U104" s="487">
        <f>SUMIFS('Key Inputs_BY Techs'!O:O,'Key Inputs_BY Techs'!$A:$A,$L104,'Key Inputs_BY Techs'!$C:$C,'SRV_BY Techs'!$B104,'Key Inputs_BY Techs'!$D:$D,'SRV_BY Techs'!$C104)</f>
        <v>1.421044710806697</v>
      </c>
      <c r="V104" s="487">
        <f>SUMIFS('Key Inputs_BY Techs'!P:P,'Key Inputs_BY Techs'!$A:$A,$L104,'Key Inputs_BY Techs'!$C:$C,'SRV_BY Techs'!$B104,'Key Inputs_BY Techs'!$D:$D,'SRV_BY Techs'!$C104)</f>
        <v>0</v>
      </c>
      <c r="W104" s="487">
        <f>SUMIFS('Key Inputs_BY Techs'!Q:Q,'Key Inputs_BY Techs'!$A:$A,$L104,'Key Inputs_BY Techs'!$C:$C,'SRV_BY Techs'!$B104,'Key Inputs_BY Techs'!$D:$D,'SRV_BY Techs'!$C104)</f>
        <v>0</v>
      </c>
      <c r="X104" s="487">
        <f>SUMIFS('Key Inputs_BY Techs'!R:R,'Key Inputs_BY Techs'!$A:$A,$L104,'Key Inputs_BY Techs'!$C:$C,'SRV_BY Techs'!$B104,'Key Inputs_BY Techs'!$D:$D,'SRV_BY Techs'!$C104)</f>
        <v>0</v>
      </c>
      <c r="Y104" s="487">
        <f>SUMIFS('Key Inputs_BY Techs'!S:S,'Key Inputs_BY Techs'!$A:$A,$L104,'Key Inputs_BY Techs'!$C:$C,'SRV_BY Techs'!$B104,'Key Inputs_BY Techs'!$D:$D,'SRV_BY Techs'!$C104)</f>
        <v>0</v>
      </c>
      <c r="Z104" s="487">
        <f>SUMIFS('Key Inputs_BY Techs'!T:T,'Key Inputs_BY Techs'!$A:$A,$L104,'Key Inputs_BY Techs'!$C:$C,'SRV_BY Techs'!$B104,'Key Inputs_BY Techs'!$D:$D,'SRV_BY Techs'!$C104)</f>
        <v>1.4650292237442921</v>
      </c>
      <c r="AA104" s="487">
        <f>SUMIFS('Key Inputs_BY Techs'!U:U,'Key Inputs_BY Techs'!$A:$A,$L104,'Key Inputs_BY Techs'!$C:$C,'SRV_BY Techs'!$B104,'Key Inputs_BY Techs'!$D:$D,'SRV_BY Techs'!$C104)</f>
        <v>0</v>
      </c>
      <c r="AB104" s="487">
        <f>SUMIFS('Key Inputs_BY Techs'!V:V,'Key Inputs_BY Techs'!$A:$A,$L104,'Key Inputs_BY Techs'!$C:$C,'SRV_BY Techs'!$B104,'Key Inputs_BY Techs'!$D:$D,'SRV_BY Techs'!$C104)</f>
        <v>0</v>
      </c>
      <c r="AC104" s="487">
        <f>SUMIFS('Key Inputs_BY Techs'!W:W,'Key Inputs_BY Techs'!$A:$A,$L104,'Key Inputs_BY Techs'!$C:$C,'SRV_BY Techs'!$B104,'Key Inputs_BY Techs'!$D:$D,'SRV_BY Techs'!$C104)</f>
        <v>0</v>
      </c>
      <c r="AD104" s="487">
        <f>SUMIFS('Key Inputs_BY Techs'!X:X,'Key Inputs_BY Techs'!$A:$A,$L104,'Key Inputs_BY Techs'!$C:$C,'SRV_BY Techs'!$B104,'Key Inputs_BY Techs'!$D:$D,'SRV_BY Techs'!$C104)</f>
        <v>0</v>
      </c>
      <c r="AE104" s="487">
        <f>SUMIFS('Key Inputs_BY Techs'!Y:Y,'Key Inputs_BY Techs'!$A:$A,$L104,'Key Inputs_BY Techs'!$C:$C,'SRV_BY Techs'!$B104,'Key Inputs_BY Techs'!$D:$D,'SRV_BY Techs'!$C104)</f>
        <v>0</v>
      </c>
      <c r="AF104" s="487">
        <f>SUMIFS('Key Inputs_BY Techs'!Z:Z,'Key Inputs_BY Techs'!$A:$A,$L104,'Key Inputs_BY Techs'!$C:$C,'SRV_BY Techs'!$B104,'Key Inputs_BY Techs'!$D:$D,'SRV_BY Techs'!$C104)</f>
        <v>2.8429474885844748</v>
      </c>
      <c r="AG104" s="487">
        <f>SUMIFS('Key Inputs_BY Techs'!AA:AA,'Key Inputs_BY Techs'!$A:$A,$L104,'Key Inputs_BY Techs'!$C:$C,'SRV_BY Techs'!$B104,'Key Inputs_BY Techs'!$D:$D,'SRV_BY Techs'!$C104)</f>
        <v>0</v>
      </c>
      <c r="AH104" s="487">
        <f>SUMIFS('Key Inputs_BY Techs'!AB:AB,'Key Inputs_BY Techs'!$A:$A,$L104,'Key Inputs_BY Techs'!$C:$C,'SRV_BY Techs'!$B104,'Key Inputs_BY Techs'!$D:$D,'SRV_BY Techs'!$C104)</f>
        <v>0.2031971232876712</v>
      </c>
      <c r="AI104" s="487">
        <f>SUMIFS('Key Inputs_BY Techs'!AC:AC,'Key Inputs_BY Techs'!$A:$A,$L104,'Key Inputs_BY Techs'!$C:$C,'SRV_BY Techs'!$B104,'Key Inputs_BY Techs'!$D:$D,'SRV_BY Techs'!$C104)</f>
        <v>0</v>
      </c>
      <c r="AJ104" s="487">
        <f>SUMIFS('Key Inputs_BY Techs'!AD:AD,'Key Inputs_BY Techs'!$A:$A,$L104,'Key Inputs_BY Techs'!$C:$C,'SRV_BY Techs'!$B104,'Key Inputs_BY Techs'!$D:$D,'SRV_BY Techs'!$C104)</f>
        <v>0</v>
      </c>
      <c r="AK104" s="487">
        <f>SUMIFS('Key Inputs_BY Techs'!AE:AE,'Key Inputs_BY Techs'!$A:$A,$L104,'Key Inputs_BY Techs'!$C:$C,'SRV_BY Techs'!$B104,'Key Inputs_BY Techs'!$D:$D,'SRV_BY Techs'!$C104)</f>
        <v>0</v>
      </c>
      <c r="AL104" s="487">
        <f>SUMIFS('Key Inputs_BY Techs'!AF:AF,'Key Inputs_BY Techs'!$A:$A,$L104,'Key Inputs_BY Techs'!$C:$C,'SRV_BY Techs'!$B104,'Key Inputs_BY Techs'!$D:$D,'SRV_BY Techs'!$C104)</f>
        <v>0</v>
      </c>
      <c r="AM104" s="487">
        <f>SUMIFS('Key Inputs_BY Techs'!AG:AG,'Key Inputs_BY Techs'!$A:$A,$L104,'Key Inputs_BY Techs'!$C:$C,'SRV_BY Techs'!$B104,'Key Inputs_BY Techs'!$D:$D,'SRV_BY Techs'!$C104)</f>
        <v>0</v>
      </c>
      <c r="AN104" s="487">
        <f>SUMIFS('Key Inputs_BY Techs'!AH:AH,'Key Inputs_BY Techs'!$A:$A,$L104,'Key Inputs_BY Techs'!$C:$C,'SRV_BY Techs'!$B104,'Key Inputs_BY Techs'!$D:$D,'SRV_BY Techs'!$C104)</f>
        <v>0</v>
      </c>
      <c r="AO104" s="487">
        <f>SUMIFS('Key Inputs_BY Techs'!AI:AI,'Key Inputs_BY Techs'!$A:$A,$L104,'Key Inputs_BY Techs'!$C:$C,'SRV_BY Techs'!$B104,'Key Inputs_BY Techs'!$D:$D,'SRV_BY Techs'!$C104)</f>
        <v>0</v>
      </c>
      <c r="AP104" s="487">
        <f>SUMIFS('Key Inputs_BY Techs'!AJ:AJ,'Key Inputs_BY Techs'!$A:$A,$L104,'Key Inputs_BY Techs'!$C:$C,'SRV_BY Techs'!$B104,'Key Inputs_BY Techs'!$D:$D,'SRV_BY Techs'!$C104)</f>
        <v>0</v>
      </c>
    </row>
    <row r="105" spans="1:42" x14ac:dyDescent="0.3">
      <c r="A105" s="499" t="str">
        <f t="shared" si="28"/>
        <v>Cooking</v>
      </c>
      <c r="B105" s="499" t="str">
        <f t="shared" si="28"/>
        <v>S-CK</v>
      </c>
      <c r="C105" s="499" t="str">
        <f t="shared" si="28"/>
        <v>Electricity</v>
      </c>
      <c r="D105" s="499" t="str">
        <f t="shared" si="28"/>
        <v>SRVELC</v>
      </c>
      <c r="E105" s="499" t="str">
        <f t="shared" si="29"/>
        <v>SRVELC</v>
      </c>
      <c r="F105" s="499"/>
      <c r="G105" s="499"/>
      <c r="I105" s="103" t="str">
        <f t="shared" si="30"/>
        <v>S-CK_ELC00</v>
      </c>
      <c r="J105" s="103" t="str">
        <f t="shared" si="30"/>
        <v>SRV Cooking technology: Electricity - Existing</v>
      </c>
      <c r="L105" s="103" t="s">
        <v>689</v>
      </c>
      <c r="M105" s="103" t="str">
        <f>'Key Inputs_BY Techs'!F91</f>
        <v>GW</v>
      </c>
      <c r="O105" s="487">
        <f>SUMIFS('Key Inputs_BY Techs'!I:I,'Key Inputs_BY Techs'!$A:$A,$L105,'Key Inputs_BY Techs'!$C:$C,'SRV_BY Techs'!$B105,'Key Inputs_BY Techs'!$D:$D,'SRV_BY Techs'!$C105)</f>
        <v>0.51546898782343997</v>
      </c>
      <c r="P105" s="487">
        <f>SUMIFS('Key Inputs_BY Techs'!J:J,'Key Inputs_BY Techs'!$A:$A,$L105,'Key Inputs_BY Techs'!$C:$C,'SRV_BY Techs'!$B105,'Key Inputs_BY Techs'!$D:$D,'SRV_BY Techs'!$C105)</f>
        <v>2.8486444063926943</v>
      </c>
      <c r="Q105" s="487">
        <f>SUMIFS('Key Inputs_BY Techs'!K:K,'Key Inputs_BY Techs'!$A:$A,$L105,'Key Inputs_BY Techs'!$C:$C,'SRV_BY Techs'!$B105,'Key Inputs_BY Techs'!$D:$D,'SRV_BY Techs'!$C105)</f>
        <v>0.66209094368340948</v>
      </c>
      <c r="R105" s="487">
        <f>SUMIFS('Key Inputs_BY Techs'!L:L,'Key Inputs_BY Techs'!$A:$A,$L105,'Key Inputs_BY Techs'!$C:$C,'SRV_BY Techs'!$B105,'Key Inputs_BY Techs'!$D:$D,'SRV_BY Techs'!$C105)</f>
        <v>1.7354297945205481</v>
      </c>
      <c r="S105" s="487">
        <f>SUMIFS('Key Inputs_BY Techs'!M:M,'Key Inputs_BY Techs'!$A:$A,$L105,'Key Inputs_BY Techs'!$C:$C,'SRV_BY Techs'!$B105,'Key Inputs_BY Techs'!$D:$D,'SRV_BY Techs'!$C105)</f>
        <v>4.3734225646879761</v>
      </c>
      <c r="T105" s="487">
        <f>SUMIFS('Key Inputs_BY Techs'!N:N,'Key Inputs_BY Techs'!$A:$A,$L105,'Key Inputs_BY Techs'!$C:$C,'SRV_BY Techs'!$B105,'Key Inputs_BY Techs'!$D:$D,'SRV_BY Techs'!$C105)</f>
        <v>0.89998675799086747</v>
      </c>
      <c r="U105" s="487">
        <f>SUMIFS('Key Inputs_BY Techs'!O:O,'Key Inputs_BY Techs'!$A:$A,$L105,'Key Inputs_BY Techs'!$C:$C,'SRV_BY Techs'!$B105,'Key Inputs_BY Techs'!$D:$D,'SRV_BY Techs'!$C105)</f>
        <v>1.4290492770167427</v>
      </c>
      <c r="V105" s="487">
        <f>SUMIFS('Key Inputs_BY Techs'!P:P,'Key Inputs_BY Techs'!$A:$A,$L105,'Key Inputs_BY Techs'!$C:$C,'SRV_BY Techs'!$B105,'Key Inputs_BY Techs'!$D:$D,'SRV_BY Techs'!$C105)</f>
        <v>0.33015867579908681</v>
      </c>
      <c r="W105" s="487">
        <f>SUMIFS('Key Inputs_BY Techs'!Q:Q,'Key Inputs_BY Techs'!$A:$A,$L105,'Key Inputs_BY Techs'!$C:$C,'SRV_BY Techs'!$B105,'Key Inputs_BY Techs'!$D:$D,'SRV_BY Techs'!$C105)</f>
        <v>3.0526886605783869</v>
      </c>
      <c r="X105" s="487">
        <f>SUMIFS('Key Inputs_BY Techs'!R:R,'Key Inputs_BY Techs'!$A:$A,$L105,'Key Inputs_BY Techs'!$C:$C,'SRV_BY Techs'!$B105,'Key Inputs_BY Techs'!$D:$D,'SRV_BY Techs'!$C105)</f>
        <v>6.5514207001522067</v>
      </c>
      <c r="Y105" s="487">
        <f>SUMIFS('Key Inputs_BY Techs'!S:S,'Key Inputs_BY Techs'!$A:$A,$L105,'Key Inputs_BY Techs'!$C:$C,'SRV_BY Techs'!$B105,'Key Inputs_BY Techs'!$D:$D,'SRV_BY Techs'!$C105)</f>
        <v>0.26556986301369861</v>
      </c>
      <c r="Z105" s="487">
        <f>SUMIFS('Key Inputs_BY Techs'!T:T,'Key Inputs_BY Techs'!$A:$A,$L105,'Key Inputs_BY Techs'!$C:$C,'SRV_BY Techs'!$B105,'Key Inputs_BY Techs'!$D:$D,'SRV_BY Techs'!$C105)</f>
        <v>1.6226413622526636</v>
      </c>
      <c r="AA105" s="487">
        <f>SUMIFS('Key Inputs_BY Techs'!U:U,'Key Inputs_BY Techs'!$A:$A,$L105,'Key Inputs_BY Techs'!$C:$C,'SRV_BY Techs'!$B105,'Key Inputs_BY Techs'!$D:$D,'SRV_BY Techs'!$C105)</f>
        <v>1.4120077625570777</v>
      </c>
      <c r="AB105" s="487">
        <f>SUMIFS('Key Inputs_BY Techs'!V:V,'Key Inputs_BY Techs'!$A:$A,$L105,'Key Inputs_BY Techs'!$C:$C,'SRV_BY Techs'!$B105,'Key Inputs_BY Techs'!$D:$D,'SRV_BY Techs'!$C105)</f>
        <v>5.8235986301369858</v>
      </c>
      <c r="AC105" s="487">
        <f>SUMIFS('Key Inputs_BY Techs'!W:W,'Key Inputs_BY Techs'!$A:$A,$L105,'Key Inputs_BY Techs'!$C:$C,'SRV_BY Techs'!$B105,'Key Inputs_BY Techs'!$D:$D,'SRV_BY Techs'!$C105)</f>
        <v>3.790872716894977</v>
      </c>
      <c r="AD105" s="487">
        <f>SUMIFS('Key Inputs_BY Techs'!X:X,'Key Inputs_BY Techs'!$A:$A,$L105,'Key Inputs_BY Techs'!$C:$C,'SRV_BY Techs'!$B105,'Key Inputs_BY Techs'!$D:$D,'SRV_BY Techs'!$C105)</f>
        <v>14.63423896499239</v>
      </c>
      <c r="AE105" s="487">
        <f>SUMIFS('Key Inputs_BY Techs'!Y:Y,'Key Inputs_BY Techs'!$A:$A,$L105,'Key Inputs_BY Techs'!$C:$C,'SRV_BY Techs'!$B105,'Key Inputs_BY Techs'!$D:$D,'SRV_BY Techs'!$C105)</f>
        <v>11.760935616438356</v>
      </c>
      <c r="AF105" s="487">
        <f>SUMIFS('Key Inputs_BY Techs'!Z:Z,'Key Inputs_BY Techs'!$A:$A,$L105,'Key Inputs_BY Techs'!$C:$C,'SRV_BY Techs'!$B105,'Key Inputs_BY Techs'!$D:$D,'SRV_BY Techs'!$C105)</f>
        <v>1.1863166666666667</v>
      </c>
      <c r="AG105" s="487">
        <f>SUMIFS('Key Inputs_BY Techs'!AA:AA,'Key Inputs_BY Techs'!$A:$A,$L105,'Key Inputs_BY Techs'!$C:$C,'SRV_BY Techs'!$B105,'Key Inputs_BY Techs'!$D:$D,'SRV_BY Techs'!$C105)</f>
        <v>3.372641666666667</v>
      </c>
      <c r="AH105" s="487">
        <f>SUMIFS('Key Inputs_BY Techs'!AB:AB,'Key Inputs_BY Techs'!$A:$A,$L105,'Key Inputs_BY Techs'!$C:$C,'SRV_BY Techs'!$B105,'Key Inputs_BY Techs'!$D:$D,'SRV_BY Techs'!$C105)</f>
        <v>0</v>
      </c>
      <c r="AI105" s="487">
        <f>SUMIFS('Key Inputs_BY Techs'!AC:AC,'Key Inputs_BY Techs'!$A:$A,$L105,'Key Inputs_BY Techs'!$C:$C,'SRV_BY Techs'!$B105,'Key Inputs_BY Techs'!$D:$D,'SRV_BY Techs'!$C105)</f>
        <v>2.5023400304414003</v>
      </c>
      <c r="AJ105" s="487">
        <f>SUMIFS('Key Inputs_BY Techs'!AD:AD,'Key Inputs_BY Techs'!$A:$A,$L105,'Key Inputs_BY Techs'!$C:$C,'SRV_BY Techs'!$B105,'Key Inputs_BY Techs'!$D:$D,'SRV_BY Techs'!$C105)</f>
        <v>3.3280373287671234</v>
      </c>
      <c r="AK105" s="487">
        <f>SUMIFS('Key Inputs_BY Techs'!AE:AE,'Key Inputs_BY Techs'!$A:$A,$L105,'Key Inputs_BY Techs'!$C:$C,'SRV_BY Techs'!$B105,'Key Inputs_BY Techs'!$D:$D,'SRV_BY Techs'!$C105)</f>
        <v>7.2031767123287667</v>
      </c>
      <c r="AL105" s="487">
        <f>SUMIFS('Key Inputs_BY Techs'!AF:AF,'Key Inputs_BY Techs'!$A:$A,$L105,'Key Inputs_BY Techs'!$C:$C,'SRV_BY Techs'!$B105,'Key Inputs_BY Techs'!$D:$D,'SRV_BY Techs'!$C105)</f>
        <v>0.62153280060882798</v>
      </c>
      <c r="AM105" s="487">
        <f>SUMIFS('Key Inputs_BY Techs'!AG:AG,'Key Inputs_BY Techs'!$A:$A,$L105,'Key Inputs_BY Techs'!$C:$C,'SRV_BY Techs'!$B105,'Key Inputs_BY Techs'!$D:$D,'SRV_BY Techs'!$C105)</f>
        <v>0.40009531963470318</v>
      </c>
      <c r="AN105" s="487">
        <f>SUMIFS('Key Inputs_BY Techs'!AH:AH,'Key Inputs_BY Techs'!$A:$A,$L105,'Key Inputs_BY Techs'!$C:$C,'SRV_BY Techs'!$B105,'Key Inputs_BY Techs'!$D:$D,'SRV_BY Techs'!$C105)</f>
        <v>4.9630036529680357</v>
      </c>
      <c r="AO105" s="487">
        <f>SUMIFS('Key Inputs_BY Techs'!AI:AI,'Key Inputs_BY Techs'!$A:$A,$L105,'Key Inputs_BY Techs'!$C:$C,'SRV_BY Techs'!$B105,'Key Inputs_BY Techs'!$D:$D,'SRV_BY Techs'!$C105)</f>
        <v>1.7705920091324201</v>
      </c>
      <c r="AP105" s="487">
        <f>SUMIFS('Key Inputs_BY Techs'!AJ:AJ,'Key Inputs_BY Techs'!$A:$A,$L105,'Key Inputs_BY Techs'!$C:$C,'SRV_BY Techs'!$B105,'Key Inputs_BY Techs'!$D:$D,'SRV_BY Techs'!$C105)</f>
        <v>15.224712665225864</v>
      </c>
    </row>
    <row r="106" spans="1:42" x14ac:dyDescent="0.3">
      <c r="A106" s="499" t="str">
        <f t="shared" si="28"/>
        <v>Cooking</v>
      </c>
      <c r="B106" s="499" t="str">
        <f t="shared" si="28"/>
        <v>S-CK</v>
      </c>
      <c r="C106" s="499" t="str">
        <f t="shared" si="28"/>
        <v>Natural gas, Biogas</v>
      </c>
      <c r="D106" s="499" t="str">
        <f t="shared" si="28"/>
        <v>SRVGAS, SRVBGS</v>
      </c>
      <c r="E106" s="499" t="str">
        <f t="shared" si="29"/>
        <v>SRVGAS</v>
      </c>
      <c r="F106" s="499"/>
      <c r="G106" s="499"/>
      <c r="I106" s="103" t="str">
        <f t="shared" si="30"/>
        <v>S-CK_GAS00</v>
      </c>
      <c r="J106" s="103" t="str">
        <f t="shared" si="30"/>
        <v>SRV Cooking technology: Natural gas, Biogas - Existing</v>
      </c>
      <c r="L106" s="103" t="s">
        <v>689</v>
      </c>
      <c r="M106" s="103" t="str">
        <f>'Key Inputs_BY Techs'!F92</f>
        <v>GW</v>
      </c>
      <c r="O106" s="487">
        <f>SUMIFS('Key Inputs_BY Techs'!I:I,'Key Inputs_BY Techs'!$A:$A,$L106,'Key Inputs_BY Techs'!$C:$C,'SRV_BY Techs'!$B106,'Key Inputs_BY Techs'!$D:$D,'SRV_BY Techs'!$C106)</f>
        <v>0</v>
      </c>
      <c r="P106" s="487">
        <f>SUMIFS('Key Inputs_BY Techs'!J:J,'Key Inputs_BY Techs'!$A:$A,$L106,'Key Inputs_BY Techs'!$C:$C,'SRV_BY Techs'!$B106,'Key Inputs_BY Techs'!$D:$D,'SRV_BY Techs'!$C106)</f>
        <v>0.92339269406392677</v>
      </c>
      <c r="Q106" s="487">
        <f>SUMIFS('Key Inputs_BY Techs'!K:K,'Key Inputs_BY Techs'!$A:$A,$L106,'Key Inputs_BY Techs'!$C:$C,'SRV_BY Techs'!$B106,'Key Inputs_BY Techs'!$D:$D,'SRV_BY Techs'!$C106)</f>
        <v>0</v>
      </c>
      <c r="R106" s="487">
        <f>SUMIFS('Key Inputs_BY Techs'!L:L,'Key Inputs_BY Techs'!$A:$A,$L106,'Key Inputs_BY Techs'!$C:$C,'SRV_BY Techs'!$B106,'Key Inputs_BY Techs'!$D:$D,'SRV_BY Techs'!$C106)</f>
        <v>0.13592465753424657</v>
      </c>
      <c r="S106" s="487">
        <f>SUMIFS('Key Inputs_BY Techs'!M:M,'Key Inputs_BY Techs'!$A:$A,$L106,'Key Inputs_BY Techs'!$C:$C,'SRV_BY Techs'!$B106,'Key Inputs_BY Techs'!$D:$D,'SRV_BY Techs'!$C106)</f>
        <v>0.98573744292237431</v>
      </c>
      <c r="T106" s="487">
        <f>SUMIFS('Key Inputs_BY Techs'!N:N,'Key Inputs_BY Techs'!$A:$A,$L106,'Key Inputs_BY Techs'!$C:$C,'SRV_BY Techs'!$B106,'Key Inputs_BY Techs'!$D:$D,'SRV_BY Techs'!$C106)</f>
        <v>11.230969406392694</v>
      </c>
      <c r="U106" s="487">
        <f>SUMIFS('Key Inputs_BY Techs'!O:O,'Key Inputs_BY Techs'!$A:$A,$L106,'Key Inputs_BY Techs'!$C:$C,'SRV_BY Techs'!$B106,'Key Inputs_BY Techs'!$D:$D,'SRV_BY Techs'!$C106)</f>
        <v>0.38819634703196343</v>
      </c>
      <c r="V106" s="487">
        <f>SUMIFS('Key Inputs_BY Techs'!P:P,'Key Inputs_BY Techs'!$A:$A,$L106,'Key Inputs_BY Techs'!$C:$C,'SRV_BY Techs'!$B106,'Key Inputs_BY Techs'!$D:$D,'SRV_BY Techs'!$C106)</f>
        <v>0.63770958904109587</v>
      </c>
      <c r="W106" s="487">
        <f>SUMIFS('Key Inputs_BY Techs'!Q:Q,'Key Inputs_BY Techs'!$A:$A,$L106,'Key Inputs_BY Techs'!$C:$C,'SRV_BY Techs'!$B106,'Key Inputs_BY Techs'!$D:$D,'SRV_BY Techs'!$C106)</f>
        <v>0.65154337899543369</v>
      </c>
      <c r="X106" s="487">
        <f>SUMIFS('Key Inputs_BY Techs'!R:R,'Key Inputs_BY Techs'!$A:$A,$L106,'Key Inputs_BY Techs'!$C:$C,'SRV_BY Techs'!$B106,'Key Inputs_BY Techs'!$D:$D,'SRV_BY Techs'!$C106)</f>
        <v>9.470744292237443</v>
      </c>
      <c r="Y106" s="487">
        <f>SUMIFS('Key Inputs_BY Techs'!S:S,'Key Inputs_BY Techs'!$A:$A,$L106,'Key Inputs_BY Techs'!$C:$C,'SRV_BY Techs'!$B106,'Key Inputs_BY Techs'!$D:$D,'SRV_BY Techs'!$C106)</f>
        <v>0.7322031963470319</v>
      </c>
      <c r="Z106" s="487">
        <f>SUMIFS('Key Inputs_BY Techs'!T:T,'Key Inputs_BY Techs'!$A:$A,$L106,'Key Inputs_BY Techs'!$C:$C,'SRV_BY Techs'!$B106,'Key Inputs_BY Techs'!$D:$D,'SRV_BY Techs'!$C106)</f>
        <v>0</v>
      </c>
      <c r="AA106" s="487">
        <f>SUMIFS('Key Inputs_BY Techs'!U:U,'Key Inputs_BY Techs'!$A:$A,$L106,'Key Inputs_BY Techs'!$C:$C,'SRV_BY Techs'!$B106,'Key Inputs_BY Techs'!$D:$D,'SRV_BY Techs'!$C106)</f>
        <v>1.4766563926940639</v>
      </c>
      <c r="AB106" s="487">
        <f>SUMIFS('Key Inputs_BY Techs'!V:V,'Key Inputs_BY Techs'!$A:$A,$L106,'Key Inputs_BY Techs'!$C:$C,'SRV_BY Techs'!$B106,'Key Inputs_BY Techs'!$D:$D,'SRV_BY Techs'!$C106)</f>
        <v>9.4828073059360722</v>
      </c>
      <c r="AC106" s="487">
        <f>SUMIFS('Key Inputs_BY Techs'!W:W,'Key Inputs_BY Techs'!$A:$A,$L106,'Key Inputs_BY Techs'!$C:$C,'SRV_BY Techs'!$B106,'Key Inputs_BY Techs'!$D:$D,'SRV_BY Techs'!$C106)</f>
        <v>6.9344605022831045</v>
      </c>
      <c r="AD106" s="487">
        <f>SUMIFS('Key Inputs_BY Techs'!X:X,'Key Inputs_BY Techs'!$A:$A,$L106,'Key Inputs_BY Techs'!$C:$C,'SRV_BY Techs'!$B106,'Key Inputs_BY Techs'!$D:$D,'SRV_BY Techs'!$C106)</f>
        <v>20.845494178082191</v>
      </c>
      <c r="AE106" s="487">
        <f>SUMIFS('Key Inputs_BY Techs'!Y:Y,'Key Inputs_BY Techs'!$A:$A,$L106,'Key Inputs_BY Techs'!$C:$C,'SRV_BY Techs'!$B106,'Key Inputs_BY Techs'!$D:$D,'SRV_BY Techs'!$C106)</f>
        <v>21.00081906392694</v>
      </c>
      <c r="AF106" s="487">
        <f>SUMIFS('Key Inputs_BY Techs'!Z:Z,'Key Inputs_BY Techs'!$A:$A,$L106,'Key Inputs_BY Techs'!$C:$C,'SRV_BY Techs'!$B106,'Key Inputs_BY Techs'!$D:$D,'SRV_BY Techs'!$C106)</f>
        <v>0.79485159817351581</v>
      </c>
      <c r="AG106" s="487">
        <f>SUMIFS('Key Inputs_BY Techs'!AA:AA,'Key Inputs_BY Techs'!$A:$A,$L106,'Key Inputs_BY Techs'!$C:$C,'SRV_BY Techs'!$B106,'Key Inputs_BY Techs'!$D:$D,'SRV_BY Techs'!$C106)</f>
        <v>10.884600456621003</v>
      </c>
      <c r="AH106" s="487">
        <f>SUMIFS('Key Inputs_BY Techs'!AB:AB,'Key Inputs_BY Techs'!$A:$A,$L106,'Key Inputs_BY Techs'!$C:$C,'SRV_BY Techs'!$B106,'Key Inputs_BY Techs'!$D:$D,'SRV_BY Techs'!$C106)</f>
        <v>26.393576712328763</v>
      </c>
      <c r="AI106" s="487">
        <f>SUMIFS('Key Inputs_BY Techs'!AC:AC,'Key Inputs_BY Techs'!$A:$A,$L106,'Key Inputs_BY Techs'!$C:$C,'SRV_BY Techs'!$B106,'Key Inputs_BY Techs'!$D:$D,'SRV_BY Techs'!$C106)</f>
        <v>8.794045662100455</v>
      </c>
      <c r="AJ106" s="487">
        <f>SUMIFS('Key Inputs_BY Techs'!AD:AD,'Key Inputs_BY Techs'!$A:$A,$L106,'Key Inputs_BY Techs'!$C:$C,'SRV_BY Techs'!$B106,'Key Inputs_BY Techs'!$D:$D,'SRV_BY Techs'!$C106)</f>
        <v>20.045492465753426</v>
      </c>
      <c r="AK106" s="487">
        <f>SUMIFS('Key Inputs_BY Techs'!AE:AE,'Key Inputs_BY Techs'!$A:$A,$L106,'Key Inputs_BY Techs'!$C:$C,'SRV_BY Techs'!$B106,'Key Inputs_BY Techs'!$D:$D,'SRV_BY Techs'!$C106)</f>
        <v>68.279339269406393</v>
      </c>
      <c r="AL106" s="487">
        <f>SUMIFS('Key Inputs_BY Techs'!AF:AF,'Key Inputs_BY Techs'!$A:$A,$L106,'Key Inputs_BY Techs'!$C:$C,'SRV_BY Techs'!$B106,'Key Inputs_BY Techs'!$D:$D,'SRV_BY Techs'!$C106)</f>
        <v>1.1037305936073056</v>
      </c>
      <c r="AM106" s="487">
        <f>SUMIFS('Key Inputs_BY Techs'!AG:AG,'Key Inputs_BY Techs'!$A:$A,$L106,'Key Inputs_BY Techs'!$C:$C,'SRV_BY Techs'!$B106,'Key Inputs_BY Techs'!$D:$D,'SRV_BY Techs'!$C106)</f>
        <v>0</v>
      </c>
      <c r="AN106" s="487">
        <f>SUMIFS('Key Inputs_BY Techs'!AH:AH,'Key Inputs_BY Techs'!$A:$A,$L106,'Key Inputs_BY Techs'!$C:$C,'SRV_BY Techs'!$B106,'Key Inputs_BY Techs'!$D:$D,'SRV_BY Techs'!$C106)</f>
        <v>7.1684874429223733</v>
      </c>
      <c r="AO106" s="487">
        <f>SUMIFS('Key Inputs_BY Techs'!AI:AI,'Key Inputs_BY Techs'!$A:$A,$L106,'Key Inputs_BY Techs'!$C:$C,'SRV_BY Techs'!$B106,'Key Inputs_BY Techs'!$D:$D,'SRV_BY Techs'!$C106)</f>
        <v>6.7341198630136985</v>
      </c>
      <c r="AP106" s="487">
        <f>SUMIFS('Key Inputs_BY Techs'!AJ:AJ,'Key Inputs_BY Techs'!$A:$A,$L106,'Key Inputs_BY Techs'!$C:$C,'SRV_BY Techs'!$B106,'Key Inputs_BY Techs'!$D:$D,'SRV_BY Techs'!$C106)</f>
        <v>46.79682465230028</v>
      </c>
    </row>
    <row r="107" spans="1:42" x14ac:dyDescent="0.3">
      <c r="A107" s="499" t="str">
        <f t="shared" si="28"/>
        <v>Cooking</v>
      </c>
      <c r="B107" s="499" t="str">
        <f t="shared" si="28"/>
        <v>S-CK</v>
      </c>
      <c r="C107" s="499" t="str">
        <f t="shared" si="28"/>
        <v>LPG</v>
      </c>
      <c r="D107" s="499" t="str">
        <f t="shared" si="28"/>
        <v>SRVLPG</v>
      </c>
      <c r="E107" s="499" t="str">
        <f t="shared" si="29"/>
        <v>SRVLPG</v>
      </c>
      <c r="F107" s="499"/>
      <c r="G107" s="499"/>
      <c r="I107" s="103" t="str">
        <f t="shared" si="30"/>
        <v>S-CK_LPG00</v>
      </c>
      <c r="J107" s="103" t="str">
        <f t="shared" si="30"/>
        <v>SRV Cooking technology: LPG - Existing</v>
      </c>
      <c r="L107" s="103" t="s">
        <v>689</v>
      </c>
      <c r="M107" s="103" t="str">
        <f>'Key Inputs_BY Techs'!F93</f>
        <v>GW</v>
      </c>
      <c r="O107" s="487">
        <f>SUMIFS('Key Inputs_BY Techs'!I:I,'Key Inputs_BY Techs'!$A:$A,$L107,'Key Inputs_BY Techs'!$C:$C,'SRV_BY Techs'!$B107,'Key Inputs_BY Techs'!$D:$D,'SRV_BY Techs'!$C107)</f>
        <v>0.92266286149162846</v>
      </c>
      <c r="P107" s="487">
        <f>SUMIFS('Key Inputs_BY Techs'!J:J,'Key Inputs_BY Techs'!$A:$A,$L107,'Key Inputs_BY Techs'!$C:$C,'SRV_BY Techs'!$B107,'Key Inputs_BY Techs'!$D:$D,'SRV_BY Techs'!$C107)</f>
        <v>1.1586779299847791</v>
      </c>
      <c r="Q107" s="487">
        <f>SUMIFS('Key Inputs_BY Techs'!K:K,'Key Inputs_BY Techs'!$A:$A,$L107,'Key Inputs_BY Techs'!$C:$C,'SRV_BY Techs'!$B107,'Key Inputs_BY Techs'!$D:$D,'SRV_BY Techs'!$C107)</f>
        <v>1.1969680365296802</v>
      </c>
      <c r="R107" s="487">
        <f>SUMIFS('Key Inputs_BY Techs'!L:L,'Key Inputs_BY Techs'!$A:$A,$L107,'Key Inputs_BY Techs'!$C:$C,'SRV_BY Techs'!$B107,'Key Inputs_BY Techs'!$D:$D,'SRV_BY Techs'!$C107)</f>
        <v>0.37694840182648398</v>
      </c>
      <c r="S107" s="487">
        <f>SUMIFS('Key Inputs_BY Techs'!M:M,'Key Inputs_BY Techs'!$A:$A,$L107,'Key Inputs_BY Techs'!$C:$C,'SRV_BY Techs'!$B107,'Key Inputs_BY Techs'!$D:$D,'SRV_BY Techs'!$C107)</f>
        <v>0.20280426179604263</v>
      </c>
      <c r="T107" s="487">
        <f>SUMIFS('Key Inputs_BY Techs'!N:N,'Key Inputs_BY Techs'!$A:$A,$L107,'Key Inputs_BY Techs'!$C:$C,'SRV_BY Techs'!$B107,'Key Inputs_BY Techs'!$D:$D,'SRV_BY Techs'!$C107)</f>
        <v>3.5163790590608097E-2</v>
      </c>
      <c r="U107" s="487">
        <f>SUMIFS('Key Inputs_BY Techs'!O:O,'Key Inputs_BY Techs'!$A:$A,$L107,'Key Inputs_BY Techs'!$C:$C,'SRV_BY Techs'!$B107,'Key Inputs_BY Techs'!$D:$D,'SRV_BY Techs'!$C107)</f>
        <v>7.9141467275494666</v>
      </c>
      <c r="V107" s="487">
        <f>SUMIFS('Key Inputs_BY Techs'!P:P,'Key Inputs_BY Techs'!$A:$A,$L107,'Key Inputs_BY Techs'!$C:$C,'SRV_BY Techs'!$B107,'Key Inputs_BY Techs'!$D:$D,'SRV_BY Techs'!$C107)</f>
        <v>5.3059147640791462</v>
      </c>
      <c r="W107" s="487">
        <f>SUMIFS('Key Inputs_BY Techs'!Q:Q,'Key Inputs_BY Techs'!$A:$A,$L107,'Key Inputs_BY Techs'!$C:$C,'SRV_BY Techs'!$B107,'Key Inputs_BY Techs'!$D:$D,'SRV_BY Techs'!$C107)</f>
        <v>0</v>
      </c>
      <c r="X107" s="487">
        <f>SUMIFS('Key Inputs_BY Techs'!R:R,'Key Inputs_BY Techs'!$A:$A,$L107,'Key Inputs_BY Techs'!$C:$C,'SRV_BY Techs'!$B107,'Key Inputs_BY Techs'!$D:$D,'SRV_BY Techs'!$C107)</f>
        <v>6.061420395738204</v>
      </c>
      <c r="Y107" s="487">
        <f>SUMIFS('Key Inputs_BY Techs'!S:S,'Key Inputs_BY Techs'!$A:$A,$L107,'Key Inputs_BY Techs'!$C:$C,'SRV_BY Techs'!$B107,'Key Inputs_BY Techs'!$D:$D,'SRV_BY Techs'!$C107)</f>
        <v>1.8684698630136984</v>
      </c>
      <c r="Z107" s="487">
        <f>SUMIFS('Key Inputs_BY Techs'!T:T,'Key Inputs_BY Techs'!$A:$A,$L107,'Key Inputs_BY Techs'!$C:$C,'SRV_BY Techs'!$B107,'Key Inputs_BY Techs'!$D:$D,'SRV_BY Techs'!$C107)</f>
        <v>0</v>
      </c>
      <c r="AA107" s="487">
        <f>SUMIFS('Key Inputs_BY Techs'!U:U,'Key Inputs_BY Techs'!$A:$A,$L107,'Key Inputs_BY Techs'!$C:$C,'SRV_BY Techs'!$B107,'Key Inputs_BY Techs'!$D:$D,'SRV_BY Techs'!$C107)</f>
        <v>5.9366794551421569E-2</v>
      </c>
      <c r="AB107" s="487">
        <f>SUMIFS('Key Inputs_BY Techs'!V:V,'Key Inputs_BY Techs'!$A:$A,$L107,'Key Inputs_BY Techs'!$C:$C,'SRV_BY Techs'!$B107,'Key Inputs_BY Techs'!$D:$D,'SRV_BY Techs'!$C107)</f>
        <v>2.0306856925418568</v>
      </c>
      <c r="AC107" s="487">
        <f>SUMIFS('Key Inputs_BY Techs'!W:W,'Key Inputs_BY Techs'!$A:$A,$L107,'Key Inputs_BY Techs'!$C:$C,'SRV_BY Techs'!$B107,'Key Inputs_BY Techs'!$D:$D,'SRV_BY Techs'!$C107)</f>
        <v>0.11741102058039433</v>
      </c>
      <c r="AD107" s="487">
        <f>SUMIFS('Key Inputs_BY Techs'!X:X,'Key Inputs_BY Techs'!$A:$A,$L107,'Key Inputs_BY Techs'!$C:$C,'SRV_BY Techs'!$B107,'Key Inputs_BY Techs'!$D:$D,'SRV_BY Techs'!$C107)</f>
        <v>5.4569147640791469</v>
      </c>
      <c r="AE107" s="487">
        <f>SUMIFS('Key Inputs_BY Techs'!Y:Y,'Key Inputs_BY Techs'!$A:$A,$L107,'Key Inputs_BY Techs'!$C:$C,'SRV_BY Techs'!$B107,'Key Inputs_BY Techs'!$D:$D,'SRV_BY Techs'!$C107)</f>
        <v>2.0724003044140029</v>
      </c>
      <c r="AF107" s="487">
        <f>SUMIFS('Key Inputs_BY Techs'!Z:Z,'Key Inputs_BY Techs'!$A:$A,$L107,'Key Inputs_BY Techs'!$C:$C,'SRV_BY Techs'!$B107,'Key Inputs_BY Techs'!$D:$D,'SRV_BY Techs'!$C107)</f>
        <v>9.329915372907152</v>
      </c>
      <c r="AG107" s="487">
        <f>SUMIFS('Key Inputs_BY Techs'!AA:AA,'Key Inputs_BY Techs'!$A:$A,$L107,'Key Inputs_BY Techs'!$C:$C,'SRV_BY Techs'!$B107,'Key Inputs_BY Techs'!$D:$D,'SRV_BY Techs'!$C107)</f>
        <v>0</v>
      </c>
      <c r="AH107" s="487">
        <f>SUMIFS('Key Inputs_BY Techs'!AB:AB,'Key Inputs_BY Techs'!$A:$A,$L107,'Key Inputs_BY Techs'!$C:$C,'SRV_BY Techs'!$B107,'Key Inputs_BY Techs'!$D:$D,'SRV_BY Techs'!$C107)</f>
        <v>0</v>
      </c>
      <c r="AI107" s="487">
        <f>SUMIFS('Key Inputs_BY Techs'!AC:AC,'Key Inputs_BY Techs'!$A:$A,$L107,'Key Inputs_BY Techs'!$C:$C,'SRV_BY Techs'!$B107,'Key Inputs_BY Techs'!$D:$D,'SRV_BY Techs'!$C107)</f>
        <v>7.0105369863013696</v>
      </c>
      <c r="AJ107" s="487">
        <f>SUMIFS('Key Inputs_BY Techs'!AD:AD,'Key Inputs_BY Techs'!$A:$A,$L107,'Key Inputs_BY Techs'!$C:$C,'SRV_BY Techs'!$B107,'Key Inputs_BY Techs'!$D:$D,'SRV_BY Techs'!$C107)</f>
        <v>6.6357145357686447</v>
      </c>
      <c r="AK107" s="487">
        <f>SUMIFS('Key Inputs_BY Techs'!AE:AE,'Key Inputs_BY Techs'!$A:$A,$L107,'Key Inputs_BY Techs'!$C:$C,'SRV_BY Techs'!$B107,'Key Inputs_BY Techs'!$D:$D,'SRV_BY Techs'!$C107)</f>
        <v>0.44385266362252657</v>
      </c>
      <c r="AL107" s="487">
        <f>SUMIFS('Key Inputs_BY Techs'!AF:AF,'Key Inputs_BY Techs'!$A:$A,$L107,'Key Inputs_BY Techs'!$C:$C,'SRV_BY Techs'!$B107,'Key Inputs_BY Techs'!$D:$D,'SRV_BY Techs'!$C107)</f>
        <v>12.510039726027397</v>
      </c>
      <c r="AM107" s="487">
        <f>SUMIFS('Key Inputs_BY Techs'!AG:AG,'Key Inputs_BY Techs'!$A:$A,$L107,'Key Inputs_BY Techs'!$C:$C,'SRV_BY Techs'!$B107,'Key Inputs_BY Techs'!$D:$D,'SRV_BY Techs'!$C107)</f>
        <v>0</v>
      </c>
      <c r="AN107" s="487">
        <f>SUMIFS('Key Inputs_BY Techs'!AH:AH,'Key Inputs_BY Techs'!$A:$A,$L107,'Key Inputs_BY Techs'!$C:$C,'SRV_BY Techs'!$B107,'Key Inputs_BY Techs'!$D:$D,'SRV_BY Techs'!$C107)</f>
        <v>1.6350253358773582E-2</v>
      </c>
      <c r="AO107" s="487">
        <f>SUMIFS('Key Inputs_BY Techs'!AI:AI,'Key Inputs_BY Techs'!$A:$A,$L107,'Key Inputs_BY Techs'!$C:$C,'SRV_BY Techs'!$B107,'Key Inputs_BY Techs'!$D:$D,'SRV_BY Techs'!$C107)</f>
        <v>0.49839193302891921</v>
      </c>
      <c r="AP107" s="487">
        <f>SUMIFS('Key Inputs_BY Techs'!AJ:AJ,'Key Inputs_BY Techs'!$A:$A,$L107,'Key Inputs_BY Techs'!$C:$C,'SRV_BY Techs'!$B107,'Key Inputs_BY Techs'!$D:$D,'SRV_BY Techs'!$C107)</f>
        <v>1.10088950597987</v>
      </c>
    </row>
    <row r="108" spans="1:42" x14ac:dyDescent="0.3">
      <c r="A108" s="499" t="str">
        <f t="shared" si="28"/>
        <v>Cooking</v>
      </c>
      <c r="B108" s="499" t="str">
        <f t="shared" si="28"/>
        <v>S-CK</v>
      </c>
      <c r="C108" s="499" t="str">
        <f t="shared" si="28"/>
        <v>Oil, Liquid biofuels</v>
      </c>
      <c r="D108" s="499" t="str">
        <f t="shared" si="28"/>
        <v>SRVOIL, SRVBLQ</v>
      </c>
      <c r="E108" s="499" t="str">
        <f t="shared" si="29"/>
        <v>SRVOIL</v>
      </c>
      <c r="F108" s="499"/>
      <c r="G108" s="499"/>
      <c r="I108" s="103" t="str">
        <f t="shared" si="30"/>
        <v>S-CK_OIL00</v>
      </c>
      <c r="J108" s="103" t="str">
        <f t="shared" si="30"/>
        <v>SRV Cooking technology: Oil, Liquid biofuels - Existing</v>
      </c>
      <c r="L108" s="103" t="s">
        <v>689</v>
      </c>
      <c r="M108" s="452" t="str">
        <f>'Key Inputs_BY Techs'!F94</f>
        <v>GW</v>
      </c>
      <c r="N108" s="452"/>
      <c r="O108" s="487">
        <f>SUMIFS('Key Inputs_BY Techs'!I:I,'Key Inputs_BY Techs'!$A:$A,$L108,'Key Inputs_BY Techs'!$C:$C,'SRV_BY Techs'!$B108,'Key Inputs_BY Techs'!$D:$D,'SRV_BY Techs'!$C108)</f>
        <v>0</v>
      </c>
      <c r="P108" s="487">
        <f>SUMIFS('Key Inputs_BY Techs'!J:J,'Key Inputs_BY Techs'!$A:$A,$L108,'Key Inputs_BY Techs'!$C:$C,'SRV_BY Techs'!$B108,'Key Inputs_BY Techs'!$D:$D,'SRV_BY Techs'!$C108)</f>
        <v>0</v>
      </c>
      <c r="Q108" s="487">
        <f>SUMIFS('Key Inputs_BY Techs'!K:K,'Key Inputs_BY Techs'!$A:$A,$L108,'Key Inputs_BY Techs'!$C:$C,'SRV_BY Techs'!$B108,'Key Inputs_BY Techs'!$D:$D,'SRV_BY Techs'!$C108)</f>
        <v>0</v>
      </c>
      <c r="R108" s="487">
        <f>SUMIFS('Key Inputs_BY Techs'!L:L,'Key Inputs_BY Techs'!$A:$A,$L108,'Key Inputs_BY Techs'!$C:$C,'SRV_BY Techs'!$B108,'Key Inputs_BY Techs'!$D:$D,'SRV_BY Techs'!$C108)</f>
        <v>0</v>
      </c>
      <c r="S108" s="487">
        <f>SUMIFS('Key Inputs_BY Techs'!M:M,'Key Inputs_BY Techs'!$A:$A,$L108,'Key Inputs_BY Techs'!$C:$C,'SRV_BY Techs'!$B108,'Key Inputs_BY Techs'!$D:$D,'SRV_BY Techs'!$C108)</f>
        <v>0</v>
      </c>
      <c r="T108" s="487">
        <f>SUMIFS('Key Inputs_BY Techs'!N:N,'Key Inputs_BY Techs'!$A:$A,$L108,'Key Inputs_BY Techs'!$C:$C,'SRV_BY Techs'!$B108,'Key Inputs_BY Techs'!$D:$D,'SRV_BY Techs'!$C108)</f>
        <v>0</v>
      </c>
      <c r="U108" s="487">
        <f>SUMIFS('Key Inputs_BY Techs'!O:O,'Key Inputs_BY Techs'!$A:$A,$L108,'Key Inputs_BY Techs'!$C:$C,'SRV_BY Techs'!$B108,'Key Inputs_BY Techs'!$D:$D,'SRV_BY Techs'!$C108)</f>
        <v>1.0585168949771688</v>
      </c>
      <c r="V108" s="487">
        <f>SUMIFS('Key Inputs_BY Techs'!P:P,'Key Inputs_BY Techs'!$A:$A,$L108,'Key Inputs_BY Techs'!$C:$C,'SRV_BY Techs'!$B108,'Key Inputs_BY Techs'!$D:$D,'SRV_BY Techs'!$C108)</f>
        <v>2.0684931506849309E-3</v>
      </c>
      <c r="W108" s="487">
        <f>SUMIFS('Key Inputs_BY Techs'!Q:Q,'Key Inputs_BY Techs'!$A:$A,$L108,'Key Inputs_BY Techs'!$C:$C,'SRV_BY Techs'!$B108,'Key Inputs_BY Techs'!$D:$D,'SRV_BY Techs'!$C108)</f>
        <v>0.27614383561643835</v>
      </c>
      <c r="X108" s="487">
        <f>SUMIFS('Key Inputs_BY Techs'!R:R,'Key Inputs_BY Techs'!$A:$A,$L108,'Key Inputs_BY Techs'!$C:$C,'SRV_BY Techs'!$B108,'Key Inputs_BY Techs'!$D:$D,'SRV_BY Techs'!$C108)</f>
        <v>0</v>
      </c>
      <c r="Y108" s="487">
        <f>SUMIFS('Key Inputs_BY Techs'!S:S,'Key Inputs_BY Techs'!$A:$A,$L108,'Key Inputs_BY Techs'!$C:$C,'SRV_BY Techs'!$B108,'Key Inputs_BY Techs'!$D:$D,'SRV_BY Techs'!$C108)</f>
        <v>2.1192861491628614</v>
      </c>
      <c r="Z108" s="487">
        <f>SUMIFS('Key Inputs_BY Techs'!T:T,'Key Inputs_BY Techs'!$A:$A,$L108,'Key Inputs_BY Techs'!$C:$C,'SRV_BY Techs'!$B108,'Key Inputs_BY Techs'!$D:$D,'SRV_BY Techs'!$C108)</f>
        <v>0</v>
      </c>
      <c r="AA108" s="487">
        <f>SUMIFS('Key Inputs_BY Techs'!U:U,'Key Inputs_BY Techs'!$A:$A,$L108,'Key Inputs_BY Techs'!$C:$C,'SRV_BY Techs'!$B108,'Key Inputs_BY Techs'!$D:$D,'SRV_BY Techs'!$C108)</f>
        <v>0</v>
      </c>
      <c r="AB108" s="487">
        <f>SUMIFS('Key Inputs_BY Techs'!V:V,'Key Inputs_BY Techs'!$A:$A,$L108,'Key Inputs_BY Techs'!$C:$C,'SRV_BY Techs'!$B108,'Key Inputs_BY Techs'!$D:$D,'SRV_BY Techs'!$C108)</f>
        <v>0</v>
      </c>
      <c r="AC108" s="487">
        <f>SUMIFS('Key Inputs_BY Techs'!W:W,'Key Inputs_BY Techs'!$A:$A,$L108,'Key Inputs_BY Techs'!$C:$C,'SRV_BY Techs'!$B108,'Key Inputs_BY Techs'!$D:$D,'SRV_BY Techs'!$C108)</f>
        <v>0</v>
      </c>
      <c r="AD108" s="487">
        <f>SUMIFS('Key Inputs_BY Techs'!X:X,'Key Inputs_BY Techs'!$A:$A,$L108,'Key Inputs_BY Techs'!$C:$C,'SRV_BY Techs'!$B108,'Key Inputs_BY Techs'!$D:$D,'SRV_BY Techs'!$C108)</f>
        <v>0</v>
      </c>
      <c r="AE108" s="487">
        <f>SUMIFS('Key Inputs_BY Techs'!Y:Y,'Key Inputs_BY Techs'!$A:$A,$L108,'Key Inputs_BY Techs'!$C:$C,'SRV_BY Techs'!$B108,'Key Inputs_BY Techs'!$D:$D,'SRV_BY Techs'!$C108)</f>
        <v>0</v>
      </c>
      <c r="AF108" s="487">
        <f>SUMIFS('Key Inputs_BY Techs'!Z:Z,'Key Inputs_BY Techs'!$A:$A,$L108,'Key Inputs_BY Techs'!$C:$C,'SRV_BY Techs'!$B108,'Key Inputs_BY Techs'!$D:$D,'SRV_BY Techs'!$C108)</f>
        <v>7.8872333333333327</v>
      </c>
      <c r="AG108" s="487">
        <f>SUMIFS('Key Inputs_BY Techs'!AA:AA,'Key Inputs_BY Techs'!$A:$A,$L108,'Key Inputs_BY Techs'!$C:$C,'SRV_BY Techs'!$B108,'Key Inputs_BY Techs'!$D:$D,'SRV_BY Techs'!$C108)</f>
        <v>0.43794596651445966</v>
      </c>
      <c r="AH108" s="487">
        <f>SUMIFS('Key Inputs_BY Techs'!AB:AB,'Key Inputs_BY Techs'!$A:$A,$L108,'Key Inputs_BY Techs'!$C:$C,'SRV_BY Techs'!$B108,'Key Inputs_BY Techs'!$D:$D,'SRV_BY Techs'!$C108)</f>
        <v>0</v>
      </c>
      <c r="AI108" s="487">
        <f>SUMIFS('Key Inputs_BY Techs'!AC:AC,'Key Inputs_BY Techs'!$A:$A,$L108,'Key Inputs_BY Techs'!$C:$C,'SRV_BY Techs'!$B108,'Key Inputs_BY Techs'!$D:$D,'SRV_BY Techs'!$C108)</f>
        <v>5.5090867579908673</v>
      </c>
      <c r="AJ108" s="487">
        <f>SUMIFS('Key Inputs_BY Techs'!AD:AD,'Key Inputs_BY Techs'!$A:$A,$L108,'Key Inputs_BY Techs'!$C:$C,'SRV_BY Techs'!$B108,'Key Inputs_BY Techs'!$D:$D,'SRV_BY Techs'!$C108)</f>
        <v>2.5394200913242009</v>
      </c>
      <c r="AK108" s="487">
        <f>SUMIFS('Key Inputs_BY Techs'!AE:AE,'Key Inputs_BY Techs'!$A:$A,$L108,'Key Inputs_BY Techs'!$C:$C,'SRV_BY Techs'!$B108,'Key Inputs_BY Techs'!$D:$D,'SRV_BY Techs'!$C108)</f>
        <v>4.8525470319634687</v>
      </c>
      <c r="AL108" s="487">
        <f>SUMIFS('Key Inputs_BY Techs'!AF:AF,'Key Inputs_BY Techs'!$A:$A,$L108,'Key Inputs_BY Techs'!$C:$C,'SRV_BY Techs'!$B108,'Key Inputs_BY Techs'!$D:$D,'SRV_BY Techs'!$C108)</f>
        <v>0.19085296803652965</v>
      </c>
      <c r="AM108" s="487">
        <f>SUMIFS('Key Inputs_BY Techs'!AG:AG,'Key Inputs_BY Techs'!$A:$A,$L108,'Key Inputs_BY Techs'!$C:$C,'SRV_BY Techs'!$B108,'Key Inputs_BY Techs'!$D:$D,'SRV_BY Techs'!$C108)</f>
        <v>0</v>
      </c>
      <c r="AN108" s="487">
        <f>SUMIFS('Key Inputs_BY Techs'!AH:AH,'Key Inputs_BY Techs'!$A:$A,$L108,'Key Inputs_BY Techs'!$C:$C,'SRV_BY Techs'!$B108,'Key Inputs_BY Techs'!$D:$D,'SRV_BY Techs'!$C108)</f>
        <v>0</v>
      </c>
      <c r="AO108" s="487">
        <f>SUMIFS('Key Inputs_BY Techs'!AI:AI,'Key Inputs_BY Techs'!$A:$A,$L108,'Key Inputs_BY Techs'!$C:$C,'SRV_BY Techs'!$B108,'Key Inputs_BY Techs'!$D:$D,'SRV_BY Techs'!$C108)</f>
        <v>0</v>
      </c>
      <c r="AP108" s="487">
        <f>SUMIFS('Key Inputs_BY Techs'!AJ:AJ,'Key Inputs_BY Techs'!$A:$A,$L108,'Key Inputs_BY Techs'!$C:$C,'SRV_BY Techs'!$B108,'Key Inputs_BY Techs'!$D:$D,'SRV_BY Techs'!$C108)</f>
        <v>0</v>
      </c>
    </row>
    <row r="109" spans="1:42" x14ac:dyDescent="0.3">
      <c r="A109" s="499" t="str">
        <f t="shared" si="28"/>
        <v>Cooking</v>
      </c>
      <c r="B109" s="499" t="str">
        <f t="shared" si="28"/>
        <v>S-CK</v>
      </c>
      <c r="C109" s="499" t="str">
        <f t="shared" si="28"/>
        <v>Solar</v>
      </c>
      <c r="D109" s="499" t="str">
        <f t="shared" si="28"/>
        <v>SRVSOL</v>
      </c>
      <c r="E109" s="503" t="str">
        <f t="shared" si="29"/>
        <v>SRVSOL</v>
      </c>
      <c r="F109" s="503"/>
      <c r="G109" s="503"/>
      <c r="I109" s="106" t="str">
        <f t="shared" si="30"/>
        <v>S-CK_SOL00</v>
      </c>
      <c r="J109" s="106" t="str">
        <f t="shared" si="30"/>
        <v>SRV Cooking technology: Solar - Existing</v>
      </c>
      <c r="K109" s="106"/>
      <c r="L109" s="106" t="s">
        <v>689</v>
      </c>
      <c r="M109" s="106" t="str">
        <f>'Key Inputs_BY Techs'!F95</f>
        <v>GW</v>
      </c>
      <c r="N109" s="106"/>
      <c r="O109" s="588">
        <f>SUMIFS('Key Inputs_BY Techs'!I:I,'Key Inputs_BY Techs'!$A:$A,$L109,'Key Inputs_BY Techs'!$C:$C,'SRV_BY Techs'!$B109,'Key Inputs_BY Techs'!$D:$D,'SRV_BY Techs'!$C109)</f>
        <v>0</v>
      </c>
      <c r="P109" s="488">
        <f>SUMIFS('Key Inputs_BY Techs'!J:J,'Key Inputs_BY Techs'!$A:$A,$L109,'Key Inputs_BY Techs'!$C:$C,'SRV_BY Techs'!$B109,'Key Inputs_BY Techs'!$D:$D,'SRV_BY Techs'!$C109)</f>
        <v>0</v>
      </c>
      <c r="Q109" s="488">
        <f>SUMIFS('Key Inputs_BY Techs'!K:K,'Key Inputs_BY Techs'!$A:$A,$L109,'Key Inputs_BY Techs'!$C:$C,'SRV_BY Techs'!$B109,'Key Inputs_BY Techs'!$D:$D,'SRV_BY Techs'!$C109)</f>
        <v>0</v>
      </c>
      <c r="R109" s="488">
        <f>SUMIFS('Key Inputs_BY Techs'!L:L,'Key Inputs_BY Techs'!$A:$A,$L109,'Key Inputs_BY Techs'!$C:$C,'SRV_BY Techs'!$B109,'Key Inputs_BY Techs'!$D:$D,'SRV_BY Techs'!$C109)</f>
        <v>0</v>
      </c>
      <c r="S109" s="488">
        <f>SUMIFS('Key Inputs_BY Techs'!M:M,'Key Inputs_BY Techs'!$A:$A,$L109,'Key Inputs_BY Techs'!$C:$C,'SRV_BY Techs'!$B109,'Key Inputs_BY Techs'!$D:$D,'SRV_BY Techs'!$C109)</f>
        <v>0</v>
      </c>
      <c r="T109" s="488">
        <f>SUMIFS('Key Inputs_BY Techs'!N:N,'Key Inputs_BY Techs'!$A:$A,$L109,'Key Inputs_BY Techs'!$C:$C,'SRV_BY Techs'!$B109,'Key Inputs_BY Techs'!$D:$D,'SRV_BY Techs'!$C109)</f>
        <v>0</v>
      </c>
      <c r="U109" s="488">
        <f>SUMIFS('Key Inputs_BY Techs'!O:O,'Key Inputs_BY Techs'!$A:$A,$L109,'Key Inputs_BY Techs'!$C:$C,'SRV_BY Techs'!$B109,'Key Inputs_BY Techs'!$D:$D,'SRV_BY Techs'!$C109)</f>
        <v>0</v>
      </c>
      <c r="V109" s="488">
        <f>SUMIFS('Key Inputs_BY Techs'!P:P,'Key Inputs_BY Techs'!$A:$A,$L109,'Key Inputs_BY Techs'!$C:$C,'SRV_BY Techs'!$B109,'Key Inputs_BY Techs'!$D:$D,'SRV_BY Techs'!$C109)</f>
        <v>0</v>
      </c>
      <c r="W109" s="488">
        <f>SUMIFS('Key Inputs_BY Techs'!Q:Q,'Key Inputs_BY Techs'!$A:$A,$L109,'Key Inputs_BY Techs'!$C:$C,'SRV_BY Techs'!$B109,'Key Inputs_BY Techs'!$D:$D,'SRV_BY Techs'!$C109)</f>
        <v>0</v>
      </c>
      <c r="X109" s="488">
        <f>SUMIFS('Key Inputs_BY Techs'!R:R,'Key Inputs_BY Techs'!$A:$A,$L109,'Key Inputs_BY Techs'!$C:$C,'SRV_BY Techs'!$B109,'Key Inputs_BY Techs'!$D:$D,'SRV_BY Techs'!$C109)</f>
        <v>0</v>
      </c>
      <c r="Y109" s="488">
        <f>SUMIFS('Key Inputs_BY Techs'!S:S,'Key Inputs_BY Techs'!$A:$A,$L109,'Key Inputs_BY Techs'!$C:$C,'SRV_BY Techs'!$B109,'Key Inputs_BY Techs'!$D:$D,'SRV_BY Techs'!$C109)</f>
        <v>0</v>
      </c>
      <c r="Z109" s="488">
        <f>SUMIFS('Key Inputs_BY Techs'!T:T,'Key Inputs_BY Techs'!$A:$A,$L109,'Key Inputs_BY Techs'!$C:$C,'SRV_BY Techs'!$B109,'Key Inputs_BY Techs'!$D:$D,'SRV_BY Techs'!$C109)</f>
        <v>0</v>
      </c>
      <c r="AA109" s="488">
        <f>SUMIFS('Key Inputs_BY Techs'!U:U,'Key Inputs_BY Techs'!$A:$A,$L109,'Key Inputs_BY Techs'!$C:$C,'SRV_BY Techs'!$B109,'Key Inputs_BY Techs'!$D:$D,'SRV_BY Techs'!$C109)</f>
        <v>0</v>
      </c>
      <c r="AB109" s="488">
        <f>SUMIFS('Key Inputs_BY Techs'!V:V,'Key Inputs_BY Techs'!$A:$A,$L109,'Key Inputs_BY Techs'!$C:$C,'SRV_BY Techs'!$B109,'Key Inputs_BY Techs'!$D:$D,'SRV_BY Techs'!$C109)</f>
        <v>0</v>
      </c>
      <c r="AC109" s="488">
        <f>SUMIFS('Key Inputs_BY Techs'!W:W,'Key Inputs_BY Techs'!$A:$A,$L109,'Key Inputs_BY Techs'!$C:$C,'SRV_BY Techs'!$B109,'Key Inputs_BY Techs'!$D:$D,'SRV_BY Techs'!$C109)</f>
        <v>0</v>
      </c>
      <c r="AD109" s="488">
        <f>SUMIFS('Key Inputs_BY Techs'!X:X,'Key Inputs_BY Techs'!$A:$A,$L109,'Key Inputs_BY Techs'!$C:$C,'SRV_BY Techs'!$B109,'Key Inputs_BY Techs'!$D:$D,'SRV_BY Techs'!$C109)</f>
        <v>0</v>
      </c>
      <c r="AE109" s="488">
        <f>SUMIFS('Key Inputs_BY Techs'!Y:Y,'Key Inputs_BY Techs'!$A:$A,$L109,'Key Inputs_BY Techs'!$C:$C,'SRV_BY Techs'!$B109,'Key Inputs_BY Techs'!$D:$D,'SRV_BY Techs'!$C109)</f>
        <v>0</v>
      </c>
      <c r="AF109" s="488">
        <f>SUMIFS('Key Inputs_BY Techs'!Z:Z,'Key Inputs_BY Techs'!$A:$A,$L109,'Key Inputs_BY Techs'!$C:$C,'SRV_BY Techs'!$B109,'Key Inputs_BY Techs'!$D:$D,'SRV_BY Techs'!$C109)</f>
        <v>0</v>
      </c>
      <c r="AG109" s="488">
        <f>SUMIFS('Key Inputs_BY Techs'!AA:AA,'Key Inputs_BY Techs'!$A:$A,$L109,'Key Inputs_BY Techs'!$C:$C,'SRV_BY Techs'!$B109,'Key Inputs_BY Techs'!$D:$D,'SRV_BY Techs'!$C109)</f>
        <v>0</v>
      </c>
      <c r="AH109" s="488">
        <f>SUMIFS('Key Inputs_BY Techs'!AB:AB,'Key Inputs_BY Techs'!$A:$A,$L109,'Key Inputs_BY Techs'!$C:$C,'SRV_BY Techs'!$B109,'Key Inputs_BY Techs'!$D:$D,'SRV_BY Techs'!$C109)</f>
        <v>0</v>
      </c>
      <c r="AI109" s="488">
        <f>SUMIFS('Key Inputs_BY Techs'!AC:AC,'Key Inputs_BY Techs'!$A:$A,$L109,'Key Inputs_BY Techs'!$C:$C,'SRV_BY Techs'!$B109,'Key Inputs_BY Techs'!$D:$D,'SRV_BY Techs'!$C109)</f>
        <v>0</v>
      </c>
      <c r="AJ109" s="488">
        <f>SUMIFS('Key Inputs_BY Techs'!AD:AD,'Key Inputs_BY Techs'!$A:$A,$L109,'Key Inputs_BY Techs'!$C:$C,'SRV_BY Techs'!$B109,'Key Inputs_BY Techs'!$D:$D,'SRV_BY Techs'!$C109)</f>
        <v>0</v>
      </c>
      <c r="AK109" s="488">
        <f>SUMIFS('Key Inputs_BY Techs'!AE:AE,'Key Inputs_BY Techs'!$A:$A,$L109,'Key Inputs_BY Techs'!$C:$C,'SRV_BY Techs'!$B109,'Key Inputs_BY Techs'!$D:$D,'SRV_BY Techs'!$C109)</f>
        <v>0</v>
      </c>
      <c r="AL109" s="488">
        <f>SUMIFS('Key Inputs_BY Techs'!AF:AF,'Key Inputs_BY Techs'!$A:$A,$L109,'Key Inputs_BY Techs'!$C:$C,'SRV_BY Techs'!$B109,'Key Inputs_BY Techs'!$D:$D,'SRV_BY Techs'!$C109)</f>
        <v>0</v>
      </c>
      <c r="AM109" s="488">
        <f>SUMIFS('Key Inputs_BY Techs'!AG:AG,'Key Inputs_BY Techs'!$A:$A,$L109,'Key Inputs_BY Techs'!$C:$C,'SRV_BY Techs'!$B109,'Key Inputs_BY Techs'!$D:$D,'SRV_BY Techs'!$C109)</f>
        <v>0</v>
      </c>
      <c r="AN109" s="488">
        <f>SUMIFS('Key Inputs_BY Techs'!AH:AH,'Key Inputs_BY Techs'!$A:$A,$L109,'Key Inputs_BY Techs'!$C:$C,'SRV_BY Techs'!$B109,'Key Inputs_BY Techs'!$D:$D,'SRV_BY Techs'!$C109)</f>
        <v>0</v>
      </c>
      <c r="AO109" s="488">
        <f>SUMIFS('Key Inputs_BY Techs'!AI:AI,'Key Inputs_BY Techs'!$A:$A,$L109,'Key Inputs_BY Techs'!$C:$C,'SRV_BY Techs'!$B109,'Key Inputs_BY Techs'!$D:$D,'SRV_BY Techs'!$C109)</f>
        <v>0</v>
      </c>
      <c r="AP109" s="488">
        <f>SUMIFS('Key Inputs_BY Techs'!AJ:AJ,'Key Inputs_BY Techs'!$A:$A,$L109,'Key Inputs_BY Techs'!$C:$C,'SRV_BY Techs'!$B109,'Key Inputs_BY Techs'!$D:$D,'SRV_BY Techs'!$C109)</f>
        <v>0</v>
      </c>
    </row>
    <row r="110" spans="1:42" x14ac:dyDescent="0.3">
      <c r="A110" s="499" t="str">
        <f t="shared" si="28"/>
        <v>Lighting</v>
      </c>
      <c r="B110" s="499" t="str">
        <f t="shared" si="28"/>
        <v>S-LIG</v>
      </c>
      <c r="C110" s="499" t="str">
        <f t="shared" si="28"/>
        <v>Electricity</v>
      </c>
      <c r="D110" s="499" t="str">
        <f t="shared" si="28"/>
        <v>SRVELC</v>
      </c>
      <c r="E110" s="499" t="str">
        <f t="shared" si="29"/>
        <v>SRVELC</v>
      </c>
      <c r="F110" s="499"/>
      <c r="G110" s="499"/>
      <c r="I110" s="103" t="str">
        <f t="shared" si="30"/>
        <v>S-LIG_ELC00</v>
      </c>
      <c r="J110" s="103" t="str">
        <f t="shared" si="30"/>
        <v>SRV Lighting technology: Electricity - Existing</v>
      </c>
      <c r="L110" s="103" t="s">
        <v>689</v>
      </c>
      <c r="M110" s="107" t="str">
        <f>'Key Inputs_BY Techs'!F96</f>
        <v>Munits-y</v>
      </c>
      <c r="O110" s="487">
        <f>SUMIFS('Key Inputs_BY Techs'!I:I,'Key Inputs_BY Techs'!$A:$A,$L110,'Key Inputs_BY Techs'!$C:$C,'SRV_BY Techs'!$B110,'Key Inputs_BY Techs'!$D:$D,'SRV_BY Techs'!$C110)</f>
        <v>128.79131264896495</v>
      </c>
      <c r="P110" s="487">
        <f>SUMIFS('Key Inputs_BY Techs'!J:J,'Key Inputs_BY Techs'!$A:$A,$L110,'Key Inputs_BY Techs'!$C:$C,'SRV_BY Techs'!$B110,'Key Inputs_BY Techs'!$D:$D,'SRV_BY Techs'!$C110)</f>
        <v>711.74146463901684</v>
      </c>
      <c r="Q110" s="487">
        <f>SUMIFS('Key Inputs_BY Techs'!K:K,'Key Inputs_BY Techs'!$A:$A,$L110,'Key Inputs_BY Techs'!$C:$C,'SRV_BY Techs'!$B110,'Key Inputs_BY Techs'!$D:$D,'SRV_BY Techs'!$C110)</f>
        <v>165.42520257142166</v>
      </c>
      <c r="R110" s="487">
        <f>SUMIFS('Key Inputs_BY Techs'!L:L,'Key Inputs_BY Techs'!$A:$A,$L110,'Key Inputs_BY Techs'!$C:$C,'SRV_BY Techs'!$B110,'Key Inputs_BY Techs'!$D:$D,'SRV_BY Techs'!$C110)</f>
        <v>433.60180054708098</v>
      </c>
      <c r="S110" s="487">
        <f>SUMIFS('Key Inputs_BY Techs'!M:M,'Key Inputs_BY Techs'!$A:$A,$L110,'Key Inputs_BY Techs'!$C:$C,'SRV_BY Techs'!$B110,'Key Inputs_BY Techs'!$D:$D,'SRV_BY Techs'!$C110)</f>
        <v>788.18049888439623</v>
      </c>
      <c r="T110" s="487">
        <f>SUMIFS('Key Inputs_BY Techs'!N:N,'Key Inputs_BY Techs'!$A:$A,$L110,'Key Inputs_BY Techs'!$C:$C,'SRV_BY Techs'!$B110,'Key Inputs_BY Techs'!$D:$D,'SRV_BY Techs'!$C110)</f>
        <v>367.17177633729091</v>
      </c>
      <c r="U110" s="487">
        <f>SUMIFS('Key Inputs_BY Techs'!O:O,'Key Inputs_BY Techs'!$A:$A,$L110,'Key Inputs_BY Techs'!$C:$C,'SRV_BY Techs'!$B110,'Key Inputs_BY Techs'!$D:$D,'SRV_BY Techs'!$C110)</f>
        <v>1530.4166553002135</v>
      </c>
      <c r="V110" s="487">
        <f>SUMIFS('Key Inputs_BY Techs'!P:P,'Key Inputs_BY Techs'!$A:$A,$L110,'Key Inputs_BY Techs'!$C:$C,'SRV_BY Techs'!$B110,'Key Inputs_BY Techs'!$D:$D,'SRV_BY Techs'!$C110)</f>
        <v>353.57796575748597</v>
      </c>
      <c r="W110" s="487">
        <f>SUMIFS('Key Inputs_BY Techs'!Q:Q,'Key Inputs_BY Techs'!$A:$A,$L110,'Key Inputs_BY Techs'!$C:$C,'SRV_BY Techs'!$B110,'Key Inputs_BY Techs'!$D:$D,'SRV_BY Techs'!$C110)</f>
        <v>698.07281266165546</v>
      </c>
      <c r="X110" s="487">
        <f>SUMIFS('Key Inputs_BY Techs'!R:R,'Key Inputs_BY Techs'!$A:$A,$L110,'Key Inputs_BY Techs'!$C:$C,'SRV_BY Techs'!$B110,'Key Inputs_BY Techs'!$D:$D,'SRV_BY Techs'!$C110)</f>
        <v>1904.3796341311697</v>
      </c>
      <c r="Y110" s="487">
        <f>SUMIFS('Key Inputs_BY Techs'!S:S,'Key Inputs_BY Techs'!$A:$A,$L110,'Key Inputs_BY Techs'!$C:$C,'SRV_BY Techs'!$B110,'Key Inputs_BY Techs'!$D:$D,'SRV_BY Techs'!$C110)</f>
        <v>60.729121716925519</v>
      </c>
      <c r="Z110" s="487">
        <f>SUMIFS('Key Inputs_BY Techs'!T:T,'Key Inputs_BY Techs'!$A:$A,$L110,'Key Inputs_BY Techs'!$C:$C,'SRV_BY Techs'!$B110,'Key Inputs_BY Techs'!$D:$D,'SRV_BY Techs'!$C110)</f>
        <v>595.79687750077528</v>
      </c>
      <c r="AA110" s="487">
        <f>SUMIFS('Key Inputs_BY Techs'!U:U,'Key Inputs_BY Techs'!$A:$A,$L110,'Key Inputs_BY Techs'!$C:$C,'SRV_BY Techs'!$B110,'Key Inputs_BY Techs'!$D:$D,'SRV_BY Techs'!$C110)</f>
        <v>576.06336290715376</v>
      </c>
      <c r="AB110" s="487">
        <f>SUMIFS('Key Inputs_BY Techs'!V:V,'Key Inputs_BY Techs'!$A:$A,$L110,'Key Inputs_BY Techs'!$C:$C,'SRV_BY Techs'!$B110,'Key Inputs_BY Techs'!$D:$D,'SRV_BY Techs'!$C110)</f>
        <v>1737.3626685472263</v>
      </c>
      <c r="AC110" s="487">
        <f>SUMIFS('Key Inputs_BY Techs'!W:W,'Key Inputs_BY Techs'!$A:$A,$L110,'Key Inputs_BY Techs'!$C:$C,'SRV_BY Techs'!$B110,'Key Inputs_BY Techs'!$D:$D,'SRV_BY Techs'!$C110)</f>
        <v>1546.5799435073743</v>
      </c>
      <c r="AD110" s="487">
        <f>SUMIFS('Key Inputs_BY Techs'!X:X,'Key Inputs_BY Techs'!$A:$A,$L110,'Key Inputs_BY Techs'!$C:$C,'SRV_BY Techs'!$B110,'Key Inputs_BY Techs'!$D:$D,'SRV_BY Techs'!$C110)</f>
        <v>4365.8538431552106</v>
      </c>
      <c r="AE110" s="487">
        <f>SUMIFS('Key Inputs_BY Techs'!Y:Y,'Key Inputs_BY Techs'!$A:$A,$L110,'Key Inputs_BY Techs'!$C:$C,'SRV_BY Techs'!$B110,'Key Inputs_BY Techs'!$D:$D,'SRV_BY Techs'!$C110)</f>
        <v>3508.6570666884754</v>
      </c>
      <c r="AF110" s="487">
        <f>SUMIFS('Key Inputs_BY Techs'!Z:Z,'Key Inputs_BY Techs'!$A:$A,$L110,'Key Inputs_BY Techs'!$C:$C,'SRV_BY Techs'!$B110,'Key Inputs_BY Techs'!$D:$D,'SRV_BY Techs'!$C110)</f>
        <v>1270.4661863844374</v>
      </c>
      <c r="AG110" s="487">
        <f>SUMIFS('Key Inputs_BY Techs'!AA:AA,'Key Inputs_BY Techs'!$A:$A,$L110,'Key Inputs_BY Techs'!$C:$C,'SRV_BY Techs'!$B110,'Key Inputs_BY Techs'!$D:$D,'SRV_BY Techs'!$C110)</f>
        <v>1375.9522800797999</v>
      </c>
      <c r="AH110" s="487">
        <f>SUMIFS('Key Inputs_BY Techs'!AB:AB,'Key Inputs_BY Techs'!$A:$A,$L110,'Key Inputs_BY Techs'!$C:$C,'SRV_BY Techs'!$B110,'Key Inputs_BY Techs'!$D:$D,'SRV_BY Techs'!$C110)</f>
        <v>4193.1520175476871</v>
      </c>
      <c r="AI110" s="487">
        <f>SUMIFS('Key Inputs_BY Techs'!AC:AC,'Key Inputs_BY Techs'!$A:$A,$L110,'Key Inputs_BY Techs'!$C:$C,'SRV_BY Techs'!$B110,'Key Inputs_BY Techs'!$D:$D,'SRV_BY Techs'!$C110)</f>
        <v>572.22197790557379</v>
      </c>
      <c r="AJ110" s="487">
        <f>SUMIFS('Key Inputs_BY Techs'!AD:AD,'Key Inputs_BY Techs'!$A:$A,$L110,'Key Inputs_BY Techs'!$C:$C,'SRV_BY Techs'!$B110,'Key Inputs_BY Techs'!$D:$D,'SRV_BY Techs'!$C110)</f>
        <v>1221.9793571222447</v>
      </c>
      <c r="AK110" s="487">
        <f>SUMIFS('Key Inputs_BY Techs'!AE:AE,'Key Inputs_BY Techs'!$A:$A,$L110,'Key Inputs_BY Techs'!$C:$C,'SRV_BY Techs'!$B110,'Key Inputs_BY Techs'!$D:$D,'SRV_BY Techs'!$C110)</f>
        <v>2644.8421032074766</v>
      </c>
      <c r="AL110" s="487">
        <f>SUMIFS('Key Inputs_BY Techs'!AF:AF,'Key Inputs_BY Techs'!$A:$A,$L110,'Key Inputs_BY Techs'!$C:$C,'SRV_BY Techs'!$B110,'Key Inputs_BY Techs'!$D:$D,'SRV_BY Techs'!$C110)</f>
        <v>128.59277543359383</v>
      </c>
      <c r="AM110" s="487">
        <f>SUMIFS('Key Inputs_BY Techs'!AG:AG,'Key Inputs_BY Techs'!$A:$A,$L110,'Key Inputs_BY Techs'!$C:$C,'SRV_BY Techs'!$B110,'Key Inputs_BY Techs'!$D:$D,'SRV_BY Techs'!$C110)</f>
        <v>99.964891424487476</v>
      </c>
      <c r="AN110" s="487">
        <f>SUMIFS('Key Inputs_BY Techs'!AH:AH,'Key Inputs_BY Techs'!$A:$A,$L110,'Key Inputs_BY Techs'!$C:$C,'SRV_BY Techs'!$B110,'Key Inputs_BY Techs'!$D:$D,'SRV_BY Techs'!$C110)</f>
        <v>2024.7796437547463</v>
      </c>
      <c r="AO110" s="487">
        <f>SUMIFS('Key Inputs_BY Techs'!AI:AI,'Key Inputs_BY Techs'!$A:$A,$L110,'Key Inputs_BY Techs'!$C:$C,'SRV_BY Techs'!$B110,'Key Inputs_BY Techs'!$D:$D,'SRV_BY Techs'!$C110)</f>
        <v>2492.1304180242646</v>
      </c>
      <c r="AP110" s="487">
        <f>SUMIFS('Key Inputs_BY Techs'!AJ:AJ,'Key Inputs_BY Techs'!$A:$A,$L110,'Key Inputs_BY Techs'!$C:$C,'SRV_BY Techs'!$B110,'Key Inputs_BY Techs'!$D:$D,'SRV_BY Techs'!$C110)</f>
        <v>17884.000404104754</v>
      </c>
    </row>
    <row r="111" spans="1:42" x14ac:dyDescent="0.3">
      <c r="A111" s="499" t="str">
        <f t="shared" si="28"/>
        <v>Street lighting</v>
      </c>
      <c r="B111" s="499" t="str">
        <f t="shared" si="28"/>
        <v>S-SLIG</v>
      </c>
      <c r="C111" s="499" t="str">
        <f t="shared" si="28"/>
        <v>Electricity</v>
      </c>
      <c r="D111" s="499" t="str">
        <f t="shared" si="28"/>
        <v>SRVELC</v>
      </c>
      <c r="E111" s="499" t="s">
        <v>499</v>
      </c>
      <c r="F111" s="499"/>
      <c r="G111" s="499"/>
      <c r="I111" s="107" t="str">
        <f t="shared" si="30"/>
        <v>S-SLIG_ELC00</v>
      </c>
      <c r="J111" s="107" t="str">
        <f t="shared" si="30"/>
        <v>SRV Street lighting technology: Electricity - Existing</v>
      </c>
      <c r="K111" s="107"/>
      <c r="L111" s="107" t="s">
        <v>689</v>
      </c>
      <c r="M111" s="107" t="str">
        <f>'Key Inputs_BY Techs'!F97</f>
        <v>Munits-y</v>
      </c>
      <c r="N111" s="107"/>
      <c r="O111" s="489">
        <f>SUMIFS('Key Inputs_BY Techs'!I:I,'Key Inputs_BY Techs'!$A:$A,$L111,'Key Inputs_BY Techs'!$C:$C,'SRV_BY Techs'!$B111,'Key Inputs_BY Techs'!$D:$D,'SRV_BY Techs'!$C111)</f>
        <v>129.41050165208497</v>
      </c>
      <c r="P111" s="489">
        <f>SUMIFS('Key Inputs_BY Techs'!J:J,'Key Inputs_BY Techs'!$A:$A,$L111,'Key Inputs_BY Techs'!$C:$C,'SRV_BY Techs'!$B111,'Key Inputs_BY Techs'!$D:$D,'SRV_BY Techs'!$C111)</f>
        <v>715.16329860362748</v>
      </c>
      <c r="Q111" s="489">
        <f>SUMIFS('Key Inputs_BY Techs'!K:K,'Key Inputs_BY Techs'!$A:$A,$L111,'Key Inputs_BY Techs'!$C:$C,'SRV_BY Techs'!$B111,'Key Inputs_BY Techs'!$D:$D,'SRV_BY Techs'!$C111)</f>
        <v>166.22051604532271</v>
      </c>
      <c r="R111" s="489">
        <f>SUMIFS('Key Inputs_BY Techs'!L:L,'Key Inputs_BY Techs'!$A:$A,$L111,'Key Inputs_BY Techs'!$C:$C,'SRV_BY Techs'!$B111,'Key Inputs_BY Techs'!$D:$D,'SRV_BY Techs'!$C111)</f>
        <v>435.68642458817266</v>
      </c>
      <c r="S111" s="489">
        <f>SUMIFS('Key Inputs_BY Techs'!M:M,'Key Inputs_BY Techs'!$A:$A,$L111,'Key Inputs_BY Techs'!$C:$C,'SRV_BY Techs'!$B111,'Key Inputs_BY Techs'!$D:$D,'SRV_BY Techs'!$C111)</f>
        <v>640.52136744782581</v>
      </c>
      <c r="T111" s="489">
        <f>SUMIFS('Key Inputs_BY Techs'!N:N,'Key Inputs_BY Techs'!$A:$A,$L111,'Key Inputs_BY Techs'!$C:$C,'SRV_BY Techs'!$B111,'Key Inputs_BY Techs'!$D:$D,'SRV_BY Techs'!$C111)</f>
        <v>286.17503578483564</v>
      </c>
      <c r="U111" s="489">
        <f>SUMIFS('Key Inputs_BY Techs'!O:O,'Key Inputs_BY Techs'!$A:$A,$L111,'Key Inputs_BY Techs'!$C:$C,'SRV_BY Techs'!$B111,'Key Inputs_BY Techs'!$D:$D,'SRV_BY Techs'!$C111)</f>
        <v>1192.8123818915822</v>
      </c>
      <c r="V111" s="489">
        <f>SUMIFS('Key Inputs_BY Techs'!P:P,'Key Inputs_BY Techs'!$A:$A,$L111,'Key Inputs_BY Techs'!$C:$C,'SRV_BY Techs'!$B111,'Key Inputs_BY Techs'!$D:$D,'SRV_BY Techs'!$C111)</f>
        <v>275.5799697153937</v>
      </c>
      <c r="W111" s="489">
        <f>SUMIFS('Key Inputs_BY Techs'!Q:Q,'Key Inputs_BY Techs'!$A:$A,$L111,'Key Inputs_BY Techs'!$C:$C,'SRV_BY Techs'!$B111,'Key Inputs_BY Techs'!$D:$D,'SRV_BY Techs'!$C111)</f>
        <v>2792.2912506466223</v>
      </c>
      <c r="X111" s="489">
        <f>SUMIFS('Key Inputs_BY Techs'!R:R,'Key Inputs_BY Techs'!$A:$A,$L111,'Key Inputs_BY Techs'!$C:$C,'SRV_BY Techs'!$B111,'Key Inputs_BY Techs'!$D:$D,'SRV_BY Techs'!$C111)</f>
        <v>1484.2805059307316</v>
      </c>
      <c r="Y111" s="489">
        <f>SUMIFS('Key Inputs_BY Techs'!S:S,'Key Inputs_BY Techs'!$A:$A,$L111,'Key Inputs_BY Techs'!$C:$C,'SRV_BY Techs'!$B111,'Key Inputs_BY Techs'!$D:$D,'SRV_BY Techs'!$C111)</f>
        <v>242.9164868677021</v>
      </c>
      <c r="Z111" s="489">
        <f>SUMIFS('Key Inputs_BY Techs'!T:T,'Key Inputs_BY Techs'!$A:$A,$L111,'Key Inputs_BY Techs'!$C:$C,'SRV_BY Techs'!$B111,'Key Inputs_BY Techs'!$D:$D,'SRV_BY Techs'!$C111)</f>
        <v>464.36628228922228</v>
      </c>
      <c r="AA111" s="489">
        <f>SUMIFS('Key Inputs_BY Techs'!U:U,'Key Inputs_BY Techs'!$A:$A,$L111,'Key Inputs_BY Techs'!$C:$C,'SRV_BY Techs'!$B111,'Key Inputs_BY Techs'!$D:$D,'SRV_BY Techs'!$C111)</f>
        <v>448.98590828192795</v>
      </c>
      <c r="AB111" s="489">
        <f>SUMIFS('Key Inputs_BY Techs'!V:V,'Key Inputs_BY Techs'!$A:$A,$L111,'Key Inputs_BY Techs'!$C:$C,'SRV_BY Techs'!$B111,'Key Inputs_BY Techs'!$D:$D,'SRV_BY Techs'!$C111)</f>
        <v>1354.1068673699256</v>
      </c>
      <c r="AC111" s="489">
        <f>SUMIFS('Key Inputs_BY Techs'!W:W,'Key Inputs_BY Techs'!$A:$A,$L111,'Key Inputs_BY Techs'!$C:$C,'SRV_BY Techs'!$B111,'Key Inputs_BY Techs'!$D:$D,'SRV_BY Techs'!$C111)</f>
        <v>1205.4101082942659</v>
      </c>
      <c r="AD111" s="489">
        <f>SUMIFS('Key Inputs_BY Techs'!X:X,'Key Inputs_BY Techs'!$A:$A,$L111,'Key Inputs_BY Techs'!$C:$C,'SRV_BY Techs'!$B111,'Key Inputs_BY Techs'!$D:$D,'SRV_BY Techs'!$C111)</f>
        <v>3402.7625768506332</v>
      </c>
      <c r="AE111" s="489">
        <f>SUMIFS('Key Inputs_BY Techs'!Y:Y,'Key Inputs_BY Techs'!$A:$A,$L111,'Key Inputs_BY Techs'!$C:$C,'SRV_BY Techs'!$B111,'Key Inputs_BY Techs'!$D:$D,'SRV_BY Techs'!$C111)</f>
        <v>2734.6602498496909</v>
      </c>
      <c r="AF111" s="489">
        <f>SUMIFS('Key Inputs_BY Techs'!Z:Z,'Key Inputs_BY Techs'!$A:$A,$L111,'Key Inputs_BY Techs'!$C:$C,'SRV_BY Techs'!$B111,'Key Inputs_BY Techs'!$D:$D,'SRV_BY Techs'!$C111)</f>
        <v>990.20602830322787</v>
      </c>
      <c r="AG111" s="489">
        <f>SUMIFS('Key Inputs_BY Techs'!AA:AA,'Key Inputs_BY Techs'!$A:$A,$L111,'Key Inputs_BY Techs'!$C:$C,'SRV_BY Techs'!$B111,'Key Inputs_BY Techs'!$D:$D,'SRV_BY Techs'!$C111)</f>
        <v>1072.4222785259631</v>
      </c>
      <c r="AH111" s="489">
        <f>SUMIFS('Key Inputs_BY Techs'!AB:AB,'Key Inputs_BY Techs'!$A:$A,$L111,'Key Inputs_BY Techs'!$C:$C,'SRV_BY Techs'!$B111,'Key Inputs_BY Techs'!$D:$D,'SRV_BY Techs'!$C111)</f>
        <v>3268.1581374344119</v>
      </c>
      <c r="AI111" s="489">
        <f>SUMIFS('Key Inputs_BY Techs'!AC:AC,'Key Inputs_BY Techs'!$A:$A,$L111,'Key Inputs_BY Techs'!$C:$C,'SRV_BY Techs'!$B111,'Key Inputs_BY Techs'!$D:$D,'SRV_BY Techs'!$C111)</f>
        <v>2288.8879116222952</v>
      </c>
      <c r="AJ111" s="489">
        <f>SUMIFS('Key Inputs_BY Techs'!AD:AD,'Key Inputs_BY Techs'!$A:$A,$L111,'Key Inputs_BY Techs'!$C:$C,'SRV_BY Techs'!$B111,'Key Inputs_BY Techs'!$D:$D,'SRV_BY Techs'!$C111)</f>
        <v>952.41521486539227</v>
      </c>
      <c r="AK111" s="489">
        <f>SUMIFS('Key Inputs_BY Techs'!AE:AE,'Key Inputs_BY Techs'!$A:$A,$L111,'Key Inputs_BY Techs'!$C:$C,'SRV_BY Techs'!$B111,'Key Inputs_BY Techs'!$D:$D,'SRV_BY Techs'!$C111)</f>
        <v>2061.3996834967725</v>
      </c>
      <c r="AL111" s="489">
        <f>SUMIFS('Key Inputs_BY Techs'!AF:AF,'Key Inputs_BY Techs'!$A:$A,$L111,'Key Inputs_BY Techs'!$C:$C,'SRV_BY Techs'!$B111,'Key Inputs_BY Techs'!$D:$D,'SRV_BY Techs'!$C111)</f>
        <v>514.37110173437532</v>
      </c>
      <c r="AM111" s="489">
        <f>SUMIFS('Key Inputs_BY Techs'!AG:AG,'Key Inputs_BY Techs'!$A:$A,$L111,'Key Inputs_BY Techs'!$C:$C,'SRV_BY Techs'!$B111,'Key Inputs_BY Techs'!$D:$D,'SRV_BY Techs'!$C111)</f>
        <v>100.44549186402827</v>
      </c>
      <c r="AN111" s="489">
        <f>SUMIFS('Key Inputs_BY Techs'!AH:AH,'Key Inputs_BY Techs'!$A:$A,$L111,'Key Inputs_BY Techs'!$C:$C,'SRV_BY Techs'!$B111,'Key Inputs_BY Techs'!$D:$D,'SRV_BY Techs'!$C111)</f>
        <v>1578.1207171970514</v>
      </c>
      <c r="AO111" s="489">
        <f>SUMIFS('Key Inputs_BY Techs'!AI:AI,'Key Inputs_BY Techs'!$A:$A,$L111,'Key Inputs_BY Techs'!$C:$C,'SRV_BY Techs'!$B111,'Key Inputs_BY Techs'!$D:$D,'SRV_BY Techs'!$C111)</f>
        <v>1942.3756332061475</v>
      </c>
      <c r="AP111" s="489">
        <f>SUMIFS('Key Inputs_BY Techs'!AJ:AJ,'Key Inputs_BY Techs'!$A:$A,$L111,'Key Inputs_BY Techs'!$C:$C,'SRV_BY Techs'!$B111,'Key Inputs_BY Techs'!$D:$D,'SRV_BY Techs'!$C111)</f>
        <v>13938.855831117156</v>
      </c>
    </row>
    <row r="112" spans="1:42" x14ac:dyDescent="0.3">
      <c r="A112" s="499" t="str">
        <f t="shared" si="28"/>
        <v>Electric Appliances</v>
      </c>
      <c r="B112" s="499" t="str">
        <f t="shared" si="28"/>
        <v>S-EAP</v>
      </c>
      <c r="C112" s="499" t="str">
        <f t="shared" si="28"/>
        <v>Electricity</v>
      </c>
      <c r="D112" s="499" t="str">
        <f t="shared" si="28"/>
        <v>SRVELC</v>
      </c>
      <c r="E112" s="499" t="str">
        <f>E67</f>
        <v>SRVELC</v>
      </c>
      <c r="F112" s="499"/>
      <c r="G112" s="499"/>
      <c r="I112" s="107" t="str">
        <f t="shared" si="30"/>
        <v>S-EAP_ELC00</v>
      </c>
      <c r="J112" s="107" t="str">
        <f t="shared" si="30"/>
        <v>SRV Electric Appliances technology: Electricity - Existing</v>
      </c>
      <c r="K112" s="107"/>
      <c r="L112" s="107" t="s">
        <v>689</v>
      </c>
      <c r="M112" s="472" t="str">
        <f>'Key Inputs_BY Techs'!F98</f>
        <v>GW</v>
      </c>
      <c r="N112" s="472"/>
      <c r="O112" s="489">
        <f>SUMIFS('Key Inputs_BY Techs'!I:I,'Key Inputs_BY Techs'!$A:$A,$L112,'Key Inputs_BY Techs'!$C:$C,'SRV_BY Techs'!$B112,'Key Inputs_BY Techs'!$D:$D,'SRV_BY Techs'!$C112)</f>
        <v>1.8319978632478633</v>
      </c>
      <c r="P112" s="489">
        <f>SUMIFS('Key Inputs_BY Techs'!J:J,'Key Inputs_BY Techs'!$A:$A,$L112,'Key Inputs_BY Techs'!$C:$C,'SRV_BY Techs'!$B112,'Key Inputs_BY Techs'!$D:$D,'SRV_BY Techs'!$C112)</f>
        <v>10.124198717948717</v>
      </c>
      <c r="Q112" s="489">
        <f>SUMIFS('Key Inputs_BY Techs'!K:K,'Key Inputs_BY Techs'!$A:$A,$L112,'Key Inputs_BY Techs'!$C:$C,'SRV_BY Techs'!$B112,'Key Inputs_BY Techs'!$D:$D,'SRV_BY Techs'!$C112)</f>
        <v>2.3530982905982905</v>
      </c>
      <c r="R112" s="489">
        <f>SUMIFS('Key Inputs_BY Techs'!L:L,'Key Inputs_BY Techs'!$A:$A,$L112,'Key Inputs_BY Techs'!$C:$C,'SRV_BY Techs'!$B112,'Key Inputs_BY Techs'!$D:$D,'SRV_BY Techs'!$C112)</f>
        <v>6.1677884615384615</v>
      </c>
      <c r="S112" s="489">
        <f>SUMIFS('Key Inputs_BY Techs'!M:M,'Key Inputs_BY Techs'!$A:$A,$L112,'Key Inputs_BY Techs'!$C:$C,'SRV_BY Techs'!$B112,'Key Inputs_BY Techs'!$D:$D,'SRV_BY Techs'!$C112)</f>
        <v>17.486237980769229</v>
      </c>
      <c r="T112" s="489">
        <f>SUMIFS('Key Inputs_BY Techs'!N:N,'Key Inputs_BY Techs'!$A:$A,$L112,'Key Inputs_BY Techs'!$C:$C,'SRV_BY Techs'!$B112,'Key Inputs_BY Techs'!$D:$D,'SRV_BY Techs'!$C112)</f>
        <v>4.7978846153846151</v>
      </c>
      <c r="U112" s="489">
        <f>SUMIFS('Key Inputs_BY Techs'!O:O,'Key Inputs_BY Techs'!$A:$A,$L112,'Key Inputs_BY Techs'!$C:$C,'SRV_BY Techs'!$B112,'Key Inputs_BY Techs'!$D:$D,'SRV_BY Techs'!$C112)</f>
        <v>26.664222756410258</v>
      </c>
      <c r="V112" s="489">
        <f>SUMIFS('Key Inputs_BY Techs'!P:P,'Key Inputs_BY Techs'!$A:$A,$L112,'Key Inputs_BY Techs'!$C:$C,'SRV_BY Techs'!$B112,'Key Inputs_BY Techs'!$D:$D,'SRV_BY Techs'!$C112)</f>
        <v>6.1603365384615385</v>
      </c>
      <c r="W112" s="489">
        <f>SUMIFS('Key Inputs_BY Techs'!Q:Q,'Key Inputs_BY Techs'!$A:$A,$L112,'Key Inputs_BY Techs'!$C:$C,'SRV_BY Techs'!$B112,'Key Inputs_BY Techs'!$D:$D,'SRV_BY Techs'!$C112)</f>
        <v>29.835795940170939</v>
      </c>
      <c r="X112" s="489">
        <f>SUMIFS('Key Inputs_BY Techs'!R:R,'Key Inputs_BY Techs'!$A:$A,$L112,'Key Inputs_BY Techs'!$C:$C,'SRV_BY Techs'!$B112,'Key Inputs_BY Techs'!$D:$D,'SRV_BY Techs'!$C112)</f>
        <v>14.552510683760683</v>
      </c>
      <c r="Y112" s="489">
        <f>SUMIFS('Key Inputs_BY Techs'!S:S,'Key Inputs_BY Techs'!$A:$A,$L112,'Key Inputs_BY Techs'!$C:$C,'SRV_BY Techs'!$B112,'Key Inputs_BY Techs'!$D:$D,'SRV_BY Techs'!$C112)</f>
        <v>2.5955769230769228</v>
      </c>
      <c r="Z112" s="489">
        <f>SUMIFS('Key Inputs_BY Techs'!T:T,'Key Inputs_BY Techs'!$A:$A,$L112,'Key Inputs_BY Techs'!$C:$C,'SRV_BY Techs'!$B112,'Key Inputs_BY Techs'!$D:$D,'SRV_BY Techs'!$C112)</f>
        <v>4.0368536324786319</v>
      </c>
      <c r="AA112" s="489">
        <f>SUMIFS('Key Inputs_BY Techs'!U:U,'Key Inputs_BY Techs'!$A:$A,$L112,'Key Inputs_BY Techs'!$C:$C,'SRV_BY Techs'!$B112,'Key Inputs_BY Techs'!$D:$D,'SRV_BY Techs'!$C112)</f>
        <v>7.527499999999999</v>
      </c>
      <c r="AB112" s="489">
        <f>SUMIFS('Key Inputs_BY Techs'!V:V,'Key Inputs_BY Techs'!$A:$A,$L112,'Key Inputs_BY Techs'!$C:$C,'SRV_BY Techs'!$B112,'Key Inputs_BY Techs'!$D:$D,'SRV_BY Techs'!$C112)</f>
        <v>16.8165625</v>
      </c>
      <c r="AC112" s="489">
        <f>SUMIFS('Key Inputs_BY Techs'!W:W,'Key Inputs_BY Techs'!$A:$A,$L112,'Key Inputs_BY Techs'!$C:$C,'SRV_BY Techs'!$B112,'Key Inputs_BY Techs'!$D:$D,'SRV_BY Techs'!$C112)</f>
        <v>20.209374999999998</v>
      </c>
      <c r="AD112" s="489">
        <f>SUMIFS('Key Inputs_BY Techs'!X:X,'Key Inputs_BY Techs'!$A:$A,$L112,'Key Inputs_BY Techs'!$C:$C,'SRV_BY Techs'!$B112,'Key Inputs_BY Techs'!$D:$D,'SRV_BY Techs'!$C112)</f>
        <v>42.25868055555555</v>
      </c>
      <c r="AE112" s="489">
        <f>SUMIFS('Key Inputs_BY Techs'!Y:Y,'Key Inputs_BY Techs'!$A:$A,$L112,'Key Inputs_BY Techs'!$C:$C,'SRV_BY Techs'!$B112,'Key Inputs_BY Techs'!$D:$D,'SRV_BY Techs'!$C112)</f>
        <v>33.961562499999999</v>
      </c>
      <c r="AF112" s="489">
        <f>SUMIFS('Key Inputs_BY Techs'!Z:Z,'Key Inputs_BY Techs'!$A:$A,$L112,'Key Inputs_BY Techs'!$C:$C,'SRV_BY Techs'!$B112,'Key Inputs_BY Techs'!$D:$D,'SRV_BY Techs'!$C112)</f>
        <v>22.135144230769232</v>
      </c>
      <c r="AG112" s="489">
        <f>SUMIFS('Key Inputs_BY Techs'!AA:AA,'Key Inputs_BY Techs'!$A:$A,$L112,'Key Inputs_BY Techs'!$C:$C,'SRV_BY Techs'!$B112,'Key Inputs_BY Techs'!$D:$D,'SRV_BY Techs'!$C112)</f>
        <v>24.472450587606836</v>
      </c>
      <c r="AH112" s="489">
        <f>SUMIFS('Key Inputs_BY Techs'!AB:AB,'Key Inputs_BY Techs'!$A:$A,$L112,'Key Inputs_BY Techs'!$C:$C,'SRV_BY Techs'!$B112,'Key Inputs_BY Techs'!$D:$D,'SRV_BY Techs'!$C112)</f>
        <v>51.748472222222212</v>
      </c>
      <c r="AI112" s="489">
        <f>SUMIFS('Key Inputs_BY Techs'!AC:AC,'Key Inputs_BY Techs'!$A:$A,$L112,'Key Inputs_BY Techs'!$C:$C,'SRV_BY Techs'!$B112,'Key Inputs_BY Techs'!$D:$D,'SRV_BY Techs'!$C112)</f>
        <v>24.456901709401706</v>
      </c>
      <c r="AJ112" s="489">
        <f>SUMIFS('Key Inputs_BY Techs'!AD:AD,'Key Inputs_BY Techs'!$A:$A,$L112,'Key Inputs_BY Techs'!$C:$C,'SRV_BY Techs'!$B112,'Key Inputs_BY Techs'!$D:$D,'SRV_BY Techs'!$C112)</f>
        <v>20.206133814102564</v>
      </c>
      <c r="AK112" s="489">
        <f>SUMIFS('Key Inputs_BY Techs'!AE:AE,'Key Inputs_BY Techs'!$A:$A,$L112,'Key Inputs_BY Techs'!$C:$C,'SRV_BY Techs'!$B112,'Key Inputs_BY Techs'!$D:$D,'SRV_BY Techs'!$C112)</f>
        <v>43.733990384615382</v>
      </c>
      <c r="AL112" s="489">
        <f>SUMIFS('Key Inputs_BY Techs'!AF:AF,'Key Inputs_BY Techs'!$A:$A,$L112,'Key Inputs_BY Techs'!$C:$C,'SRV_BY Techs'!$B112,'Key Inputs_BY Techs'!$D:$D,'SRV_BY Techs'!$C112)</f>
        <v>5.5223824786324789</v>
      </c>
      <c r="AM112" s="489">
        <f>SUMIFS('Key Inputs_BY Techs'!AG:AG,'Key Inputs_BY Techs'!$A:$A,$L112,'Key Inputs_BY Techs'!$C:$C,'SRV_BY Techs'!$B112,'Key Inputs_BY Techs'!$D:$D,'SRV_BY Techs'!$C112)</f>
        <v>1.4219551282051281</v>
      </c>
      <c r="AN112" s="489">
        <f>SUMIFS('Key Inputs_BY Techs'!AH:AH,'Key Inputs_BY Techs'!$A:$A,$L112,'Key Inputs_BY Techs'!$C:$C,'SRV_BY Techs'!$B112,'Key Inputs_BY Techs'!$D:$D,'SRV_BY Techs'!$C112)</f>
        <v>26.45807692307692</v>
      </c>
      <c r="AO112" s="489">
        <f>SUMIFS('Key Inputs_BY Techs'!AI:AI,'Key Inputs_BY Techs'!$A:$A,$L112,'Key Inputs_BY Techs'!$C:$C,'SRV_BY Techs'!$B112,'Key Inputs_BY Techs'!$D:$D,'SRV_BY Techs'!$C112)</f>
        <v>25.17102564102564</v>
      </c>
      <c r="AP112" s="489">
        <f>SUMIFS('Key Inputs_BY Techs'!AJ:AJ,'Key Inputs_BY Techs'!$A:$A,$L112,'Key Inputs_BY Techs'!$C:$C,'SRV_BY Techs'!$B112,'Key Inputs_BY Techs'!$D:$D,'SRV_BY Techs'!$C112)</f>
        <v>131.31304379969589</v>
      </c>
    </row>
    <row r="113" spans="1:42" x14ac:dyDescent="0.3">
      <c r="A113" s="499" t="str">
        <f>A68</f>
        <v>Other uses</v>
      </c>
      <c r="B113" s="499" t="str">
        <f>B68</f>
        <v>S-OTH</v>
      </c>
      <c r="C113" s="499"/>
      <c r="D113" s="499"/>
      <c r="E113" s="499" t="str">
        <f>E68</f>
        <v/>
      </c>
      <c r="F113" s="499"/>
      <c r="G113" s="499"/>
      <c r="I113" s="107" t="str">
        <f t="shared" si="30"/>
        <v>S-OTH_00</v>
      </c>
      <c r="J113" s="107" t="str">
        <f t="shared" si="30"/>
        <v>SRV Other uses</v>
      </c>
      <c r="K113" s="107"/>
      <c r="L113" s="107" t="s">
        <v>689</v>
      </c>
      <c r="M113" s="107" t="str">
        <f>'Key Inputs_BY Techs'!F99</f>
        <v>PJ-y</v>
      </c>
      <c r="N113" s="107"/>
      <c r="O113" s="489">
        <f>SUMIFS('Key Inputs_BY Techs'!I:I,'Key Inputs_BY Techs'!$A:$A,$L113,'Key Inputs_BY Techs'!$C:$C,'SRV_BY Techs'!$B113)</f>
        <v>0</v>
      </c>
      <c r="P113" s="489">
        <f>SUMIFS('Key Inputs_BY Techs'!J:J,'Key Inputs_BY Techs'!$A:$A,$L113,'Key Inputs_BY Techs'!$C:$C,'SRV_BY Techs'!$B113)</f>
        <v>0</v>
      </c>
      <c r="Q113" s="489">
        <f>SUMIFS('Key Inputs_BY Techs'!K:K,'Key Inputs_BY Techs'!$A:$A,$L113,'Key Inputs_BY Techs'!$C:$C,'SRV_BY Techs'!$B113)</f>
        <v>0</v>
      </c>
      <c r="R113" s="489">
        <f>SUMIFS('Key Inputs_BY Techs'!L:L,'Key Inputs_BY Techs'!$A:$A,$L113,'Key Inputs_BY Techs'!$C:$C,'SRV_BY Techs'!$B113)</f>
        <v>0</v>
      </c>
      <c r="S113" s="489">
        <f>SUMIFS('Key Inputs_BY Techs'!M:M,'Key Inputs_BY Techs'!$A:$A,$L113,'Key Inputs_BY Techs'!$C:$C,'SRV_BY Techs'!$B113)</f>
        <v>0</v>
      </c>
      <c r="T113" s="489">
        <f>SUMIFS('Key Inputs_BY Techs'!N:N,'Key Inputs_BY Techs'!$A:$A,$L113,'Key Inputs_BY Techs'!$C:$C,'SRV_BY Techs'!$B113)</f>
        <v>0</v>
      </c>
      <c r="U113" s="489">
        <f>SUMIFS('Key Inputs_BY Techs'!O:O,'Key Inputs_BY Techs'!$A:$A,$L113,'Key Inputs_BY Techs'!$C:$C,'SRV_BY Techs'!$B113)</f>
        <v>0</v>
      </c>
      <c r="V113" s="489">
        <f>SUMIFS('Key Inputs_BY Techs'!P:P,'Key Inputs_BY Techs'!$A:$A,$L113,'Key Inputs_BY Techs'!$C:$C,'SRV_BY Techs'!$B113)</f>
        <v>0</v>
      </c>
      <c r="W113" s="489">
        <f>SUMIFS('Key Inputs_BY Techs'!Q:Q,'Key Inputs_BY Techs'!$A:$A,$L113,'Key Inputs_BY Techs'!$C:$C,'SRV_BY Techs'!$B113)</f>
        <v>0</v>
      </c>
      <c r="X113" s="489">
        <f>SUMIFS('Key Inputs_BY Techs'!R:R,'Key Inputs_BY Techs'!$A:$A,$L113,'Key Inputs_BY Techs'!$C:$C,'SRV_BY Techs'!$B113)</f>
        <v>56.872200000000007</v>
      </c>
      <c r="Y113" s="489">
        <f>SUMIFS('Key Inputs_BY Techs'!S:S,'Key Inputs_BY Techs'!$A:$A,$L113,'Key Inputs_BY Techs'!$C:$C,'SRV_BY Techs'!$B113)</f>
        <v>0</v>
      </c>
      <c r="Z113" s="489">
        <f>SUMIFS('Key Inputs_BY Techs'!T:T,'Key Inputs_BY Techs'!$A:$A,$L113,'Key Inputs_BY Techs'!$C:$C,'SRV_BY Techs'!$B113)</f>
        <v>0</v>
      </c>
      <c r="AA113" s="489">
        <f>SUMIFS('Key Inputs_BY Techs'!U:U,'Key Inputs_BY Techs'!$A:$A,$L113,'Key Inputs_BY Techs'!$C:$C,'SRV_BY Techs'!$B113)</f>
        <v>0</v>
      </c>
      <c r="AB113" s="489">
        <f>SUMIFS('Key Inputs_BY Techs'!V:V,'Key Inputs_BY Techs'!$A:$A,$L113,'Key Inputs_BY Techs'!$C:$C,'SRV_BY Techs'!$B113)</f>
        <v>0</v>
      </c>
      <c r="AC113" s="489">
        <f>SUMIFS('Key Inputs_BY Techs'!W:W,'Key Inputs_BY Techs'!$A:$A,$L113,'Key Inputs_BY Techs'!$C:$C,'SRV_BY Techs'!$B113)</f>
        <v>0</v>
      </c>
      <c r="AD113" s="489">
        <f>SUMIFS('Key Inputs_BY Techs'!X:X,'Key Inputs_BY Techs'!$A:$A,$L113,'Key Inputs_BY Techs'!$C:$C,'SRV_BY Techs'!$B113)</f>
        <v>0</v>
      </c>
      <c r="AE113" s="489">
        <f>SUMIFS('Key Inputs_BY Techs'!Y:Y,'Key Inputs_BY Techs'!$A:$A,$L113,'Key Inputs_BY Techs'!$C:$C,'SRV_BY Techs'!$B113)</f>
        <v>0</v>
      </c>
      <c r="AF113" s="489">
        <f>SUMIFS('Key Inputs_BY Techs'!Z:Z,'Key Inputs_BY Techs'!$A:$A,$L113,'Key Inputs_BY Techs'!$C:$C,'SRV_BY Techs'!$B113)</f>
        <v>0</v>
      </c>
      <c r="AG113" s="489">
        <f>SUMIFS('Key Inputs_BY Techs'!AA:AA,'Key Inputs_BY Techs'!$A:$A,$L113,'Key Inputs_BY Techs'!$C:$C,'SRV_BY Techs'!$B113)</f>
        <v>0</v>
      </c>
      <c r="AH113" s="489">
        <f>SUMIFS('Key Inputs_BY Techs'!AB:AB,'Key Inputs_BY Techs'!$A:$A,$L113,'Key Inputs_BY Techs'!$C:$C,'SRV_BY Techs'!$B113)</f>
        <v>79.77788000000001</v>
      </c>
      <c r="AI113" s="489">
        <f>SUMIFS('Key Inputs_BY Techs'!AC:AC,'Key Inputs_BY Techs'!$A:$A,$L113,'Key Inputs_BY Techs'!$C:$C,'SRV_BY Techs'!$B113)</f>
        <v>0</v>
      </c>
      <c r="AJ113" s="489">
        <f>SUMIFS('Key Inputs_BY Techs'!AD:AD,'Key Inputs_BY Techs'!$A:$A,$L113,'Key Inputs_BY Techs'!$C:$C,'SRV_BY Techs'!$B113)</f>
        <v>0</v>
      </c>
      <c r="AK113" s="489">
        <f>SUMIFS('Key Inputs_BY Techs'!AE:AE,'Key Inputs_BY Techs'!$A:$A,$L113,'Key Inputs_BY Techs'!$C:$C,'SRV_BY Techs'!$B113)</f>
        <v>0</v>
      </c>
      <c r="AL113" s="489">
        <f>SUMIFS('Key Inputs_BY Techs'!AF:AF,'Key Inputs_BY Techs'!$A:$A,$L113,'Key Inputs_BY Techs'!$C:$C,'SRV_BY Techs'!$B113)</f>
        <v>0</v>
      </c>
      <c r="AM113" s="489">
        <f>SUMIFS('Key Inputs_BY Techs'!AG:AG,'Key Inputs_BY Techs'!$A:$A,$L113,'Key Inputs_BY Techs'!$C:$C,'SRV_BY Techs'!$B113)</f>
        <v>0</v>
      </c>
      <c r="AN113" s="489">
        <f>SUMIFS('Key Inputs_BY Techs'!AH:AH,'Key Inputs_BY Techs'!$A:$A,$L113,'Key Inputs_BY Techs'!$C:$C,'SRV_BY Techs'!$B113)</f>
        <v>0</v>
      </c>
      <c r="AO113" s="489">
        <f>SUMIFS('Key Inputs_BY Techs'!AI:AI,'Key Inputs_BY Techs'!$A:$A,$L113,'Key Inputs_BY Techs'!$C:$C,'SRV_BY Techs'!$B113)</f>
        <v>0</v>
      </c>
      <c r="AP113" s="489">
        <f>SUMIFS('Key Inputs_BY Techs'!AJ:AJ,'Key Inputs_BY Techs'!$A:$A,$L113,'Key Inputs_BY Techs'!$C:$C,'SRV_BY Techs'!$B113)</f>
        <v>761.53464617891655</v>
      </c>
    </row>
    <row r="114" spans="1:42" ht="13.95" customHeight="1" x14ac:dyDescent="0.3">
      <c r="A114" s="499"/>
      <c r="B114" s="499"/>
      <c r="C114" s="499"/>
      <c r="D114" s="499"/>
      <c r="E114" s="499"/>
      <c r="F114" s="499"/>
      <c r="G114" s="499"/>
      <c r="I114" s="112" t="str">
        <f>"*"&amp;L115</f>
        <v>*Share-I</v>
      </c>
    </row>
    <row r="115" spans="1:42" x14ac:dyDescent="0.3">
      <c r="A115" s="499"/>
      <c r="B115" s="499"/>
      <c r="C115" s="499"/>
      <c r="D115" s="499" t="str">
        <f>D10</f>
        <v>SRVGAS, SRVBGS</v>
      </c>
      <c r="E115" s="499"/>
      <c r="F115" s="499"/>
      <c r="G115" s="499"/>
      <c r="I115" s="351" t="str">
        <f>I10</f>
        <v>S-TH-HPA_GAS00</v>
      </c>
      <c r="J115" s="351" t="str">
        <f>J10</f>
        <v>SRV Thermal uses technology: Natural gas, Biogas - Existing</v>
      </c>
      <c r="K115" s="351" t="str">
        <f>RIGHT(D115,6)</f>
        <v>SRVBGS</v>
      </c>
      <c r="L115" s="347" t="s">
        <v>190</v>
      </c>
      <c r="M115" s="347" t="s">
        <v>154</v>
      </c>
      <c r="N115" s="494" t="s">
        <v>656</v>
      </c>
      <c r="O115" s="491">
        <f>'Key Inputs_BY Techs'!I$145</f>
        <v>0</v>
      </c>
      <c r="P115" s="491">
        <f>'Key Inputs_BY Techs'!J$145</f>
        <v>0</v>
      </c>
      <c r="Q115" s="491">
        <f>'Key Inputs_BY Techs'!K$145</f>
        <v>0</v>
      </c>
      <c r="R115" s="491">
        <f>'Key Inputs_BY Techs'!L$145</f>
        <v>0</v>
      </c>
      <c r="S115" s="491">
        <f>'Key Inputs_BY Techs'!M$145</f>
        <v>9.6467193047876897E-3</v>
      </c>
      <c r="T115" s="491">
        <f>'Key Inputs_BY Techs'!N$145</f>
        <v>0</v>
      </c>
      <c r="U115" s="491">
        <f>'Key Inputs_BY Techs'!O$145</f>
        <v>0</v>
      </c>
      <c r="V115" s="491">
        <f>'Key Inputs_BY Techs'!P$145</f>
        <v>1.5037593984962407E-3</v>
      </c>
      <c r="W115" s="491">
        <f>'Key Inputs_BY Techs'!Q$145</f>
        <v>0</v>
      </c>
      <c r="X115" s="491">
        <f>'Key Inputs_BY Techs'!R$145</f>
        <v>1.0766151758865201E-3</v>
      </c>
      <c r="Y115" s="491">
        <f>'Key Inputs_BY Techs'!S$145</f>
        <v>5.3628724216959509E-2</v>
      </c>
      <c r="Z115" s="491">
        <f>'Key Inputs_BY Techs'!T$145</f>
        <v>0</v>
      </c>
      <c r="AA115" s="491">
        <f>'Key Inputs_BY Techs'!U$145</f>
        <v>1.0693647562054003E-3</v>
      </c>
      <c r="AB115" s="491">
        <f>'Key Inputs_BY Techs'!V$145</f>
        <v>7.0661847996116292E-3</v>
      </c>
      <c r="AC115" s="491">
        <f>'Key Inputs_BY Techs'!W$145</f>
        <v>1.4149992550329102E-2</v>
      </c>
      <c r="AD115" s="491">
        <f>'Key Inputs_BY Techs'!X$145</f>
        <v>1.0317516311399728E-2</v>
      </c>
      <c r="AE115" s="491">
        <f>'Key Inputs_BY Techs'!Y$145</f>
        <v>2.0930983337444909E-2</v>
      </c>
      <c r="AF115" s="491">
        <f>'Key Inputs_BY Techs'!Z$145</f>
        <v>0</v>
      </c>
      <c r="AG115" s="491">
        <f>'Key Inputs_BY Techs'!AA$145</f>
        <v>0</v>
      </c>
      <c r="AH115" s="491">
        <f>'Key Inputs_BY Techs'!AB$145</f>
        <v>0</v>
      </c>
      <c r="AI115" s="491">
        <f>'Key Inputs_BY Techs'!AC$145</f>
        <v>0</v>
      </c>
      <c r="AJ115" s="491">
        <f>'Key Inputs_BY Techs'!AD$145</f>
        <v>0</v>
      </c>
      <c r="AK115" s="491">
        <f>'Key Inputs_BY Techs'!AE$145</f>
        <v>0</v>
      </c>
      <c r="AL115" s="491">
        <f>'Key Inputs_BY Techs'!AF$145</f>
        <v>0</v>
      </c>
      <c r="AM115" s="491">
        <f>'Key Inputs_BY Techs'!AG$145</f>
        <v>0</v>
      </c>
      <c r="AN115" s="491">
        <f>'Key Inputs_BY Techs'!AH$145</f>
        <v>0</v>
      </c>
      <c r="AO115" s="491">
        <f>'Key Inputs_BY Techs'!AI$145</f>
        <v>5.6844506219038459E-3</v>
      </c>
      <c r="AP115" s="491">
        <f>'Key Inputs_BY Techs'!AJ$145</f>
        <v>6.6155224054639838E-4</v>
      </c>
    </row>
    <row r="116" spans="1:42" x14ac:dyDescent="0.3">
      <c r="A116" s="499"/>
      <c r="B116" s="499"/>
      <c r="C116" s="499"/>
      <c r="D116" s="499" t="str">
        <f>D14</f>
        <v>SRVOIL, SRVBLQ</v>
      </c>
      <c r="E116" s="499"/>
      <c r="F116" s="499"/>
      <c r="G116" s="499"/>
      <c r="I116" s="103" t="str">
        <f>I14</f>
        <v>S-TH-BLR_OIL00</v>
      </c>
      <c r="J116" s="103" t="str">
        <f>J14</f>
        <v>SRV Thermal uses technology: Oil, Liquid biofuels - Existing</v>
      </c>
      <c r="K116" s="103" t="str">
        <f t="shared" ref="K116:K119" si="31">RIGHT(D116,6)</f>
        <v>SRVBLQ</v>
      </c>
      <c r="L116" s="109" t="s">
        <v>190</v>
      </c>
      <c r="M116" s="109" t="s">
        <v>154</v>
      </c>
      <c r="N116" s="109" t="s">
        <v>656</v>
      </c>
      <c r="O116" s="492">
        <f>'Key Inputs_BY Techs'!I$146</f>
        <v>0</v>
      </c>
      <c r="P116" s="492">
        <f>'Key Inputs_BY Techs'!J$146</f>
        <v>0</v>
      </c>
      <c r="Q116" s="492">
        <f>'Key Inputs_BY Techs'!K$146</f>
        <v>0</v>
      </c>
      <c r="R116" s="492">
        <f>'Key Inputs_BY Techs'!L$146</f>
        <v>0</v>
      </c>
      <c r="S116" s="492">
        <f>'Key Inputs_BY Techs'!M$146</f>
        <v>0</v>
      </c>
      <c r="T116" s="492">
        <f>'Key Inputs_BY Techs'!N$146</f>
        <v>0</v>
      </c>
      <c r="U116" s="492">
        <f>'Key Inputs_BY Techs'!O$146</f>
        <v>0</v>
      </c>
      <c r="V116" s="492">
        <f>'Key Inputs_BY Techs'!P$146</f>
        <v>0</v>
      </c>
      <c r="W116" s="492">
        <f>'Key Inputs_BY Techs'!Q$146</f>
        <v>6.408655846858094E-2</v>
      </c>
      <c r="X116" s="492">
        <f>'Key Inputs_BY Techs'!R$146</f>
        <v>0</v>
      </c>
      <c r="Y116" s="492">
        <f>'Key Inputs_BY Techs'!S$146</f>
        <v>0</v>
      </c>
      <c r="Z116" s="492">
        <f>'Key Inputs_BY Techs'!T$146</f>
        <v>0</v>
      </c>
      <c r="AA116" s="492">
        <f>'Key Inputs_BY Techs'!U$146</f>
        <v>0</v>
      </c>
      <c r="AB116" s="492">
        <f>'Key Inputs_BY Techs'!V$146</f>
        <v>8.6624336241023549E-6</v>
      </c>
      <c r="AC116" s="492">
        <f>'Key Inputs_BY Techs'!W$146</f>
        <v>1.2305493807557954E-3</v>
      </c>
      <c r="AD116" s="492">
        <f>'Key Inputs_BY Techs'!X$146</f>
        <v>8.9283861820948166E-3</v>
      </c>
      <c r="AE116" s="492">
        <f>'Key Inputs_BY Techs'!Y$146</f>
        <v>1.329976081919426E-2</v>
      </c>
      <c r="AF116" s="492">
        <f>'Key Inputs_BY Techs'!Z$146</f>
        <v>2.7274873023227352E-2</v>
      </c>
      <c r="AG116" s="492">
        <f>'Key Inputs_BY Techs'!AA$146</f>
        <v>0</v>
      </c>
      <c r="AH116" s="492">
        <f>'Key Inputs_BY Techs'!AB$146</f>
        <v>0</v>
      </c>
      <c r="AI116" s="492">
        <f>'Key Inputs_BY Techs'!AC$146</f>
        <v>6.1743846474760118E-3</v>
      </c>
      <c r="AJ116" s="492">
        <f>'Key Inputs_BY Techs'!AD$146</f>
        <v>0</v>
      </c>
      <c r="AK116" s="492">
        <f>'Key Inputs_BY Techs'!AE$146</f>
        <v>0</v>
      </c>
      <c r="AL116" s="492">
        <f>'Key Inputs_BY Techs'!AF$146</f>
        <v>0</v>
      </c>
      <c r="AM116" s="492">
        <f>'Key Inputs_BY Techs'!AG$146</f>
        <v>0</v>
      </c>
      <c r="AN116" s="492">
        <f>'Key Inputs_BY Techs'!AH$146</f>
        <v>0</v>
      </c>
      <c r="AO116" s="492">
        <f>'Key Inputs_BY Techs'!AI$146</f>
        <v>0</v>
      </c>
      <c r="AP116" s="492">
        <f>'Key Inputs_BY Techs'!AJ$146</f>
        <v>1.6365829673500833E-2</v>
      </c>
    </row>
    <row r="117" spans="1:42" x14ac:dyDescent="0.3">
      <c r="A117" s="499"/>
      <c r="B117" s="499"/>
      <c r="C117" s="499"/>
      <c r="D117" s="499" t="str">
        <f>D16</f>
        <v>SRVGAS, SRVBGS</v>
      </c>
      <c r="E117" s="499"/>
      <c r="F117" s="499"/>
      <c r="G117" s="499"/>
      <c r="I117" s="103" t="str">
        <f>I16</f>
        <v>S-AC_GAS00</v>
      </c>
      <c r="J117" s="103" t="str">
        <f>J16</f>
        <v>SRV Air conditioning technology: Natural gas, Biogas - Existing</v>
      </c>
      <c r="K117" s="103" t="str">
        <f>RIGHT(D117,6)</f>
        <v>SRVBGS</v>
      </c>
      <c r="L117" s="109" t="s">
        <v>190</v>
      </c>
      <c r="M117" s="109" t="s">
        <v>154</v>
      </c>
      <c r="N117" s="109" t="s">
        <v>656</v>
      </c>
      <c r="O117" s="492">
        <f>'Key Inputs_BY Techs'!I$145</f>
        <v>0</v>
      </c>
      <c r="P117" s="492">
        <f>'Key Inputs_BY Techs'!J$145</f>
        <v>0</v>
      </c>
      <c r="Q117" s="492">
        <f>'Key Inputs_BY Techs'!K$145</f>
        <v>0</v>
      </c>
      <c r="R117" s="492">
        <f>'Key Inputs_BY Techs'!L$145</f>
        <v>0</v>
      </c>
      <c r="S117" s="492">
        <f>'Key Inputs_BY Techs'!M$145</f>
        <v>9.6467193047876897E-3</v>
      </c>
      <c r="T117" s="492">
        <f>'Key Inputs_BY Techs'!N$145</f>
        <v>0</v>
      </c>
      <c r="U117" s="492">
        <f>'Key Inputs_BY Techs'!O$145</f>
        <v>0</v>
      </c>
      <c r="V117" s="492">
        <f>'Key Inputs_BY Techs'!P$145</f>
        <v>1.5037593984962407E-3</v>
      </c>
      <c r="W117" s="492">
        <f>'Key Inputs_BY Techs'!Q$145</f>
        <v>0</v>
      </c>
      <c r="X117" s="492">
        <f>'Key Inputs_BY Techs'!R$145</f>
        <v>1.0766151758865201E-3</v>
      </c>
      <c r="Y117" s="492">
        <f>'Key Inputs_BY Techs'!S$145</f>
        <v>5.3628724216959509E-2</v>
      </c>
      <c r="Z117" s="492">
        <f>'Key Inputs_BY Techs'!T$145</f>
        <v>0</v>
      </c>
      <c r="AA117" s="492">
        <f>'Key Inputs_BY Techs'!U$145</f>
        <v>1.0693647562054003E-3</v>
      </c>
      <c r="AB117" s="492">
        <f>'Key Inputs_BY Techs'!V$145</f>
        <v>7.0661847996116292E-3</v>
      </c>
      <c r="AC117" s="492">
        <f>'Key Inputs_BY Techs'!W$145</f>
        <v>1.4149992550329102E-2</v>
      </c>
      <c r="AD117" s="492">
        <f>'Key Inputs_BY Techs'!X$145</f>
        <v>1.0317516311399728E-2</v>
      </c>
      <c r="AE117" s="492">
        <f>'Key Inputs_BY Techs'!Y$145</f>
        <v>2.0930983337444909E-2</v>
      </c>
      <c r="AF117" s="492">
        <f>'Key Inputs_BY Techs'!Z$145</f>
        <v>0</v>
      </c>
      <c r="AG117" s="492">
        <f>'Key Inputs_BY Techs'!AA$145</f>
        <v>0</v>
      </c>
      <c r="AH117" s="492">
        <f>'Key Inputs_BY Techs'!AB$145</f>
        <v>0</v>
      </c>
      <c r="AI117" s="492">
        <f>'Key Inputs_BY Techs'!AC$145</f>
        <v>0</v>
      </c>
      <c r="AJ117" s="492">
        <f>'Key Inputs_BY Techs'!AD$145</f>
        <v>0</v>
      </c>
      <c r="AK117" s="492">
        <f>'Key Inputs_BY Techs'!AE$145</f>
        <v>0</v>
      </c>
      <c r="AL117" s="492">
        <f>'Key Inputs_BY Techs'!AF$145</f>
        <v>0</v>
      </c>
      <c r="AM117" s="492">
        <f>'Key Inputs_BY Techs'!AG$145</f>
        <v>0</v>
      </c>
      <c r="AN117" s="492">
        <f>'Key Inputs_BY Techs'!AH$145</f>
        <v>0</v>
      </c>
      <c r="AO117" s="492">
        <f>'Key Inputs_BY Techs'!AI$145</f>
        <v>5.6844506219038459E-3</v>
      </c>
      <c r="AP117" s="492">
        <f>'Key Inputs_BY Techs'!AJ$145</f>
        <v>6.6155224054639838E-4</v>
      </c>
    </row>
    <row r="118" spans="1:42" x14ac:dyDescent="0.3">
      <c r="A118" s="499"/>
      <c r="B118" s="499"/>
      <c r="C118" s="499"/>
      <c r="D118" s="499" t="str">
        <f>D21</f>
        <v>SRVGAS, SRVBGS</v>
      </c>
      <c r="E118" s="499"/>
      <c r="F118" s="499"/>
      <c r="G118" s="499"/>
      <c r="I118" s="103" t="str">
        <f>I21</f>
        <v>S-CK_GAS00</v>
      </c>
      <c r="J118" s="103" t="str">
        <f>J21</f>
        <v>SRV Cooking technology: Natural gas, Biogas - Existing</v>
      </c>
      <c r="K118" s="103" t="str">
        <f t="shared" si="31"/>
        <v>SRVBGS</v>
      </c>
      <c r="L118" s="109" t="s">
        <v>190</v>
      </c>
      <c r="M118" s="109" t="s">
        <v>154</v>
      </c>
      <c r="N118" s="109" t="s">
        <v>656</v>
      </c>
      <c r="O118" s="492">
        <f>'Key Inputs_BY Techs'!I$145</f>
        <v>0</v>
      </c>
      <c r="P118" s="492">
        <f>'Key Inputs_BY Techs'!J$145</f>
        <v>0</v>
      </c>
      <c r="Q118" s="492">
        <f>'Key Inputs_BY Techs'!K$145</f>
        <v>0</v>
      </c>
      <c r="R118" s="492">
        <f>'Key Inputs_BY Techs'!L$145</f>
        <v>0</v>
      </c>
      <c r="S118" s="492">
        <f>'Key Inputs_BY Techs'!M$145</f>
        <v>9.6467193047876897E-3</v>
      </c>
      <c r="T118" s="492">
        <f>'Key Inputs_BY Techs'!N$145</f>
        <v>0</v>
      </c>
      <c r="U118" s="492">
        <f>'Key Inputs_BY Techs'!O$145</f>
        <v>0</v>
      </c>
      <c r="V118" s="492">
        <f>'Key Inputs_BY Techs'!P$145</f>
        <v>1.5037593984962407E-3</v>
      </c>
      <c r="W118" s="492">
        <f>'Key Inputs_BY Techs'!Q$145</f>
        <v>0</v>
      </c>
      <c r="X118" s="492">
        <f>'Key Inputs_BY Techs'!R$145</f>
        <v>1.0766151758865201E-3</v>
      </c>
      <c r="Y118" s="492">
        <f>'Key Inputs_BY Techs'!S$145</f>
        <v>5.3628724216959509E-2</v>
      </c>
      <c r="Z118" s="492">
        <f>'Key Inputs_BY Techs'!T$145</f>
        <v>0</v>
      </c>
      <c r="AA118" s="492">
        <f>'Key Inputs_BY Techs'!U$145</f>
        <v>1.0693647562054003E-3</v>
      </c>
      <c r="AB118" s="492">
        <f>'Key Inputs_BY Techs'!V$145</f>
        <v>7.0661847996116292E-3</v>
      </c>
      <c r="AC118" s="492">
        <f>'Key Inputs_BY Techs'!W$145</f>
        <v>1.4149992550329102E-2</v>
      </c>
      <c r="AD118" s="492">
        <f>'Key Inputs_BY Techs'!X$145</f>
        <v>1.0317516311399728E-2</v>
      </c>
      <c r="AE118" s="492">
        <f>'Key Inputs_BY Techs'!Y$145</f>
        <v>2.0930983337444909E-2</v>
      </c>
      <c r="AF118" s="492">
        <f>'Key Inputs_BY Techs'!Z$145</f>
        <v>0</v>
      </c>
      <c r="AG118" s="492">
        <f>'Key Inputs_BY Techs'!AA$145</f>
        <v>0</v>
      </c>
      <c r="AH118" s="492">
        <f>'Key Inputs_BY Techs'!AB$145</f>
        <v>0</v>
      </c>
      <c r="AI118" s="492">
        <f>'Key Inputs_BY Techs'!AC$145</f>
        <v>0</v>
      </c>
      <c r="AJ118" s="492">
        <f>'Key Inputs_BY Techs'!AD$145</f>
        <v>0</v>
      </c>
      <c r="AK118" s="492">
        <f>'Key Inputs_BY Techs'!AE$145</f>
        <v>0</v>
      </c>
      <c r="AL118" s="492">
        <f>'Key Inputs_BY Techs'!AF$145</f>
        <v>0</v>
      </c>
      <c r="AM118" s="492">
        <f>'Key Inputs_BY Techs'!AG$145</f>
        <v>0</v>
      </c>
      <c r="AN118" s="492">
        <f>'Key Inputs_BY Techs'!AH$145</f>
        <v>0</v>
      </c>
      <c r="AO118" s="492">
        <f>'Key Inputs_BY Techs'!AI$145</f>
        <v>5.6844506219038459E-3</v>
      </c>
      <c r="AP118" s="492">
        <f>'Key Inputs_BY Techs'!AJ$145</f>
        <v>6.6155224054639838E-4</v>
      </c>
    </row>
    <row r="119" spans="1:42" x14ac:dyDescent="0.3">
      <c r="A119" s="499"/>
      <c r="B119" s="499"/>
      <c r="C119" s="499"/>
      <c r="D119" s="499" t="str">
        <f>D23</f>
        <v>SRVOIL, SRVBLQ</v>
      </c>
      <c r="E119" s="499"/>
      <c r="F119" s="499"/>
      <c r="G119" s="499"/>
      <c r="I119" s="106" t="str">
        <f>I23</f>
        <v>S-CK_OIL00</v>
      </c>
      <c r="J119" s="106" t="str">
        <f>J23</f>
        <v>SRV Cooking technology: Oil, Liquid biofuels - Existing</v>
      </c>
      <c r="K119" s="106" t="str">
        <f t="shared" si="31"/>
        <v>SRVBLQ</v>
      </c>
      <c r="L119" s="171" t="s">
        <v>190</v>
      </c>
      <c r="M119" s="171" t="s">
        <v>154</v>
      </c>
      <c r="N119" s="171" t="s">
        <v>656</v>
      </c>
      <c r="O119" s="493">
        <f>'Key Inputs_BY Techs'!I$146</f>
        <v>0</v>
      </c>
      <c r="P119" s="493">
        <f>'Key Inputs_BY Techs'!J$146</f>
        <v>0</v>
      </c>
      <c r="Q119" s="493">
        <f>'Key Inputs_BY Techs'!K$146</f>
        <v>0</v>
      </c>
      <c r="R119" s="493">
        <f>'Key Inputs_BY Techs'!L$146</f>
        <v>0</v>
      </c>
      <c r="S119" s="493">
        <f>'Key Inputs_BY Techs'!M$146</f>
        <v>0</v>
      </c>
      <c r="T119" s="493">
        <f>'Key Inputs_BY Techs'!N$146</f>
        <v>0</v>
      </c>
      <c r="U119" s="493">
        <f>'Key Inputs_BY Techs'!O$146</f>
        <v>0</v>
      </c>
      <c r="V119" s="493">
        <f>'Key Inputs_BY Techs'!P$146</f>
        <v>0</v>
      </c>
      <c r="W119" s="493">
        <f>'Key Inputs_BY Techs'!Q$146</f>
        <v>6.408655846858094E-2</v>
      </c>
      <c r="X119" s="493">
        <f>'Key Inputs_BY Techs'!R$146</f>
        <v>0</v>
      </c>
      <c r="Y119" s="493">
        <f>'Key Inputs_BY Techs'!S$146</f>
        <v>0</v>
      </c>
      <c r="Z119" s="493">
        <f>'Key Inputs_BY Techs'!T$146</f>
        <v>0</v>
      </c>
      <c r="AA119" s="493">
        <f>'Key Inputs_BY Techs'!U$146</f>
        <v>0</v>
      </c>
      <c r="AB119" s="493">
        <f>'Key Inputs_BY Techs'!V$146</f>
        <v>8.6624336241023549E-6</v>
      </c>
      <c r="AC119" s="493">
        <f>'Key Inputs_BY Techs'!W$146</f>
        <v>1.2305493807557954E-3</v>
      </c>
      <c r="AD119" s="493">
        <f>'Key Inputs_BY Techs'!X$146</f>
        <v>8.9283861820948166E-3</v>
      </c>
      <c r="AE119" s="493">
        <f>'Key Inputs_BY Techs'!Y$146</f>
        <v>1.329976081919426E-2</v>
      </c>
      <c r="AF119" s="493">
        <f>'Key Inputs_BY Techs'!Z$146</f>
        <v>2.7274873023227352E-2</v>
      </c>
      <c r="AG119" s="493">
        <f>'Key Inputs_BY Techs'!AA$146</f>
        <v>0</v>
      </c>
      <c r="AH119" s="493">
        <f>'Key Inputs_BY Techs'!AB$146</f>
        <v>0</v>
      </c>
      <c r="AI119" s="493">
        <f>'Key Inputs_BY Techs'!AC$146</f>
        <v>6.1743846474760118E-3</v>
      </c>
      <c r="AJ119" s="493">
        <f>'Key Inputs_BY Techs'!AD$146</f>
        <v>0</v>
      </c>
      <c r="AK119" s="493">
        <f>'Key Inputs_BY Techs'!AE$146</f>
        <v>0</v>
      </c>
      <c r="AL119" s="493">
        <f>'Key Inputs_BY Techs'!AF$146</f>
        <v>0</v>
      </c>
      <c r="AM119" s="493">
        <f>'Key Inputs_BY Techs'!AG$146</f>
        <v>0</v>
      </c>
      <c r="AN119" s="493">
        <f>'Key Inputs_BY Techs'!AH$146</f>
        <v>0</v>
      </c>
      <c r="AO119" s="493">
        <f>'Key Inputs_BY Techs'!AI$146</f>
        <v>0</v>
      </c>
      <c r="AP119" s="493">
        <f>'Key Inputs_BY Techs'!AJ$146</f>
        <v>1.6365829673500833E-2</v>
      </c>
    </row>
    <row r="120" spans="1:42" x14ac:dyDescent="0.3">
      <c r="A120" s="499"/>
      <c r="B120" s="499"/>
      <c r="C120" s="499"/>
      <c r="D120" s="499" t="str">
        <f>D6</f>
        <v>SRVBIO, SRVWAS</v>
      </c>
      <c r="E120" s="499"/>
      <c r="F120" s="499"/>
      <c r="G120" s="499"/>
      <c r="I120" s="106" t="str">
        <f>I6</f>
        <v>S-TH-STV_BIO00</v>
      </c>
      <c r="J120" s="106" t="str">
        <f>J6</f>
        <v>SRV Thermal uses technology: Biomass, Waste - Existing</v>
      </c>
      <c r="K120" s="106" t="str">
        <f t="shared" ref="K120" si="32">RIGHT(D120,6)</f>
        <v>SRVWAS</v>
      </c>
      <c r="L120" s="171" t="s">
        <v>190</v>
      </c>
      <c r="M120" s="171" t="s">
        <v>154</v>
      </c>
      <c r="N120" s="171" t="s">
        <v>656</v>
      </c>
      <c r="O120" s="593">
        <f>'Key Inputs_BY Techs'!I$147</f>
        <v>0</v>
      </c>
      <c r="P120" s="493">
        <f>'Key Inputs_BY Techs'!J$147</f>
        <v>0</v>
      </c>
      <c r="Q120" s="493">
        <f>'Key Inputs_BY Techs'!K$147</f>
        <v>0</v>
      </c>
      <c r="R120" s="493">
        <f>'Key Inputs_BY Techs'!L$147</f>
        <v>0</v>
      </c>
      <c r="S120" s="493">
        <f>'Key Inputs_BY Techs'!M$147</f>
        <v>0</v>
      </c>
      <c r="T120" s="493">
        <f>'Key Inputs_BY Techs'!N$147</f>
        <v>0</v>
      </c>
      <c r="U120" s="493">
        <f>'Key Inputs_BY Techs'!O$147</f>
        <v>0</v>
      </c>
      <c r="V120" s="493">
        <f>'Key Inputs_BY Techs'!P$147</f>
        <v>0</v>
      </c>
      <c r="W120" s="493">
        <f>'Key Inputs_BY Techs'!Q$147</f>
        <v>0</v>
      </c>
      <c r="X120" s="493">
        <f>'Key Inputs_BY Techs'!R$147</f>
        <v>0</v>
      </c>
      <c r="Y120" s="493">
        <f>'Key Inputs_BY Techs'!S$147</f>
        <v>0</v>
      </c>
      <c r="Z120" s="493">
        <f>'Key Inputs_BY Techs'!T$147</f>
        <v>0</v>
      </c>
      <c r="AA120" s="493">
        <f>'Key Inputs_BY Techs'!U$147</f>
        <v>0</v>
      </c>
      <c r="AB120" s="493">
        <f>'Key Inputs_BY Techs'!V$147</f>
        <v>0.26166240269990743</v>
      </c>
      <c r="AC120" s="493">
        <f>'Key Inputs_BY Techs'!W$147</f>
        <v>9.2936935650808392E-2</v>
      </c>
      <c r="AD120" s="493">
        <f>'Key Inputs_BY Techs'!X$147</f>
        <v>0.17327659574468085</v>
      </c>
      <c r="AE120" s="493">
        <f>'Key Inputs_BY Techs'!Y$147</f>
        <v>4.7897262742568815E-2</v>
      </c>
      <c r="AF120" s="493">
        <f>'Key Inputs_BY Techs'!Z$147</f>
        <v>0</v>
      </c>
      <c r="AG120" s="493">
        <f>'Key Inputs_BY Techs'!AA$147</f>
        <v>0</v>
      </c>
      <c r="AH120" s="493">
        <f>'Key Inputs_BY Techs'!AB$147</f>
        <v>0.13095516837683352</v>
      </c>
      <c r="AI120" s="493">
        <f>'Key Inputs_BY Techs'!AC$147</f>
        <v>0</v>
      </c>
      <c r="AJ120" s="493">
        <f>'Key Inputs_BY Techs'!AD$147</f>
        <v>0</v>
      </c>
      <c r="AK120" s="493">
        <f>'Key Inputs_BY Techs'!AE$147</f>
        <v>0</v>
      </c>
      <c r="AL120" s="493">
        <f>'Key Inputs_BY Techs'!AF$147</f>
        <v>0</v>
      </c>
      <c r="AM120" s="493">
        <f>'Key Inputs_BY Techs'!AG$147</f>
        <v>0</v>
      </c>
      <c r="AN120" s="493">
        <f>'Key Inputs_BY Techs'!AH$147</f>
        <v>6.163113028616686E-2</v>
      </c>
      <c r="AO120" s="493">
        <f>'Key Inputs_BY Techs'!AI$147</f>
        <v>0.90012709880259556</v>
      </c>
      <c r="AP120" s="493">
        <f>'Key Inputs_BY Techs'!AJ$147</f>
        <v>0.10216314829293718</v>
      </c>
    </row>
    <row r="121" spans="1:42" x14ac:dyDescent="0.3">
      <c r="A121" s="499" t="str">
        <f>$A$28</f>
        <v>Other uses</v>
      </c>
      <c r="B121" s="499" t="str">
        <f>$B$28</f>
        <v>S-OTH</v>
      </c>
      <c r="C121" s="499"/>
      <c r="D121" s="499"/>
      <c r="E121" s="499"/>
      <c r="F121" s="499"/>
      <c r="G121" s="499"/>
      <c r="I121" s="103" t="str">
        <f>I28</f>
        <v>S-OTH_00</v>
      </c>
      <c r="J121" s="103" t="str">
        <f>J28</f>
        <v>SRV Other uses</v>
      </c>
      <c r="K121" s="103" t="str">
        <f>K28</f>
        <v>SRVBGS</v>
      </c>
      <c r="L121" s="109" t="s">
        <v>190</v>
      </c>
      <c r="M121" s="109" t="s">
        <v>154</v>
      </c>
      <c r="N121" s="495" t="s">
        <v>78</v>
      </c>
      <c r="O121" s="354" t="str">
        <f>IFERROR(SUMIFS('Key inputs_EB'!H:H,'Key inputs_EB'!$A:$A,"EB",'Key inputs_EB'!$C:$C,"S-OTH",'Key inputs_EB'!$E:$E,'SRV_BY Techs'!$K121)/SUMIFS('Key inputs_EB'!H:H,'Key inputs_EB'!$A:$A,"EB",'Key inputs_EB'!$C:$C,'SRV_BY Techs'!$B121),"")</f>
        <v/>
      </c>
      <c r="P121" s="354" t="str">
        <f>IFERROR(SUMIFS('Key inputs_EB'!I:I,'Key inputs_EB'!$A:$A,"EB",'Key inputs_EB'!$C:$C,"S-OTH",'Key inputs_EB'!$E:$E,'SRV_BY Techs'!$K121)/SUMIFS('Key inputs_EB'!I:I,'Key inputs_EB'!$A:$A,"EB",'Key inputs_EB'!$C:$C,'SRV_BY Techs'!$B121),"")</f>
        <v/>
      </c>
      <c r="Q121" s="354" t="str">
        <f>IFERROR(SUMIFS('Key inputs_EB'!J:J,'Key inputs_EB'!$A:$A,"EB",'Key inputs_EB'!$C:$C,"S-OTH",'Key inputs_EB'!$E:$E,'SRV_BY Techs'!$K121)/SUMIFS('Key inputs_EB'!J:J,'Key inputs_EB'!$A:$A,"EB",'Key inputs_EB'!$C:$C,'SRV_BY Techs'!$B121),"")</f>
        <v/>
      </c>
      <c r="R121" s="354" t="str">
        <f>IFERROR(SUMIFS('Key inputs_EB'!K:K,'Key inputs_EB'!$A:$A,"EB",'Key inputs_EB'!$C:$C,"S-OTH",'Key inputs_EB'!$E:$E,'SRV_BY Techs'!$K121)/SUMIFS('Key inputs_EB'!K:K,'Key inputs_EB'!$A:$A,"EB",'Key inputs_EB'!$C:$C,'SRV_BY Techs'!$B121),"")</f>
        <v/>
      </c>
      <c r="S121" s="354" t="str">
        <f>IFERROR(SUMIFS('Key inputs_EB'!L:L,'Key inputs_EB'!$A:$A,"EB",'Key inputs_EB'!$C:$C,"S-OTH",'Key inputs_EB'!$E:$E,'SRV_BY Techs'!$K121)/SUMIFS('Key inputs_EB'!L:L,'Key inputs_EB'!$A:$A,"EB",'Key inputs_EB'!$C:$C,'SRV_BY Techs'!$B121),"")</f>
        <v/>
      </c>
      <c r="T121" s="354" t="str">
        <f>IFERROR(SUMIFS('Key inputs_EB'!M:M,'Key inputs_EB'!$A:$A,"EB",'Key inputs_EB'!$C:$C,"S-OTH",'Key inputs_EB'!$E:$E,'SRV_BY Techs'!$K121)/SUMIFS('Key inputs_EB'!M:M,'Key inputs_EB'!$A:$A,"EB",'Key inputs_EB'!$C:$C,'SRV_BY Techs'!$B121),"")</f>
        <v/>
      </c>
      <c r="U121" s="354" t="str">
        <f>IFERROR(SUMIFS('Key inputs_EB'!N:N,'Key inputs_EB'!$A:$A,"EB",'Key inputs_EB'!$C:$C,"S-OTH",'Key inputs_EB'!$E:$E,'SRV_BY Techs'!$K121)/SUMIFS('Key inputs_EB'!N:N,'Key inputs_EB'!$A:$A,"EB",'Key inputs_EB'!$C:$C,'SRV_BY Techs'!$B121),"")</f>
        <v/>
      </c>
      <c r="V121" s="354" t="str">
        <f>IFERROR(SUMIFS('Key inputs_EB'!O:O,'Key inputs_EB'!$A:$A,"EB",'Key inputs_EB'!$C:$C,"S-OTH",'Key inputs_EB'!$E:$E,'SRV_BY Techs'!$K121)/SUMIFS('Key inputs_EB'!O:O,'Key inputs_EB'!$A:$A,"EB",'Key inputs_EB'!$C:$C,'SRV_BY Techs'!$B121),"")</f>
        <v/>
      </c>
      <c r="W121" s="354" t="str">
        <f>IFERROR(SUMIFS('Key inputs_EB'!P:P,'Key inputs_EB'!$A:$A,"EB",'Key inputs_EB'!$C:$C,"S-OTH",'Key inputs_EB'!$E:$E,'SRV_BY Techs'!$K121)/SUMIFS('Key inputs_EB'!P:P,'Key inputs_EB'!$A:$A,"EB",'Key inputs_EB'!$C:$C,'SRV_BY Techs'!$B121),"")</f>
        <v/>
      </c>
      <c r="X121" s="354">
        <f>IFERROR(SUMIFS('Key inputs_EB'!Q:Q,'Key inputs_EB'!$A:$A,"EB",'Key inputs_EB'!$C:$C,"S-OTH",'Key inputs_EB'!$E:$E,'SRV_BY Techs'!$K121)/SUMIFS('Key inputs_EB'!Q:Q,'Key inputs_EB'!$A:$A,"EB",'Key inputs_EB'!$C:$C,'SRV_BY Techs'!$B121),"")</f>
        <v>5.6090673474913936E-4</v>
      </c>
      <c r="Y121" s="354" t="str">
        <f>IFERROR(SUMIFS('Key inputs_EB'!R:R,'Key inputs_EB'!$A:$A,"EB",'Key inputs_EB'!$C:$C,"S-OTH",'Key inputs_EB'!$E:$E,'SRV_BY Techs'!$K121)/SUMIFS('Key inputs_EB'!R:R,'Key inputs_EB'!$A:$A,"EB",'Key inputs_EB'!$C:$C,'SRV_BY Techs'!$B121),"")</f>
        <v/>
      </c>
      <c r="Z121" s="354" t="str">
        <f>IFERROR(SUMIFS('Key inputs_EB'!S:S,'Key inputs_EB'!$A:$A,"EB",'Key inputs_EB'!$C:$C,"S-OTH",'Key inputs_EB'!$E:$E,'SRV_BY Techs'!$K121)/SUMIFS('Key inputs_EB'!S:S,'Key inputs_EB'!$A:$A,"EB",'Key inputs_EB'!$C:$C,'SRV_BY Techs'!$B121),"")</f>
        <v/>
      </c>
      <c r="AA121" s="354" t="str">
        <f>IFERROR(SUMIFS('Key inputs_EB'!T:T,'Key inputs_EB'!$A:$A,"EB",'Key inputs_EB'!$C:$C,"S-OTH",'Key inputs_EB'!$E:$E,'SRV_BY Techs'!$K121)/SUMIFS('Key inputs_EB'!T:T,'Key inputs_EB'!$A:$A,"EB",'Key inputs_EB'!$C:$C,'SRV_BY Techs'!$B121),"")</f>
        <v/>
      </c>
      <c r="AB121" s="354" t="str">
        <f>IFERROR(SUMIFS('Key inputs_EB'!U:U,'Key inputs_EB'!$A:$A,"EB",'Key inputs_EB'!$C:$C,"S-OTH",'Key inputs_EB'!$E:$E,'SRV_BY Techs'!$K121)/SUMIFS('Key inputs_EB'!U:U,'Key inputs_EB'!$A:$A,"EB",'Key inputs_EB'!$C:$C,'SRV_BY Techs'!$B121),"")</f>
        <v/>
      </c>
      <c r="AC121" s="354" t="str">
        <f>IFERROR(SUMIFS('Key inputs_EB'!V:V,'Key inputs_EB'!$A:$A,"EB",'Key inputs_EB'!$C:$C,"S-OTH",'Key inputs_EB'!$E:$E,'SRV_BY Techs'!$K121)/SUMIFS('Key inputs_EB'!V:V,'Key inputs_EB'!$A:$A,"EB",'Key inputs_EB'!$C:$C,'SRV_BY Techs'!$B121),"")</f>
        <v/>
      </c>
      <c r="AD121" s="354" t="str">
        <f>IFERROR(SUMIFS('Key inputs_EB'!W:W,'Key inputs_EB'!$A:$A,"EB",'Key inputs_EB'!$C:$C,"S-OTH",'Key inputs_EB'!$E:$E,'SRV_BY Techs'!$K121)/SUMIFS('Key inputs_EB'!W:W,'Key inputs_EB'!$A:$A,"EB",'Key inputs_EB'!$C:$C,'SRV_BY Techs'!$B121),"")</f>
        <v/>
      </c>
      <c r="AE121" s="354" t="str">
        <f>IFERROR(SUMIFS('Key inputs_EB'!X:X,'Key inputs_EB'!$A:$A,"EB",'Key inputs_EB'!$C:$C,"S-OTH",'Key inputs_EB'!$E:$E,'SRV_BY Techs'!$K121)/SUMIFS('Key inputs_EB'!X:X,'Key inputs_EB'!$A:$A,"EB",'Key inputs_EB'!$C:$C,'SRV_BY Techs'!$B121),"")</f>
        <v/>
      </c>
      <c r="AF121" s="354" t="str">
        <f>IFERROR(SUMIFS('Key inputs_EB'!Y:Y,'Key inputs_EB'!$A:$A,"EB",'Key inputs_EB'!$C:$C,"S-OTH",'Key inputs_EB'!$E:$E,'SRV_BY Techs'!$K121)/SUMIFS('Key inputs_EB'!Y:Y,'Key inputs_EB'!$A:$A,"EB",'Key inputs_EB'!$C:$C,'SRV_BY Techs'!$B121),"")</f>
        <v/>
      </c>
      <c r="AG121" s="354" t="str">
        <f>IFERROR(SUMIFS('Key inputs_EB'!Z:Z,'Key inputs_EB'!$A:$A,"EB",'Key inputs_EB'!$C:$C,"S-OTH",'Key inputs_EB'!$E:$E,'SRV_BY Techs'!$K121)/SUMIFS('Key inputs_EB'!Z:Z,'Key inputs_EB'!$A:$A,"EB",'Key inputs_EB'!$C:$C,'SRV_BY Techs'!$B121),"")</f>
        <v/>
      </c>
      <c r="AH121" s="354">
        <f>IFERROR(SUMIFS('Key inputs_EB'!AA:AA,'Key inputs_EB'!$A:$A,"EB",'Key inputs_EB'!$C:$C,"S-OTH",'Key inputs_EB'!$E:$E,'SRV_BY Techs'!$K121)/SUMIFS('Key inputs_EB'!AA:AA,'Key inputs_EB'!$A:$A,"EB",'Key inputs_EB'!$C:$C,'SRV_BY Techs'!$B121),"")</f>
        <v>0</v>
      </c>
      <c r="AI121" s="354" t="str">
        <f>IFERROR(SUMIFS('Key inputs_EB'!AB:AB,'Key inputs_EB'!$A:$A,"EB",'Key inputs_EB'!$C:$C,"S-OTH",'Key inputs_EB'!$E:$E,'SRV_BY Techs'!$K121)/SUMIFS('Key inputs_EB'!AB:AB,'Key inputs_EB'!$A:$A,"EB",'Key inputs_EB'!$C:$C,'SRV_BY Techs'!$B121),"")</f>
        <v/>
      </c>
      <c r="AJ121" s="354" t="str">
        <f>IFERROR(SUMIFS('Key inputs_EB'!AC:AC,'Key inputs_EB'!$A:$A,"EB",'Key inputs_EB'!$C:$C,"S-OTH",'Key inputs_EB'!$E:$E,'SRV_BY Techs'!$K121)/SUMIFS('Key inputs_EB'!AC:AC,'Key inputs_EB'!$A:$A,"EB",'Key inputs_EB'!$C:$C,'SRV_BY Techs'!$B121),"")</f>
        <v/>
      </c>
      <c r="AK121" s="354" t="str">
        <f>IFERROR(SUMIFS('Key inputs_EB'!AD:AD,'Key inputs_EB'!$A:$A,"EB",'Key inputs_EB'!$C:$C,"S-OTH",'Key inputs_EB'!$E:$E,'SRV_BY Techs'!$K121)/SUMIFS('Key inputs_EB'!AD:AD,'Key inputs_EB'!$A:$A,"EB",'Key inputs_EB'!$C:$C,'SRV_BY Techs'!$B121),"")</f>
        <v/>
      </c>
      <c r="AL121" s="354" t="str">
        <f>IFERROR(SUMIFS('Key inputs_EB'!AE:AE,'Key inputs_EB'!$A:$A,"EB",'Key inputs_EB'!$C:$C,"S-OTH",'Key inputs_EB'!$E:$E,'SRV_BY Techs'!$K121)/SUMIFS('Key inputs_EB'!AE:AE,'Key inputs_EB'!$A:$A,"EB",'Key inputs_EB'!$C:$C,'SRV_BY Techs'!$B121),"")</f>
        <v/>
      </c>
      <c r="AM121" s="354" t="str">
        <f>IFERROR(SUMIFS('Key inputs_EB'!AF:AF,'Key inputs_EB'!$A:$A,"EB",'Key inputs_EB'!$C:$C,"S-OTH",'Key inputs_EB'!$E:$E,'SRV_BY Techs'!$K121)/SUMIFS('Key inputs_EB'!AF:AF,'Key inputs_EB'!$A:$A,"EB",'Key inputs_EB'!$C:$C,'SRV_BY Techs'!$B121),"")</f>
        <v/>
      </c>
      <c r="AN121" s="354" t="str">
        <f>IFERROR(SUMIFS('Key inputs_EB'!AG:AG,'Key inputs_EB'!$A:$A,"EB",'Key inputs_EB'!$C:$C,"S-OTH",'Key inputs_EB'!$E:$E,'SRV_BY Techs'!$K121)/SUMIFS('Key inputs_EB'!AG:AG,'Key inputs_EB'!$A:$A,"EB",'Key inputs_EB'!$C:$C,'SRV_BY Techs'!$B121),"")</f>
        <v/>
      </c>
      <c r="AO121" s="354" t="str">
        <f>IFERROR(SUMIFS('Key inputs_EB'!AH:AH,'Key inputs_EB'!$A:$A,"EB",'Key inputs_EB'!$C:$C,"S-OTH",'Key inputs_EB'!$E:$E,'SRV_BY Techs'!$K121)/SUMIFS('Key inputs_EB'!AH:AH,'Key inputs_EB'!$A:$A,"EB",'Key inputs_EB'!$C:$C,'SRV_BY Techs'!$B121),"")</f>
        <v/>
      </c>
      <c r="AP121" s="354">
        <f>IFERROR(SUMIFS('Key inputs_EB'!AI:AI,'Key inputs_EB'!$A:$A,"EB",'Key inputs_EB'!$C:$C,"S-OTH",'Key inputs_EB'!$E:$E,'SRV_BY Techs'!$K121)/SUMIFS('Key inputs_EB'!AI:AI,'Key inputs_EB'!$A:$A,"EB",'Key inputs_EB'!$C:$C,'SRV_BY Techs'!$B121),"")</f>
        <v>2.3882907538702957E-4</v>
      </c>
    </row>
    <row r="122" spans="1:42" x14ac:dyDescent="0.3">
      <c r="A122" s="499" t="str">
        <f t="shared" ref="A122:A132" si="33">$A$28</f>
        <v>Other uses</v>
      </c>
      <c r="B122" s="499" t="str">
        <f t="shared" ref="B122:B132" si="34">$B$28</f>
        <v>S-OTH</v>
      </c>
      <c r="C122" s="499"/>
      <c r="D122" s="499"/>
      <c r="E122" s="499"/>
      <c r="F122" s="499"/>
      <c r="G122" s="499"/>
      <c r="K122" s="103" t="str">
        <f t="shared" ref="K122:K132" si="35">K29</f>
        <v>SRVCOA</v>
      </c>
      <c r="L122" s="109" t="s">
        <v>190</v>
      </c>
      <c r="M122" s="109" t="s">
        <v>154</v>
      </c>
      <c r="N122" s="109" t="s">
        <v>78</v>
      </c>
      <c r="O122" s="353" t="str">
        <f>IFERROR(SUMIFS('Key inputs_EB'!H:H,'Key inputs_EB'!$A:$A,"EB",'Key inputs_EB'!$C:$C,"S-OTH",'Key inputs_EB'!$E:$E,'SRV_BY Techs'!$K122)/SUMIFS('Key inputs_EB'!H:H,'Key inputs_EB'!$A:$A,"EB",'Key inputs_EB'!$C:$C,'SRV_BY Techs'!$B122),"")</f>
        <v/>
      </c>
      <c r="P122" s="353" t="str">
        <f>IFERROR(SUMIFS('Key inputs_EB'!I:I,'Key inputs_EB'!$A:$A,"EB",'Key inputs_EB'!$C:$C,"S-OTH",'Key inputs_EB'!$E:$E,'SRV_BY Techs'!$K122)/SUMIFS('Key inputs_EB'!I:I,'Key inputs_EB'!$A:$A,"EB",'Key inputs_EB'!$C:$C,'SRV_BY Techs'!$B122),"")</f>
        <v/>
      </c>
      <c r="Q122" s="353" t="str">
        <f>IFERROR(SUMIFS('Key inputs_EB'!J:J,'Key inputs_EB'!$A:$A,"EB",'Key inputs_EB'!$C:$C,"S-OTH",'Key inputs_EB'!$E:$E,'SRV_BY Techs'!$K122)/SUMIFS('Key inputs_EB'!J:J,'Key inputs_EB'!$A:$A,"EB",'Key inputs_EB'!$C:$C,'SRV_BY Techs'!$B122),"")</f>
        <v/>
      </c>
      <c r="R122" s="353" t="str">
        <f>IFERROR(SUMIFS('Key inputs_EB'!K:K,'Key inputs_EB'!$A:$A,"EB",'Key inputs_EB'!$C:$C,"S-OTH",'Key inputs_EB'!$E:$E,'SRV_BY Techs'!$K122)/SUMIFS('Key inputs_EB'!K:K,'Key inputs_EB'!$A:$A,"EB",'Key inputs_EB'!$C:$C,'SRV_BY Techs'!$B122),"")</f>
        <v/>
      </c>
      <c r="S122" s="353" t="str">
        <f>IFERROR(SUMIFS('Key inputs_EB'!L:L,'Key inputs_EB'!$A:$A,"EB",'Key inputs_EB'!$C:$C,"S-OTH",'Key inputs_EB'!$E:$E,'SRV_BY Techs'!$K122)/SUMIFS('Key inputs_EB'!L:L,'Key inputs_EB'!$A:$A,"EB",'Key inputs_EB'!$C:$C,'SRV_BY Techs'!$B122),"")</f>
        <v/>
      </c>
      <c r="T122" s="353" t="str">
        <f>IFERROR(SUMIFS('Key inputs_EB'!M:M,'Key inputs_EB'!$A:$A,"EB",'Key inputs_EB'!$C:$C,"S-OTH",'Key inputs_EB'!$E:$E,'SRV_BY Techs'!$K122)/SUMIFS('Key inputs_EB'!M:M,'Key inputs_EB'!$A:$A,"EB",'Key inputs_EB'!$C:$C,'SRV_BY Techs'!$B122),"")</f>
        <v/>
      </c>
      <c r="U122" s="353" t="str">
        <f>IFERROR(SUMIFS('Key inputs_EB'!N:N,'Key inputs_EB'!$A:$A,"EB",'Key inputs_EB'!$C:$C,"S-OTH",'Key inputs_EB'!$E:$E,'SRV_BY Techs'!$K122)/SUMIFS('Key inputs_EB'!N:N,'Key inputs_EB'!$A:$A,"EB",'Key inputs_EB'!$C:$C,'SRV_BY Techs'!$B122),"")</f>
        <v/>
      </c>
      <c r="V122" s="353" t="str">
        <f>IFERROR(SUMIFS('Key inputs_EB'!O:O,'Key inputs_EB'!$A:$A,"EB",'Key inputs_EB'!$C:$C,"S-OTH",'Key inputs_EB'!$E:$E,'SRV_BY Techs'!$K122)/SUMIFS('Key inputs_EB'!O:O,'Key inputs_EB'!$A:$A,"EB",'Key inputs_EB'!$C:$C,'SRV_BY Techs'!$B122),"")</f>
        <v/>
      </c>
      <c r="W122" s="353" t="str">
        <f>IFERROR(SUMIFS('Key inputs_EB'!P:P,'Key inputs_EB'!$A:$A,"EB",'Key inputs_EB'!$C:$C,"S-OTH",'Key inputs_EB'!$E:$E,'SRV_BY Techs'!$K122)/SUMIFS('Key inputs_EB'!P:P,'Key inputs_EB'!$A:$A,"EB",'Key inputs_EB'!$C:$C,'SRV_BY Techs'!$B122),"")</f>
        <v/>
      </c>
      <c r="X122" s="353">
        <f>IFERROR(SUMIFS('Key inputs_EB'!Q:Q,'Key inputs_EB'!$A:$A,"EB",'Key inputs_EB'!$C:$C,"S-OTH",'Key inputs_EB'!$E:$E,'SRV_BY Techs'!$K122)/SUMIFS('Key inputs_EB'!Q:Q,'Key inputs_EB'!$A:$A,"EB",'Key inputs_EB'!$C:$C,'SRV_BY Techs'!$B122),"")</f>
        <v>0</v>
      </c>
      <c r="Y122" s="353" t="str">
        <f>IFERROR(SUMIFS('Key inputs_EB'!R:R,'Key inputs_EB'!$A:$A,"EB",'Key inputs_EB'!$C:$C,"S-OTH",'Key inputs_EB'!$E:$E,'SRV_BY Techs'!$K122)/SUMIFS('Key inputs_EB'!R:R,'Key inputs_EB'!$A:$A,"EB",'Key inputs_EB'!$C:$C,'SRV_BY Techs'!$B122),"")</f>
        <v/>
      </c>
      <c r="Z122" s="353" t="str">
        <f>IFERROR(SUMIFS('Key inputs_EB'!S:S,'Key inputs_EB'!$A:$A,"EB",'Key inputs_EB'!$C:$C,"S-OTH",'Key inputs_EB'!$E:$E,'SRV_BY Techs'!$K122)/SUMIFS('Key inputs_EB'!S:S,'Key inputs_EB'!$A:$A,"EB",'Key inputs_EB'!$C:$C,'SRV_BY Techs'!$B122),"")</f>
        <v/>
      </c>
      <c r="AA122" s="353" t="str">
        <f>IFERROR(SUMIFS('Key inputs_EB'!T:T,'Key inputs_EB'!$A:$A,"EB",'Key inputs_EB'!$C:$C,"S-OTH",'Key inputs_EB'!$E:$E,'SRV_BY Techs'!$K122)/SUMIFS('Key inputs_EB'!T:T,'Key inputs_EB'!$A:$A,"EB",'Key inputs_EB'!$C:$C,'SRV_BY Techs'!$B122),"")</f>
        <v/>
      </c>
      <c r="AB122" s="353" t="str">
        <f>IFERROR(SUMIFS('Key inputs_EB'!U:U,'Key inputs_EB'!$A:$A,"EB",'Key inputs_EB'!$C:$C,"S-OTH",'Key inputs_EB'!$E:$E,'SRV_BY Techs'!$K122)/SUMIFS('Key inputs_EB'!U:U,'Key inputs_EB'!$A:$A,"EB",'Key inputs_EB'!$C:$C,'SRV_BY Techs'!$B122),"")</f>
        <v/>
      </c>
      <c r="AC122" s="353" t="str">
        <f>IFERROR(SUMIFS('Key inputs_EB'!V:V,'Key inputs_EB'!$A:$A,"EB",'Key inputs_EB'!$C:$C,"S-OTH",'Key inputs_EB'!$E:$E,'SRV_BY Techs'!$K122)/SUMIFS('Key inputs_EB'!V:V,'Key inputs_EB'!$A:$A,"EB",'Key inputs_EB'!$C:$C,'SRV_BY Techs'!$B122),"")</f>
        <v/>
      </c>
      <c r="AD122" s="353" t="str">
        <f>IFERROR(SUMIFS('Key inputs_EB'!W:W,'Key inputs_EB'!$A:$A,"EB",'Key inputs_EB'!$C:$C,"S-OTH",'Key inputs_EB'!$E:$E,'SRV_BY Techs'!$K122)/SUMIFS('Key inputs_EB'!W:W,'Key inputs_EB'!$A:$A,"EB",'Key inputs_EB'!$C:$C,'SRV_BY Techs'!$B122),"")</f>
        <v/>
      </c>
      <c r="AE122" s="353" t="str">
        <f>IFERROR(SUMIFS('Key inputs_EB'!X:X,'Key inputs_EB'!$A:$A,"EB",'Key inputs_EB'!$C:$C,"S-OTH",'Key inputs_EB'!$E:$E,'SRV_BY Techs'!$K122)/SUMIFS('Key inputs_EB'!X:X,'Key inputs_EB'!$A:$A,"EB",'Key inputs_EB'!$C:$C,'SRV_BY Techs'!$B122),"")</f>
        <v/>
      </c>
      <c r="AF122" s="353" t="str">
        <f>IFERROR(SUMIFS('Key inputs_EB'!Y:Y,'Key inputs_EB'!$A:$A,"EB",'Key inputs_EB'!$C:$C,"S-OTH",'Key inputs_EB'!$E:$E,'SRV_BY Techs'!$K122)/SUMIFS('Key inputs_EB'!Y:Y,'Key inputs_EB'!$A:$A,"EB",'Key inputs_EB'!$C:$C,'SRV_BY Techs'!$B122),"")</f>
        <v/>
      </c>
      <c r="AG122" s="353" t="str">
        <f>IFERROR(SUMIFS('Key inputs_EB'!Z:Z,'Key inputs_EB'!$A:$A,"EB",'Key inputs_EB'!$C:$C,"S-OTH",'Key inputs_EB'!$E:$E,'SRV_BY Techs'!$K122)/SUMIFS('Key inputs_EB'!Z:Z,'Key inputs_EB'!$A:$A,"EB",'Key inputs_EB'!$C:$C,'SRV_BY Techs'!$B122),"")</f>
        <v/>
      </c>
      <c r="AH122" s="353">
        <f>IFERROR(SUMIFS('Key inputs_EB'!AA:AA,'Key inputs_EB'!$A:$A,"EB",'Key inputs_EB'!$C:$C,"S-OTH",'Key inputs_EB'!$E:$E,'SRV_BY Techs'!$K122)/SUMIFS('Key inputs_EB'!AA:AA,'Key inputs_EB'!$A:$A,"EB",'Key inputs_EB'!$C:$C,'SRV_BY Techs'!$B122),"")</f>
        <v>0</v>
      </c>
      <c r="AI122" s="353" t="str">
        <f>IFERROR(SUMIFS('Key inputs_EB'!AB:AB,'Key inputs_EB'!$A:$A,"EB",'Key inputs_EB'!$C:$C,"S-OTH",'Key inputs_EB'!$E:$E,'SRV_BY Techs'!$K122)/SUMIFS('Key inputs_EB'!AB:AB,'Key inputs_EB'!$A:$A,"EB",'Key inputs_EB'!$C:$C,'SRV_BY Techs'!$B122),"")</f>
        <v/>
      </c>
      <c r="AJ122" s="353" t="str">
        <f>IFERROR(SUMIFS('Key inputs_EB'!AC:AC,'Key inputs_EB'!$A:$A,"EB",'Key inputs_EB'!$C:$C,"S-OTH",'Key inputs_EB'!$E:$E,'SRV_BY Techs'!$K122)/SUMIFS('Key inputs_EB'!AC:AC,'Key inputs_EB'!$A:$A,"EB",'Key inputs_EB'!$C:$C,'SRV_BY Techs'!$B122),"")</f>
        <v/>
      </c>
      <c r="AK122" s="353" t="str">
        <f>IFERROR(SUMIFS('Key inputs_EB'!AD:AD,'Key inputs_EB'!$A:$A,"EB",'Key inputs_EB'!$C:$C,"S-OTH",'Key inputs_EB'!$E:$E,'SRV_BY Techs'!$K122)/SUMIFS('Key inputs_EB'!AD:AD,'Key inputs_EB'!$A:$A,"EB",'Key inputs_EB'!$C:$C,'SRV_BY Techs'!$B122),"")</f>
        <v/>
      </c>
      <c r="AL122" s="353" t="str">
        <f>IFERROR(SUMIFS('Key inputs_EB'!AE:AE,'Key inputs_EB'!$A:$A,"EB",'Key inputs_EB'!$C:$C,"S-OTH",'Key inputs_EB'!$E:$E,'SRV_BY Techs'!$K122)/SUMIFS('Key inputs_EB'!AE:AE,'Key inputs_EB'!$A:$A,"EB",'Key inputs_EB'!$C:$C,'SRV_BY Techs'!$B122),"")</f>
        <v/>
      </c>
      <c r="AM122" s="353" t="str">
        <f>IFERROR(SUMIFS('Key inputs_EB'!AF:AF,'Key inputs_EB'!$A:$A,"EB",'Key inputs_EB'!$C:$C,"S-OTH",'Key inputs_EB'!$E:$E,'SRV_BY Techs'!$K122)/SUMIFS('Key inputs_EB'!AF:AF,'Key inputs_EB'!$A:$A,"EB",'Key inputs_EB'!$C:$C,'SRV_BY Techs'!$B122),"")</f>
        <v/>
      </c>
      <c r="AN122" s="353" t="str">
        <f>IFERROR(SUMIFS('Key inputs_EB'!AG:AG,'Key inputs_EB'!$A:$A,"EB",'Key inputs_EB'!$C:$C,"S-OTH",'Key inputs_EB'!$E:$E,'SRV_BY Techs'!$K122)/SUMIFS('Key inputs_EB'!AG:AG,'Key inputs_EB'!$A:$A,"EB",'Key inputs_EB'!$C:$C,'SRV_BY Techs'!$B122),"")</f>
        <v/>
      </c>
      <c r="AO122" s="353" t="str">
        <f>IFERROR(SUMIFS('Key inputs_EB'!AH:AH,'Key inputs_EB'!$A:$A,"EB",'Key inputs_EB'!$C:$C,"S-OTH",'Key inputs_EB'!$E:$E,'SRV_BY Techs'!$K122)/SUMIFS('Key inputs_EB'!AH:AH,'Key inputs_EB'!$A:$A,"EB",'Key inputs_EB'!$C:$C,'SRV_BY Techs'!$B122),"")</f>
        <v/>
      </c>
      <c r="AP122" s="353">
        <f>IFERROR(SUMIFS('Key inputs_EB'!AI:AI,'Key inputs_EB'!$A:$A,"EB",'Key inputs_EB'!$C:$C,"S-OTH",'Key inputs_EB'!$E:$E,'SRV_BY Techs'!$K122)/SUMIFS('Key inputs_EB'!AI:AI,'Key inputs_EB'!$A:$A,"EB",'Key inputs_EB'!$C:$C,'SRV_BY Techs'!$B122),"")</f>
        <v>0</v>
      </c>
    </row>
    <row r="123" spans="1:42" x14ac:dyDescent="0.3">
      <c r="A123" s="499" t="str">
        <f t="shared" si="33"/>
        <v>Other uses</v>
      </c>
      <c r="B123" s="499" t="str">
        <f t="shared" si="34"/>
        <v>S-OTH</v>
      </c>
      <c r="C123" s="499"/>
      <c r="D123" s="499"/>
      <c r="E123" s="499"/>
      <c r="F123" s="499"/>
      <c r="G123" s="499"/>
      <c r="K123" s="103" t="str">
        <f t="shared" si="35"/>
        <v>SRVOIL</v>
      </c>
      <c r="L123" s="109" t="s">
        <v>190</v>
      </c>
      <c r="M123" s="109" t="s">
        <v>154</v>
      </c>
      <c r="N123" s="109" t="s">
        <v>78</v>
      </c>
      <c r="O123" s="353" t="str">
        <f>IFERROR(SUMIFS('Key inputs_EB'!H:H,'Key inputs_EB'!$A:$A,"EB",'Key inputs_EB'!$C:$C,"S-OTH",'Key inputs_EB'!$E:$E,'SRV_BY Techs'!$K123)/SUMIFS('Key inputs_EB'!H:H,'Key inputs_EB'!$A:$A,"EB",'Key inputs_EB'!$C:$C,'SRV_BY Techs'!$B123),"")</f>
        <v/>
      </c>
      <c r="P123" s="353" t="str">
        <f>IFERROR(SUMIFS('Key inputs_EB'!I:I,'Key inputs_EB'!$A:$A,"EB",'Key inputs_EB'!$C:$C,"S-OTH",'Key inputs_EB'!$E:$E,'SRV_BY Techs'!$K123)/SUMIFS('Key inputs_EB'!I:I,'Key inputs_EB'!$A:$A,"EB",'Key inputs_EB'!$C:$C,'SRV_BY Techs'!$B123),"")</f>
        <v/>
      </c>
      <c r="Q123" s="353" t="str">
        <f>IFERROR(SUMIFS('Key inputs_EB'!J:J,'Key inputs_EB'!$A:$A,"EB",'Key inputs_EB'!$C:$C,"S-OTH",'Key inputs_EB'!$E:$E,'SRV_BY Techs'!$K123)/SUMIFS('Key inputs_EB'!J:J,'Key inputs_EB'!$A:$A,"EB",'Key inputs_EB'!$C:$C,'SRV_BY Techs'!$B123),"")</f>
        <v/>
      </c>
      <c r="R123" s="353" t="str">
        <f>IFERROR(SUMIFS('Key inputs_EB'!K:K,'Key inputs_EB'!$A:$A,"EB",'Key inputs_EB'!$C:$C,"S-OTH",'Key inputs_EB'!$E:$E,'SRV_BY Techs'!$K123)/SUMIFS('Key inputs_EB'!K:K,'Key inputs_EB'!$A:$A,"EB",'Key inputs_EB'!$C:$C,'SRV_BY Techs'!$B123),"")</f>
        <v/>
      </c>
      <c r="S123" s="353" t="str">
        <f>IFERROR(SUMIFS('Key inputs_EB'!L:L,'Key inputs_EB'!$A:$A,"EB",'Key inputs_EB'!$C:$C,"S-OTH",'Key inputs_EB'!$E:$E,'SRV_BY Techs'!$K123)/SUMIFS('Key inputs_EB'!L:L,'Key inputs_EB'!$A:$A,"EB",'Key inputs_EB'!$C:$C,'SRV_BY Techs'!$B123),"")</f>
        <v/>
      </c>
      <c r="T123" s="353" t="str">
        <f>IFERROR(SUMIFS('Key inputs_EB'!M:M,'Key inputs_EB'!$A:$A,"EB",'Key inputs_EB'!$C:$C,"S-OTH",'Key inputs_EB'!$E:$E,'SRV_BY Techs'!$K123)/SUMIFS('Key inputs_EB'!M:M,'Key inputs_EB'!$A:$A,"EB",'Key inputs_EB'!$C:$C,'SRV_BY Techs'!$B123),"")</f>
        <v/>
      </c>
      <c r="U123" s="353" t="str">
        <f>IFERROR(SUMIFS('Key inputs_EB'!N:N,'Key inputs_EB'!$A:$A,"EB",'Key inputs_EB'!$C:$C,"S-OTH",'Key inputs_EB'!$E:$E,'SRV_BY Techs'!$K123)/SUMIFS('Key inputs_EB'!N:N,'Key inputs_EB'!$A:$A,"EB",'Key inputs_EB'!$C:$C,'SRV_BY Techs'!$B123),"")</f>
        <v/>
      </c>
      <c r="V123" s="353" t="str">
        <f>IFERROR(SUMIFS('Key inputs_EB'!O:O,'Key inputs_EB'!$A:$A,"EB",'Key inputs_EB'!$C:$C,"S-OTH",'Key inputs_EB'!$E:$E,'SRV_BY Techs'!$K123)/SUMIFS('Key inputs_EB'!O:O,'Key inputs_EB'!$A:$A,"EB",'Key inputs_EB'!$C:$C,'SRV_BY Techs'!$B123),"")</f>
        <v/>
      </c>
      <c r="W123" s="353" t="str">
        <f>IFERROR(SUMIFS('Key inputs_EB'!P:P,'Key inputs_EB'!$A:$A,"EB",'Key inputs_EB'!$C:$C,"S-OTH",'Key inputs_EB'!$E:$E,'SRV_BY Techs'!$K123)/SUMIFS('Key inputs_EB'!P:P,'Key inputs_EB'!$A:$A,"EB",'Key inputs_EB'!$C:$C,'SRV_BY Techs'!$B123),"")</f>
        <v/>
      </c>
      <c r="X123" s="353">
        <f>IFERROR(SUMIFS('Key inputs_EB'!Q:Q,'Key inputs_EB'!$A:$A,"EB",'Key inputs_EB'!$C:$C,"S-OTH",'Key inputs_EB'!$E:$E,'SRV_BY Techs'!$K123)/SUMIFS('Key inputs_EB'!Q:Q,'Key inputs_EB'!$A:$A,"EB",'Key inputs_EB'!$C:$C,'SRV_BY Techs'!$B123),"")</f>
        <v>0</v>
      </c>
      <c r="Y123" s="353" t="str">
        <f>IFERROR(SUMIFS('Key inputs_EB'!R:R,'Key inputs_EB'!$A:$A,"EB",'Key inputs_EB'!$C:$C,"S-OTH",'Key inputs_EB'!$E:$E,'SRV_BY Techs'!$K123)/SUMIFS('Key inputs_EB'!R:R,'Key inputs_EB'!$A:$A,"EB",'Key inputs_EB'!$C:$C,'SRV_BY Techs'!$B123),"")</f>
        <v/>
      </c>
      <c r="Z123" s="353" t="str">
        <f>IFERROR(SUMIFS('Key inputs_EB'!S:S,'Key inputs_EB'!$A:$A,"EB",'Key inputs_EB'!$C:$C,"S-OTH",'Key inputs_EB'!$E:$E,'SRV_BY Techs'!$K123)/SUMIFS('Key inputs_EB'!S:S,'Key inputs_EB'!$A:$A,"EB",'Key inputs_EB'!$C:$C,'SRV_BY Techs'!$B123),"")</f>
        <v/>
      </c>
      <c r="AA123" s="353" t="str">
        <f>IFERROR(SUMIFS('Key inputs_EB'!T:T,'Key inputs_EB'!$A:$A,"EB",'Key inputs_EB'!$C:$C,"S-OTH",'Key inputs_EB'!$E:$E,'SRV_BY Techs'!$K123)/SUMIFS('Key inputs_EB'!T:T,'Key inputs_EB'!$A:$A,"EB",'Key inputs_EB'!$C:$C,'SRV_BY Techs'!$B123),"")</f>
        <v/>
      </c>
      <c r="AB123" s="353" t="str">
        <f>IFERROR(SUMIFS('Key inputs_EB'!U:U,'Key inputs_EB'!$A:$A,"EB",'Key inputs_EB'!$C:$C,"S-OTH",'Key inputs_EB'!$E:$E,'SRV_BY Techs'!$K123)/SUMIFS('Key inputs_EB'!U:U,'Key inputs_EB'!$A:$A,"EB",'Key inputs_EB'!$C:$C,'SRV_BY Techs'!$B123),"")</f>
        <v/>
      </c>
      <c r="AC123" s="353" t="str">
        <f>IFERROR(SUMIFS('Key inputs_EB'!V:V,'Key inputs_EB'!$A:$A,"EB",'Key inputs_EB'!$C:$C,"S-OTH",'Key inputs_EB'!$E:$E,'SRV_BY Techs'!$K123)/SUMIFS('Key inputs_EB'!V:V,'Key inputs_EB'!$A:$A,"EB",'Key inputs_EB'!$C:$C,'SRV_BY Techs'!$B123),"")</f>
        <v/>
      </c>
      <c r="AD123" s="353" t="str">
        <f>IFERROR(SUMIFS('Key inputs_EB'!W:W,'Key inputs_EB'!$A:$A,"EB",'Key inputs_EB'!$C:$C,"S-OTH",'Key inputs_EB'!$E:$E,'SRV_BY Techs'!$K123)/SUMIFS('Key inputs_EB'!W:W,'Key inputs_EB'!$A:$A,"EB",'Key inputs_EB'!$C:$C,'SRV_BY Techs'!$B123),"")</f>
        <v/>
      </c>
      <c r="AE123" s="353" t="str">
        <f>IFERROR(SUMIFS('Key inputs_EB'!X:X,'Key inputs_EB'!$A:$A,"EB",'Key inputs_EB'!$C:$C,"S-OTH",'Key inputs_EB'!$E:$E,'SRV_BY Techs'!$K123)/SUMIFS('Key inputs_EB'!X:X,'Key inputs_EB'!$A:$A,"EB",'Key inputs_EB'!$C:$C,'SRV_BY Techs'!$B123),"")</f>
        <v/>
      </c>
      <c r="AF123" s="353" t="str">
        <f>IFERROR(SUMIFS('Key inputs_EB'!Y:Y,'Key inputs_EB'!$A:$A,"EB",'Key inputs_EB'!$C:$C,"S-OTH",'Key inputs_EB'!$E:$E,'SRV_BY Techs'!$K123)/SUMIFS('Key inputs_EB'!Y:Y,'Key inputs_EB'!$A:$A,"EB",'Key inputs_EB'!$C:$C,'SRV_BY Techs'!$B123),"")</f>
        <v/>
      </c>
      <c r="AG123" s="353" t="str">
        <f>IFERROR(SUMIFS('Key inputs_EB'!Z:Z,'Key inputs_EB'!$A:$A,"EB",'Key inputs_EB'!$C:$C,"S-OTH",'Key inputs_EB'!$E:$E,'SRV_BY Techs'!$K123)/SUMIFS('Key inputs_EB'!Z:Z,'Key inputs_EB'!$A:$A,"EB",'Key inputs_EB'!$C:$C,'SRV_BY Techs'!$B123),"")</f>
        <v/>
      </c>
      <c r="AH123" s="353">
        <f>IFERROR(SUMIFS('Key inputs_EB'!AA:AA,'Key inputs_EB'!$A:$A,"EB",'Key inputs_EB'!$C:$C,"S-OTH",'Key inputs_EB'!$E:$E,'SRV_BY Techs'!$K123)/SUMIFS('Key inputs_EB'!AA:AA,'Key inputs_EB'!$A:$A,"EB",'Key inputs_EB'!$C:$C,'SRV_BY Techs'!$B123),"")</f>
        <v>0</v>
      </c>
      <c r="AI123" s="353" t="str">
        <f>IFERROR(SUMIFS('Key inputs_EB'!AB:AB,'Key inputs_EB'!$A:$A,"EB",'Key inputs_EB'!$C:$C,"S-OTH",'Key inputs_EB'!$E:$E,'SRV_BY Techs'!$K123)/SUMIFS('Key inputs_EB'!AB:AB,'Key inputs_EB'!$A:$A,"EB",'Key inputs_EB'!$C:$C,'SRV_BY Techs'!$B123),"")</f>
        <v/>
      </c>
      <c r="AJ123" s="353" t="str">
        <f>IFERROR(SUMIFS('Key inputs_EB'!AC:AC,'Key inputs_EB'!$A:$A,"EB",'Key inputs_EB'!$C:$C,"S-OTH",'Key inputs_EB'!$E:$E,'SRV_BY Techs'!$K123)/SUMIFS('Key inputs_EB'!AC:AC,'Key inputs_EB'!$A:$A,"EB",'Key inputs_EB'!$C:$C,'SRV_BY Techs'!$B123),"")</f>
        <v/>
      </c>
      <c r="AK123" s="353" t="str">
        <f>IFERROR(SUMIFS('Key inputs_EB'!AD:AD,'Key inputs_EB'!$A:$A,"EB",'Key inputs_EB'!$C:$C,"S-OTH",'Key inputs_EB'!$E:$E,'SRV_BY Techs'!$K123)/SUMIFS('Key inputs_EB'!AD:AD,'Key inputs_EB'!$A:$A,"EB",'Key inputs_EB'!$C:$C,'SRV_BY Techs'!$B123),"")</f>
        <v/>
      </c>
      <c r="AL123" s="353" t="str">
        <f>IFERROR(SUMIFS('Key inputs_EB'!AE:AE,'Key inputs_EB'!$A:$A,"EB",'Key inputs_EB'!$C:$C,"S-OTH",'Key inputs_EB'!$E:$E,'SRV_BY Techs'!$K123)/SUMIFS('Key inputs_EB'!AE:AE,'Key inputs_EB'!$A:$A,"EB",'Key inputs_EB'!$C:$C,'SRV_BY Techs'!$B123),"")</f>
        <v/>
      </c>
      <c r="AM123" s="353" t="str">
        <f>IFERROR(SUMIFS('Key inputs_EB'!AF:AF,'Key inputs_EB'!$A:$A,"EB",'Key inputs_EB'!$C:$C,"S-OTH",'Key inputs_EB'!$E:$E,'SRV_BY Techs'!$K123)/SUMIFS('Key inputs_EB'!AF:AF,'Key inputs_EB'!$A:$A,"EB",'Key inputs_EB'!$C:$C,'SRV_BY Techs'!$B123),"")</f>
        <v/>
      </c>
      <c r="AN123" s="353" t="str">
        <f>IFERROR(SUMIFS('Key inputs_EB'!AG:AG,'Key inputs_EB'!$A:$A,"EB",'Key inputs_EB'!$C:$C,"S-OTH",'Key inputs_EB'!$E:$E,'SRV_BY Techs'!$K123)/SUMIFS('Key inputs_EB'!AG:AG,'Key inputs_EB'!$A:$A,"EB",'Key inputs_EB'!$C:$C,'SRV_BY Techs'!$B123),"")</f>
        <v/>
      </c>
      <c r="AO123" s="353" t="str">
        <f>IFERROR(SUMIFS('Key inputs_EB'!AH:AH,'Key inputs_EB'!$A:$A,"EB",'Key inputs_EB'!$C:$C,"S-OTH",'Key inputs_EB'!$E:$E,'SRV_BY Techs'!$K123)/SUMIFS('Key inputs_EB'!AH:AH,'Key inputs_EB'!$A:$A,"EB",'Key inputs_EB'!$C:$C,'SRV_BY Techs'!$B123),"")</f>
        <v/>
      </c>
      <c r="AP123" s="353">
        <f>IFERROR(SUMIFS('Key inputs_EB'!AI:AI,'Key inputs_EB'!$A:$A,"EB",'Key inputs_EB'!$C:$C,"S-OTH",'Key inputs_EB'!$E:$E,'SRV_BY Techs'!$K123)/SUMIFS('Key inputs_EB'!AI:AI,'Key inputs_EB'!$A:$A,"EB",'Key inputs_EB'!$C:$C,'SRV_BY Techs'!$B123),"")</f>
        <v>3.6501293985079321E-2</v>
      </c>
    </row>
    <row r="124" spans="1:42" x14ac:dyDescent="0.3">
      <c r="A124" s="499" t="str">
        <f t="shared" si="33"/>
        <v>Other uses</v>
      </c>
      <c r="B124" s="499" t="str">
        <f t="shared" si="34"/>
        <v>S-OTH</v>
      </c>
      <c r="C124" s="499"/>
      <c r="D124" s="499"/>
      <c r="E124" s="499"/>
      <c r="F124" s="499"/>
      <c r="G124" s="499"/>
      <c r="K124" s="103" t="str">
        <f t="shared" si="35"/>
        <v>SRVELC</v>
      </c>
      <c r="L124" s="109" t="s">
        <v>190</v>
      </c>
      <c r="M124" s="109" t="s">
        <v>154</v>
      </c>
      <c r="N124" s="109" t="s">
        <v>78</v>
      </c>
      <c r="O124" s="353" t="str">
        <f>IFERROR(SUMIFS('Key inputs_EB'!H:H,'Key inputs_EB'!$A:$A,"EB",'Key inputs_EB'!$C:$C,"S-OTH",'Key inputs_EB'!$E:$E,'SRV_BY Techs'!$K124)/SUMIFS('Key inputs_EB'!H:H,'Key inputs_EB'!$A:$A,"EB",'Key inputs_EB'!$C:$C,'SRV_BY Techs'!$B124),"")</f>
        <v/>
      </c>
      <c r="P124" s="353" t="str">
        <f>IFERROR(SUMIFS('Key inputs_EB'!I:I,'Key inputs_EB'!$A:$A,"EB",'Key inputs_EB'!$C:$C,"S-OTH",'Key inputs_EB'!$E:$E,'SRV_BY Techs'!$K124)/SUMIFS('Key inputs_EB'!I:I,'Key inputs_EB'!$A:$A,"EB",'Key inputs_EB'!$C:$C,'SRV_BY Techs'!$B124),"")</f>
        <v/>
      </c>
      <c r="Q124" s="353" t="str">
        <f>IFERROR(SUMIFS('Key inputs_EB'!J:J,'Key inputs_EB'!$A:$A,"EB",'Key inputs_EB'!$C:$C,"S-OTH",'Key inputs_EB'!$E:$E,'SRV_BY Techs'!$K124)/SUMIFS('Key inputs_EB'!J:J,'Key inputs_EB'!$A:$A,"EB",'Key inputs_EB'!$C:$C,'SRV_BY Techs'!$B124),"")</f>
        <v/>
      </c>
      <c r="R124" s="353" t="str">
        <f>IFERROR(SUMIFS('Key inputs_EB'!K:K,'Key inputs_EB'!$A:$A,"EB",'Key inputs_EB'!$C:$C,"S-OTH",'Key inputs_EB'!$E:$E,'SRV_BY Techs'!$K124)/SUMIFS('Key inputs_EB'!K:K,'Key inputs_EB'!$A:$A,"EB",'Key inputs_EB'!$C:$C,'SRV_BY Techs'!$B124),"")</f>
        <v/>
      </c>
      <c r="S124" s="353" t="str">
        <f>IFERROR(SUMIFS('Key inputs_EB'!L:L,'Key inputs_EB'!$A:$A,"EB",'Key inputs_EB'!$C:$C,"S-OTH",'Key inputs_EB'!$E:$E,'SRV_BY Techs'!$K124)/SUMIFS('Key inputs_EB'!L:L,'Key inputs_EB'!$A:$A,"EB",'Key inputs_EB'!$C:$C,'SRV_BY Techs'!$B124),"")</f>
        <v/>
      </c>
      <c r="T124" s="353" t="str">
        <f>IFERROR(SUMIFS('Key inputs_EB'!M:M,'Key inputs_EB'!$A:$A,"EB",'Key inputs_EB'!$C:$C,"S-OTH",'Key inputs_EB'!$E:$E,'SRV_BY Techs'!$K124)/SUMIFS('Key inputs_EB'!M:M,'Key inputs_EB'!$A:$A,"EB",'Key inputs_EB'!$C:$C,'SRV_BY Techs'!$B124),"")</f>
        <v/>
      </c>
      <c r="U124" s="353" t="str">
        <f>IFERROR(SUMIFS('Key inputs_EB'!N:N,'Key inputs_EB'!$A:$A,"EB",'Key inputs_EB'!$C:$C,"S-OTH",'Key inputs_EB'!$E:$E,'SRV_BY Techs'!$K124)/SUMIFS('Key inputs_EB'!N:N,'Key inputs_EB'!$A:$A,"EB",'Key inputs_EB'!$C:$C,'SRV_BY Techs'!$B124),"")</f>
        <v/>
      </c>
      <c r="V124" s="353" t="str">
        <f>IFERROR(SUMIFS('Key inputs_EB'!O:O,'Key inputs_EB'!$A:$A,"EB",'Key inputs_EB'!$C:$C,"S-OTH",'Key inputs_EB'!$E:$E,'SRV_BY Techs'!$K124)/SUMIFS('Key inputs_EB'!O:O,'Key inputs_EB'!$A:$A,"EB",'Key inputs_EB'!$C:$C,'SRV_BY Techs'!$B124),"")</f>
        <v/>
      </c>
      <c r="W124" s="353" t="str">
        <f>IFERROR(SUMIFS('Key inputs_EB'!P:P,'Key inputs_EB'!$A:$A,"EB",'Key inputs_EB'!$C:$C,"S-OTH",'Key inputs_EB'!$E:$E,'SRV_BY Techs'!$K124)/SUMIFS('Key inputs_EB'!P:P,'Key inputs_EB'!$A:$A,"EB",'Key inputs_EB'!$C:$C,'SRV_BY Techs'!$B124),"")</f>
        <v/>
      </c>
      <c r="X124" s="353">
        <f>IFERROR(SUMIFS('Key inputs_EB'!Q:Q,'Key inputs_EB'!$A:$A,"EB",'Key inputs_EB'!$C:$C,"S-OTH",'Key inputs_EB'!$E:$E,'SRV_BY Techs'!$K124)/SUMIFS('Key inputs_EB'!Q:Q,'Key inputs_EB'!$A:$A,"EB",'Key inputs_EB'!$C:$C,'SRV_BY Techs'!$B124),"")</f>
        <v>0.4790090764907986</v>
      </c>
      <c r="Y124" s="353" t="str">
        <f>IFERROR(SUMIFS('Key inputs_EB'!R:R,'Key inputs_EB'!$A:$A,"EB",'Key inputs_EB'!$C:$C,"S-OTH",'Key inputs_EB'!$E:$E,'SRV_BY Techs'!$K124)/SUMIFS('Key inputs_EB'!R:R,'Key inputs_EB'!$A:$A,"EB",'Key inputs_EB'!$C:$C,'SRV_BY Techs'!$B124),"")</f>
        <v/>
      </c>
      <c r="Z124" s="353" t="str">
        <f>IFERROR(SUMIFS('Key inputs_EB'!S:S,'Key inputs_EB'!$A:$A,"EB",'Key inputs_EB'!$C:$C,"S-OTH",'Key inputs_EB'!$E:$E,'SRV_BY Techs'!$K124)/SUMIFS('Key inputs_EB'!S:S,'Key inputs_EB'!$A:$A,"EB",'Key inputs_EB'!$C:$C,'SRV_BY Techs'!$B124),"")</f>
        <v/>
      </c>
      <c r="AA124" s="353" t="str">
        <f>IFERROR(SUMIFS('Key inputs_EB'!T:T,'Key inputs_EB'!$A:$A,"EB",'Key inputs_EB'!$C:$C,"S-OTH",'Key inputs_EB'!$E:$E,'SRV_BY Techs'!$K124)/SUMIFS('Key inputs_EB'!T:T,'Key inputs_EB'!$A:$A,"EB",'Key inputs_EB'!$C:$C,'SRV_BY Techs'!$B124),"")</f>
        <v/>
      </c>
      <c r="AB124" s="353" t="str">
        <f>IFERROR(SUMIFS('Key inputs_EB'!U:U,'Key inputs_EB'!$A:$A,"EB",'Key inputs_EB'!$C:$C,"S-OTH",'Key inputs_EB'!$E:$E,'SRV_BY Techs'!$K124)/SUMIFS('Key inputs_EB'!U:U,'Key inputs_EB'!$A:$A,"EB",'Key inputs_EB'!$C:$C,'SRV_BY Techs'!$B124),"")</f>
        <v/>
      </c>
      <c r="AC124" s="353" t="str">
        <f>IFERROR(SUMIFS('Key inputs_EB'!V:V,'Key inputs_EB'!$A:$A,"EB",'Key inputs_EB'!$C:$C,"S-OTH",'Key inputs_EB'!$E:$E,'SRV_BY Techs'!$K124)/SUMIFS('Key inputs_EB'!V:V,'Key inputs_EB'!$A:$A,"EB",'Key inputs_EB'!$C:$C,'SRV_BY Techs'!$B124),"")</f>
        <v/>
      </c>
      <c r="AD124" s="353" t="str">
        <f>IFERROR(SUMIFS('Key inputs_EB'!W:W,'Key inputs_EB'!$A:$A,"EB",'Key inputs_EB'!$C:$C,"S-OTH",'Key inputs_EB'!$E:$E,'SRV_BY Techs'!$K124)/SUMIFS('Key inputs_EB'!W:W,'Key inputs_EB'!$A:$A,"EB",'Key inputs_EB'!$C:$C,'SRV_BY Techs'!$B124),"")</f>
        <v/>
      </c>
      <c r="AE124" s="353" t="str">
        <f>IFERROR(SUMIFS('Key inputs_EB'!X:X,'Key inputs_EB'!$A:$A,"EB",'Key inputs_EB'!$C:$C,"S-OTH",'Key inputs_EB'!$E:$E,'SRV_BY Techs'!$K124)/SUMIFS('Key inputs_EB'!X:X,'Key inputs_EB'!$A:$A,"EB",'Key inputs_EB'!$C:$C,'SRV_BY Techs'!$B124),"")</f>
        <v/>
      </c>
      <c r="AF124" s="353" t="str">
        <f>IFERROR(SUMIFS('Key inputs_EB'!Y:Y,'Key inputs_EB'!$A:$A,"EB",'Key inputs_EB'!$C:$C,"S-OTH",'Key inputs_EB'!$E:$E,'SRV_BY Techs'!$K124)/SUMIFS('Key inputs_EB'!Y:Y,'Key inputs_EB'!$A:$A,"EB",'Key inputs_EB'!$C:$C,'SRV_BY Techs'!$B124),"")</f>
        <v/>
      </c>
      <c r="AG124" s="353" t="str">
        <f>IFERROR(SUMIFS('Key inputs_EB'!Z:Z,'Key inputs_EB'!$A:$A,"EB",'Key inputs_EB'!$C:$C,"S-OTH",'Key inputs_EB'!$E:$E,'SRV_BY Techs'!$K124)/SUMIFS('Key inputs_EB'!Z:Z,'Key inputs_EB'!$A:$A,"EB",'Key inputs_EB'!$C:$C,'SRV_BY Techs'!$B124),"")</f>
        <v/>
      </c>
      <c r="AH124" s="353">
        <f>IFERROR(SUMIFS('Key inputs_EB'!AA:AA,'Key inputs_EB'!$A:$A,"EB",'Key inputs_EB'!$C:$C,"S-OTH",'Key inputs_EB'!$E:$E,'SRV_BY Techs'!$K124)/SUMIFS('Key inputs_EB'!AA:AA,'Key inputs_EB'!$A:$A,"EB",'Key inputs_EB'!$C:$C,'SRV_BY Techs'!$B124),"")</f>
        <v>1</v>
      </c>
      <c r="AI124" s="353" t="str">
        <f>IFERROR(SUMIFS('Key inputs_EB'!AB:AB,'Key inputs_EB'!$A:$A,"EB",'Key inputs_EB'!$C:$C,"S-OTH",'Key inputs_EB'!$E:$E,'SRV_BY Techs'!$K124)/SUMIFS('Key inputs_EB'!AB:AB,'Key inputs_EB'!$A:$A,"EB",'Key inputs_EB'!$C:$C,'SRV_BY Techs'!$B124),"")</f>
        <v/>
      </c>
      <c r="AJ124" s="353" t="str">
        <f>IFERROR(SUMIFS('Key inputs_EB'!AC:AC,'Key inputs_EB'!$A:$A,"EB",'Key inputs_EB'!$C:$C,"S-OTH",'Key inputs_EB'!$E:$E,'SRV_BY Techs'!$K124)/SUMIFS('Key inputs_EB'!AC:AC,'Key inputs_EB'!$A:$A,"EB",'Key inputs_EB'!$C:$C,'SRV_BY Techs'!$B124),"")</f>
        <v/>
      </c>
      <c r="AK124" s="353" t="str">
        <f>IFERROR(SUMIFS('Key inputs_EB'!AD:AD,'Key inputs_EB'!$A:$A,"EB",'Key inputs_EB'!$C:$C,"S-OTH",'Key inputs_EB'!$E:$E,'SRV_BY Techs'!$K124)/SUMIFS('Key inputs_EB'!AD:AD,'Key inputs_EB'!$A:$A,"EB",'Key inputs_EB'!$C:$C,'SRV_BY Techs'!$B124),"")</f>
        <v/>
      </c>
      <c r="AL124" s="353" t="str">
        <f>IFERROR(SUMIFS('Key inputs_EB'!AE:AE,'Key inputs_EB'!$A:$A,"EB",'Key inputs_EB'!$C:$C,"S-OTH",'Key inputs_EB'!$E:$E,'SRV_BY Techs'!$K124)/SUMIFS('Key inputs_EB'!AE:AE,'Key inputs_EB'!$A:$A,"EB",'Key inputs_EB'!$C:$C,'SRV_BY Techs'!$B124),"")</f>
        <v/>
      </c>
      <c r="AM124" s="353" t="str">
        <f>IFERROR(SUMIFS('Key inputs_EB'!AF:AF,'Key inputs_EB'!$A:$A,"EB",'Key inputs_EB'!$C:$C,"S-OTH",'Key inputs_EB'!$E:$E,'SRV_BY Techs'!$K124)/SUMIFS('Key inputs_EB'!AF:AF,'Key inputs_EB'!$A:$A,"EB",'Key inputs_EB'!$C:$C,'SRV_BY Techs'!$B124),"")</f>
        <v/>
      </c>
      <c r="AN124" s="353" t="str">
        <f>IFERROR(SUMIFS('Key inputs_EB'!AG:AG,'Key inputs_EB'!$A:$A,"EB",'Key inputs_EB'!$C:$C,"S-OTH",'Key inputs_EB'!$E:$E,'SRV_BY Techs'!$K124)/SUMIFS('Key inputs_EB'!AG:AG,'Key inputs_EB'!$A:$A,"EB",'Key inputs_EB'!$C:$C,'SRV_BY Techs'!$B124),"")</f>
        <v/>
      </c>
      <c r="AO124" s="353" t="str">
        <f>IFERROR(SUMIFS('Key inputs_EB'!AH:AH,'Key inputs_EB'!$A:$A,"EB",'Key inputs_EB'!$C:$C,"S-OTH",'Key inputs_EB'!$E:$E,'SRV_BY Techs'!$K124)/SUMIFS('Key inputs_EB'!AH:AH,'Key inputs_EB'!$A:$A,"EB",'Key inputs_EB'!$C:$C,'SRV_BY Techs'!$B124),"")</f>
        <v/>
      </c>
      <c r="AP124" s="353">
        <f>IFERROR(SUMIFS('Key inputs_EB'!AI:AI,'Key inputs_EB'!$A:$A,"EB",'Key inputs_EB'!$C:$C,"S-OTH",'Key inputs_EB'!$E:$E,'SRV_BY Techs'!$K124)/SUMIFS('Key inputs_EB'!AI:AI,'Key inputs_EB'!$A:$A,"EB",'Key inputs_EB'!$C:$C,'SRV_BY Techs'!$B124),"")</f>
        <v>0.60187821696576804</v>
      </c>
    </row>
    <row r="125" spans="1:42" x14ac:dyDescent="0.3">
      <c r="A125" s="499" t="str">
        <f t="shared" si="33"/>
        <v>Other uses</v>
      </c>
      <c r="B125" s="499" t="str">
        <f t="shared" si="34"/>
        <v>S-OTH</v>
      </c>
      <c r="C125" s="499"/>
      <c r="D125" s="499"/>
      <c r="E125" s="499"/>
      <c r="F125" s="499"/>
      <c r="G125" s="499"/>
      <c r="K125" s="103" t="str">
        <f t="shared" si="35"/>
        <v>SRVGEO</v>
      </c>
      <c r="L125" s="109" t="s">
        <v>190</v>
      </c>
      <c r="M125" s="109" t="s">
        <v>154</v>
      </c>
      <c r="N125" s="109" t="s">
        <v>78</v>
      </c>
      <c r="O125" s="353" t="str">
        <f>IFERROR(SUMIFS('Key inputs_EB'!H:H,'Key inputs_EB'!$A:$A,"EB",'Key inputs_EB'!$C:$C,"S-OTH",'Key inputs_EB'!$E:$E,'SRV_BY Techs'!$K125)/SUMIFS('Key inputs_EB'!H:H,'Key inputs_EB'!$A:$A,"EB",'Key inputs_EB'!$C:$C,'SRV_BY Techs'!$B125),"")</f>
        <v/>
      </c>
      <c r="P125" s="353" t="str">
        <f>IFERROR(SUMIFS('Key inputs_EB'!I:I,'Key inputs_EB'!$A:$A,"EB",'Key inputs_EB'!$C:$C,"S-OTH",'Key inputs_EB'!$E:$E,'SRV_BY Techs'!$K125)/SUMIFS('Key inputs_EB'!I:I,'Key inputs_EB'!$A:$A,"EB",'Key inputs_EB'!$C:$C,'SRV_BY Techs'!$B125),"")</f>
        <v/>
      </c>
      <c r="Q125" s="353" t="str">
        <f>IFERROR(SUMIFS('Key inputs_EB'!J:J,'Key inputs_EB'!$A:$A,"EB",'Key inputs_EB'!$C:$C,"S-OTH",'Key inputs_EB'!$E:$E,'SRV_BY Techs'!$K125)/SUMIFS('Key inputs_EB'!J:J,'Key inputs_EB'!$A:$A,"EB",'Key inputs_EB'!$C:$C,'SRV_BY Techs'!$B125),"")</f>
        <v/>
      </c>
      <c r="R125" s="353" t="str">
        <f>IFERROR(SUMIFS('Key inputs_EB'!K:K,'Key inputs_EB'!$A:$A,"EB",'Key inputs_EB'!$C:$C,"S-OTH",'Key inputs_EB'!$E:$E,'SRV_BY Techs'!$K125)/SUMIFS('Key inputs_EB'!K:K,'Key inputs_EB'!$A:$A,"EB",'Key inputs_EB'!$C:$C,'SRV_BY Techs'!$B125),"")</f>
        <v/>
      </c>
      <c r="S125" s="353" t="str">
        <f>IFERROR(SUMIFS('Key inputs_EB'!L:L,'Key inputs_EB'!$A:$A,"EB",'Key inputs_EB'!$C:$C,"S-OTH",'Key inputs_EB'!$E:$E,'SRV_BY Techs'!$K125)/SUMIFS('Key inputs_EB'!L:L,'Key inputs_EB'!$A:$A,"EB",'Key inputs_EB'!$C:$C,'SRV_BY Techs'!$B125),"")</f>
        <v/>
      </c>
      <c r="T125" s="353" t="str">
        <f>IFERROR(SUMIFS('Key inputs_EB'!M:M,'Key inputs_EB'!$A:$A,"EB",'Key inputs_EB'!$C:$C,"S-OTH",'Key inputs_EB'!$E:$E,'SRV_BY Techs'!$K125)/SUMIFS('Key inputs_EB'!M:M,'Key inputs_EB'!$A:$A,"EB",'Key inputs_EB'!$C:$C,'SRV_BY Techs'!$B125),"")</f>
        <v/>
      </c>
      <c r="U125" s="353" t="str">
        <f>IFERROR(SUMIFS('Key inputs_EB'!N:N,'Key inputs_EB'!$A:$A,"EB",'Key inputs_EB'!$C:$C,"S-OTH",'Key inputs_EB'!$E:$E,'SRV_BY Techs'!$K125)/SUMIFS('Key inputs_EB'!N:N,'Key inputs_EB'!$A:$A,"EB",'Key inputs_EB'!$C:$C,'SRV_BY Techs'!$B125),"")</f>
        <v/>
      </c>
      <c r="V125" s="353" t="str">
        <f>IFERROR(SUMIFS('Key inputs_EB'!O:O,'Key inputs_EB'!$A:$A,"EB",'Key inputs_EB'!$C:$C,"S-OTH",'Key inputs_EB'!$E:$E,'SRV_BY Techs'!$K125)/SUMIFS('Key inputs_EB'!O:O,'Key inputs_EB'!$A:$A,"EB",'Key inputs_EB'!$C:$C,'SRV_BY Techs'!$B125),"")</f>
        <v/>
      </c>
      <c r="W125" s="353" t="str">
        <f>IFERROR(SUMIFS('Key inputs_EB'!P:P,'Key inputs_EB'!$A:$A,"EB",'Key inputs_EB'!$C:$C,"S-OTH",'Key inputs_EB'!$E:$E,'SRV_BY Techs'!$K125)/SUMIFS('Key inputs_EB'!P:P,'Key inputs_EB'!$A:$A,"EB",'Key inputs_EB'!$C:$C,'SRV_BY Techs'!$B125),"")</f>
        <v/>
      </c>
      <c r="X125" s="353">
        <f>IFERROR(SUMIFS('Key inputs_EB'!Q:Q,'Key inputs_EB'!$A:$A,"EB",'Key inputs_EB'!$C:$C,"S-OTH",'Key inputs_EB'!$E:$E,'SRV_BY Techs'!$K125)/SUMIFS('Key inputs_EB'!Q:Q,'Key inputs_EB'!$A:$A,"EB",'Key inputs_EB'!$C:$C,'SRV_BY Techs'!$B125),"")</f>
        <v>0</v>
      </c>
      <c r="Y125" s="353" t="str">
        <f>IFERROR(SUMIFS('Key inputs_EB'!R:R,'Key inputs_EB'!$A:$A,"EB",'Key inputs_EB'!$C:$C,"S-OTH",'Key inputs_EB'!$E:$E,'SRV_BY Techs'!$K125)/SUMIFS('Key inputs_EB'!R:R,'Key inputs_EB'!$A:$A,"EB",'Key inputs_EB'!$C:$C,'SRV_BY Techs'!$B125),"")</f>
        <v/>
      </c>
      <c r="Z125" s="353" t="str">
        <f>IFERROR(SUMIFS('Key inputs_EB'!S:S,'Key inputs_EB'!$A:$A,"EB",'Key inputs_EB'!$C:$C,"S-OTH",'Key inputs_EB'!$E:$E,'SRV_BY Techs'!$K125)/SUMIFS('Key inputs_EB'!S:S,'Key inputs_EB'!$A:$A,"EB",'Key inputs_EB'!$C:$C,'SRV_BY Techs'!$B125),"")</f>
        <v/>
      </c>
      <c r="AA125" s="353" t="str">
        <f>IFERROR(SUMIFS('Key inputs_EB'!T:T,'Key inputs_EB'!$A:$A,"EB",'Key inputs_EB'!$C:$C,"S-OTH",'Key inputs_EB'!$E:$E,'SRV_BY Techs'!$K125)/SUMIFS('Key inputs_EB'!T:T,'Key inputs_EB'!$A:$A,"EB",'Key inputs_EB'!$C:$C,'SRV_BY Techs'!$B125),"")</f>
        <v/>
      </c>
      <c r="AB125" s="353" t="str">
        <f>IFERROR(SUMIFS('Key inputs_EB'!U:U,'Key inputs_EB'!$A:$A,"EB",'Key inputs_EB'!$C:$C,"S-OTH",'Key inputs_EB'!$E:$E,'SRV_BY Techs'!$K125)/SUMIFS('Key inputs_EB'!U:U,'Key inputs_EB'!$A:$A,"EB",'Key inputs_EB'!$C:$C,'SRV_BY Techs'!$B125),"")</f>
        <v/>
      </c>
      <c r="AC125" s="353" t="str">
        <f>IFERROR(SUMIFS('Key inputs_EB'!V:V,'Key inputs_EB'!$A:$A,"EB",'Key inputs_EB'!$C:$C,"S-OTH",'Key inputs_EB'!$E:$E,'SRV_BY Techs'!$K125)/SUMIFS('Key inputs_EB'!V:V,'Key inputs_EB'!$A:$A,"EB",'Key inputs_EB'!$C:$C,'SRV_BY Techs'!$B125),"")</f>
        <v/>
      </c>
      <c r="AD125" s="353" t="str">
        <f>IFERROR(SUMIFS('Key inputs_EB'!W:W,'Key inputs_EB'!$A:$A,"EB",'Key inputs_EB'!$C:$C,"S-OTH",'Key inputs_EB'!$E:$E,'SRV_BY Techs'!$K125)/SUMIFS('Key inputs_EB'!W:W,'Key inputs_EB'!$A:$A,"EB",'Key inputs_EB'!$C:$C,'SRV_BY Techs'!$B125),"")</f>
        <v/>
      </c>
      <c r="AE125" s="353" t="str">
        <f>IFERROR(SUMIFS('Key inputs_EB'!X:X,'Key inputs_EB'!$A:$A,"EB",'Key inputs_EB'!$C:$C,"S-OTH",'Key inputs_EB'!$E:$E,'SRV_BY Techs'!$K125)/SUMIFS('Key inputs_EB'!X:X,'Key inputs_EB'!$A:$A,"EB",'Key inputs_EB'!$C:$C,'SRV_BY Techs'!$B125),"")</f>
        <v/>
      </c>
      <c r="AF125" s="353" t="str">
        <f>IFERROR(SUMIFS('Key inputs_EB'!Y:Y,'Key inputs_EB'!$A:$A,"EB",'Key inputs_EB'!$C:$C,"S-OTH",'Key inputs_EB'!$E:$E,'SRV_BY Techs'!$K125)/SUMIFS('Key inputs_EB'!Y:Y,'Key inputs_EB'!$A:$A,"EB",'Key inputs_EB'!$C:$C,'SRV_BY Techs'!$B125),"")</f>
        <v/>
      </c>
      <c r="AG125" s="353" t="str">
        <f>IFERROR(SUMIFS('Key inputs_EB'!Z:Z,'Key inputs_EB'!$A:$A,"EB",'Key inputs_EB'!$C:$C,"S-OTH",'Key inputs_EB'!$E:$E,'SRV_BY Techs'!$K125)/SUMIFS('Key inputs_EB'!Z:Z,'Key inputs_EB'!$A:$A,"EB",'Key inputs_EB'!$C:$C,'SRV_BY Techs'!$B125),"")</f>
        <v/>
      </c>
      <c r="AH125" s="353">
        <f>IFERROR(SUMIFS('Key inputs_EB'!AA:AA,'Key inputs_EB'!$A:$A,"EB",'Key inputs_EB'!$C:$C,"S-OTH",'Key inputs_EB'!$E:$E,'SRV_BY Techs'!$K125)/SUMIFS('Key inputs_EB'!AA:AA,'Key inputs_EB'!$A:$A,"EB",'Key inputs_EB'!$C:$C,'SRV_BY Techs'!$B125),"")</f>
        <v>0</v>
      </c>
      <c r="AI125" s="353" t="str">
        <f>IFERROR(SUMIFS('Key inputs_EB'!AB:AB,'Key inputs_EB'!$A:$A,"EB",'Key inputs_EB'!$C:$C,"S-OTH",'Key inputs_EB'!$E:$E,'SRV_BY Techs'!$K125)/SUMIFS('Key inputs_EB'!AB:AB,'Key inputs_EB'!$A:$A,"EB",'Key inputs_EB'!$C:$C,'SRV_BY Techs'!$B125),"")</f>
        <v/>
      </c>
      <c r="AJ125" s="353" t="str">
        <f>IFERROR(SUMIFS('Key inputs_EB'!AC:AC,'Key inputs_EB'!$A:$A,"EB",'Key inputs_EB'!$C:$C,"S-OTH",'Key inputs_EB'!$E:$E,'SRV_BY Techs'!$K125)/SUMIFS('Key inputs_EB'!AC:AC,'Key inputs_EB'!$A:$A,"EB",'Key inputs_EB'!$C:$C,'SRV_BY Techs'!$B125),"")</f>
        <v/>
      </c>
      <c r="AK125" s="353" t="str">
        <f>IFERROR(SUMIFS('Key inputs_EB'!AD:AD,'Key inputs_EB'!$A:$A,"EB",'Key inputs_EB'!$C:$C,"S-OTH",'Key inputs_EB'!$E:$E,'SRV_BY Techs'!$K125)/SUMIFS('Key inputs_EB'!AD:AD,'Key inputs_EB'!$A:$A,"EB",'Key inputs_EB'!$C:$C,'SRV_BY Techs'!$B125),"")</f>
        <v/>
      </c>
      <c r="AL125" s="353" t="str">
        <f>IFERROR(SUMIFS('Key inputs_EB'!AE:AE,'Key inputs_EB'!$A:$A,"EB",'Key inputs_EB'!$C:$C,"S-OTH",'Key inputs_EB'!$E:$E,'SRV_BY Techs'!$K125)/SUMIFS('Key inputs_EB'!AE:AE,'Key inputs_EB'!$A:$A,"EB",'Key inputs_EB'!$C:$C,'SRV_BY Techs'!$B125),"")</f>
        <v/>
      </c>
      <c r="AM125" s="353" t="str">
        <f>IFERROR(SUMIFS('Key inputs_EB'!AF:AF,'Key inputs_EB'!$A:$A,"EB",'Key inputs_EB'!$C:$C,"S-OTH",'Key inputs_EB'!$E:$E,'SRV_BY Techs'!$K125)/SUMIFS('Key inputs_EB'!AF:AF,'Key inputs_EB'!$A:$A,"EB",'Key inputs_EB'!$C:$C,'SRV_BY Techs'!$B125),"")</f>
        <v/>
      </c>
      <c r="AN125" s="353" t="str">
        <f>IFERROR(SUMIFS('Key inputs_EB'!AG:AG,'Key inputs_EB'!$A:$A,"EB",'Key inputs_EB'!$C:$C,"S-OTH",'Key inputs_EB'!$E:$E,'SRV_BY Techs'!$K125)/SUMIFS('Key inputs_EB'!AG:AG,'Key inputs_EB'!$A:$A,"EB",'Key inputs_EB'!$C:$C,'SRV_BY Techs'!$B125),"")</f>
        <v/>
      </c>
      <c r="AO125" s="353" t="str">
        <f>IFERROR(SUMIFS('Key inputs_EB'!AH:AH,'Key inputs_EB'!$A:$A,"EB",'Key inputs_EB'!$C:$C,"S-OTH",'Key inputs_EB'!$E:$E,'SRV_BY Techs'!$K125)/SUMIFS('Key inputs_EB'!AH:AH,'Key inputs_EB'!$A:$A,"EB",'Key inputs_EB'!$C:$C,'SRV_BY Techs'!$B125),"")</f>
        <v/>
      </c>
      <c r="AP125" s="353">
        <f>IFERROR(SUMIFS('Key inputs_EB'!AI:AI,'Key inputs_EB'!$A:$A,"EB",'Key inputs_EB'!$C:$C,"S-OTH",'Key inputs_EB'!$E:$E,'SRV_BY Techs'!$K125)/SUMIFS('Key inputs_EB'!AI:AI,'Key inputs_EB'!$A:$A,"EB",'Key inputs_EB'!$C:$C,'SRV_BY Techs'!$B125),"")</f>
        <v>0</v>
      </c>
    </row>
    <row r="126" spans="1:42" x14ac:dyDescent="0.3">
      <c r="A126" s="499" t="str">
        <f t="shared" si="33"/>
        <v>Other uses</v>
      </c>
      <c r="B126" s="499" t="str">
        <f t="shared" si="34"/>
        <v>S-OTH</v>
      </c>
      <c r="C126" s="499"/>
      <c r="D126" s="499"/>
      <c r="E126" s="499"/>
      <c r="F126" s="499"/>
      <c r="G126" s="499"/>
      <c r="K126" s="103" t="str">
        <f t="shared" si="35"/>
        <v>SRVHET</v>
      </c>
      <c r="L126" s="109" t="s">
        <v>190</v>
      </c>
      <c r="M126" s="109" t="s">
        <v>154</v>
      </c>
      <c r="N126" s="109" t="s">
        <v>78</v>
      </c>
      <c r="O126" s="353" t="str">
        <f>IFERROR(SUMIFS('Key inputs_EB'!H:H,'Key inputs_EB'!$A:$A,"EB",'Key inputs_EB'!$C:$C,"S-OTH",'Key inputs_EB'!$E:$E,'SRV_BY Techs'!$K126)/SUMIFS('Key inputs_EB'!H:H,'Key inputs_EB'!$A:$A,"EB",'Key inputs_EB'!$C:$C,'SRV_BY Techs'!$B126),"")</f>
        <v/>
      </c>
      <c r="P126" s="353" t="str">
        <f>IFERROR(SUMIFS('Key inputs_EB'!I:I,'Key inputs_EB'!$A:$A,"EB",'Key inputs_EB'!$C:$C,"S-OTH",'Key inputs_EB'!$E:$E,'SRV_BY Techs'!$K126)/SUMIFS('Key inputs_EB'!I:I,'Key inputs_EB'!$A:$A,"EB",'Key inputs_EB'!$C:$C,'SRV_BY Techs'!$B126),"")</f>
        <v/>
      </c>
      <c r="Q126" s="353" t="str">
        <f>IFERROR(SUMIFS('Key inputs_EB'!J:J,'Key inputs_EB'!$A:$A,"EB",'Key inputs_EB'!$C:$C,"S-OTH",'Key inputs_EB'!$E:$E,'SRV_BY Techs'!$K126)/SUMIFS('Key inputs_EB'!J:J,'Key inputs_EB'!$A:$A,"EB",'Key inputs_EB'!$C:$C,'SRV_BY Techs'!$B126),"")</f>
        <v/>
      </c>
      <c r="R126" s="353" t="str">
        <f>IFERROR(SUMIFS('Key inputs_EB'!K:K,'Key inputs_EB'!$A:$A,"EB",'Key inputs_EB'!$C:$C,"S-OTH",'Key inputs_EB'!$E:$E,'SRV_BY Techs'!$K126)/SUMIFS('Key inputs_EB'!K:K,'Key inputs_EB'!$A:$A,"EB",'Key inputs_EB'!$C:$C,'SRV_BY Techs'!$B126),"")</f>
        <v/>
      </c>
      <c r="S126" s="353" t="str">
        <f>IFERROR(SUMIFS('Key inputs_EB'!L:L,'Key inputs_EB'!$A:$A,"EB",'Key inputs_EB'!$C:$C,"S-OTH",'Key inputs_EB'!$E:$E,'SRV_BY Techs'!$K126)/SUMIFS('Key inputs_EB'!L:L,'Key inputs_EB'!$A:$A,"EB",'Key inputs_EB'!$C:$C,'SRV_BY Techs'!$B126),"")</f>
        <v/>
      </c>
      <c r="T126" s="353" t="str">
        <f>IFERROR(SUMIFS('Key inputs_EB'!M:M,'Key inputs_EB'!$A:$A,"EB",'Key inputs_EB'!$C:$C,"S-OTH",'Key inputs_EB'!$E:$E,'SRV_BY Techs'!$K126)/SUMIFS('Key inputs_EB'!M:M,'Key inputs_EB'!$A:$A,"EB",'Key inputs_EB'!$C:$C,'SRV_BY Techs'!$B126),"")</f>
        <v/>
      </c>
      <c r="U126" s="353" t="str">
        <f>IFERROR(SUMIFS('Key inputs_EB'!N:N,'Key inputs_EB'!$A:$A,"EB",'Key inputs_EB'!$C:$C,"S-OTH",'Key inputs_EB'!$E:$E,'SRV_BY Techs'!$K126)/SUMIFS('Key inputs_EB'!N:N,'Key inputs_EB'!$A:$A,"EB",'Key inputs_EB'!$C:$C,'SRV_BY Techs'!$B126),"")</f>
        <v/>
      </c>
      <c r="V126" s="353" t="str">
        <f>IFERROR(SUMIFS('Key inputs_EB'!O:O,'Key inputs_EB'!$A:$A,"EB",'Key inputs_EB'!$C:$C,"S-OTH",'Key inputs_EB'!$E:$E,'SRV_BY Techs'!$K126)/SUMIFS('Key inputs_EB'!O:O,'Key inputs_EB'!$A:$A,"EB",'Key inputs_EB'!$C:$C,'SRV_BY Techs'!$B126),"")</f>
        <v/>
      </c>
      <c r="W126" s="353" t="str">
        <f>IFERROR(SUMIFS('Key inputs_EB'!P:P,'Key inputs_EB'!$A:$A,"EB",'Key inputs_EB'!$C:$C,"S-OTH",'Key inputs_EB'!$E:$E,'SRV_BY Techs'!$K126)/SUMIFS('Key inputs_EB'!P:P,'Key inputs_EB'!$A:$A,"EB",'Key inputs_EB'!$C:$C,'SRV_BY Techs'!$B126),"")</f>
        <v/>
      </c>
      <c r="X126" s="353">
        <f>IFERROR(SUMIFS('Key inputs_EB'!Q:Q,'Key inputs_EB'!$A:$A,"EB",'Key inputs_EB'!$C:$C,"S-OTH",'Key inputs_EB'!$E:$E,'SRV_BY Techs'!$K126)/SUMIFS('Key inputs_EB'!Q:Q,'Key inputs_EB'!$A:$A,"EB",'Key inputs_EB'!$C:$C,'SRV_BY Techs'!$B126),"")</f>
        <v>0</v>
      </c>
      <c r="Y126" s="353" t="str">
        <f>IFERROR(SUMIFS('Key inputs_EB'!R:R,'Key inputs_EB'!$A:$A,"EB",'Key inputs_EB'!$C:$C,"S-OTH",'Key inputs_EB'!$E:$E,'SRV_BY Techs'!$K126)/SUMIFS('Key inputs_EB'!R:R,'Key inputs_EB'!$A:$A,"EB",'Key inputs_EB'!$C:$C,'SRV_BY Techs'!$B126),"")</f>
        <v/>
      </c>
      <c r="Z126" s="353" t="str">
        <f>IFERROR(SUMIFS('Key inputs_EB'!S:S,'Key inputs_EB'!$A:$A,"EB",'Key inputs_EB'!$C:$C,"S-OTH",'Key inputs_EB'!$E:$E,'SRV_BY Techs'!$K126)/SUMIFS('Key inputs_EB'!S:S,'Key inputs_EB'!$A:$A,"EB",'Key inputs_EB'!$C:$C,'SRV_BY Techs'!$B126),"")</f>
        <v/>
      </c>
      <c r="AA126" s="353" t="str">
        <f>IFERROR(SUMIFS('Key inputs_EB'!T:T,'Key inputs_EB'!$A:$A,"EB",'Key inputs_EB'!$C:$C,"S-OTH",'Key inputs_EB'!$E:$E,'SRV_BY Techs'!$K126)/SUMIFS('Key inputs_EB'!T:T,'Key inputs_EB'!$A:$A,"EB",'Key inputs_EB'!$C:$C,'SRV_BY Techs'!$B126),"")</f>
        <v/>
      </c>
      <c r="AB126" s="353" t="str">
        <f>IFERROR(SUMIFS('Key inputs_EB'!U:U,'Key inputs_EB'!$A:$A,"EB",'Key inputs_EB'!$C:$C,"S-OTH",'Key inputs_EB'!$E:$E,'SRV_BY Techs'!$K126)/SUMIFS('Key inputs_EB'!U:U,'Key inputs_EB'!$A:$A,"EB",'Key inputs_EB'!$C:$C,'SRV_BY Techs'!$B126),"")</f>
        <v/>
      </c>
      <c r="AC126" s="353" t="str">
        <f>IFERROR(SUMIFS('Key inputs_EB'!V:V,'Key inputs_EB'!$A:$A,"EB",'Key inputs_EB'!$C:$C,"S-OTH",'Key inputs_EB'!$E:$E,'SRV_BY Techs'!$K126)/SUMIFS('Key inputs_EB'!V:V,'Key inputs_EB'!$A:$A,"EB",'Key inputs_EB'!$C:$C,'SRV_BY Techs'!$B126),"")</f>
        <v/>
      </c>
      <c r="AD126" s="353" t="str">
        <f>IFERROR(SUMIFS('Key inputs_EB'!W:W,'Key inputs_EB'!$A:$A,"EB",'Key inputs_EB'!$C:$C,"S-OTH",'Key inputs_EB'!$E:$E,'SRV_BY Techs'!$K126)/SUMIFS('Key inputs_EB'!W:W,'Key inputs_EB'!$A:$A,"EB",'Key inputs_EB'!$C:$C,'SRV_BY Techs'!$B126),"")</f>
        <v/>
      </c>
      <c r="AE126" s="353" t="str">
        <f>IFERROR(SUMIFS('Key inputs_EB'!X:X,'Key inputs_EB'!$A:$A,"EB",'Key inputs_EB'!$C:$C,"S-OTH",'Key inputs_EB'!$E:$E,'SRV_BY Techs'!$K126)/SUMIFS('Key inputs_EB'!X:X,'Key inputs_EB'!$A:$A,"EB",'Key inputs_EB'!$C:$C,'SRV_BY Techs'!$B126),"")</f>
        <v/>
      </c>
      <c r="AF126" s="353" t="str">
        <f>IFERROR(SUMIFS('Key inputs_EB'!Y:Y,'Key inputs_EB'!$A:$A,"EB",'Key inputs_EB'!$C:$C,"S-OTH",'Key inputs_EB'!$E:$E,'SRV_BY Techs'!$K126)/SUMIFS('Key inputs_EB'!Y:Y,'Key inputs_EB'!$A:$A,"EB",'Key inputs_EB'!$C:$C,'SRV_BY Techs'!$B126),"")</f>
        <v/>
      </c>
      <c r="AG126" s="353" t="str">
        <f>IFERROR(SUMIFS('Key inputs_EB'!Z:Z,'Key inputs_EB'!$A:$A,"EB",'Key inputs_EB'!$C:$C,"S-OTH",'Key inputs_EB'!$E:$E,'SRV_BY Techs'!$K126)/SUMIFS('Key inputs_EB'!Z:Z,'Key inputs_EB'!$A:$A,"EB",'Key inputs_EB'!$C:$C,'SRV_BY Techs'!$B126),"")</f>
        <v/>
      </c>
      <c r="AH126" s="353">
        <f>IFERROR(SUMIFS('Key inputs_EB'!AA:AA,'Key inputs_EB'!$A:$A,"EB",'Key inputs_EB'!$C:$C,"S-OTH",'Key inputs_EB'!$E:$E,'SRV_BY Techs'!$K126)/SUMIFS('Key inputs_EB'!AA:AA,'Key inputs_EB'!$A:$A,"EB",'Key inputs_EB'!$C:$C,'SRV_BY Techs'!$B126),"")</f>
        <v>0</v>
      </c>
      <c r="AI126" s="353" t="str">
        <f>IFERROR(SUMIFS('Key inputs_EB'!AB:AB,'Key inputs_EB'!$A:$A,"EB",'Key inputs_EB'!$C:$C,"S-OTH",'Key inputs_EB'!$E:$E,'SRV_BY Techs'!$K126)/SUMIFS('Key inputs_EB'!AB:AB,'Key inputs_EB'!$A:$A,"EB",'Key inputs_EB'!$C:$C,'SRV_BY Techs'!$B126),"")</f>
        <v/>
      </c>
      <c r="AJ126" s="353" t="str">
        <f>IFERROR(SUMIFS('Key inputs_EB'!AC:AC,'Key inputs_EB'!$A:$A,"EB",'Key inputs_EB'!$C:$C,"S-OTH",'Key inputs_EB'!$E:$E,'SRV_BY Techs'!$K126)/SUMIFS('Key inputs_EB'!AC:AC,'Key inputs_EB'!$A:$A,"EB",'Key inputs_EB'!$C:$C,'SRV_BY Techs'!$B126),"")</f>
        <v/>
      </c>
      <c r="AK126" s="353" t="str">
        <f>IFERROR(SUMIFS('Key inputs_EB'!AD:AD,'Key inputs_EB'!$A:$A,"EB",'Key inputs_EB'!$C:$C,"S-OTH",'Key inputs_EB'!$E:$E,'SRV_BY Techs'!$K126)/SUMIFS('Key inputs_EB'!AD:AD,'Key inputs_EB'!$A:$A,"EB",'Key inputs_EB'!$C:$C,'SRV_BY Techs'!$B126),"")</f>
        <v/>
      </c>
      <c r="AL126" s="353" t="str">
        <f>IFERROR(SUMIFS('Key inputs_EB'!AE:AE,'Key inputs_EB'!$A:$A,"EB",'Key inputs_EB'!$C:$C,"S-OTH",'Key inputs_EB'!$E:$E,'SRV_BY Techs'!$K126)/SUMIFS('Key inputs_EB'!AE:AE,'Key inputs_EB'!$A:$A,"EB",'Key inputs_EB'!$C:$C,'SRV_BY Techs'!$B126),"")</f>
        <v/>
      </c>
      <c r="AM126" s="353" t="str">
        <f>IFERROR(SUMIFS('Key inputs_EB'!AF:AF,'Key inputs_EB'!$A:$A,"EB",'Key inputs_EB'!$C:$C,"S-OTH",'Key inputs_EB'!$E:$E,'SRV_BY Techs'!$K126)/SUMIFS('Key inputs_EB'!AF:AF,'Key inputs_EB'!$A:$A,"EB",'Key inputs_EB'!$C:$C,'SRV_BY Techs'!$B126),"")</f>
        <v/>
      </c>
      <c r="AN126" s="353" t="str">
        <f>IFERROR(SUMIFS('Key inputs_EB'!AG:AG,'Key inputs_EB'!$A:$A,"EB",'Key inputs_EB'!$C:$C,"S-OTH",'Key inputs_EB'!$E:$E,'SRV_BY Techs'!$K126)/SUMIFS('Key inputs_EB'!AG:AG,'Key inputs_EB'!$A:$A,"EB",'Key inputs_EB'!$C:$C,'SRV_BY Techs'!$B126),"")</f>
        <v/>
      </c>
      <c r="AO126" s="353" t="str">
        <f>IFERROR(SUMIFS('Key inputs_EB'!AH:AH,'Key inputs_EB'!$A:$A,"EB",'Key inputs_EB'!$C:$C,"S-OTH",'Key inputs_EB'!$E:$E,'SRV_BY Techs'!$K126)/SUMIFS('Key inputs_EB'!AH:AH,'Key inputs_EB'!$A:$A,"EB",'Key inputs_EB'!$C:$C,'SRV_BY Techs'!$B126),"")</f>
        <v/>
      </c>
      <c r="AP126" s="353">
        <f>IFERROR(SUMIFS('Key inputs_EB'!AI:AI,'Key inputs_EB'!$A:$A,"EB",'Key inputs_EB'!$C:$C,"S-OTH",'Key inputs_EB'!$E:$E,'SRV_BY Techs'!$K126)/SUMIFS('Key inputs_EB'!AI:AI,'Key inputs_EB'!$A:$A,"EB",'Key inputs_EB'!$C:$C,'SRV_BY Techs'!$B126),"")</f>
        <v>0</v>
      </c>
    </row>
    <row r="127" spans="1:42" x14ac:dyDescent="0.3">
      <c r="A127" s="499" t="str">
        <f t="shared" si="33"/>
        <v>Other uses</v>
      </c>
      <c r="B127" s="499" t="str">
        <f t="shared" si="34"/>
        <v>S-OTH</v>
      </c>
      <c r="C127" s="499"/>
      <c r="D127" s="499"/>
      <c r="E127" s="499"/>
      <c r="F127" s="499"/>
      <c r="G127" s="499"/>
      <c r="K127" s="103" t="str">
        <f t="shared" si="35"/>
        <v>SRVBLQ</v>
      </c>
      <c r="L127" s="109" t="s">
        <v>190</v>
      </c>
      <c r="M127" s="109" t="s">
        <v>154</v>
      </c>
      <c r="N127" s="109" t="s">
        <v>78</v>
      </c>
      <c r="O127" s="353" t="str">
        <f>IFERROR(SUMIFS('Key inputs_EB'!H:H,'Key inputs_EB'!$A:$A,"EB",'Key inputs_EB'!$C:$C,"S-OTH",'Key inputs_EB'!$E:$E,'SRV_BY Techs'!$K127)/SUMIFS('Key inputs_EB'!H:H,'Key inputs_EB'!$A:$A,"EB",'Key inputs_EB'!$C:$C,'SRV_BY Techs'!$B127),"")</f>
        <v/>
      </c>
      <c r="P127" s="353" t="str">
        <f>IFERROR(SUMIFS('Key inputs_EB'!I:I,'Key inputs_EB'!$A:$A,"EB",'Key inputs_EB'!$C:$C,"S-OTH",'Key inputs_EB'!$E:$E,'SRV_BY Techs'!$K127)/SUMIFS('Key inputs_EB'!I:I,'Key inputs_EB'!$A:$A,"EB",'Key inputs_EB'!$C:$C,'SRV_BY Techs'!$B127),"")</f>
        <v/>
      </c>
      <c r="Q127" s="353" t="str">
        <f>IFERROR(SUMIFS('Key inputs_EB'!J:J,'Key inputs_EB'!$A:$A,"EB",'Key inputs_EB'!$C:$C,"S-OTH",'Key inputs_EB'!$E:$E,'SRV_BY Techs'!$K127)/SUMIFS('Key inputs_EB'!J:J,'Key inputs_EB'!$A:$A,"EB",'Key inputs_EB'!$C:$C,'SRV_BY Techs'!$B127),"")</f>
        <v/>
      </c>
      <c r="R127" s="353" t="str">
        <f>IFERROR(SUMIFS('Key inputs_EB'!K:K,'Key inputs_EB'!$A:$A,"EB",'Key inputs_EB'!$C:$C,"S-OTH",'Key inputs_EB'!$E:$E,'SRV_BY Techs'!$K127)/SUMIFS('Key inputs_EB'!K:K,'Key inputs_EB'!$A:$A,"EB",'Key inputs_EB'!$C:$C,'SRV_BY Techs'!$B127),"")</f>
        <v/>
      </c>
      <c r="S127" s="353" t="str">
        <f>IFERROR(SUMIFS('Key inputs_EB'!L:L,'Key inputs_EB'!$A:$A,"EB",'Key inputs_EB'!$C:$C,"S-OTH",'Key inputs_EB'!$E:$E,'SRV_BY Techs'!$K127)/SUMIFS('Key inputs_EB'!L:L,'Key inputs_EB'!$A:$A,"EB",'Key inputs_EB'!$C:$C,'SRV_BY Techs'!$B127),"")</f>
        <v/>
      </c>
      <c r="T127" s="353" t="str">
        <f>IFERROR(SUMIFS('Key inputs_EB'!M:M,'Key inputs_EB'!$A:$A,"EB",'Key inputs_EB'!$C:$C,"S-OTH",'Key inputs_EB'!$E:$E,'SRV_BY Techs'!$K127)/SUMIFS('Key inputs_EB'!M:M,'Key inputs_EB'!$A:$A,"EB",'Key inputs_EB'!$C:$C,'SRV_BY Techs'!$B127),"")</f>
        <v/>
      </c>
      <c r="U127" s="353" t="str">
        <f>IFERROR(SUMIFS('Key inputs_EB'!N:N,'Key inputs_EB'!$A:$A,"EB",'Key inputs_EB'!$C:$C,"S-OTH",'Key inputs_EB'!$E:$E,'SRV_BY Techs'!$K127)/SUMIFS('Key inputs_EB'!N:N,'Key inputs_EB'!$A:$A,"EB",'Key inputs_EB'!$C:$C,'SRV_BY Techs'!$B127),"")</f>
        <v/>
      </c>
      <c r="V127" s="353" t="str">
        <f>IFERROR(SUMIFS('Key inputs_EB'!O:O,'Key inputs_EB'!$A:$A,"EB",'Key inputs_EB'!$C:$C,"S-OTH",'Key inputs_EB'!$E:$E,'SRV_BY Techs'!$K127)/SUMIFS('Key inputs_EB'!O:O,'Key inputs_EB'!$A:$A,"EB",'Key inputs_EB'!$C:$C,'SRV_BY Techs'!$B127),"")</f>
        <v/>
      </c>
      <c r="W127" s="353" t="str">
        <f>IFERROR(SUMIFS('Key inputs_EB'!P:P,'Key inputs_EB'!$A:$A,"EB",'Key inputs_EB'!$C:$C,"S-OTH",'Key inputs_EB'!$E:$E,'SRV_BY Techs'!$K127)/SUMIFS('Key inputs_EB'!P:P,'Key inputs_EB'!$A:$A,"EB",'Key inputs_EB'!$C:$C,'SRV_BY Techs'!$B127),"")</f>
        <v/>
      </c>
      <c r="X127" s="353">
        <f>IFERROR(SUMIFS('Key inputs_EB'!Q:Q,'Key inputs_EB'!$A:$A,"EB",'Key inputs_EB'!$C:$C,"S-OTH",'Key inputs_EB'!$E:$E,'SRV_BY Techs'!$K127)/SUMIFS('Key inputs_EB'!Q:Q,'Key inputs_EB'!$A:$A,"EB",'Key inputs_EB'!$C:$C,'SRV_BY Techs'!$B127),"")</f>
        <v>0</v>
      </c>
      <c r="Y127" s="353" t="str">
        <f>IFERROR(SUMIFS('Key inputs_EB'!R:R,'Key inputs_EB'!$A:$A,"EB",'Key inputs_EB'!$C:$C,"S-OTH",'Key inputs_EB'!$E:$E,'SRV_BY Techs'!$K127)/SUMIFS('Key inputs_EB'!R:R,'Key inputs_EB'!$A:$A,"EB",'Key inputs_EB'!$C:$C,'SRV_BY Techs'!$B127),"")</f>
        <v/>
      </c>
      <c r="Z127" s="353" t="str">
        <f>IFERROR(SUMIFS('Key inputs_EB'!S:S,'Key inputs_EB'!$A:$A,"EB",'Key inputs_EB'!$C:$C,"S-OTH",'Key inputs_EB'!$E:$E,'SRV_BY Techs'!$K127)/SUMIFS('Key inputs_EB'!S:S,'Key inputs_EB'!$A:$A,"EB",'Key inputs_EB'!$C:$C,'SRV_BY Techs'!$B127),"")</f>
        <v/>
      </c>
      <c r="AA127" s="353" t="str">
        <f>IFERROR(SUMIFS('Key inputs_EB'!T:T,'Key inputs_EB'!$A:$A,"EB",'Key inputs_EB'!$C:$C,"S-OTH",'Key inputs_EB'!$E:$E,'SRV_BY Techs'!$K127)/SUMIFS('Key inputs_EB'!T:T,'Key inputs_EB'!$A:$A,"EB",'Key inputs_EB'!$C:$C,'SRV_BY Techs'!$B127),"")</f>
        <v/>
      </c>
      <c r="AB127" s="353" t="str">
        <f>IFERROR(SUMIFS('Key inputs_EB'!U:U,'Key inputs_EB'!$A:$A,"EB",'Key inputs_EB'!$C:$C,"S-OTH",'Key inputs_EB'!$E:$E,'SRV_BY Techs'!$K127)/SUMIFS('Key inputs_EB'!U:U,'Key inputs_EB'!$A:$A,"EB",'Key inputs_EB'!$C:$C,'SRV_BY Techs'!$B127),"")</f>
        <v/>
      </c>
      <c r="AC127" s="353" t="str">
        <f>IFERROR(SUMIFS('Key inputs_EB'!V:V,'Key inputs_EB'!$A:$A,"EB",'Key inputs_EB'!$C:$C,"S-OTH",'Key inputs_EB'!$E:$E,'SRV_BY Techs'!$K127)/SUMIFS('Key inputs_EB'!V:V,'Key inputs_EB'!$A:$A,"EB",'Key inputs_EB'!$C:$C,'SRV_BY Techs'!$B127),"")</f>
        <v/>
      </c>
      <c r="AD127" s="353" t="str">
        <f>IFERROR(SUMIFS('Key inputs_EB'!W:W,'Key inputs_EB'!$A:$A,"EB",'Key inputs_EB'!$C:$C,"S-OTH",'Key inputs_EB'!$E:$E,'SRV_BY Techs'!$K127)/SUMIFS('Key inputs_EB'!W:W,'Key inputs_EB'!$A:$A,"EB",'Key inputs_EB'!$C:$C,'SRV_BY Techs'!$B127),"")</f>
        <v/>
      </c>
      <c r="AE127" s="353" t="str">
        <f>IFERROR(SUMIFS('Key inputs_EB'!X:X,'Key inputs_EB'!$A:$A,"EB",'Key inputs_EB'!$C:$C,"S-OTH",'Key inputs_EB'!$E:$E,'SRV_BY Techs'!$K127)/SUMIFS('Key inputs_EB'!X:X,'Key inputs_EB'!$A:$A,"EB",'Key inputs_EB'!$C:$C,'SRV_BY Techs'!$B127),"")</f>
        <v/>
      </c>
      <c r="AF127" s="353" t="str">
        <f>IFERROR(SUMIFS('Key inputs_EB'!Y:Y,'Key inputs_EB'!$A:$A,"EB",'Key inputs_EB'!$C:$C,"S-OTH",'Key inputs_EB'!$E:$E,'SRV_BY Techs'!$K127)/SUMIFS('Key inputs_EB'!Y:Y,'Key inputs_EB'!$A:$A,"EB",'Key inputs_EB'!$C:$C,'SRV_BY Techs'!$B127),"")</f>
        <v/>
      </c>
      <c r="AG127" s="353" t="str">
        <f>IFERROR(SUMIFS('Key inputs_EB'!Z:Z,'Key inputs_EB'!$A:$A,"EB",'Key inputs_EB'!$C:$C,"S-OTH",'Key inputs_EB'!$E:$E,'SRV_BY Techs'!$K127)/SUMIFS('Key inputs_EB'!Z:Z,'Key inputs_EB'!$A:$A,"EB",'Key inputs_EB'!$C:$C,'SRV_BY Techs'!$B127),"")</f>
        <v/>
      </c>
      <c r="AH127" s="353">
        <f>IFERROR(SUMIFS('Key inputs_EB'!AA:AA,'Key inputs_EB'!$A:$A,"EB",'Key inputs_EB'!$C:$C,"S-OTH",'Key inputs_EB'!$E:$E,'SRV_BY Techs'!$K127)/SUMIFS('Key inputs_EB'!AA:AA,'Key inputs_EB'!$A:$A,"EB",'Key inputs_EB'!$C:$C,'SRV_BY Techs'!$B127),"")</f>
        <v>0</v>
      </c>
      <c r="AI127" s="353" t="str">
        <f>IFERROR(SUMIFS('Key inputs_EB'!AB:AB,'Key inputs_EB'!$A:$A,"EB",'Key inputs_EB'!$C:$C,"S-OTH",'Key inputs_EB'!$E:$E,'SRV_BY Techs'!$K127)/SUMIFS('Key inputs_EB'!AB:AB,'Key inputs_EB'!$A:$A,"EB",'Key inputs_EB'!$C:$C,'SRV_BY Techs'!$B127),"")</f>
        <v/>
      </c>
      <c r="AJ127" s="353" t="str">
        <f>IFERROR(SUMIFS('Key inputs_EB'!AC:AC,'Key inputs_EB'!$A:$A,"EB",'Key inputs_EB'!$C:$C,"S-OTH",'Key inputs_EB'!$E:$E,'SRV_BY Techs'!$K127)/SUMIFS('Key inputs_EB'!AC:AC,'Key inputs_EB'!$A:$A,"EB",'Key inputs_EB'!$C:$C,'SRV_BY Techs'!$B127),"")</f>
        <v/>
      </c>
      <c r="AK127" s="353" t="str">
        <f>IFERROR(SUMIFS('Key inputs_EB'!AD:AD,'Key inputs_EB'!$A:$A,"EB",'Key inputs_EB'!$C:$C,"S-OTH",'Key inputs_EB'!$E:$E,'SRV_BY Techs'!$K127)/SUMIFS('Key inputs_EB'!AD:AD,'Key inputs_EB'!$A:$A,"EB",'Key inputs_EB'!$C:$C,'SRV_BY Techs'!$B127),"")</f>
        <v/>
      </c>
      <c r="AL127" s="353" t="str">
        <f>IFERROR(SUMIFS('Key inputs_EB'!AE:AE,'Key inputs_EB'!$A:$A,"EB",'Key inputs_EB'!$C:$C,"S-OTH",'Key inputs_EB'!$E:$E,'SRV_BY Techs'!$K127)/SUMIFS('Key inputs_EB'!AE:AE,'Key inputs_EB'!$A:$A,"EB",'Key inputs_EB'!$C:$C,'SRV_BY Techs'!$B127),"")</f>
        <v/>
      </c>
      <c r="AM127" s="353" t="str">
        <f>IFERROR(SUMIFS('Key inputs_EB'!AF:AF,'Key inputs_EB'!$A:$A,"EB",'Key inputs_EB'!$C:$C,"S-OTH",'Key inputs_EB'!$E:$E,'SRV_BY Techs'!$K127)/SUMIFS('Key inputs_EB'!AF:AF,'Key inputs_EB'!$A:$A,"EB",'Key inputs_EB'!$C:$C,'SRV_BY Techs'!$B127),"")</f>
        <v/>
      </c>
      <c r="AN127" s="353" t="str">
        <f>IFERROR(SUMIFS('Key inputs_EB'!AG:AG,'Key inputs_EB'!$A:$A,"EB",'Key inputs_EB'!$C:$C,"S-OTH",'Key inputs_EB'!$E:$E,'SRV_BY Techs'!$K127)/SUMIFS('Key inputs_EB'!AG:AG,'Key inputs_EB'!$A:$A,"EB",'Key inputs_EB'!$C:$C,'SRV_BY Techs'!$B127),"")</f>
        <v/>
      </c>
      <c r="AO127" s="353" t="str">
        <f>IFERROR(SUMIFS('Key inputs_EB'!AH:AH,'Key inputs_EB'!$A:$A,"EB",'Key inputs_EB'!$C:$C,"S-OTH",'Key inputs_EB'!$E:$E,'SRV_BY Techs'!$K127)/SUMIFS('Key inputs_EB'!AH:AH,'Key inputs_EB'!$A:$A,"EB",'Key inputs_EB'!$C:$C,'SRV_BY Techs'!$B127),"")</f>
        <v/>
      </c>
      <c r="AP127" s="353">
        <f>IFERROR(SUMIFS('Key inputs_EB'!AI:AI,'Key inputs_EB'!$A:$A,"EB",'Key inputs_EB'!$C:$C,"S-OTH",'Key inputs_EB'!$E:$E,'SRV_BY Techs'!$K127)/SUMIFS('Key inputs_EB'!AI:AI,'Key inputs_EB'!$A:$A,"EB",'Key inputs_EB'!$C:$C,'SRV_BY Techs'!$B127),"")</f>
        <v>6.0731314369030255E-4</v>
      </c>
    </row>
    <row r="128" spans="1:42" x14ac:dyDescent="0.3">
      <c r="A128" s="499" t="str">
        <f t="shared" si="33"/>
        <v>Other uses</v>
      </c>
      <c r="B128" s="499" t="str">
        <f t="shared" si="34"/>
        <v>S-OTH</v>
      </c>
      <c r="C128" s="499"/>
      <c r="D128" s="499"/>
      <c r="E128" s="499"/>
      <c r="F128" s="499"/>
      <c r="G128" s="499"/>
      <c r="K128" s="103" t="str">
        <f t="shared" si="35"/>
        <v>SRVLPG</v>
      </c>
      <c r="L128" s="109" t="s">
        <v>190</v>
      </c>
      <c r="M128" s="109" t="s">
        <v>154</v>
      </c>
      <c r="N128" s="109" t="s">
        <v>78</v>
      </c>
      <c r="O128" s="353" t="str">
        <f>IFERROR(SUMIFS('Key inputs_EB'!H:H,'Key inputs_EB'!$A:$A,"EB",'Key inputs_EB'!$C:$C,"S-OTH",'Key inputs_EB'!$E:$E,'SRV_BY Techs'!$K128)/SUMIFS('Key inputs_EB'!H:H,'Key inputs_EB'!$A:$A,"EB",'Key inputs_EB'!$C:$C,'SRV_BY Techs'!$B128),"")</f>
        <v/>
      </c>
      <c r="P128" s="353" t="str">
        <f>IFERROR(SUMIFS('Key inputs_EB'!I:I,'Key inputs_EB'!$A:$A,"EB",'Key inputs_EB'!$C:$C,"S-OTH",'Key inputs_EB'!$E:$E,'SRV_BY Techs'!$K128)/SUMIFS('Key inputs_EB'!I:I,'Key inputs_EB'!$A:$A,"EB",'Key inputs_EB'!$C:$C,'SRV_BY Techs'!$B128),"")</f>
        <v/>
      </c>
      <c r="Q128" s="353" t="str">
        <f>IFERROR(SUMIFS('Key inputs_EB'!J:J,'Key inputs_EB'!$A:$A,"EB",'Key inputs_EB'!$C:$C,"S-OTH",'Key inputs_EB'!$E:$E,'SRV_BY Techs'!$K128)/SUMIFS('Key inputs_EB'!J:J,'Key inputs_EB'!$A:$A,"EB",'Key inputs_EB'!$C:$C,'SRV_BY Techs'!$B128),"")</f>
        <v/>
      </c>
      <c r="R128" s="353" t="str">
        <f>IFERROR(SUMIFS('Key inputs_EB'!K:K,'Key inputs_EB'!$A:$A,"EB",'Key inputs_EB'!$C:$C,"S-OTH",'Key inputs_EB'!$E:$E,'SRV_BY Techs'!$K128)/SUMIFS('Key inputs_EB'!K:K,'Key inputs_EB'!$A:$A,"EB",'Key inputs_EB'!$C:$C,'SRV_BY Techs'!$B128),"")</f>
        <v/>
      </c>
      <c r="S128" s="353" t="str">
        <f>IFERROR(SUMIFS('Key inputs_EB'!L:L,'Key inputs_EB'!$A:$A,"EB",'Key inputs_EB'!$C:$C,"S-OTH",'Key inputs_EB'!$E:$E,'SRV_BY Techs'!$K128)/SUMIFS('Key inputs_EB'!L:L,'Key inputs_EB'!$A:$A,"EB",'Key inputs_EB'!$C:$C,'SRV_BY Techs'!$B128),"")</f>
        <v/>
      </c>
      <c r="T128" s="353" t="str">
        <f>IFERROR(SUMIFS('Key inputs_EB'!M:M,'Key inputs_EB'!$A:$A,"EB",'Key inputs_EB'!$C:$C,"S-OTH",'Key inputs_EB'!$E:$E,'SRV_BY Techs'!$K128)/SUMIFS('Key inputs_EB'!M:M,'Key inputs_EB'!$A:$A,"EB",'Key inputs_EB'!$C:$C,'SRV_BY Techs'!$B128),"")</f>
        <v/>
      </c>
      <c r="U128" s="353" t="str">
        <f>IFERROR(SUMIFS('Key inputs_EB'!N:N,'Key inputs_EB'!$A:$A,"EB",'Key inputs_EB'!$C:$C,"S-OTH",'Key inputs_EB'!$E:$E,'SRV_BY Techs'!$K128)/SUMIFS('Key inputs_EB'!N:N,'Key inputs_EB'!$A:$A,"EB",'Key inputs_EB'!$C:$C,'SRV_BY Techs'!$B128),"")</f>
        <v/>
      </c>
      <c r="V128" s="353" t="str">
        <f>IFERROR(SUMIFS('Key inputs_EB'!O:O,'Key inputs_EB'!$A:$A,"EB",'Key inputs_EB'!$C:$C,"S-OTH",'Key inputs_EB'!$E:$E,'SRV_BY Techs'!$K128)/SUMIFS('Key inputs_EB'!O:O,'Key inputs_EB'!$A:$A,"EB",'Key inputs_EB'!$C:$C,'SRV_BY Techs'!$B128),"")</f>
        <v/>
      </c>
      <c r="W128" s="353" t="str">
        <f>IFERROR(SUMIFS('Key inputs_EB'!P:P,'Key inputs_EB'!$A:$A,"EB",'Key inputs_EB'!$C:$C,"S-OTH",'Key inputs_EB'!$E:$E,'SRV_BY Techs'!$K128)/SUMIFS('Key inputs_EB'!P:P,'Key inputs_EB'!$A:$A,"EB",'Key inputs_EB'!$C:$C,'SRV_BY Techs'!$B128),"")</f>
        <v/>
      </c>
      <c r="X128" s="353">
        <f>IFERROR(SUMIFS('Key inputs_EB'!Q:Q,'Key inputs_EB'!$A:$A,"EB",'Key inputs_EB'!$C:$C,"S-OTH",'Key inputs_EB'!$E:$E,'SRV_BY Techs'!$K128)/SUMIFS('Key inputs_EB'!Q:Q,'Key inputs_EB'!$A:$A,"EB",'Key inputs_EB'!$C:$C,'SRV_BY Techs'!$B128),"")</f>
        <v>0</v>
      </c>
      <c r="Y128" s="353" t="str">
        <f>IFERROR(SUMIFS('Key inputs_EB'!R:R,'Key inputs_EB'!$A:$A,"EB",'Key inputs_EB'!$C:$C,"S-OTH",'Key inputs_EB'!$E:$E,'SRV_BY Techs'!$K128)/SUMIFS('Key inputs_EB'!R:R,'Key inputs_EB'!$A:$A,"EB",'Key inputs_EB'!$C:$C,'SRV_BY Techs'!$B128),"")</f>
        <v/>
      </c>
      <c r="Z128" s="353" t="str">
        <f>IFERROR(SUMIFS('Key inputs_EB'!S:S,'Key inputs_EB'!$A:$A,"EB",'Key inputs_EB'!$C:$C,"S-OTH",'Key inputs_EB'!$E:$E,'SRV_BY Techs'!$K128)/SUMIFS('Key inputs_EB'!S:S,'Key inputs_EB'!$A:$A,"EB",'Key inputs_EB'!$C:$C,'SRV_BY Techs'!$B128),"")</f>
        <v/>
      </c>
      <c r="AA128" s="353" t="str">
        <f>IFERROR(SUMIFS('Key inputs_EB'!T:T,'Key inputs_EB'!$A:$A,"EB",'Key inputs_EB'!$C:$C,"S-OTH",'Key inputs_EB'!$E:$E,'SRV_BY Techs'!$K128)/SUMIFS('Key inputs_EB'!T:T,'Key inputs_EB'!$A:$A,"EB",'Key inputs_EB'!$C:$C,'SRV_BY Techs'!$B128),"")</f>
        <v/>
      </c>
      <c r="AB128" s="353" t="str">
        <f>IFERROR(SUMIFS('Key inputs_EB'!U:U,'Key inputs_EB'!$A:$A,"EB",'Key inputs_EB'!$C:$C,"S-OTH",'Key inputs_EB'!$E:$E,'SRV_BY Techs'!$K128)/SUMIFS('Key inputs_EB'!U:U,'Key inputs_EB'!$A:$A,"EB",'Key inputs_EB'!$C:$C,'SRV_BY Techs'!$B128),"")</f>
        <v/>
      </c>
      <c r="AC128" s="353" t="str">
        <f>IFERROR(SUMIFS('Key inputs_EB'!V:V,'Key inputs_EB'!$A:$A,"EB",'Key inputs_EB'!$C:$C,"S-OTH",'Key inputs_EB'!$E:$E,'SRV_BY Techs'!$K128)/SUMIFS('Key inputs_EB'!V:V,'Key inputs_EB'!$A:$A,"EB",'Key inputs_EB'!$C:$C,'SRV_BY Techs'!$B128),"")</f>
        <v/>
      </c>
      <c r="AD128" s="353" t="str">
        <f>IFERROR(SUMIFS('Key inputs_EB'!W:W,'Key inputs_EB'!$A:$A,"EB",'Key inputs_EB'!$C:$C,"S-OTH",'Key inputs_EB'!$E:$E,'SRV_BY Techs'!$K128)/SUMIFS('Key inputs_EB'!W:W,'Key inputs_EB'!$A:$A,"EB",'Key inputs_EB'!$C:$C,'SRV_BY Techs'!$B128),"")</f>
        <v/>
      </c>
      <c r="AE128" s="353" t="str">
        <f>IFERROR(SUMIFS('Key inputs_EB'!X:X,'Key inputs_EB'!$A:$A,"EB",'Key inputs_EB'!$C:$C,"S-OTH",'Key inputs_EB'!$E:$E,'SRV_BY Techs'!$K128)/SUMIFS('Key inputs_EB'!X:X,'Key inputs_EB'!$A:$A,"EB",'Key inputs_EB'!$C:$C,'SRV_BY Techs'!$B128),"")</f>
        <v/>
      </c>
      <c r="AF128" s="353" t="str">
        <f>IFERROR(SUMIFS('Key inputs_EB'!Y:Y,'Key inputs_EB'!$A:$A,"EB",'Key inputs_EB'!$C:$C,"S-OTH",'Key inputs_EB'!$E:$E,'SRV_BY Techs'!$K128)/SUMIFS('Key inputs_EB'!Y:Y,'Key inputs_EB'!$A:$A,"EB",'Key inputs_EB'!$C:$C,'SRV_BY Techs'!$B128),"")</f>
        <v/>
      </c>
      <c r="AG128" s="353" t="str">
        <f>IFERROR(SUMIFS('Key inputs_EB'!Z:Z,'Key inputs_EB'!$A:$A,"EB",'Key inputs_EB'!$C:$C,"S-OTH",'Key inputs_EB'!$E:$E,'SRV_BY Techs'!$K128)/SUMIFS('Key inputs_EB'!Z:Z,'Key inputs_EB'!$A:$A,"EB",'Key inputs_EB'!$C:$C,'SRV_BY Techs'!$B128),"")</f>
        <v/>
      </c>
      <c r="AH128" s="353">
        <f>IFERROR(SUMIFS('Key inputs_EB'!AA:AA,'Key inputs_EB'!$A:$A,"EB",'Key inputs_EB'!$C:$C,"S-OTH",'Key inputs_EB'!$E:$E,'SRV_BY Techs'!$K128)/SUMIFS('Key inputs_EB'!AA:AA,'Key inputs_EB'!$A:$A,"EB",'Key inputs_EB'!$C:$C,'SRV_BY Techs'!$B128),"")</f>
        <v>0</v>
      </c>
      <c r="AI128" s="353" t="str">
        <f>IFERROR(SUMIFS('Key inputs_EB'!AB:AB,'Key inputs_EB'!$A:$A,"EB",'Key inputs_EB'!$C:$C,"S-OTH",'Key inputs_EB'!$E:$E,'SRV_BY Techs'!$K128)/SUMIFS('Key inputs_EB'!AB:AB,'Key inputs_EB'!$A:$A,"EB",'Key inputs_EB'!$C:$C,'SRV_BY Techs'!$B128),"")</f>
        <v/>
      </c>
      <c r="AJ128" s="353" t="str">
        <f>IFERROR(SUMIFS('Key inputs_EB'!AC:AC,'Key inputs_EB'!$A:$A,"EB",'Key inputs_EB'!$C:$C,"S-OTH",'Key inputs_EB'!$E:$E,'SRV_BY Techs'!$K128)/SUMIFS('Key inputs_EB'!AC:AC,'Key inputs_EB'!$A:$A,"EB",'Key inputs_EB'!$C:$C,'SRV_BY Techs'!$B128),"")</f>
        <v/>
      </c>
      <c r="AK128" s="353" t="str">
        <f>IFERROR(SUMIFS('Key inputs_EB'!AD:AD,'Key inputs_EB'!$A:$A,"EB",'Key inputs_EB'!$C:$C,"S-OTH",'Key inputs_EB'!$E:$E,'SRV_BY Techs'!$K128)/SUMIFS('Key inputs_EB'!AD:AD,'Key inputs_EB'!$A:$A,"EB",'Key inputs_EB'!$C:$C,'SRV_BY Techs'!$B128),"")</f>
        <v/>
      </c>
      <c r="AL128" s="353" t="str">
        <f>IFERROR(SUMIFS('Key inputs_EB'!AE:AE,'Key inputs_EB'!$A:$A,"EB",'Key inputs_EB'!$C:$C,"S-OTH",'Key inputs_EB'!$E:$E,'SRV_BY Techs'!$K128)/SUMIFS('Key inputs_EB'!AE:AE,'Key inputs_EB'!$A:$A,"EB",'Key inputs_EB'!$C:$C,'SRV_BY Techs'!$B128),"")</f>
        <v/>
      </c>
      <c r="AM128" s="353" t="str">
        <f>IFERROR(SUMIFS('Key inputs_EB'!AF:AF,'Key inputs_EB'!$A:$A,"EB",'Key inputs_EB'!$C:$C,"S-OTH",'Key inputs_EB'!$E:$E,'SRV_BY Techs'!$K128)/SUMIFS('Key inputs_EB'!AF:AF,'Key inputs_EB'!$A:$A,"EB",'Key inputs_EB'!$C:$C,'SRV_BY Techs'!$B128),"")</f>
        <v/>
      </c>
      <c r="AN128" s="353" t="str">
        <f>IFERROR(SUMIFS('Key inputs_EB'!AG:AG,'Key inputs_EB'!$A:$A,"EB",'Key inputs_EB'!$C:$C,"S-OTH",'Key inputs_EB'!$E:$E,'SRV_BY Techs'!$K128)/SUMIFS('Key inputs_EB'!AG:AG,'Key inputs_EB'!$A:$A,"EB",'Key inputs_EB'!$C:$C,'SRV_BY Techs'!$B128),"")</f>
        <v/>
      </c>
      <c r="AO128" s="353" t="str">
        <f>IFERROR(SUMIFS('Key inputs_EB'!AH:AH,'Key inputs_EB'!$A:$A,"EB",'Key inputs_EB'!$C:$C,"S-OTH",'Key inputs_EB'!$E:$E,'SRV_BY Techs'!$K128)/SUMIFS('Key inputs_EB'!AH:AH,'Key inputs_EB'!$A:$A,"EB",'Key inputs_EB'!$C:$C,'SRV_BY Techs'!$B128),"")</f>
        <v/>
      </c>
      <c r="AP128" s="353">
        <f>IFERROR(SUMIFS('Key inputs_EB'!AI:AI,'Key inputs_EB'!$A:$A,"EB",'Key inputs_EB'!$C:$C,"S-OTH",'Key inputs_EB'!$E:$E,'SRV_BY Techs'!$K128)/SUMIFS('Key inputs_EB'!AI:AI,'Key inputs_EB'!$A:$A,"EB",'Key inputs_EB'!$C:$C,'SRV_BY Techs'!$B128),"")</f>
        <v>0</v>
      </c>
    </row>
    <row r="129" spans="1:42" x14ac:dyDescent="0.3">
      <c r="A129" s="499" t="str">
        <f t="shared" si="33"/>
        <v>Other uses</v>
      </c>
      <c r="B129" s="499" t="str">
        <f t="shared" si="34"/>
        <v>S-OTH</v>
      </c>
      <c r="D129" s="499"/>
      <c r="K129" s="103" t="str">
        <f t="shared" si="35"/>
        <v>SRVGAS</v>
      </c>
      <c r="L129" s="109" t="s">
        <v>190</v>
      </c>
      <c r="M129" s="109" t="s">
        <v>154</v>
      </c>
      <c r="N129" s="109" t="s">
        <v>78</v>
      </c>
      <c r="O129" s="353" t="str">
        <f>IFERROR(SUMIFS('Key inputs_EB'!H:H,'Key inputs_EB'!$A:$A,"EB",'Key inputs_EB'!$C:$C,"S-OTH",'Key inputs_EB'!$E:$E,'SRV_BY Techs'!$K129)/SUMIFS('Key inputs_EB'!H:H,'Key inputs_EB'!$A:$A,"EB",'Key inputs_EB'!$C:$C,'SRV_BY Techs'!$B129),"")</f>
        <v/>
      </c>
      <c r="P129" s="353" t="str">
        <f>IFERROR(SUMIFS('Key inputs_EB'!I:I,'Key inputs_EB'!$A:$A,"EB",'Key inputs_EB'!$C:$C,"S-OTH",'Key inputs_EB'!$E:$E,'SRV_BY Techs'!$K129)/SUMIFS('Key inputs_EB'!I:I,'Key inputs_EB'!$A:$A,"EB",'Key inputs_EB'!$C:$C,'SRV_BY Techs'!$B129),"")</f>
        <v/>
      </c>
      <c r="Q129" s="353" t="str">
        <f>IFERROR(SUMIFS('Key inputs_EB'!J:J,'Key inputs_EB'!$A:$A,"EB",'Key inputs_EB'!$C:$C,"S-OTH",'Key inputs_EB'!$E:$E,'SRV_BY Techs'!$K129)/SUMIFS('Key inputs_EB'!J:J,'Key inputs_EB'!$A:$A,"EB",'Key inputs_EB'!$C:$C,'SRV_BY Techs'!$B129),"")</f>
        <v/>
      </c>
      <c r="R129" s="353" t="str">
        <f>IFERROR(SUMIFS('Key inputs_EB'!K:K,'Key inputs_EB'!$A:$A,"EB",'Key inputs_EB'!$C:$C,"S-OTH",'Key inputs_EB'!$E:$E,'SRV_BY Techs'!$K129)/SUMIFS('Key inputs_EB'!K:K,'Key inputs_EB'!$A:$A,"EB",'Key inputs_EB'!$C:$C,'SRV_BY Techs'!$B129),"")</f>
        <v/>
      </c>
      <c r="S129" s="353" t="str">
        <f>IFERROR(SUMIFS('Key inputs_EB'!L:L,'Key inputs_EB'!$A:$A,"EB",'Key inputs_EB'!$C:$C,"S-OTH",'Key inputs_EB'!$E:$E,'SRV_BY Techs'!$K129)/SUMIFS('Key inputs_EB'!L:L,'Key inputs_EB'!$A:$A,"EB",'Key inputs_EB'!$C:$C,'SRV_BY Techs'!$B129),"")</f>
        <v/>
      </c>
      <c r="T129" s="353" t="str">
        <f>IFERROR(SUMIFS('Key inputs_EB'!M:M,'Key inputs_EB'!$A:$A,"EB",'Key inputs_EB'!$C:$C,"S-OTH",'Key inputs_EB'!$E:$E,'SRV_BY Techs'!$K129)/SUMIFS('Key inputs_EB'!M:M,'Key inputs_EB'!$A:$A,"EB",'Key inputs_EB'!$C:$C,'SRV_BY Techs'!$B129),"")</f>
        <v/>
      </c>
      <c r="U129" s="353" t="str">
        <f>IFERROR(SUMIFS('Key inputs_EB'!N:N,'Key inputs_EB'!$A:$A,"EB",'Key inputs_EB'!$C:$C,"S-OTH",'Key inputs_EB'!$E:$E,'SRV_BY Techs'!$K129)/SUMIFS('Key inputs_EB'!N:N,'Key inputs_EB'!$A:$A,"EB",'Key inputs_EB'!$C:$C,'SRV_BY Techs'!$B129),"")</f>
        <v/>
      </c>
      <c r="V129" s="353" t="str">
        <f>IFERROR(SUMIFS('Key inputs_EB'!O:O,'Key inputs_EB'!$A:$A,"EB",'Key inputs_EB'!$C:$C,"S-OTH",'Key inputs_EB'!$E:$E,'SRV_BY Techs'!$K129)/SUMIFS('Key inputs_EB'!O:O,'Key inputs_EB'!$A:$A,"EB",'Key inputs_EB'!$C:$C,'SRV_BY Techs'!$B129),"")</f>
        <v/>
      </c>
      <c r="W129" s="353" t="str">
        <f>IFERROR(SUMIFS('Key inputs_EB'!P:P,'Key inputs_EB'!$A:$A,"EB",'Key inputs_EB'!$C:$C,"S-OTH",'Key inputs_EB'!$E:$E,'SRV_BY Techs'!$K129)/SUMIFS('Key inputs_EB'!P:P,'Key inputs_EB'!$A:$A,"EB",'Key inputs_EB'!$C:$C,'SRV_BY Techs'!$B129),"")</f>
        <v/>
      </c>
      <c r="X129" s="353">
        <f>IFERROR(SUMIFS('Key inputs_EB'!Q:Q,'Key inputs_EB'!$A:$A,"EB",'Key inputs_EB'!$C:$C,"S-OTH",'Key inputs_EB'!$E:$E,'SRV_BY Techs'!$K129)/SUMIFS('Key inputs_EB'!Q:Q,'Key inputs_EB'!$A:$A,"EB",'Key inputs_EB'!$C:$C,'SRV_BY Techs'!$B129),"")</f>
        <v>0.52043001677445222</v>
      </c>
      <c r="Y129" s="353" t="str">
        <f>IFERROR(SUMIFS('Key inputs_EB'!R:R,'Key inputs_EB'!$A:$A,"EB",'Key inputs_EB'!$C:$C,"S-OTH",'Key inputs_EB'!$E:$E,'SRV_BY Techs'!$K129)/SUMIFS('Key inputs_EB'!R:R,'Key inputs_EB'!$A:$A,"EB",'Key inputs_EB'!$C:$C,'SRV_BY Techs'!$B129),"")</f>
        <v/>
      </c>
      <c r="Z129" s="353" t="str">
        <f>IFERROR(SUMIFS('Key inputs_EB'!S:S,'Key inputs_EB'!$A:$A,"EB",'Key inputs_EB'!$C:$C,"S-OTH",'Key inputs_EB'!$E:$E,'SRV_BY Techs'!$K129)/SUMIFS('Key inputs_EB'!S:S,'Key inputs_EB'!$A:$A,"EB",'Key inputs_EB'!$C:$C,'SRV_BY Techs'!$B129),"")</f>
        <v/>
      </c>
      <c r="AA129" s="353" t="str">
        <f>IFERROR(SUMIFS('Key inputs_EB'!T:T,'Key inputs_EB'!$A:$A,"EB",'Key inputs_EB'!$C:$C,"S-OTH",'Key inputs_EB'!$E:$E,'SRV_BY Techs'!$K129)/SUMIFS('Key inputs_EB'!T:T,'Key inputs_EB'!$A:$A,"EB",'Key inputs_EB'!$C:$C,'SRV_BY Techs'!$B129),"")</f>
        <v/>
      </c>
      <c r="AB129" s="353" t="str">
        <f>IFERROR(SUMIFS('Key inputs_EB'!U:U,'Key inputs_EB'!$A:$A,"EB",'Key inputs_EB'!$C:$C,"S-OTH",'Key inputs_EB'!$E:$E,'SRV_BY Techs'!$K129)/SUMIFS('Key inputs_EB'!U:U,'Key inputs_EB'!$A:$A,"EB",'Key inputs_EB'!$C:$C,'SRV_BY Techs'!$B129),"")</f>
        <v/>
      </c>
      <c r="AC129" s="353" t="str">
        <f>IFERROR(SUMIFS('Key inputs_EB'!V:V,'Key inputs_EB'!$A:$A,"EB",'Key inputs_EB'!$C:$C,"S-OTH",'Key inputs_EB'!$E:$E,'SRV_BY Techs'!$K129)/SUMIFS('Key inputs_EB'!V:V,'Key inputs_EB'!$A:$A,"EB",'Key inputs_EB'!$C:$C,'SRV_BY Techs'!$B129),"")</f>
        <v/>
      </c>
      <c r="AD129" s="353" t="str">
        <f>IFERROR(SUMIFS('Key inputs_EB'!W:W,'Key inputs_EB'!$A:$A,"EB",'Key inputs_EB'!$C:$C,"S-OTH",'Key inputs_EB'!$E:$E,'SRV_BY Techs'!$K129)/SUMIFS('Key inputs_EB'!W:W,'Key inputs_EB'!$A:$A,"EB",'Key inputs_EB'!$C:$C,'SRV_BY Techs'!$B129),"")</f>
        <v/>
      </c>
      <c r="AE129" s="353" t="str">
        <f>IFERROR(SUMIFS('Key inputs_EB'!X:X,'Key inputs_EB'!$A:$A,"EB",'Key inputs_EB'!$C:$C,"S-OTH",'Key inputs_EB'!$E:$E,'SRV_BY Techs'!$K129)/SUMIFS('Key inputs_EB'!X:X,'Key inputs_EB'!$A:$A,"EB",'Key inputs_EB'!$C:$C,'SRV_BY Techs'!$B129),"")</f>
        <v/>
      </c>
      <c r="AF129" s="353" t="str">
        <f>IFERROR(SUMIFS('Key inputs_EB'!Y:Y,'Key inputs_EB'!$A:$A,"EB",'Key inputs_EB'!$C:$C,"S-OTH",'Key inputs_EB'!$E:$E,'SRV_BY Techs'!$K129)/SUMIFS('Key inputs_EB'!Y:Y,'Key inputs_EB'!$A:$A,"EB",'Key inputs_EB'!$C:$C,'SRV_BY Techs'!$B129),"")</f>
        <v/>
      </c>
      <c r="AG129" s="353" t="str">
        <f>IFERROR(SUMIFS('Key inputs_EB'!Z:Z,'Key inputs_EB'!$A:$A,"EB",'Key inputs_EB'!$C:$C,"S-OTH",'Key inputs_EB'!$E:$E,'SRV_BY Techs'!$K129)/SUMIFS('Key inputs_EB'!Z:Z,'Key inputs_EB'!$A:$A,"EB",'Key inputs_EB'!$C:$C,'SRV_BY Techs'!$B129),"")</f>
        <v/>
      </c>
      <c r="AH129" s="353">
        <f>IFERROR(SUMIFS('Key inputs_EB'!AA:AA,'Key inputs_EB'!$A:$A,"EB",'Key inputs_EB'!$C:$C,"S-OTH",'Key inputs_EB'!$E:$E,'SRV_BY Techs'!$K129)/SUMIFS('Key inputs_EB'!AA:AA,'Key inputs_EB'!$A:$A,"EB",'Key inputs_EB'!$C:$C,'SRV_BY Techs'!$B129),"")</f>
        <v>0</v>
      </c>
      <c r="AI129" s="353" t="str">
        <f>IFERROR(SUMIFS('Key inputs_EB'!AB:AB,'Key inputs_EB'!$A:$A,"EB",'Key inputs_EB'!$C:$C,"S-OTH",'Key inputs_EB'!$E:$E,'SRV_BY Techs'!$K129)/SUMIFS('Key inputs_EB'!AB:AB,'Key inputs_EB'!$A:$A,"EB",'Key inputs_EB'!$C:$C,'SRV_BY Techs'!$B129),"")</f>
        <v/>
      </c>
      <c r="AJ129" s="353" t="str">
        <f>IFERROR(SUMIFS('Key inputs_EB'!AC:AC,'Key inputs_EB'!$A:$A,"EB",'Key inputs_EB'!$C:$C,"S-OTH",'Key inputs_EB'!$E:$E,'SRV_BY Techs'!$K129)/SUMIFS('Key inputs_EB'!AC:AC,'Key inputs_EB'!$A:$A,"EB",'Key inputs_EB'!$C:$C,'SRV_BY Techs'!$B129),"")</f>
        <v/>
      </c>
      <c r="AK129" s="353" t="str">
        <f>IFERROR(SUMIFS('Key inputs_EB'!AD:AD,'Key inputs_EB'!$A:$A,"EB",'Key inputs_EB'!$C:$C,"S-OTH",'Key inputs_EB'!$E:$E,'SRV_BY Techs'!$K129)/SUMIFS('Key inputs_EB'!AD:AD,'Key inputs_EB'!$A:$A,"EB",'Key inputs_EB'!$C:$C,'SRV_BY Techs'!$B129),"")</f>
        <v/>
      </c>
      <c r="AL129" s="353" t="str">
        <f>IFERROR(SUMIFS('Key inputs_EB'!AE:AE,'Key inputs_EB'!$A:$A,"EB",'Key inputs_EB'!$C:$C,"S-OTH",'Key inputs_EB'!$E:$E,'SRV_BY Techs'!$K129)/SUMIFS('Key inputs_EB'!AE:AE,'Key inputs_EB'!$A:$A,"EB",'Key inputs_EB'!$C:$C,'SRV_BY Techs'!$B129),"")</f>
        <v/>
      </c>
      <c r="AM129" s="353" t="str">
        <f>IFERROR(SUMIFS('Key inputs_EB'!AF:AF,'Key inputs_EB'!$A:$A,"EB",'Key inputs_EB'!$C:$C,"S-OTH",'Key inputs_EB'!$E:$E,'SRV_BY Techs'!$K129)/SUMIFS('Key inputs_EB'!AF:AF,'Key inputs_EB'!$A:$A,"EB",'Key inputs_EB'!$C:$C,'SRV_BY Techs'!$B129),"")</f>
        <v/>
      </c>
      <c r="AN129" s="353" t="str">
        <f>IFERROR(SUMIFS('Key inputs_EB'!AG:AG,'Key inputs_EB'!$A:$A,"EB",'Key inputs_EB'!$C:$C,"S-OTH",'Key inputs_EB'!$E:$E,'SRV_BY Techs'!$K129)/SUMIFS('Key inputs_EB'!AG:AG,'Key inputs_EB'!$A:$A,"EB",'Key inputs_EB'!$C:$C,'SRV_BY Techs'!$B129),"")</f>
        <v/>
      </c>
      <c r="AO129" s="353" t="str">
        <f>IFERROR(SUMIFS('Key inputs_EB'!AH:AH,'Key inputs_EB'!$A:$A,"EB",'Key inputs_EB'!$C:$C,"S-OTH",'Key inputs_EB'!$E:$E,'SRV_BY Techs'!$K129)/SUMIFS('Key inputs_EB'!AH:AH,'Key inputs_EB'!$A:$A,"EB",'Key inputs_EB'!$C:$C,'SRV_BY Techs'!$B129),"")</f>
        <v/>
      </c>
      <c r="AP129" s="353">
        <f>IFERROR(SUMIFS('Key inputs_EB'!AI:AI,'Key inputs_EB'!$A:$A,"EB",'Key inputs_EB'!$C:$C,"S-OTH",'Key inputs_EB'!$E:$E,'SRV_BY Techs'!$K129)/SUMIFS('Key inputs_EB'!AI:AI,'Key inputs_EB'!$A:$A,"EB",'Key inputs_EB'!$C:$C,'SRV_BY Techs'!$B129),"")</f>
        <v>0.3607743468300752</v>
      </c>
    </row>
    <row r="130" spans="1:42" x14ac:dyDescent="0.3">
      <c r="A130" s="499" t="str">
        <f t="shared" si="33"/>
        <v>Other uses</v>
      </c>
      <c r="B130" s="499" t="str">
        <f t="shared" si="34"/>
        <v>S-OTH</v>
      </c>
      <c r="D130" s="499"/>
      <c r="I130" s="49"/>
      <c r="K130" s="103" t="str">
        <f t="shared" si="35"/>
        <v>SRVSOL</v>
      </c>
      <c r="L130" s="109" t="s">
        <v>190</v>
      </c>
      <c r="M130" s="109" t="s">
        <v>154</v>
      </c>
      <c r="N130" s="109" t="s">
        <v>78</v>
      </c>
      <c r="O130" s="353" t="str">
        <f>IFERROR(SUMIFS('Key inputs_EB'!H:H,'Key inputs_EB'!$A:$A,"EB",'Key inputs_EB'!$C:$C,"S-OTH",'Key inputs_EB'!$E:$E,'SRV_BY Techs'!$K130)/SUMIFS('Key inputs_EB'!H:H,'Key inputs_EB'!$A:$A,"EB",'Key inputs_EB'!$C:$C,'SRV_BY Techs'!$B130),"")</f>
        <v/>
      </c>
      <c r="P130" s="353" t="str">
        <f>IFERROR(SUMIFS('Key inputs_EB'!I:I,'Key inputs_EB'!$A:$A,"EB",'Key inputs_EB'!$C:$C,"S-OTH",'Key inputs_EB'!$E:$E,'SRV_BY Techs'!$K130)/SUMIFS('Key inputs_EB'!I:I,'Key inputs_EB'!$A:$A,"EB",'Key inputs_EB'!$C:$C,'SRV_BY Techs'!$B130),"")</f>
        <v/>
      </c>
      <c r="Q130" s="353" t="str">
        <f>IFERROR(SUMIFS('Key inputs_EB'!J:J,'Key inputs_EB'!$A:$A,"EB",'Key inputs_EB'!$C:$C,"S-OTH",'Key inputs_EB'!$E:$E,'SRV_BY Techs'!$K130)/SUMIFS('Key inputs_EB'!J:J,'Key inputs_EB'!$A:$A,"EB",'Key inputs_EB'!$C:$C,'SRV_BY Techs'!$B130),"")</f>
        <v/>
      </c>
      <c r="R130" s="353" t="str">
        <f>IFERROR(SUMIFS('Key inputs_EB'!K:K,'Key inputs_EB'!$A:$A,"EB",'Key inputs_EB'!$C:$C,"S-OTH",'Key inputs_EB'!$E:$E,'SRV_BY Techs'!$K130)/SUMIFS('Key inputs_EB'!K:K,'Key inputs_EB'!$A:$A,"EB",'Key inputs_EB'!$C:$C,'SRV_BY Techs'!$B130),"")</f>
        <v/>
      </c>
      <c r="S130" s="353" t="str">
        <f>IFERROR(SUMIFS('Key inputs_EB'!L:L,'Key inputs_EB'!$A:$A,"EB",'Key inputs_EB'!$C:$C,"S-OTH",'Key inputs_EB'!$E:$E,'SRV_BY Techs'!$K130)/SUMIFS('Key inputs_EB'!L:L,'Key inputs_EB'!$A:$A,"EB",'Key inputs_EB'!$C:$C,'SRV_BY Techs'!$B130),"")</f>
        <v/>
      </c>
      <c r="T130" s="353" t="str">
        <f>IFERROR(SUMIFS('Key inputs_EB'!M:M,'Key inputs_EB'!$A:$A,"EB",'Key inputs_EB'!$C:$C,"S-OTH",'Key inputs_EB'!$E:$E,'SRV_BY Techs'!$K130)/SUMIFS('Key inputs_EB'!M:M,'Key inputs_EB'!$A:$A,"EB",'Key inputs_EB'!$C:$C,'SRV_BY Techs'!$B130),"")</f>
        <v/>
      </c>
      <c r="U130" s="353" t="str">
        <f>IFERROR(SUMIFS('Key inputs_EB'!N:N,'Key inputs_EB'!$A:$A,"EB",'Key inputs_EB'!$C:$C,"S-OTH",'Key inputs_EB'!$E:$E,'SRV_BY Techs'!$K130)/SUMIFS('Key inputs_EB'!N:N,'Key inputs_EB'!$A:$A,"EB",'Key inputs_EB'!$C:$C,'SRV_BY Techs'!$B130),"")</f>
        <v/>
      </c>
      <c r="V130" s="353" t="str">
        <f>IFERROR(SUMIFS('Key inputs_EB'!O:O,'Key inputs_EB'!$A:$A,"EB",'Key inputs_EB'!$C:$C,"S-OTH",'Key inputs_EB'!$E:$E,'SRV_BY Techs'!$K130)/SUMIFS('Key inputs_EB'!O:O,'Key inputs_EB'!$A:$A,"EB",'Key inputs_EB'!$C:$C,'SRV_BY Techs'!$B130),"")</f>
        <v/>
      </c>
      <c r="W130" s="353" t="str">
        <f>IFERROR(SUMIFS('Key inputs_EB'!P:P,'Key inputs_EB'!$A:$A,"EB",'Key inputs_EB'!$C:$C,"S-OTH",'Key inputs_EB'!$E:$E,'SRV_BY Techs'!$K130)/SUMIFS('Key inputs_EB'!P:P,'Key inputs_EB'!$A:$A,"EB",'Key inputs_EB'!$C:$C,'SRV_BY Techs'!$B130),"")</f>
        <v/>
      </c>
      <c r="X130" s="353">
        <f>IFERROR(SUMIFS('Key inputs_EB'!Q:Q,'Key inputs_EB'!$A:$A,"EB",'Key inputs_EB'!$C:$C,"S-OTH",'Key inputs_EB'!$E:$E,'SRV_BY Techs'!$K130)/SUMIFS('Key inputs_EB'!Q:Q,'Key inputs_EB'!$A:$A,"EB",'Key inputs_EB'!$C:$C,'SRV_BY Techs'!$B130),"")</f>
        <v>0</v>
      </c>
      <c r="Y130" s="353" t="str">
        <f>IFERROR(SUMIFS('Key inputs_EB'!R:R,'Key inputs_EB'!$A:$A,"EB",'Key inputs_EB'!$C:$C,"S-OTH",'Key inputs_EB'!$E:$E,'SRV_BY Techs'!$K130)/SUMIFS('Key inputs_EB'!R:R,'Key inputs_EB'!$A:$A,"EB",'Key inputs_EB'!$C:$C,'SRV_BY Techs'!$B130),"")</f>
        <v/>
      </c>
      <c r="Z130" s="353" t="str">
        <f>IFERROR(SUMIFS('Key inputs_EB'!S:S,'Key inputs_EB'!$A:$A,"EB",'Key inputs_EB'!$C:$C,"S-OTH",'Key inputs_EB'!$E:$E,'SRV_BY Techs'!$K130)/SUMIFS('Key inputs_EB'!S:S,'Key inputs_EB'!$A:$A,"EB",'Key inputs_EB'!$C:$C,'SRV_BY Techs'!$B130),"")</f>
        <v/>
      </c>
      <c r="AA130" s="353" t="str">
        <f>IFERROR(SUMIFS('Key inputs_EB'!T:T,'Key inputs_EB'!$A:$A,"EB",'Key inputs_EB'!$C:$C,"S-OTH",'Key inputs_EB'!$E:$E,'SRV_BY Techs'!$K130)/SUMIFS('Key inputs_EB'!T:T,'Key inputs_EB'!$A:$A,"EB",'Key inputs_EB'!$C:$C,'SRV_BY Techs'!$B130),"")</f>
        <v/>
      </c>
      <c r="AB130" s="353" t="str">
        <f>IFERROR(SUMIFS('Key inputs_EB'!U:U,'Key inputs_EB'!$A:$A,"EB",'Key inputs_EB'!$C:$C,"S-OTH",'Key inputs_EB'!$E:$E,'SRV_BY Techs'!$K130)/SUMIFS('Key inputs_EB'!U:U,'Key inputs_EB'!$A:$A,"EB",'Key inputs_EB'!$C:$C,'SRV_BY Techs'!$B130),"")</f>
        <v/>
      </c>
      <c r="AC130" s="353" t="str">
        <f>IFERROR(SUMIFS('Key inputs_EB'!V:V,'Key inputs_EB'!$A:$A,"EB",'Key inputs_EB'!$C:$C,"S-OTH",'Key inputs_EB'!$E:$E,'SRV_BY Techs'!$K130)/SUMIFS('Key inputs_EB'!V:V,'Key inputs_EB'!$A:$A,"EB",'Key inputs_EB'!$C:$C,'SRV_BY Techs'!$B130),"")</f>
        <v/>
      </c>
      <c r="AD130" s="353" t="str">
        <f>IFERROR(SUMIFS('Key inputs_EB'!W:W,'Key inputs_EB'!$A:$A,"EB",'Key inputs_EB'!$C:$C,"S-OTH",'Key inputs_EB'!$E:$E,'SRV_BY Techs'!$K130)/SUMIFS('Key inputs_EB'!W:W,'Key inputs_EB'!$A:$A,"EB",'Key inputs_EB'!$C:$C,'SRV_BY Techs'!$B130),"")</f>
        <v/>
      </c>
      <c r="AE130" s="353" t="str">
        <f>IFERROR(SUMIFS('Key inputs_EB'!X:X,'Key inputs_EB'!$A:$A,"EB",'Key inputs_EB'!$C:$C,"S-OTH",'Key inputs_EB'!$E:$E,'SRV_BY Techs'!$K130)/SUMIFS('Key inputs_EB'!X:X,'Key inputs_EB'!$A:$A,"EB",'Key inputs_EB'!$C:$C,'SRV_BY Techs'!$B130),"")</f>
        <v/>
      </c>
      <c r="AF130" s="353" t="str">
        <f>IFERROR(SUMIFS('Key inputs_EB'!Y:Y,'Key inputs_EB'!$A:$A,"EB",'Key inputs_EB'!$C:$C,"S-OTH",'Key inputs_EB'!$E:$E,'SRV_BY Techs'!$K130)/SUMIFS('Key inputs_EB'!Y:Y,'Key inputs_EB'!$A:$A,"EB",'Key inputs_EB'!$C:$C,'SRV_BY Techs'!$B130),"")</f>
        <v/>
      </c>
      <c r="AG130" s="353" t="str">
        <f>IFERROR(SUMIFS('Key inputs_EB'!Z:Z,'Key inputs_EB'!$A:$A,"EB",'Key inputs_EB'!$C:$C,"S-OTH",'Key inputs_EB'!$E:$E,'SRV_BY Techs'!$K130)/SUMIFS('Key inputs_EB'!Z:Z,'Key inputs_EB'!$A:$A,"EB",'Key inputs_EB'!$C:$C,'SRV_BY Techs'!$B130),"")</f>
        <v/>
      </c>
      <c r="AH130" s="353">
        <f>IFERROR(SUMIFS('Key inputs_EB'!AA:AA,'Key inputs_EB'!$A:$A,"EB",'Key inputs_EB'!$C:$C,"S-OTH",'Key inputs_EB'!$E:$E,'SRV_BY Techs'!$K130)/SUMIFS('Key inputs_EB'!AA:AA,'Key inputs_EB'!$A:$A,"EB",'Key inputs_EB'!$C:$C,'SRV_BY Techs'!$B130),"")</f>
        <v>0</v>
      </c>
      <c r="AI130" s="353" t="str">
        <f>IFERROR(SUMIFS('Key inputs_EB'!AB:AB,'Key inputs_EB'!$A:$A,"EB",'Key inputs_EB'!$C:$C,"S-OTH",'Key inputs_EB'!$E:$E,'SRV_BY Techs'!$K130)/SUMIFS('Key inputs_EB'!AB:AB,'Key inputs_EB'!$A:$A,"EB",'Key inputs_EB'!$C:$C,'SRV_BY Techs'!$B130),"")</f>
        <v/>
      </c>
      <c r="AJ130" s="353" t="str">
        <f>IFERROR(SUMIFS('Key inputs_EB'!AC:AC,'Key inputs_EB'!$A:$A,"EB",'Key inputs_EB'!$C:$C,"S-OTH",'Key inputs_EB'!$E:$E,'SRV_BY Techs'!$K130)/SUMIFS('Key inputs_EB'!AC:AC,'Key inputs_EB'!$A:$A,"EB",'Key inputs_EB'!$C:$C,'SRV_BY Techs'!$B130),"")</f>
        <v/>
      </c>
      <c r="AK130" s="353" t="str">
        <f>IFERROR(SUMIFS('Key inputs_EB'!AD:AD,'Key inputs_EB'!$A:$A,"EB",'Key inputs_EB'!$C:$C,"S-OTH",'Key inputs_EB'!$E:$E,'SRV_BY Techs'!$K130)/SUMIFS('Key inputs_EB'!AD:AD,'Key inputs_EB'!$A:$A,"EB",'Key inputs_EB'!$C:$C,'SRV_BY Techs'!$B130),"")</f>
        <v/>
      </c>
      <c r="AL130" s="353" t="str">
        <f>IFERROR(SUMIFS('Key inputs_EB'!AE:AE,'Key inputs_EB'!$A:$A,"EB",'Key inputs_EB'!$C:$C,"S-OTH",'Key inputs_EB'!$E:$E,'SRV_BY Techs'!$K130)/SUMIFS('Key inputs_EB'!AE:AE,'Key inputs_EB'!$A:$A,"EB",'Key inputs_EB'!$C:$C,'SRV_BY Techs'!$B130),"")</f>
        <v/>
      </c>
      <c r="AM130" s="353" t="str">
        <f>IFERROR(SUMIFS('Key inputs_EB'!AF:AF,'Key inputs_EB'!$A:$A,"EB",'Key inputs_EB'!$C:$C,"S-OTH",'Key inputs_EB'!$E:$E,'SRV_BY Techs'!$K130)/SUMIFS('Key inputs_EB'!AF:AF,'Key inputs_EB'!$A:$A,"EB",'Key inputs_EB'!$C:$C,'SRV_BY Techs'!$B130),"")</f>
        <v/>
      </c>
      <c r="AN130" s="353" t="str">
        <f>IFERROR(SUMIFS('Key inputs_EB'!AG:AG,'Key inputs_EB'!$A:$A,"EB",'Key inputs_EB'!$C:$C,"S-OTH",'Key inputs_EB'!$E:$E,'SRV_BY Techs'!$K130)/SUMIFS('Key inputs_EB'!AG:AG,'Key inputs_EB'!$A:$A,"EB",'Key inputs_EB'!$C:$C,'SRV_BY Techs'!$B130),"")</f>
        <v/>
      </c>
      <c r="AO130" s="353" t="str">
        <f>IFERROR(SUMIFS('Key inputs_EB'!AH:AH,'Key inputs_EB'!$A:$A,"EB",'Key inputs_EB'!$C:$C,"S-OTH",'Key inputs_EB'!$E:$E,'SRV_BY Techs'!$K130)/SUMIFS('Key inputs_EB'!AH:AH,'Key inputs_EB'!$A:$A,"EB",'Key inputs_EB'!$C:$C,'SRV_BY Techs'!$B130),"")</f>
        <v/>
      </c>
      <c r="AP130" s="353">
        <f>IFERROR(SUMIFS('Key inputs_EB'!AI:AI,'Key inputs_EB'!$A:$A,"EB",'Key inputs_EB'!$C:$C,"S-OTH",'Key inputs_EB'!$E:$E,'SRV_BY Techs'!$K130)/SUMIFS('Key inputs_EB'!AI:AI,'Key inputs_EB'!$A:$A,"EB",'Key inputs_EB'!$C:$C,'SRV_BY Techs'!$B130),"")</f>
        <v>0</v>
      </c>
    </row>
    <row r="131" spans="1:42" x14ac:dyDescent="0.3">
      <c r="A131" s="499" t="str">
        <f t="shared" si="33"/>
        <v>Other uses</v>
      </c>
      <c r="B131" s="499" t="str">
        <f t="shared" si="34"/>
        <v>S-OTH</v>
      </c>
      <c r="D131" s="499"/>
      <c r="K131" s="103" t="str">
        <f t="shared" si="35"/>
        <v>SRVBIO</v>
      </c>
      <c r="L131" s="109" t="s">
        <v>190</v>
      </c>
      <c r="M131" s="109" t="s">
        <v>154</v>
      </c>
      <c r="N131" s="109" t="s">
        <v>78</v>
      </c>
      <c r="O131" s="353" t="str">
        <f>IFERROR(SUMIFS('Key inputs_EB'!H:H,'Key inputs_EB'!$A:$A,"EB",'Key inputs_EB'!$C:$C,"S-OTH",'Key inputs_EB'!$E:$E,'SRV_BY Techs'!$K131)/SUMIFS('Key inputs_EB'!H:H,'Key inputs_EB'!$A:$A,"EB",'Key inputs_EB'!$C:$C,'SRV_BY Techs'!$B131),"")</f>
        <v/>
      </c>
      <c r="P131" s="353" t="str">
        <f>IFERROR(SUMIFS('Key inputs_EB'!I:I,'Key inputs_EB'!$A:$A,"EB",'Key inputs_EB'!$C:$C,"S-OTH",'Key inputs_EB'!$E:$E,'SRV_BY Techs'!$K131)/SUMIFS('Key inputs_EB'!I:I,'Key inputs_EB'!$A:$A,"EB",'Key inputs_EB'!$C:$C,'SRV_BY Techs'!$B131),"")</f>
        <v/>
      </c>
      <c r="Q131" s="353" t="str">
        <f>IFERROR(SUMIFS('Key inputs_EB'!J:J,'Key inputs_EB'!$A:$A,"EB",'Key inputs_EB'!$C:$C,"S-OTH",'Key inputs_EB'!$E:$E,'SRV_BY Techs'!$K131)/SUMIFS('Key inputs_EB'!J:J,'Key inputs_EB'!$A:$A,"EB",'Key inputs_EB'!$C:$C,'SRV_BY Techs'!$B131),"")</f>
        <v/>
      </c>
      <c r="R131" s="353" t="str">
        <f>IFERROR(SUMIFS('Key inputs_EB'!K:K,'Key inputs_EB'!$A:$A,"EB",'Key inputs_EB'!$C:$C,"S-OTH",'Key inputs_EB'!$E:$E,'SRV_BY Techs'!$K131)/SUMIFS('Key inputs_EB'!K:K,'Key inputs_EB'!$A:$A,"EB",'Key inputs_EB'!$C:$C,'SRV_BY Techs'!$B131),"")</f>
        <v/>
      </c>
      <c r="S131" s="353" t="str">
        <f>IFERROR(SUMIFS('Key inputs_EB'!L:L,'Key inputs_EB'!$A:$A,"EB",'Key inputs_EB'!$C:$C,"S-OTH",'Key inputs_EB'!$E:$E,'SRV_BY Techs'!$K131)/SUMIFS('Key inputs_EB'!L:L,'Key inputs_EB'!$A:$A,"EB",'Key inputs_EB'!$C:$C,'SRV_BY Techs'!$B131),"")</f>
        <v/>
      </c>
      <c r="T131" s="353" t="str">
        <f>IFERROR(SUMIFS('Key inputs_EB'!M:M,'Key inputs_EB'!$A:$A,"EB",'Key inputs_EB'!$C:$C,"S-OTH",'Key inputs_EB'!$E:$E,'SRV_BY Techs'!$K131)/SUMIFS('Key inputs_EB'!M:M,'Key inputs_EB'!$A:$A,"EB",'Key inputs_EB'!$C:$C,'SRV_BY Techs'!$B131),"")</f>
        <v/>
      </c>
      <c r="U131" s="353" t="str">
        <f>IFERROR(SUMIFS('Key inputs_EB'!N:N,'Key inputs_EB'!$A:$A,"EB",'Key inputs_EB'!$C:$C,"S-OTH",'Key inputs_EB'!$E:$E,'SRV_BY Techs'!$K131)/SUMIFS('Key inputs_EB'!N:N,'Key inputs_EB'!$A:$A,"EB",'Key inputs_EB'!$C:$C,'SRV_BY Techs'!$B131),"")</f>
        <v/>
      </c>
      <c r="V131" s="353" t="str">
        <f>IFERROR(SUMIFS('Key inputs_EB'!O:O,'Key inputs_EB'!$A:$A,"EB",'Key inputs_EB'!$C:$C,"S-OTH",'Key inputs_EB'!$E:$E,'SRV_BY Techs'!$K131)/SUMIFS('Key inputs_EB'!O:O,'Key inputs_EB'!$A:$A,"EB",'Key inputs_EB'!$C:$C,'SRV_BY Techs'!$B131),"")</f>
        <v/>
      </c>
      <c r="W131" s="353" t="str">
        <f>IFERROR(SUMIFS('Key inputs_EB'!P:P,'Key inputs_EB'!$A:$A,"EB",'Key inputs_EB'!$C:$C,"S-OTH",'Key inputs_EB'!$E:$E,'SRV_BY Techs'!$K131)/SUMIFS('Key inputs_EB'!P:P,'Key inputs_EB'!$A:$A,"EB",'Key inputs_EB'!$C:$C,'SRV_BY Techs'!$B131),"")</f>
        <v/>
      </c>
      <c r="X131" s="353">
        <f>IFERROR(SUMIFS('Key inputs_EB'!Q:Q,'Key inputs_EB'!$A:$A,"EB",'Key inputs_EB'!$C:$C,"S-OTH",'Key inputs_EB'!$E:$E,'SRV_BY Techs'!$K131)/SUMIFS('Key inputs_EB'!Q:Q,'Key inputs_EB'!$A:$A,"EB",'Key inputs_EB'!$C:$C,'SRV_BY Techs'!$B131),"")</f>
        <v>0</v>
      </c>
      <c r="Y131" s="353" t="str">
        <f>IFERROR(SUMIFS('Key inputs_EB'!R:R,'Key inputs_EB'!$A:$A,"EB",'Key inputs_EB'!$C:$C,"S-OTH",'Key inputs_EB'!$E:$E,'SRV_BY Techs'!$K131)/SUMIFS('Key inputs_EB'!R:R,'Key inputs_EB'!$A:$A,"EB",'Key inputs_EB'!$C:$C,'SRV_BY Techs'!$B131),"")</f>
        <v/>
      </c>
      <c r="Z131" s="353" t="str">
        <f>IFERROR(SUMIFS('Key inputs_EB'!S:S,'Key inputs_EB'!$A:$A,"EB",'Key inputs_EB'!$C:$C,"S-OTH",'Key inputs_EB'!$E:$E,'SRV_BY Techs'!$K131)/SUMIFS('Key inputs_EB'!S:S,'Key inputs_EB'!$A:$A,"EB",'Key inputs_EB'!$C:$C,'SRV_BY Techs'!$B131),"")</f>
        <v/>
      </c>
      <c r="AA131" s="353" t="str">
        <f>IFERROR(SUMIFS('Key inputs_EB'!T:T,'Key inputs_EB'!$A:$A,"EB",'Key inputs_EB'!$C:$C,"S-OTH",'Key inputs_EB'!$E:$E,'SRV_BY Techs'!$K131)/SUMIFS('Key inputs_EB'!T:T,'Key inputs_EB'!$A:$A,"EB",'Key inputs_EB'!$C:$C,'SRV_BY Techs'!$B131),"")</f>
        <v/>
      </c>
      <c r="AB131" s="353" t="str">
        <f>IFERROR(SUMIFS('Key inputs_EB'!U:U,'Key inputs_EB'!$A:$A,"EB",'Key inputs_EB'!$C:$C,"S-OTH",'Key inputs_EB'!$E:$E,'SRV_BY Techs'!$K131)/SUMIFS('Key inputs_EB'!U:U,'Key inputs_EB'!$A:$A,"EB",'Key inputs_EB'!$C:$C,'SRV_BY Techs'!$B131),"")</f>
        <v/>
      </c>
      <c r="AC131" s="353" t="str">
        <f>IFERROR(SUMIFS('Key inputs_EB'!V:V,'Key inputs_EB'!$A:$A,"EB",'Key inputs_EB'!$C:$C,"S-OTH",'Key inputs_EB'!$E:$E,'SRV_BY Techs'!$K131)/SUMIFS('Key inputs_EB'!V:V,'Key inputs_EB'!$A:$A,"EB",'Key inputs_EB'!$C:$C,'SRV_BY Techs'!$B131),"")</f>
        <v/>
      </c>
      <c r="AD131" s="353" t="str">
        <f>IFERROR(SUMIFS('Key inputs_EB'!W:W,'Key inputs_EB'!$A:$A,"EB",'Key inputs_EB'!$C:$C,"S-OTH",'Key inputs_EB'!$E:$E,'SRV_BY Techs'!$K131)/SUMIFS('Key inputs_EB'!W:W,'Key inputs_EB'!$A:$A,"EB",'Key inputs_EB'!$C:$C,'SRV_BY Techs'!$B131),"")</f>
        <v/>
      </c>
      <c r="AE131" s="353" t="str">
        <f>IFERROR(SUMIFS('Key inputs_EB'!X:X,'Key inputs_EB'!$A:$A,"EB",'Key inputs_EB'!$C:$C,"S-OTH",'Key inputs_EB'!$E:$E,'SRV_BY Techs'!$K131)/SUMIFS('Key inputs_EB'!X:X,'Key inputs_EB'!$A:$A,"EB",'Key inputs_EB'!$C:$C,'SRV_BY Techs'!$B131),"")</f>
        <v/>
      </c>
      <c r="AF131" s="353" t="str">
        <f>IFERROR(SUMIFS('Key inputs_EB'!Y:Y,'Key inputs_EB'!$A:$A,"EB",'Key inputs_EB'!$C:$C,"S-OTH",'Key inputs_EB'!$E:$E,'SRV_BY Techs'!$K131)/SUMIFS('Key inputs_EB'!Y:Y,'Key inputs_EB'!$A:$A,"EB",'Key inputs_EB'!$C:$C,'SRV_BY Techs'!$B131),"")</f>
        <v/>
      </c>
      <c r="AG131" s="353" t="str">
        <f>IFERROR(SUMIFS('Key inputs_EB'!Z:Z,'Key inputs_EB'!$A:$A,"EB",'Key inputs_EB'!$C:$C,"S-OTH",'Key inputs_EB'!$E:$E,'SRV_BY Techs'!$K131)/SUMIFS('Key inputs_EB'!Z:Z,'Key inputs_EB'!$A:$A,"EB",'Key inputs_EB'!$C:$C,'SRV_BY Techs'!$B131),"")</f>
        <v/>
      </c>
      <c r="AH131" s="353">
        <f>IFERROR(SUMIFS('Key inputs_EB'!AA:AA,'Key inputs_EB'!$A:$A,"EB",'Key inputs_EB'!$C:$C,"S-OTH",'Key inputs_EB'!$E:$E,'SRV_BY Techs'!$K131)/SUMIFS('Key inputs_EB'!AA:AA,'Key inputs_EB'!$A:$A,"EB",'Key inputs_EB'!$C:$C,'SRV_BY Techs'!$B131),"")</f>
        <v>0</v>
      </c>
      <c r="AI131" s="353" t="str">
        <f>IFERROR(SUMIFS('Key inputs_EB'!AB:AB,'Key inputs_EB'!$A:$A,"EB",'Key inputs_EB'!$C:$C,"S-OTH",'Key inputs_EB'!$E:$E,'SRV_BY Techs'!$K131)/SUMIFS('Key inputs_EB'!AB:AB,'Key inputs_EB'!$A:$A,"EB",'Key inputs_EB'!$C:$C,'SRV_BY Techs'!$B131),"")</f>
        <v/>
      </c>
      <c r="AJ131" s="353" t="str">
        <f>IFERROR(SUMIFS('Key inputs_EB'!AC:AC,'Key inputs_EB'!$A:$A,"EB",'Key inputs_EB'!$C:$C,"S-OTH",'Key inputs_EB'!$E:$E,'SRV_BY Techs'!$K131)/SUMIFS('Key inputs_EB'!AC:AC,'Key inputs_EB'!$A:$A,"EB",'Key inputs_EB'!$C:$C,'SRV_BY Techs'!$B131),"")</f>
        <v/>
      </c>
      <c r="AK131" s="353" t="str">
        <f>IFERROR(SUMIFS('Key inputs_EB'!AD:AD,'Key inputs_EB'!$A:$A,"EB",'Key inputs_EB'!$C:$C,"S-OTH",'Key inputs_EB'!$E:$E,'SRV_BY Techs'!$K131)/SUMIFS('Key inputs_EB'!AD:AD,'Key inputs_EB'!$A:$A,"EB",'Key inputs_EB'!$C:$C,'SRV_BY Techs'!$B131),"")</f>
        <v/>
      </c>
      <c r="AL131" s="353" t="str">
        <f>IFERROR(SUMIFS('Key inputs_EB'!AE:AE,'Key inputs_EB'!$A:$A,"EB",'Key inputs_EB'!$C:$C,"S-OTH",'Key inputs_EB'!$E:$E,'SRV_BY Techs'!$K131)/SUMIFS('Key inputs_EB'!AE:AE,'Key inputs_EB'!$A:$A,"EB",'Key inputs_EB'!$C:$C,'SRV_BY Techs'!$B131),"")</f>
        <v/>
      </c>
      <c r="AM131" s="353" t="str">
        <f>IFERROR(SUMIFS('Key inputs_EB'!AF:AF,'Key inputs_EB'!$A:$A,"EB",'Key inputs_EB'!$C:$C,"S-OTH",'Key inputs_EB'!$E:$E,'SRV_BY Techs'!$K131)/SUMIFS('Key inputs_EB'!AF:AF,'Key inputs_EB'!$A:$A,"EB",'Key inputs_EB'!$C:$C,'SRV_BY Techs'!$B131),"")</f>
        <v/>
      </c>
      <c r="AN131" s="353" t="str">
        <f>IFERROR(SUMIFS('Key inputs_EB'!AG:AG,'Key inputs_EB'!$A:$A,"EB",'Key inputs_EB'!$C:$C,"S-OTH",'Key inputs_EB'!$E:$E,'SRV_BY Techs'!$K131)/SUMIFS('Key inputs_EB'!AG:AG,'Key inputs_EB'!$A:$A,"EB",'Key inputs_EB'!$C:$C,'SRV_BY Techs'!$B131),"")</f>
        <v/>
      </c>
      <c r="AO131" s="353" t="str">
        <f>IFERROR(SUMIFS('Key inputs_EB'!AH:AH,'Key inputs_EB'!$A:$A,"EB",'Key inputs_EB'!$C:$C,"S-OTH",'Key inputs_EB'!$E:$E,'SRV_BY Techs'!$K131)/SUMIFS('Key inputs_EB'!AH:AH,'Key inputs_EB'!$A:$A,"EB",'Key inputs_EB'!$C:$C,'SRV_BY Techs'!$B131),"")</f>
        <v/>
      </c>
      <c r="AP131" s="353">
        <f>IFERROR(SUMIFS('Key inputs_EB'!AI:AI,'Key inputs_EB'!$A:$A,"EB",'Key inputs_EB'!$C:$C,"S-OTH",'Key inputs_EB'!$E:$E,'SRV_BY Techs'!$K131)/SUMIFS('Key inputs_EB'!AI:AI,'Key inputs_EB'!$A:$A,"EB",'Key inputs_EB'!$C:$C,'SRV_BY Techs'!$B131),"")</f>
        <v>0</v>
      </c>
    </row>
    <row r="132" spans="1:42" x14ac:dyDescent="0.3">
      <c r="A132" s="499" t="str">
        <f t="shared" si="33"/>
        <v>Other uses</v>
      </c>
      <c r="B132" s="499" t="str">
        <f t="shared" si="34"/>
        <v>S-OTH</v>
      </c>
      <c r="I132" s="106"/>
      <c r="J132" s="106"/>
      <c r="K132" s="106" t="str">
        <f t="shared" si="35"/>
        <v>SRVWAS</v>
      </c>
      <c r="L132" s="171" t="s">
        <v>190</v>
      </c>
      <c r="M132" s="171" t="s">
        <v>154</v>
      </c>
      <c r="N132" s="171" t="s">
        <v>78</v>
      </c>
      <c r="O132" s="356" t="str">
        <f>IFERROR(SUMIFS('Key inputs_EB'!H:H,'Key inputs_EB'!$A:$A,"EB",'Key inputs_EB'!$C:$C,"S-OTH",'Key inputs_EB'!$E:$E,'SRV_BY Techs'!$K132)/SUMIFS('Key inputs_EB'!H:H,'Key inputs_EB'!$A:$A,"EB",'Key inputs_EB'!$C:$C,'SRV_BY Techs'!$B132),"")</f>
        <v/>
      </c>
      <c r="P132" s="356" t="str">
        <f>IFERROR(SUMIFS('Key inputs_EB'!I:I,'Key inputs_EB'!$A:$A,"EB",'Key inputs_EB'!$C:$C,"S-OTH",'Key inputs_EB'!$E:$E,'SRV_BY Techs'!$K132)/SUMIFS('Key inputs_EB'!I:I,'Key inputs_EB'!$A:$A,"EB",'Key inputs_EB'!$C:$C,'SRV_BY Techs'!$B132),"")</f>
        <v/>
      </c>
      <c r="Q132" s="356" t="str">
        <f>IFERROR(SUMIFS('Key inputs_EB'!J:J,'Key inputs_EB'!$A:$A,"EB",'Key inputs_EB'!$C:$C,"S-OTH",'Key inputs_EB'!$E:$E,'SRV_BY Techs'!$K132)/SUMIFS('Key inputs_EB'!J:J,'Key inputs_EB'!$A:$A,"EB",'Key inputs_EB'!$C:$C,'SRV_BY Techs'!$B132),"")</f>
        <v/>
      </c>
      <c r="R132" s="356" t="str">
        <f>IFERROR(SUMIFS('Key inputs_EB'!K:K,'Key inputs_EB'!$A:$A,"EB",'Key inputs_EB'!$C:$C,"S-OTH",'Key inputs_EB'!$E:$E,'SRV_BY Techs'!$K132)/SUMIFS('Key inputs_EB'!K:K,'Key inputs_EB'!$A:$A,"EB",'Key inputs_EB'!$C:$C,'SRV_BY Techs'!$B132),"")</f>
        <v/>
      </c>
      <c r="S132" s="356" t="str">
        <f>IFERROR(SUMIFS('Key inputs_EB'!L:L,'Key inputs_EB'!$A:$A,"EB",'Key inputs_EB'!$C:$C,"S-OTH",'Key inputs_EB'!$E:$E,'SRV_BY Techs'!$K132)/SUMIFS('Key inputs_EB'!L:L,'Key inputs_EB'!$A:$A,"EB",'Key inputs_EB'!$C:$C,'SRV_BY Techs'!$B132),"")</f>
        <v/>
      </c>
      <c r="T132" s="356" t="str">
        <f>IFERROR(SUMIFS('Key inputs_EB'!M:M,'Key inputs_EB'!$A:$A,"EB",'Key inputs_EB'!$C:$C,"S-OTH",'Key inputs_EB'!$E:$E,'SRV_BY Techs'!$K132)/SUMIFS('Key inputs_EB'!M:M,'Key inputs_EB'!$A:$A,"EB",'Key inputs_EB'!$C:$C,'SRV_BY Techs'!$B132),"")</f>
        <v/>
      </c>
      <c r="U132" s="356" t="str">
        <f>IFERROR(SUMIFS('Key inputs_EB'!N:N,'Key inputs_EB'!$A:$A,"EB",'Key inputs_EB'!$C:$C,"S-OTH",'Key inputs_EB'!$E:$E,'SRV_BY Techs'!$K132)/SUMIFS('Key inputs_EB'!N:N,'Key inputs_EB'!$A:$A,"EB",'Key inputs_EB'!$C:$C,'SRV_BY Techs'!$B132),"")</f>
        <v/>
      </c>
      <c r="V132" s="356" t="str">
        <f>IFERROR(SUMIFS('Key inputs_EB'!O:O,'Key inputs_EB'!$A:$A,"EB",'Key inputs_EB'!$C:$C,"S-OTH",'Key inputs_EB'!$E:$E,'SRV_BY Techs'!$K132)/SUMIFS('Key inputs_EB'!O:O,'Key inputs_EB'!$A:$A,"EB",'Key inputs_EB'!$C:$C,'SRV_BY Techs'!$B132),"")</f>
        <v/>
      </c>
      <c r="W132" s="356" t="str">
        <f>IFERROR(SUMIFS('Key inputs_EB'!P:P,'Key inputs_EB'!$A:$A,"EB",'Key inputs_EB'!$C:$C,"S-OTH",'Key inputs_EB'!$E:$E,'SRV_BY Techs'!$K132)/SUMIFS('Key inputs_EB'!P:P,'Key inputs_EB'!$A:$A,"EB",'Key inputs_EB'!$C:$C,'SRV_BY Techs'!$B132),"")</f>
        <v/>
      </c>
      <c r="X132" s="356">
        <f>IFERROR(SUMIFS('Key inputs_EB'!Q:Q,'Key inputs_EB'!$A:$A,"EB",'Key inputs_EB'!$C:$C,"S-OTH",'Key inputs_EB'!$E:$E,'SRV_BY Techs'!$K132)/SUMIFS('Key inputs_EB'!Q:Q,'Key inputs_EB'!$A:$A,"EB",'Key inputs_EB'!$C:$C,'SRV_BY Techs'!$B132),"")</f>
        <v>0</v>
      </c>
      <c r="Y132" s="356" t="str">
        <f>IFERROR(SUMIFS('Key inputs_EB'!R:R,'Key inputs_EB'!$A:$A,"EB",'Key inputs_EB'!$C:$C,"S-OTH",'Key inputs_EB'!$E:$E,'SRV_BY Techs'!$K132)/SUMIFS('Key inputs_EB'!R:R,'Key inputs_EB'!$A:$A,"EB",'Key inputs_EB'!$C:$C,'SRV_BY Techs'!$B132),"")</f>
        <v/>
      </c>
      <c r="Z132" s="356" t="str">
        <f>IFERROR(SUMIFS('Key inputs_EB'!S:S,'Key inputs_EB'!$A:$A,"EB",'Key inputs_EB'!$C:$C,"S-OTH",'Key inputs_EB'!$E:$E,'SRV_BY Techs'!$K132)/SUMIFS('Key inputs_EB'!S:S,'Key inputs_EB'!$A:$A,"EB",'Key inputs_EB'!$C:$C,'SRV_BY Techs'!$B132),"")</f>
        <v/>
      </c>
      <c r="AA132" s="356" t="str">
        <f>IFERROR(SUMIFS('Key inputs_EB'!T:T,'Key inputs_EB'!$A:$A,"EB",'Key inputs_EB'!$C:$C,"S-OTH",'Key inputs_EB'!$E:$E,'SRV_BY Techs'!$K132)/SUMIFS('Key inputs_EB'!T:T,'Key inputs_EB'!$A:$A,"EB",'Key inputs_EB'!$C:$C,'SRV_BY Techs'!$B132),"")</f>
        <v/>
      </c>
      <c r="AB132" s="356" t="str">
        <f>IFERROR(SUMIFS('Key inputs_EB'!U:U,'Key inputs_EB'!$A:$A,"EB",'Key inputs_EB'!$C:$C,"S-OTH",'Key inputs_EB'!$E:$E,'SRV_BY Techs'!$K132)/SUMIFS('Key inputs_EB'!U:U,'Key inputs_EB'!$A:$A,"EB",'Key inputs_EB'!$C:$C,'SRV_BY Techs'!$B132),"")</f>
        <v/>
      </c>
      <c r="AC132" s="356" t="str">
        <f>IFERROR(SUMIFS('Key inputs_EB'!V:V,'Key inputs_EB'!$A:$A,"EB",'Key inputs_EB'!$C:$C,"S-OTH",'Key inputs_EB'!$E:$E,'SRV_BY Techs'!$K132)/SUMIFS('Key inputs_EB'!V:V,'Key inputs_EB'!$A:$A,"EB",'Key inputs_EB'!$C:$C,'SRV_BY Techs'!$B132),"")</f>
        <v/>
      </c>
      <c r="AD132" s="356" t="str">
        <f>IFERROR(SUMIFS('Key inputs_EB'!W:W,'Key inputs_EB'!$A:$A,"EB",'Key inputs_EB'!$C:$C,"S-OTH",'Key inputs_EB'!$E:$E,'SRV_BY Techs'!$K132)/SUMIFS('Key inputs_EB'!W:W,'Key inputs_EB'!$A:$A,"EB",'Key inputs_EB'!$C:$C,'SRV_BY Techs'!$B132),"")</f>
        <v/>
      </c>
      <c r="AE132" s="356" t="str">
        <f>IFERROR(SUMIFS('Key inputs_EB'!X:X,'Key inputs_EB'!$A:$A,"EB",'Key inputs_EB'!$C:$C,"S-OTH",'Key inputs_EB'!$E:$E,'SRV_BY Techs'!$K132)/SUMIFS('Key inputs_EB'!X:X,'Key inputs_EB'!$A:$A,"EB",'Key inputs_EB'!$C:$C,'SRV_BY Techs'!$B132),"")</f>
        <v/>
      </c>
      <c r="AF132" s="356" t="str">
        <f>IFERROR(SUMIFS('Key inputs_EB'!Y:Y,'Key inputs_EB'!$A:$A,"EB",'Key inputs_EB'!$C:$C,"S-OTH",'Key inputs_EB'!$E:$E,'SRV_BY Techs'!$K132)/SUMIFS('Key inputs_EB'!Y:Y,'Key inputs_EB'!$A:$A,"EB",'Key inputs_EB'!$C:$C,'SRV_BY Techs'!$B132),"")</f>
        <v/>
      </c>
      <c r="AG132" s="356" t="str">
        <f>IFERROR(SUMIFS('Key inputs_EB'!Z:Z,'Key inputs_EB'!$A:$A,"EB",'Key inputs_EB'!$C:$C,"S-OTH",'Key inputs_EB'!$E:$E,'SRV_BY Techs'!$K132)/SUMIFS('Key inputs_EB'!Z:Z,'Key inputs_EB'!$A:$A,"EB",'Key inputs_EB'!$C:$C,'SRV_BY Techs'!$B132),"")</f>
        <v/>
      </c>
      <c r="AH132" s="356">
        <f>IFERROR(SUMIFS('Key inputs_EB'!AA:AA,'Key inputs_EB'!$A:$A,"EB",'Key inputs_EB'!$C:$C,"S-OTH",'Key inputs_EB'!$E:$E,'SRV_BY Techs'!$K132)/SUMIFS('Key inputs_EB'!AA:AA,'Key inputs_EB'!$A:$A,"EB",'Key inputs_EB'!$C:$C,'SRV_BY Techs'!$B132),"")</f>
        <v>0</v>
      </c>
      <c r="AI132" s="356" t="str">
        <f>IFERROR(SUMIFS('Key inputs_EB'!AB:AB,'Key inputs_EB'!$A:$A,"EB",'Key inputs_EB'!$C:$C,"S-OTH",'Key inputs_EB'!$E:$E,'SRV_BY Techs'!$K132)/SUMIFS('Key inputs_EB'!AB:AB,'Key inputs_EB'!$A:$A,"EB",'Key inputs_EB'!$C:$C,'SRV_BY Techs'!$B132),"")</f>
        <v/>
      </c>
      <c r="AJ132" s="356" t="str">
        <f>IFERROR(SUMIFS('Key inputs_EB'!AC:AC,'Key inputs_EB'!$A:$A,"EB",'Key inputs_EB'!$C:$C,"S-OTH",'Key inputs_EB'!$E:$E,'SRV_BY Techs'!$K132)/SUMIFS('Key inputs_EB'!AC:AC,'Key inputs_EB'!$A:$A,"EB",'Key inputs_EB'!$C:$C,'SRV_BY Techs'!$B132),"")</f>
        <v/>
      </c>
      <c r="AK132" s="356" t="str">
        <f>IFERROR(SUMIFS('Key inputs_EB'!AD:AD,'Key inputs_EB'!$A:$A,"EB",'Key inputs_EB'!$C:$C,"S-OTH",'Key inputs_EB'!$E:$E,'SRV_BY Techs'!$K132)/SUMIFS('Key inputs_EB'!AD:AD,'Key inputs_EB'!$A:$A,"EB",'Key inputs_EB'!$C:$C,'SRV_BY Techs'!$B132),"")</f>
        <v/>
      </c>
      <c r="AL132" s="356" t="str">
        <f>IFERROR(SUMIFS('Key inputs_EB'!AE:AE,'Key inputs_EB'!$A:$A,"EB",'Key inputs_EB'!$C:$C,"S-OTH",'Key inputs_EB'!$E:$E,'SRV_BY Techs'!$K132)/SUMIFS('Key inputs_EB'!AE:AE,'Key inputs_EB'!$A:$A,"EB",'Key inputs_EB'!$C:$C,'SRV_BY Techs'!$B132),"")</f>
        <v/>
      </c>
      <c r="AM132" s="356" t="str">
        <f>IFERROR(SUMIFS('Key inputs_EB'!AF:AF,'Key inputs_EB'!$A:$A,"EB",'Key inputs_EB'!$C:$C,"S-OTH",'Key inputs_EB'!$E:$E,'SRV_BY Techs'!$K132)/SUMIFS('Key inputs_EB'!AF:AF,'Key inputs_EB'!$A:$A,"EB",'Key inputs_EB'!$C:$C,'SRV_BY Techs'!$B132),"")</f>
        <v/>
      </c>
      <c r="AN132" s="356" t="str">
        <f>IFERROR(SUMIFS('Key inputs_EB'!AG:AG,'Key inputs_EB'!$A:$A,"EB",'Key inputs_EB'!$C:$C,"S-OTH",'Key inputs_EB'!$E:$E,'SRV_BY Techs'!$K132)/SUMIFS('Key inputs_EB'!AG:AG,'Key inputs_EB'!$A:$A,"EB",'Key inputs_EB'!$C:$C,'SRV_BY Techs'!$B132),"")</f>
        <v/>
      </c>
      <c r="AO132" s="356" t="str">
        <f>IFERROR(SUMIFS('Key inputs_EB'!AH:AH,'Key inputs_EB'!$A:$A,"EB",'Key inputs_EB'!$C:$C,"S-OTH",'Key inputs_EB'!$E:$E,'SRV_BY Techs'!$K132)/SUMIFS('Key inputs_EB'!AH:AH,'Key inputs_EB'!$A:$A,"EB",'Key inputs_EB'!$C:$C,'SRV_BY Techs'!$B132),"")</f>
        <v/>
      </c>
      <c r="AP132" s="356">
        <f>IFERROR(SUMIFS('Key inputs_EB'!AI:AI,'Key inputs_EB'!$A:$A,"EB",'Key inputs_EB'!$C:$C,"S-OTH",'Key inputs_EB'!$E:$E,'SRV_BY Techs'!$K132)/SUMIFS('Key inputs_EB'!AI:AI,'Key inputs_EB'!$A:$A,"EB",'Key inputs_EB'!$C:$C,'SRV_BY Techs'!$B132),"")</f>
        <v>0</v>
      </c>
    </row>
    <row r="133" spans="1:42" x14ac:dyDescent="0.3">
      <c r="A133" s="499"/>
      <c r="B133" s="499"/>
    </row>
    <row r="135" spans="1:42" ht="15.6" x14ac:dyDescent="0.3">
      <c r="I135" s="104" t="s">
        <v>37</v>
      </c>
      <c r="J135" s="9"/>
      <c r="K135" s="9"/>
      <c r="L135" s="9"/>
      <c r="M135" s="9"/>
    </row>
    <row r="136" spans="1:42" ht="15" thickBot="1" x14ac:dyDescent="0.35">
      <c r="I136" s="99" t="s">
        <v>38</v>
      </c>
      <c r="J136" s="105" t="s">
        <v>179</v>
      </c>
      <c r="K136" s="99" t="s">
        <v>175</v>
      </c>
      <c r="L136" s="99" t="s">
        <v>43</v>
      </c>
      <c r="M136" s="99" t="s">
        <v>104</v>
      </c>
      <c r="N136" s="99" t="s">
        <v>50</v>
      </c>
      <c r="O136" s="99" t="s">
        <v>457</v>
      </c>
      <c r="P136" s="99" t="s">
        <v>458</v>
      </c>
      <c r="Q136" s="99" t="s">
        <v>460</v>
      </c>
      <c r="R136" s="99" t="s">
        <v>459</v>
      </c>
      <c r="S136" s="99" t="s">
        <v>461</v>
      </c>
      <c r="T136" s="99" t="s">
        <v>463</v>
      </c>
      <c r="U136" s="99" t="s">
        <v>464</v>
      </c>
      <c r="V136" s="99" t="s">
        <v>465</v>
      </c>
      <c r="W136" s="99" t="s">
        <v>1</v>
      </c>
      <c r="X136" s="99" t="s">
        <v>2</v>
      </c>
      <c r="Y136" s="99" t="s">
        <v>707</v>
      </c>
      <c r="Z136" s="99" t="s">
        <v>3</v>
      </c>
      <c r="AA136" s="99" t="s">
        <v>467</v>
      </c>
      <c r="AB136" s="99" t="s">
        <v>468</v>
      </c>
      <c r="AC136" s="99" t="s">
        <v>469</v>
      </c>
      <c r="AD136" s="99" t="s">
        <v>708</v>
      </c>
      <c r="AE136" s="99" t="s">
        <v>470</v>
      </c>
      <c r="AF136" s="99" t="s">
        <v>5</v>
      </c>
      <c r="AG136" s="99" t="s">
        <v>6</v>
      </c>
      <c r="AH136" s="99" t="s">
        <v>7</v>
      </c>
      <c r="AI136" s="99" t="s">
        <v>8</v>
      </c>
      <c r="AJ136" s="99" t="s">
        <v>709</v>
      </c>
      <c r="AK136" s="99" t="s">
        <v>9</v>
      </c>
      <c r="AL136" s="99" t="s">
        <v>10</v>
      </c>
      <c r="AM136" s="99" t="s">
        <v>710</v>
      </c>
      <c r="AN136" s="99" t="s">
        <v>11</v>
      </c>
      <c r="AO136" s="99" t="s">
        <v>711</v>
      </c>
      <c r="AP136" s="99" t="s">
        <v>13</v>
      </c>
    </row>
    <row r="137" spans="1:42" ht="55.2" x14ac:dyDescent="0.3">
      <c r="I137" s="2" t="s">
        <v>183</v>
      </c>
      <c r="J137" s="2" t="s">
        <v>30</v>
      </c>
      <c r="K137" s="2" t="s">
        <v>184</v>
      </c>
      <c r="L137" s="6"/>
      <c r="M137" s="6"/>
      <c r="N137" s="2" t="s">
        <v>654</v>
      </c>
      <c r="O137" s="2" t="s">
        <v>477</v>
      </c>
      <c r="P137" s="2" t="s">
        <v>478</v>
      </c>
      <c r="Q137" s="2" t="s">
        <v>480</v>
      </c>
      <c r="R137" s="2" t="s">
        <v>479</v>
      </c>
      <c r="S137" s="2" t="s">
        <v>481</v>
      </c>
      <c r="T137" s="2" t="s">
        <v>482</v>
      </c>
      <c r="U137" s="2" t="s">
        <v>483</v>
      </c>
      <c r="V137" s="2" t="s">
        <v>484</v>
      </c>
      <c r="W137" s="2" t="s">
        <v>90</v>
      </c>
      <c r="X137" s="2" t="s">
        <v>91</v>
      </c>
      <c r="Y137" s="2" t="s">
        <v>715</v>
      </c>
      <c r="Z137" s="2" t="s">
        <v>716</v>
      </c>
      <c r="AA137" s="2" t="s">
        <v>485</v>
      </c>
      <c r="AB137" s="2" t="s">
        <v>486</v>
      </c>
      <c r="AC137" s="2" t="s">
        <v>487</v>
      </c>
      <c r="AD137" s="2" t="s">
        <v>717</v>
      </c>
      <c r="AE137" s="2" t="s">
        <v>488</v>
      </c>
      <c r="AF137" s="2" t="s">
        <v>718</v>
      </c>
      <c r="AG137" s="2" t="s">
        <v>92</v>
      </c>
      <c r="AH137" s="2" t="s">
        <v>93</v>
      </c>
      <c r="AI137" s="2" t="s">
        <v>94</v>
      </c>
      <c r="AJ137" s="2" t="s">
        <v>719</v>
      </c>
      <c r="AK137" s="2" t="s">
        <v>720</v>
      </c>
      <c r="AL137" s="2" t="s">
        <v>95</v>
      </c>
      <c r="AM137" s="2" t="s">
        <v>721</v>
      </c>
      <c r="AN137" s="2" t="s">
        <v>722</v>
      </c>
      <c r="AO137" s="2" t="s">
        <v>769</v>
      </c>
      <c r="AP137" s="2" t="s">
        <v>489</v>
      </c>
    </row>
    <row r="138" spans="1:42" x14ac:dyDescent="0.3">
      <c r="I138" s="112" t="str">
        <f>"*"&amp;L139</f>
        <v>*NCAP_BND</v>
      </c>
    </row>
    <row r="139" spans="1:42" x14ac:dyDescent="0.3">
      <c r="I139" s="106" t="str">
        <f>I28</f>
        <v>S-OTH_00</v>
      </c>
      <c r="J139" s="106" t="str">
        <f>J28</f>
        <v>SRV Other uses</v>
      </c>
      <c r="K139" s="106"/>
      <c r="L139" s="605" t="s">
        <v>695</v>
      </c>
      <c r="M139" s="106">
        <v>0</v>
      </c>
      <c r="N139" s="605" t="s">
        <v>78</v>
      </c>
      <c r="O139" s="106" t="str">
        <f t="shared" ref="O139:Y139" si="36">IF(O113=0,"",-1)</f>
        <v/>
      </c>
      <c r="P139" s="106" t="str">
        <f t="shared" si="36"/>
        <v/>
      </c>
      <c r="Q139" s="106" t="str">
        <f t="shared" si="36"/>
        <v/>
      </c>
      <c r="R139" s="106" t="str">
        <f t="shared" si="36"/>
        <v/>
      </c>
      <c r="S139" s="106" t="str">
        <f t="shared" si="36"/>
        <v/>
      </c>
      <c r="T139" s="106" t="str">
        <f t="shared" si="36"/>
        <v/>
      </c>
      <c r="U139" s="106" t="str">
        <f t="shared" si="36"/>
        <v/>
      </c>
      <c r="V139" s="106" t="str">
        <f t="shared" si="36"/>
        <v/>
      </c>
      <c r="W139" s="106" t="str">
        <f t="shared" si="36"/>
        <v/>
      </c>
      <c r="X139" s="106">
        <f t="shared" si="36"/>
        <v>-1</v>
      </c>
      <c r="Y139" s="106" t="str">
        <f t="shared" si="36"/>
        <v/>
      </c>
      <c r="Z139" s="106" t="str">
        <f>IF(Z113=0,"",-1)</f>
        <v/>
      </c>
      <c r="AA139" s="106" t="str">
        <f t="shared" ref="AA139:AP139" si="37">IF(AA113=0,"",-1)</f>
        <v/>
      </c>
      <c r="AB139" s="106" t="str">
        <f t="shared" si="37"/>
        <v/>
      </c>
      <c r="AC139" s="106" t="str">
        <f t="shared" si="37"/>
        <v/>
      </c>
      <c r="AD139" s="106" t="str">
        <f t="shared" si="37"/>
        <v/>
      </c>
      <c r="AE139" s="106" t="str">
        <f t="shared" si="37"/>
        <v/>
      </c>
      <c r="AF139" s="106" t="str">
        <f t="shared" si="37"/>
        <v/>
      </c>
      <c r="AG139" s="106" t="str">
        <f t="shared" si="37"/>
        <v/>
      </c>
      <c r="AH139" s="106">
        <f>IF(AH113=0,"",-1)</f>
        <v>-1</v>
      </c>
      <c r="AI139" s="106" t="str">
        <f t="shared" si="37"/>
        <v/>
      </c>
      <c r="AJ139" s="106" t="str">
        <f t="shared" si="37"/>
        <v/>
      </c>
      <c r="AK139" s="106" t="str">
        <f t="shared" si="37"/>
        <v/>
      </c>
      <c r="AL139" s="106" t="str">
        <f t="shared" si="37"/>
        <v/>
      </c>
      <c r="AM139" s="106" t="str">
        <f t="shared" si="37"/>
        <v/>
      </c>
      <c r="AN139" s="106" t="str">
        <f t="shared" si="37"/>
        <v/>
      </c>
      <c r="AO139" s="106" t="str">
        <f t="shared" si="37"/>
        <v/>
      </c>
      <c r="AP139" s="106">
        <f t="shared" si="37"/>
        <v>-1</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694B1-4CB4-4F50-AA71-09978D16AC06}">
  <sheetPr>
    <tabColor theme="9" tint="0.59999389629810485"/>
  </sheetPr>
  <dimension ref="A1:BI329"/>
  <sheetViews>
    <sheetView showGridLines="0" topLeftCell="V1" zoomScale="85" zoomScaleNormal="85" workbookViewId="0">
      <pane ySplit="1" topLeftCell="A43" activePane="bottomLeft" state="frozen"/>
      <selection activeCell="J1" sqref="J1"/>
      <selection pane="bottomLeft" activeCell="AR50" sqref="AR50"/>
    </sheetView>
  </sheetViews>
  <sheetFormatPr defaultColWidth="8.3984375" defaultRowHeight="14.4" x14ac:dyDescent="0.3"/>
  <cols>
    <col min="1" max="1" width="13.69921875" style="535" customWidth="1"/>
    <col min="2" max="2" width="10.19921875" style="535" bestFit="1" customWidth="1"/>
    <col min="3" max="3" width="16.69921875" style="535" bestFit="1" customWidth="1"/>
    <col min="4" max="4" width="37.09765625" style="535" customWidth="1"/>
    <col min="5" max="5" width="8.69921875" style="535" bestFit="1" customWidth="1"/>
    <col min="6" max="6" width="21.5" style="535" bestFit="1" customWidth="1"/>
    <col min="7" max="7" width="5" style="535" bestFit="1" customWidth="1"/>
    <col min="8" max="8" width="13.5" style="535" bestFit="1" customWidth="1"/>
    <col min="9" max="9" width="5.09765625" style="535" customWidth="1"/>
    <col min="10" max="10" width="2.5" style="201" customWidth="1"/>
    <col min="11" max="11" width="16.19921875" style="201" customWidth="1"/>
    <col min="12" max="12" width="52.8984375" style="201" bestFit="1" customWidth="1"/>
    <col min="13" max="13" width="13.59765625" style="201" bestFit="1" customWidth="1"/>
    <col min="14" max="15" width="10.59765625" style="201" customWidth="1"/>
    <col min="16" max="16" width="12.19921875" style="201" bestFit="1" customWidth="1"/>
    <col min="17" max="38" width="10.59765625" style="201" customWidth="1"/>
    <col min="39" max="39" width="10.59765625" style="211" customWidth="1"/>
    <col min="40" max="41" width="10.59765625" style="201" customWidth="1"/>
    <col min="42" max="16384" width="8.3984375" style="201"/>
  </cols>
  <sheetData>
    <row r="1" spans="1:39" ht="23.4" x14ac:dyDescent="0.3">
      <c r="K1" s="59" t="str">
        <f>"Characterization of new technology options"</f>
        <v>Characterization of new technology options</v>
      </c>
    </row>
    <row r="2" spans="1:39" s="103" customFormat="1" x14ac:dyDescent="0.3">
      <c r="A2" s="504" t="s">
        <v>657</v>
      </c>
      <c r="B2" s="496"/>
      <c r="C2" s="496"/>
      <c r="D2" s="496"/>
      <c r="E2" s="496"/>
      <c r="F2" s="496"/>
      <c r="G2" s="496"/>
      <c r="H2" s="496"/>
      <c r="I2" s="496"/>
    </row>
    <row r="3" spans="1:39" x14ac:dyDescent="0.3">
      <c r="B3" s="546"/>
      <c r="K3" s="213" t="s">
        <v>37</v>
      </c>
      <c r="P3" s="214"/>
    </row>
    <row r="4" spans="1:39" ht="38.4" customHeight="1" thickBot="1" x14ac:dyDescent="0.35">
      <c r="A4" s="693" t="s">
        <v>381</v>
      </c>
      <c r="B4" s="693"/>
      <c r="C4" s="693" t="s">
        <v>99</v>
      </c>
      <c r="D4" s="693"/>
      <c r="E4" s="693"/>
      <c r="F4" s="536" t="s">
        <v>382</v>
      </c>
      <c r="G4" s="536"/>
      <c r="H4" s="498" t="s">
        <v>677</v>
      </c>
      <c r="I4" s="498"/>
      <c r="K4" s="99" t="s">
        <v>38</v>
      </c>
      <c r="L4" s="99" t="s">
        <v>179</v>
      </c>
      <c r="M4" s="99" t="s">
        <v>175</v>
      </c>
      <c r="N4" s="99" t="s">
        <v>176</v>
      </c>
      <c r="O4" s="99" t="s">
        <v>449</v>
      </c>
      <c r="P4" s="99" t="s">
        <v>448</v>
      </c>
      <c r="Q4" s="99" t="s">
        <v>450</v>
      </c>
      <c r="AM4" s="201"/>
    </row>
    <row r="5" spans="1:39" ht="28.2" thickBot="1" x14ac:dyDescent="0.35">
      <c r="A5" s="537" t="s">
        <v>389</v>
      </c>
      <c r="B5" s="537" t="s">
        <v>390</v>
      </c>
      <c r="C5" s="537" t="s">
        <v>30</v>
      </c>
      <c r="D5" s="537" t="s">
        <v>35</v>
      </c>
      <c r="E5" s="537" t="s">
        <v>186</v>
      </c>
      <c r="F5" s="537" t="s">
        <v>30</v>
      </c>
      <c r="G5" s="537" t="s">
        <v>35</v>
      </c>
      <c r="H5" s="501" t="s">
        <v>30</v>
      </c>
      <c r="I5" s="501" t="s">
        <v>35</v>
      </c>
      <c r="K5" s="2" t="s">
        <v>183</v>
      </c>
      <c r="L5" s="2" t="s">
        <v>30</v>
      </c>
      <c r="M5" s="2" t="s">
        <v>184</v>
      </c>
      <c r="N5" s="2" t="s">
        <v>185</v>
      </c>
      <c r="O5" s="2" t="s">
        <v>441</v>
      </c>
      <c r="P5" s="2" t="s">
        <v>87</v>
      </c>
      <c r="Q5" s="2" t="s">
        <v>446</v>
      </c>
      <c r="AM5" s="201"/>
    </row>
    <row r="6" spans="1:39" x14ac:dyDescent="0.3">
      <c r="A6" s="499" t="str">
        <f>Legend!$A$45</f>
        <v>Thermal uses</v>
      </c>
      <c r="B6" s="499" t="str">
        <f>LEFT(Legend!$C$4)&amp;"-"&amp;Legend!$B$45</f>
        <v>S-TH</v>
      </c>
      <c r="C6" s="535" t="str">
        <f>Legend!$A$63</f>
        <v>Electricity</v>
      </c>
      <c r="D6" s="535" t="str">
        <f>Legend!$B$63</f>
        <v>SRVELC</v>
      </c>
      <c r="E6" s="538" t="str">
        <f>LEFT(D6,6)</f>
        <v>SRVELC</v>
      </c>
      <c r="F6" s="535" t="s">
        <v>393</v>
      </c>
      <c r="G6" s="539" t="s">
        <v>391</v>
      </c>
      <c r="H6" s="499" t="str">
        <f>Legend!$A$54</f>
        <v>Heat pump (Air)</v>
      </c>
      <c r="I6" s="499" t="str">
        <f>Legend!$B$54</f>
        <v>HPA</v>
      </c>
      <c r="J6" s="221"/>
      <c r="K6" s="580" t="str">
        <f>IF(C6="","",$B6&amp;"-"&amp;I6&amp;"_"&amp;RIGHT(E6,3)&amp;G6)</f>
        <v>S-TH-HPA_ELC01</v>
      </c>
      <c r="L6" s="203" t="str">
        <f>IF(C6="","",Legend!$C$4&amp;" "&amp;$A6&amp;" technology: "&amp;$C6&amp;" "&amp;F6&amp;" -New")</f>
        <v>SRV Thermal uses technology: Electricity Heat Pump Air (Ord.) -New</v>
      </c>
      <c r="M6" s="203" t="str">
        <f t="shared" ref="M6:M45" si="0">IF(D6="","",D6)</f>
        <v>SRVELC</v>
      </c>
      <c r="N6" s="203" t="str">
        <f t="shared" ref="N6:N45" si="1">$B6</f>
        <v>S-TH</v>
      </c>
      <c r="O6" s="222">
        <f>SUMIFS('Key Inputs_New Techs'!$F$8:$F$71,'Key Inputs_New Techs'!$B$8:$B$71,K6)</f>
        <v>2020</v>
      </c>
      <c r="P6" s="212">
        <f t="shared" ref="P6:P34" si="2">IF(A6="","",31.536)</f>
        <v>31.536000000000001</v>
      </c>
      <c r="Q6" s="222">
        <f>SUMIFS('Key Inputs_New Techs'!$G$8:$G$71,'Key Inputs_New Techs'!$B$8:$B$71,K6)</f>
        <v>15</v>
      </c>
      <c r="AM6" s="201"/>
    </row>
    <row r="7" spans="1:39" x14ac:dyDescent="0.3">
      <c r="A7" s="499" t="str">
        <f>Legend!$A$45</f>
        <v>Thermal uses</v>
      </c>
      <c r="B7" s="499" t="str">
        <f>LEFT(Legend!$C$4)&amp;"-"&amp;Legend!$B$45</f>
        <v>S-TH</v>
      </c>
      <c r="C7" s="535" t="str">
        <f>Legend!$A$63</f>
        <v>Electricity</v>
      </c>
      <c r="D7" s="535" t="str">
        <f>Legend!$B$63</f>
        <v>SRVELC</v>
      </c>
      <c r="E7" s="538" t="str">
        <f>LEFT(D7,6)</f>
        <v>SRVELC</v>
      </c>
      <c r="F7" s="535" t="s">
        <v>394</v>
      </c>
      <c r="G7" s="539" t="s">
        <v>392</v>
      </c>
      <c r="H7" s="499" t="str">
        <f>Legend!$A$54</f>
        <v>Heat pump (Air)</v>
      </c>
      <c r="I7" s="499" t="str">
        <f>Legend!$B$54</f>
        <v>HPA</v>
      </c>
      <c r="J7" s="221"/>
      <c r="K7" s="405" t="str">
        <f t="shared" ref="K7:K22" si="3">IF(C7="","",$B7&amp;"-"&amp;I7&amp;"_"&amp;RIGHT(E7,3)&amp;G7)</f>
        <v>S-TH-HPA_ELC02</v>
      </c>
      <c r="L7" s="203" t="str">
        <f>IF(C7="","",Legend!$C$4&amp;" "&amp;$A7&amp;" technology: "&amp;$C7&amp;" "&amp;F7&amp;" -New")</f>
        <v>SRV Thermal uses technology: Electricity Heat Pump Air (Imp.) -New</v>
      </c>
      <c r="M7" s="203" t="str">
        <f t="shared" si="0"/>
        <v>SRVELC</v>
      </c>
      <c r="N7" s="203" t="str">
        <f t="shared" si="1"/>
        <v>S-TH</v>
      </c>
      <c r="O7" s="222">
        <f>SUMIFS('Key Inputs_New Techs'!$F$8:$F$71,'Key Inputs_New Techs'!$B$8:$B$71,K7)</f>
        <v>2025</v>
      </c>
      <c r="P7" s="212">
        <f t="shared" si="2"/>
        <v>31.536000000000001</v>
      </c>
      <c r="Q7" s="222">
        <f>SUMIFS('Key Inputs_New Techs'!$G$8:$G$71,'Key Inputs_New Techs'!$B$8:$B$71,K7)</f>
        <v>15</v>
      </c>
      <c r="AM7" s="201"/>
    </row>
    <row r="8" spans="1:39" x14ac:dyDescent="0.3">
      <c r="A8" s="499" t="str">
        <f>Legend!$A$45</f>
        <v>Thermal uses</v>
      </c>
      <c r="B8" s="499" t="str">
        <f>LEFT(Legend!$C$4)&amp;"-"&amp;Legend!$B$45</f>
        <v>S-TH</v>
      </c>
      <c r="C8" s="535" t="str">
        <f>Legend!$A$63</f>
        <v>Electricity</v>
      </c>
      <c r="D8" s="535" t="str">
        <f>Legend!$B$63</f>
        <v>SRVELC</v>
      </c>
      <c r="E8" s="538" t="str">
        <f>LEFT(D8,6)</f>
        <v>SRVELC</v>
      </c>
      <c r="F8" s="540" t="s">
        <v>395</v>
      </c>
      <c r="G8" s="539" t="s">
        <v>401</v>
      </c>
      <c r="H8" s="499" t="str">
        <f>Legend!$A$54</f>
        <v>Heat pump (Air)</v>
      </c>
      <c r="I8" s="499" t="str">
        <f>Legend!$B$54</f>
        <v>HPA</v>
      </c>
      <c r="J8" s="221"/>
      <c r="K8" s="405" t="str">
        <f t="shared" si="3"/>
        <v>S-TH-HPA_ELC03</v>
      </c>
      <c r="L8" s="203" t="str">
        <f>IF(C8="","",Legend!$C$4&amp;" "&amp;$A8&amp;" technology: "&amp;$C8&amp;" "&amp;F8&amp;" -New")</f>
        <v>SRV Thermal uses technology: Electricity Heat Pump Air (Adv.) -New</v>
      </c>
      <c r="M8" s="203" t="str">
        <f t="shared" si="0"/>
        <v>SRVELC</v>
      </c>
      <c r="N8" s="203" t="str">
        <f t="shared" si="1"/>
        <v>S-TH</v>
      </c>
      <c r="O8" s="222">
        <f>SUMIFS('Key Inputs_New Techs'!$F$8:$F$71,'Key Inputs_New Techs'!$B$8:$B$71,K8)</f>
        <v>2030</v>
      </c>
      <c r="P8" s="212">
        <f t="shared" si="2"/>
        <v>31.536000000000001</v>
      </c>
      <c r="Q8" s="222">
        <f>SUMIFS('Key Inputs_New Techs'!$G$8:$G$71,'Key Inputs_New Techs'!$B$8:$B$71,K8)</f>
        <v>15</v>
      </c>
      <c r="AM8" s="201"/>
    </row>
    <row r="9" spans="1:39" x14ac:dyDescent="0.3">
      <c r="A9" s="499" t="str">
        <f>Legend!$A$45</f>
        <v>Thermal uses</v>
      </c>
      <c r="B9" s="499" t="str">
        <f>LEFT(Legend!$C$4)&amp;"-"&amp;Legend!$B$45</f>
        <v>S-TH</v>
      </c>
      <c r="C9" s="535" t="str">
        <f>Legend!$A$63</f>
        <v>Electricity</v>
      </c>
      <c r="D9" s="535" t="str">
        <f>Legend!$B$63</f>
        <v>SRVELC</v>
      </c>
      <c r="E9" s="538" t="str">
        <f>LEFT(D9,6)</f>
        <v>SRVELC</v>
      </c>
      <c r="F9" s="535" t="s">
        <v>396</v>
      </c>
      <c r="G9" s="539" t="s">
        <v>658</v>
      </c>
      <c r="H9" s="499" t="str">
        <f>Legend!$A$54</f>
        <v>Heat pump (Air)</v>
      </c>
      <c r="I9" s="499" t="str">
        <f>Legend!$B$54</f>
        <v>HPA</v>
      </c>
      <c r="J9" s="221"/>
      <c r="K9" s="405" t="str">
        <f t="shared" si="3"/>
        <v>S-TH-HPA_ELC04</v>
      </c>
      <c r="L9" s="203" t="str">
        <f>IF(C9="","",Legend!$C$4&amp;" "&amp;$A9&amp;" technology: "&amp;$C9&amp;" "&amp;F9&amp;" -New")</f>
        <v>SRV Thermal uses technology: Electricity Heat Pump Wat. (Ord.) -New</v>
      </c>
      <c r="M9" s="203" t="str">
        <f t="shared" si="0"/>
        <v>SRVELC</v>
      </c>
      <c r="N9" s="203" t="str">
        <f t="shared" si="1"/>
        <v>S-TH</v>
      </c>
      <c r="O9" s="222">
        <f>SUMIFS('Key Inputs_New Techs'!$F$8:$F$71,'Key Inputs_New Techs'!$B$8:$B$71,K9)</f>
        <v>2020</v>
      </c>
      <c r="P9" s="212">
        <f t="shared" si="2"/>
        <v>31.536000000000001</v>
      </c>
      <c r="Q9" s="222">
        <f>SUMIFS('Key Inputs_New Techs'!$G$8:$G$71,'Key Inputs_New Techs'!$B$8:$B$71,K9)</f>
        <v>15</v>
      </c>
      <c r="AM9" s="201"/>
    </row>
    <row r="10" spans="1:39" x14ac:dyDescent="0.3">
      <c r="A10" s="499" t="str">
        <f>Legend!$A$45</f>
        <v>Thermal uses</v>
      </c>
      <c r="B10" s="499" t="str">
        <f>LEFT(Legend!$C$4)&amp;"-"&amp;Legend!$B$45</f>
        <v>S-TH</v>
      </c>
      <c r="C10" s="535" t="str">
        <f>Legend!$A$63</f>
        <v>Electricity</v>
      </c>
      <c r="D10" s="535" t="str">
        <f>Legend!$B$63</f>
        <v>SRVELC</v>
      </c>
      <c r="E10" s="538" t="str">
        <f t="shared" ref="E10:E33" si="4">LEFT(D10,6)</f>
        <v>SRVELC</v>
      </c>
      <c r="F10" s="535" t="s">
        <v>397</v>
      </c>
      <c r="G10" s="539" t="s">
        <v>659</v>
      </c>
      <c r="H10" s="499" t="str">
        <f>Legend!$A$54</f>
        <v>Heat pump (Air)</v>
      </c>
      <c r="I10" s="499" t="str">
        <f>Legend!$B$54</f>
        <v>HPA</v>
      </c>
      <c r="J10" s="221"/>
      <c r="K10" s="405" t="str">
        <f t="shared" si="3"/>
        <v>S-TH-HPA_ELC05</v>
      </c>
      <c r="L10" s="203" t="str">
        <f>IF(C10="","",Legend!$C$4&amp;" "&amp;$A10&amp;" technology: "&amp;$C10&amp;" "&amp;F10&amp;" -New")</f>
        <v>SRV Thermal uses technology: Electricity Heat Pump Wat. (Imp.) -New</v>
      </c>
      <c r="M10" s="203" t="str">
        <f t="shared" si="0"/>
        <v>SRVELC</v>
      </c>
      <c r="N10" s="203" t="str">
        <f t="shared" si="1"/>
        <v>S-TH</v>
      </c>
      <c r="O10" s="222">
        <f>SUMIFS('Key Inputs_New Techs'!$F$8:$F$71,'Key Inputs_New Techs'!$B$8:$B$71,K10)</f>
        <v>2025</v>
      </c>
      <c r="P10" s="212">
        <f t="shared" si="2"/>
        <v>31.536000000000001</v>
      </c>
      <c r="Q10" s="222">
        <f>SUMIFS('Key Inputs_New Techs'!$G$8:$G$71,'Key Inputs_New Techs'!$B$8:$B$71,K10)</f>
        <v>15</v>
      </c>
      <c r="AM10" s="201"/>
    </row>
    <row r="11" spans="1:39" x14ac:dyDescent="0.3">
      <c r="A11" s="499" t="str">
        <f>Legend!$A$45</f>
        <v>Thermal uses</v>
      </c>
      <c r="B11" s="499" t="str">
        <f>LEFT(Legend!$C$4)&amp;"-"&amp;Legend!$B$45</f>
        <v>S-TH</v>
      </c>
      <c r="C11" s="535" t="str">
        <f>Legend!$A$63</f>
        <v>Electricity</v>
      </c>
      <c r="D11" s="535" t="str">
        <f>Legend!$B$63</f>
        <v>SRVELC</v>
      </c>
      <c r="E11" s="538" t="str">
        <f t="shared" si="4"/>
        <v>SRVELC</v>
      </c>
      <c r="F11" s="535" t="s">
        <v>415</v>
      </c>
      <c r="G11" s="539" t="s">
        <v>660</v>
      </c>
      <c r="H11" s="499" t="str">
        <f>Legend!$A$54</f>
        <v>Heat pump (Air)</v>
      </c>
      <c r="I11" s="499" t="str">
        <f>Legend!$B$54</f>
        <v>HPA</v>
      </c>
      <c r="J11" s="221"/>
      <c r="K11" s="405" t="str">
        <f t="shared" si="3"/>
        <v>S-TH-HPA_ELC06</v>
      </c>
      <c r="L11" s="203" t="str">
        <f>IF(C11="","",Legend!$C$4&amp;" "&amp;$A11&amp;" technology: "&amp;$C11&amp;" "&amp;F11&amp;" -New")</f>
        <v>SRV Thermal uses technology: Electricity Heat Pump Wat. (Adv.) -New</v>
      </c>
      <c r="M11" s="203" t="str">
        <f t="shared" si="0"/>
        <v>SRVELC</v>
      </c>
      <c r="N11" s="203" t="str">
        <f t="shared" si="1"/>
        <v>S-TH</v>
      </c>
      <c r="O11" s="222">
        <f>SUMIFS('Key Inputs_New Techs'!$F$8:$F$71,'Key Inputs_New Techs'!$B$8:$B$71,K11)</f>
        <v>2030</v>
      </c>
      <c r="P11" s="212">
        <f t="shared" si="2"/>
        <v>31.536000000000001</v>
      </c>
      <c r="Q11" s="222">
        <f>SUMIFS('Key Inputs_New Techs'!$G$8:$G$71,'Key Inputs_New Techs'!$B$8:$B$71,K11)</f>
        <v>15</v>
      </c>
      <c r="AM11" s="201"/>
    </row>
    <row r="12" spans="1:39" x14ac:dyDescent="0.3">
      <c r="A12" s="499" t="str">
        <f>Legend!$A$45</f>
        <v>Thermal uses</v>
      </c>
      <c r="B12" s="499" t="str">
        <f>LEFT(Legend!$C$4)&amp;"-"&amp;Legend!$B$45</f>
        <v>S-TH</v>
      </c>
      <c r="C12" s="535" t="str">
        <f>Legend!A$68&amp;", "&amp;Legend!A$60</f>
        <v>Natural gas, Biogas</v>
      </c>
      <c r="D12" s="535" t="str">
        <f>Legend!B$68&amp;", "&amp;Legend!B$60&amp;", "&amp;Legend!B$72&amp;", "&amp;Legend!B$73&amp;", "&amp;Legend!B$74</f>
        <v>SRVGAS, SRVBGS, SRVH2G, SRVH2B, SRVEFUM</v>
      </c>
      <c r="E12" s="538" t="str">
        <f t="shared" si="4"/>
        <v>SRVGAS</v>
      </c>
      <c r="F12" s="535" t="s">
        <v>414</v>
      </c>
      <c r="G12" s="539" t="s">
        <v>391</v>
      </c>
      <c r="H12" s="499" t="str">
        <f>Legend!$A$53</f>
        <v>Boiler</v>
      </c>
      <c r="I12" s="499" t="str">
        <f>Legend!$B$53</f>
        <v>BLR</v>
      </c>
      <c r="J12" s="221"/>
      <c r="K12" s="405" t="str">
        <f t="shared" si="3"/>
        <v>S-TH-BLR_GAS01</v>
      </c>
      <c r="L12" s="203" t="str">
        <f>IF(C12="","",Legend!$C$4&amp;" "&amp;$A12&amp;" technology: "&amp;$C12&amp;" "&amp;F12&amp;" -New")</f>
        <v>SRV Thermal uses technology: Natural gas, Biogas Boiler (Ord.) -New</v>
      </c>
      <c r="M12" s="203" t="str">
        <f t="shared" si="0"/>
        <v>SRVGAS, SRVBGS, SRVH2G, SRVH2B, SRVEFUM</v>
      </c>
      <c r="N12" s="203" t="str">
        <f t="shared" si="1"/>
        <v>S-TH</v>
      </c>
      <c r="O12" s="222">
        <f>SUMIFS('Key Inputs_New Techs'!$F$8:$F$71,'Key Inputs_New Techs'!$B$8:$B$71,K12)</f>
        <v>2020</v>
      </c>
      <c r="P12" s="212">
        <f t="shared" si="2"/>
        <v>31.536000000000001</v>
      </c>
      <c r="Q12" s="222">
        <f>SUMIFS('Key Inputs_New Techs'!$G$8:$G$71,'Key Inputs_New Techs'!$B$8:$B$71,K12)</f>
        <v>15</v>
      </c>
      <c r="AM12" s="201"/>
    </row>
    <row r="13" spans="1:39" x14ac:dyDescent="0.3">
      <c r="A13" s="499" t="str">
        <f>Legend!$A$45</f>
        <v>Thermal uses</v>
      </c>
      <c r="B13" s="499" t="str">
        <f>LEFT(Legend!$C$4)&amp;"-"&amp;Legend!$B$45</f>
        <v>S-TH</v>
      </c>
      <c r="C13" s="535" t="str">
        <f>Legend!A$68&amp;", "&amp;Legend!A$60</f>
        <v>Natural gas, Biogas</v>
      </c>
      <c r="D13" s="535" t="str">
        <f>Legend!B$68&amp;", "&amp;Legend!B$60&amp;", "&amp;Legend!B$72&amp;", "&amp;Legend!B$73&amp;", "&amp;Legend!B$74</f>
        <v>SRVGAS, SRVBGS, SRVH2G, SRVH2B, SRVEFUM</v>
      </c>
      <c r="E13" s="538" t="str">
        <f t="shared" si="4"/>
        <v>SRVGAS</v>
      </c>
      <c r="F13" s="535" t="s">
        <v>417</v>
      </c>
      <c r="G13" s="539" t="s">
        <v>392</v>
      </c>
      <c r="H13" s="499" t="str">
        <f>Legend!$A$53</f>
        <v>Boiler</v>
      </c>
      <c r="I13" s="499" t="str">
        <f>Legend!$B$53</f>
        <v>BLR</v>
      </c>
      <c r="J13" s="221"/>
      <c r="K13" s="405" t="str">
        <f t="shared" si="3"/>
        <v>S-TH-BLR_GAS02</v>
      </c>
      <c r="L13" s="203" t="str">
        <f>IF(C13="","",Legend!$C$4&amp;" "&amp;$A13&amp;" technology: "&amp;$C13&amp;" "&amp;F13&amp;" -New")</f>
        <v>SRV Thermal uses technology: Natural gas, Biogas Boiler cond. (Ord.) -New</v>
      </c>
      <c r="M13" s="203" t="str">
        <f t="shared" si="0"/>
        <v>SRVGAS, SRVBGS, SRVH2G, SRVH2B, SRVEFUM</v>
      </c>
      <c r="N13" s="203" t="str">
        <f t="shared" si="1"/>
        <v>S-TH</v>
      </c>
      <c r="O13" s="222">
        <f>SUMIFS('Key Inputs_New Techs'!$F$8:$F$71,'Key Inputs_New Techs'!$B$8:$B$71,K13)</f>
        <v>2020</v>
      </c>
      <c r="P13" s="212">
        <f t="shared" si="2"/>
        <v>31.536000000000001</v>
      </c>
      <c r="Q13" s="222">
        <f>SUMIFS('Key Inputs_New Techs'!$G$8:$G$71,'Key Inputs_New Techs'!$B$8:$B$71,K13)</f>
        <v>15</v>
      </c>
      <c r="AM13" s="201"/>
    </row>
    <row r="14" spans="1:39" x14ac:dyDescent="0.3">
      <c r="A14" s="499" t="str">
        <f>Legend!$A$45</f>
        <v>Thermal uses</v>
      </c>
      <c r="B14" s="499" t="str">
        <f>LEFT(Legend!$C$4)&amp;"-"&amp;Legend!$B$45</f>
        <v>S-TH</v>
      </c>
      <c r="C14" s="535" t="str">
        <f>Legend!$A$63</f>
        <v>Electricity</v>
      </c>
      <c r="D14" s="535" t="str">
        <f>Legend!$B$63</f>
        <v>SRVELC</v>
      </c>
      <c r="E14" s="538" t="str">
        <f t="shared" si="4"/>
        <v>SRVELC</v>
      </c>
      <c r="F14" s="540" t="s">
        <v>398</v>
      </c>
      <c r="G14" s="541" t="s">
        <v>391</v>
      </c>
      <c r="H14" s="499" t="str">
        <f>Legend!$A$55</f>
        <v>Heat pump (Ground)</v>
      </c>
      <c r="I14" s="499" t="str">
        <f>Legend!$B$55</f>
        <v>HPG</v>
      </c>
      <c r="J14" s="221"/>
      <c r="K14" s="405" t="str">
        <f t="shared" si="3"/>
        <v>S-TH-HPG_ELC01</v>
      </c>
      <c r="L14" s="203" t="str">
        <f>IF(C14="","",Legend!$C$4&amp;" "&amp;$A14&amp;" technology: "&amp;$C14&amp;" "&amp;F14&amp;" -New")</f>
        <v>SRV Thermal uses technology: Electricity Ground Heat Pump (Ord.) -New</v>
      </c>
      <c r="M14" s="203" t="str">
        <f t="shared" si="0"/>
        <v>SRVELC</v>
      </c>
      <c r="N14" s="203" t="str">
        <f t="shared" si="1"/>
        <v>S-TH</v>
      </c>
      <c r="O14" s="222">
        <f>SUMIFS('Key Inputs_New Techs'!$F$8:$F$71,'Key Inputs_New Techs'!$B$8:$B$71,K14)</f>
        <v>2020</v>
      </c>
      <c r="P14" s="212">
        <f t="shared" si="2"/>
        <v>31.536000000000001</v>
      </c>
      <c r="Q14" s="222">
        <f>SUMIFS('Key Inputs_New Techs'!$G$8:$G$71,'Key Inputs_New Techs'!$B$8:$B$71,K14)</f>
        <v>15</v>
      </c>
      <c r="AM14" s="201"/>
    </row>
    <row r="15" spans="1:39" s="211" customFormat="1" x14ac:dyDescent="0.3">
      <c r="A15" s="499" t="str">
        <f>Legend!$A$45</f>
        <v>Thermal uses</v>
      </c>
      <c r="B15" s="499" t="str">
        <f>LEFT(Legend!$C$4)&amp;"-"&amp;Legend!$B$45</f>
        <v>S-TH</v>
      </c>
      <c r="C15" s="535" t="str">
        <f>Legend!$A$63</f>
        <v>Electricity</v>
      </c>
      <c r="D15" s="535" t="str">
        <f>Legend!$B$63</f>
        <v>SRVELC</v>
      </c>
      <c r="E15" s="538" t="str">
        <f t="shared" si="4"/>
        <v>SRVELC</v>
      </c>
      <c r="F15" s="535" t="s">
        <v>399</v>
      </c>
      <c r="G15" s="541" t="s">
        <v>392</v>
      </c>
      <c r="H15" s="499" t="str">
        <f>Legend!$A$55</f>
        <v>Heat pump (Ground)</v>
      </c>
      <c r="I15" s="499" t="str">
        <f>Legend!$B$55</f>
        <v>HPG</v>
      </c>
      <c r="J15" s="221"/>
      <c r="K15" s="405" t="str">
        <f t="shared" si="3"/>
        <v>S-TH-HPG_ELC02</v>
      </c>
      <c r="L15" s="203" t="str">
        <f>IF(C15="","",Legend!$C$4&amp;" "&amp;$A15&amp;" technology: "&amp;$C15&amp;" "&amp;F15&amp;" -New")</f>
        <v>SRV Thermal uses technology: Electricity Ground Heat Pump (Imp.) -New</v>
      </c>
      <c r="M15" s="203" t="str">
        <f t="shared" si="0"/>
        <v>SRVELC</v>
      </c>
      <c r="N15" s="203" t="str">
        <f t="shared" si="1"/>
        <v>S-TH</v>
      </c>
      <c r="O15" s="222">
        <f>SUMIFS('Key Inputs_New Techs'!$F$8:$F$71,'Key Inputs_New Techs'!$B$8:$B$71,K15)</f>
        <v>2025</v>
      </c>
      <c r="P15" s="212">
        <f t="shared" si="2"/>
        <v>31.536000000000001</v>
      </c>
      <c r="Q15" s="222">
        <f>SUMIFS('Key Inputs_New Techs'!$G$8:$G$71,'Key Inputs_New Techs'!$B$8:$B$71,K15)</f>
        <v>15</v>
      </c>
      <c r="R15" s="201"/>
      <c r="S15" s="201"/>
      <c r="T15" s="201"/>
      <c r="U15" s="201"/>
      <c r="V15" s="201"/>
      <c r="W15" s="201"/>
      <c r="X15" s="201"/>
    </row>
    <row r="16" spans="1:39" s="211" customFormat="1" x14ac:dyDescent="0.3">
      <c r="A16" s="499" t="str">
        <f>Legend!$A$45</f>
        <v>Thermal uses</v>
      </c>
      <c r="B16" s="499" t="str">
        <f>LEFT(Legend!$C$4)&amp;"-"&amp;Legend!$B$45</f>
        <v>S-TH</v>
      </c>
      <c r="C16" s="535" t="str">
        <f>Legend!$A$63</f>
        <v>Electricity</v>
      </c>
      <c r="D16" s="535" t="str">
        <f>Legend!$B$63</f>
        <v>SRVELC</v>
      </c>
      <c r="E16" s="538" t="str">
        <f t="shared" si="4"/>
        <v>SRVELC</v>
      </c>
      <c r="F16" s="540" t="s">
        <v>400</v>
      </c>
      <c r="G16" s="541" t="s">
        <v>401</v>
      </c>
      <c r="H16" s="499" t="str">
        <f>Legend!$A$55</f>
        <v>Heat pump (Ground)</v>
      </c>
      <c r="I16" s="499" t="str">
        <f>Legend!$B$55</f>
        <v>HPG</v>
      </c>
      <c r="J16" s="221"/>
      <c r="K16" s="405" t="str">
        <f t="shared" si="3"/>
        <v>S-TH-HPG_ELC03</v>
      </c>
      <c r="L16" s="203" t="str">
        <f>IF(C16="","",Legend!$C$4&amp;" "&amp;$A16&amp;" technology: "&amp;$C16&amp;" "&amp;F16&amp;" -New")</f>
        <v>SRV Thermal uses technology: Electricity Ground Heat Pump (Adv.) -New</v>
      </c>
      <c r="M16" s="203" t="str">
        <f t="shared" si="0"/>
        <v>SRVELC</v>
      </c>
      <c r="N16" s="203" t="str">
        <f t="shared" si="1"/>
        <v>S-TH</v>
      </c>
      <c r="O16" s="222">
        <f>SUMIFS('Key Inputs_New Techs'!$F$8:$F$71,'Key Inputs_New Techs'!$B$8:$B$71,K16)</f>
        <v>2030</v>
      </c>
      <c r="P16" s="212">
        <f t="shared" si="2"/>
        <v>31.536000000000001</v>
      </c>
      <c r="Q16" s="222">
        <f>SUMIFS('Key Inputs_New Techs'!$G$8:$G$71,'Key Inputs_New Techs'!$B$8:$B$71,K16)</f>
        <v>15</v>
      </c>
      <c r="R16" s="201"/>
      <c r="S16" s="201"/>
      <c r="T16" s="201"/>
      <c r="U16" s="201"/>
      <c r="V16" s="201"/>
      <c r="W16" s="201"/>
      <c r="X16" s="201"/>
    </row>
    <row r="17" spans="1:24" s="211" customFormat="1" x14ac:dyDescent="0.3">
      <c r="A17" s="499" t="str">
        <f>Legend!$A$45</f>
        <v>Thermal uses</v>
      </c>
      <c r="B17" s="499" t="str">
        <f>LEFT(Legend!$C$4)&amp;"-"&amp;Legend!$B$45</f>
        <v>S-TH</v>
      </c>
      <c r="C17" s="535" t="str">
        <f>Legend!A61</f>
        <v>Coal</v>
      </c>
      <c r="D17" s="535" t="str">
        <f>Legend!B61</f>
        <v>SRVCOA</v>
      </c>
      <c r="E17" s="538" t="str">
        <f t="shared" si="4"/>
        <v>SRVCOA</v>
      </c>
      <c r="F17" s="658" t="str">
        <f>"Thermal uses technology: "&amp;C17</f>
        <v>Thermal uses technology: Coal</v>
      </c>
      <c r="G17" s="539" t="s">
        <v>391</v>
      </c>
      <c r="H17" s="499"/>
      <c r="I17" s="499" t="s">
        <v>684</v>
      </c>
      <c r="J17" s="221"/>
      <c r="K17" s="405" t="str">
        <f>IF(C17="","",$B17&amp;"-"&amp;I17&amp;"_"&amp;RIGHT(E17,3)&amp;G17)</f>
        <v>S-TH-STV_COA01</v>
      </c>
      <c r="L17" s="203" t="str">
        <f>IF(C17="","",Legend!$C$4&amp;" "&amp;$A17&amp;" technology: "&amp;$C17&amp;" "&amp;F17&amp;" -New")</f>
        <v>SRV Thermal uses technology: Coal Thermal uses technology: Coal -New</v>
      </c>
      <c r="M17" s="203" t="str">
        <f t="shared" ref="M17:M20" si="5">IF(D17="","",D17)</f>
        <v>SRVCOA</v>
      </c>
      <c r="N17" s="203" t="str">
        <f t="shared" si="1"/>
        <v>S-TH</v>
      </c>
      <c r="O17" s="222">
        <f>SUMIFS('Key Inputs_New Techs'!$F$8:$F$71,'Key Inputs_New Techs'!$B$8:$B$71,K17)</f>
        <v>2020</v>
      </c>
      <c r="P17" s="212">
        <f t="shared" ref="P17:P20" si="6">IF(A17="","",31.536)</f>
        <v>31.536000000000001</v>
      </c>
      <c r="Q17" s="222">
        <f>SUMIFS('Key Inputs_New Techs'!$G$8:$G$71,'Key Inputs_New Techs'!$B$8:$B$71,K17)</f>
        <v>15</v>
      </c>
      <c r="R17" s="201"/>
      <c r="S17" s="201"/>
      <c r="T17" s="201"/>
      <c r="U17" s="201"/>
      <c r="V17" s="201"/>
      <c r="W17" s="201"/>
      <c r="X17" s="201"/>
    </row>
    <row r="18" spans="1:24" s="211" customFormat="1" x14ac:dyDescent="0.3">
      <c r="A18" s="499" t="str">
        <f>Legend!$A$45</f>
        <v>Thermal uses</v>
      </c>
      <c r="B18" s="499" t="str">
        <f>LEFT(Legend!$C$4)&amp;"-"&amp;Legend!$B$45</f>
        <v>S-TH</v>
      </c>
      <c r="C18" s="535" t="str">
        <f>Legend!A62</f>
        <v>Oil</v>
      </c>
      <c r="D18" s="535" t="str">
        <f>Legend!B62</f>
        <v>SRVOIL</v>
      </c>
      <c r="E18" s="538" t="str">
        <f t="shared" si="4"/>
        <v>SRVOIL</v>
      </c>
      <c r="F18" s="658" t="str">
        <f t="shared" ref="F18:F20" si="7">"Thermal uses technology: "&amp;C18</f>
        <v>Thermal uses technology: Oil</v>
      </c>
      <c r="G18" s="539" t="s">
        <v>391</v>
      </c>
      <c r="H18" s="499"/>
      <c r="I18" s="499" t="s">
        <v>684</v>
      </c>
      <c r="J18" s="221"/>
      <c r="K18" s="405" t="str">
        <f t="shared" ref="K18:K20" si="8">IF(C18="","",$B18&amp;"-"&amp;I18&amp;"_"&amp;RIGHT(E18,3)&amp;G18)</f>
        <v>S-TH-STV_OIL01</v>
      </c>
      <c r="L18" s="203" t="str">
        <f>IF(C18="","",Legend!$C$4&amp;" "&amp;$A18&amp;" technology: "&amp;$C18&amp;" "&amp;F18&amp;" -New")</f>
        <v>SRV Thermal uses technology: Oil Thermal uses technology: Oil -New</v>
      </c>
      <c r="M18" s="203" t="str">
        <f t="shared" si="5"/>
        <v>SRVOIL</v>
      </c>
      <c r="N18" s="203" t="str">
        <f t="shared" si="1"/>
        <v>S-TH</v>
      </c>
      <c r="O18" s="222">
        <f>SUMIFS('Key Inputs_New Techs'!$F$8:$F$71,'Key Inputs_New Techs'!$B$8:$B$71,K18)</f>
        <v>2020</v>
      </c>
      <c r="P18" s="212">
        <f t="shared" si="6"/>
        <v>31.536000000000001</v>
      </c>
      <c r="Q18" s="222">
        <f>SUMIFS('Key Inputs_New Techs'!$G$8:$G$71,'Key Inputs_New Techs'!$B$8:$B$71,K18)</f>
        <v>15</v>
      </c>
      <c r="R18" s="201"/>
      <c r="S18" s="201"/>
      <c r="T18" s="201"/>
      <c r="U18" s="201"/>
      <c r="V18" s="201"/>
      <c r="W18" s="201"/>
      <c r="X18" s="201"/>
    </row>
    <row r="19" spans="1:24" s="211" customFormat="1" x14ac:dyDescent="0.3">
      <c r="A19" s="499" t="str">
        <f>Legend!$A$45</f>
        <v>Thermal uses</v>
      </c>
      <c r="B19" s="499" t="str">
        <f>LEFT(Legend!$C$4)&amp;"-"&amp;Legend!$B$45</f>
        <v>S-TH</v>
      </c>
      <c r="C19" s="535" t="str">
        <f>Legend!A67</f>
        <v>LPG</v>
      </c>
      <c r="D19" s="535" t="str">
        <f>Legend!B67</f>
        <v>SRVLPG</v>
      </c>
      <c r="E19" s="538" t="str">
        <f t="shared" si="4"/>
        <v>SRVLPG</v>
      </c>
      <c r="F19" s="658" t="str">
        <f t="shared" si="7"/>
        <v>Thermal uses technology: LPG</v>
      </c>
      <c r="G19" s="539" t="s">
        <v>391</v>
      </c>
      <c r="H19" s="499"/>
      <c r="I19" s="499" t="s">
        <v>684</v>
      </c>
      <c r="J19" s="221"/>
      <c r="K19" s="405" t="str">
        <f t="shared" si="8"/>
        <v>S-TH-STV_LPG01</v>
      </c>
      <c r="L19" s="203" t="str">
        <f>IF(C19="","",Legend!$C$4&amp;" "&amp;$A19&amp;" technology: "&amp;$C19&amp;" "&amp;F19&amp;" -New")</f>
        <v>SRV Thermal uses technology: LPG Thermal uses technology: LPG -New</v>
      </c>
      <c r="M19" s="203" t="str">
        <f t="shared" si="5"/>
        <v>SRVLPG</v>
      </c>
      <c r="N19" s="203" t="str">
        <f t="shared" si="1"/>
        <v>S-TH</v>
      </c>
      <c r="O19" s="222">
        <f>SUMIFS('Key Inputs_New Techs'!$F$8:$F$71,'Key Inputs_New Techs'!$B$8:$B$71,K19)</f>
        <v>2020</v>
      </c>
      <c r="P19" s="212">
        <f t="shared" si="6"/>
        <v>31.536000000000001</v>
      </c>
      <c r="Q19" s="222">
        <f>SUMIFS('Key Inputs_New Techs'!$G$8:$G$71,'Key Inputs_New Techs'!$B$8:$B$71,K19)</f>
        <v>15</v>
      </c>
      <c r="R19" s="201"/>
      <c r="S19" s="201"/>
      <c r="T19" s="201"/>
      <c r="U19" s="201"/>
      <c r="V19" s="201"/>
      <c r="W19" s="201"/>
      <c r="X19" s="201"/>
    </row>
    <row r="20" spans="1:24" s="211" customFormat="1" x14ac:dyDescent="0.3">
      <c r="A20" s="499" t="str">
        <f>Legend!$A$45</f>
        <v>Thermal uses</v>
      </c>
      <c r="B20" s="499" t="str">
        <f>LEFT(Legend!$C$4)&amp;"-"&amp;Legend!$B$45</f>
        <v>S-TH</v>
      </c>
      <c r="C20" s="535" t="str">
        <f>Legend!A70</f>
        <v>Biomass</v>
      </c>
      <c r="D20" s="535" t="str">
        <f>Legend!B70</f>
        <v>SRVBIO</v>
      </c>
      <c r="E20" s="538" t="str">
        <f t="shared" si="4"/>
        <v>SRVBIO</v>
      </c>
      <c r="F20" s="658" t="str">
        <f t="shared" si="7"/>
        <v>Thermal uses technology: Biomass</v>
      </c>
      <c r="G20" s="539" t="s">
        <v>391</v>
      </c>
      <c r="H20" s="499"/>
      <c r="I20" s="499" t="s">
        <v>684</v>
      </c>
      <c r="J20" s="221"/>
      <c r="K20" s="405" t="str">
        <f t="shared" si="8"/>
        <v>S-TH-STV_BIO01</v>
      </c>
      <c r="L20" s="203" t="str">
        <f>IF(C20="","",Legend!$C$4&amp;" "&amp;$A20&amp;" technology: "&amp;$C20&amp;" "&amp;F20&amp;" -New")</f>
        <v>SRV Thermal uses technology: Biomass Thermal uses technology: Biomass -New</v>
      </c>
      <c r="M20" s="203" t="str">
        <f t="shared" si="5"/>
        <v>SRVBIO</v>
      </c>
      <c r="N20" s="203" t="str">
        <f t="shared" si="1"/>
        <v>S-TH</v>
      </c>
      <c r="O20" s="222">
        <f>SUMIFS('Key Inputs_New Techs'!$F$8:$F$71,'Key Inputs_New Techs'!$B$8:$B$71,K20)</f>
        <v>2020</v>
      </c>
      <c r="P20" s="212">
        <f t="shared" si="6"/>
        <v>31.536000000000001</v>
      </c>
      <c r="Q20" s="222">
        <f>SUMIFS('Key Inputs_New Techs'!$G$8:$G$71,'Key Inputs_New Techs'!$B$8:$B$71,K20)</f>
        <v>15</v>
      </c>
      <c r="R20" s="201"/>
      <c r="S20" s="201"/>
      <c r="T20" s="201"/>
      <c r="U20" s="201"/>
      <c r="V20" s="201"/>
      <c r="W20" s="201"/>
      <c r="X20" s="201"/>
    </row>
    <row r="21" spans="1:24" s="211" customFormat="1" x14ac:dyDescent="0.3">
      <c r="A21" s="499" t="str">
        <f>Legend!$A$45</f>
        <v>Thermal uses</v>
      </c>
      <c r="B21" s="499" t="str">
        <f>LEFT(Legend!$C$4)&amp;"-"&amp;Legend!$B$45</f>
        <v>S-TH</v>
      </c>
      <c r="C21" s="535" t="str">
        <f>Legend!$A$65</f>
        <v>Heat</v>
      </c>
      <c r="D21" s="535" t="str">
        <f>Legend!B$65</f>
        <v>SRVHET</v>
      </c>
      <c r="E21" s="538" t="str">
        <f t="shared" si="4"/>
        <v>SRVHET</v>
      </c>
      <c r="F21" s="540" t="s">
        <v>402</v>
      </c>
      <c r="G21" s="541" t="s">
        <v>391</v>
      </c>
      <c r="H21" s="499" t="str">
        <f>Legend!$A$58</f>
        <v>Heat exchanger</v>
      </c>
      <c r="I21" s="499" t="str">
        <f>Legend!$B$58</f>
        <v>HEX</v>
      </c>
      <c r="J21" s="221"/>
      <c r="K21" s="405" t="str">
        <f t="shared" si="3"/>
        <v>S-TH-HEX_HET01</v>
      </c>
      <c r="L21" s="203" t="str">
        <f>IF(C21="","",Legend!$C$4&amp;" "&amp;$A21&amp;" technology: "&amp;$C21&amp;" "&amp;F21&amp;" -New")</f>
        <v>SRV Thermal uses technology: Heat District Heat (Ord.) -New</v>
      </c>
      <c r="M21" s="203" t="str">
        <f t="shared" si="0"/>
        <v>SRVHET</v>
      </c>
      <c r="N21" s="203" t="str">
        <f t="shared" si="1"/>
        <v>S-TH</v>
      </c>
      <c r="O21" s="222">
        <f>SUMIFS('Key Inputs_New Techs'!$F$8:$F$71,'Key Inputs_New Techs'!$B$8:$B$71,K21)</f>
        <v>2020</v>
      </c>
      <c r="P21" s="212">
        <f t="shared" si="2"/>
        <v>31.536000000000001</v>
      </c>
      <c r="Q21" s="222">
        <f>SUMIFS('Key Inputs_New Techs'!$G$8:$G$71,'Key Inputs_New Techs'!$B$8:$B$71,K21)</f>
        <v>20</v>
      </c>
      <c r="R21" s="201"/>
      <c r="S21" s="201"/>
      <c r="T21" s="201"/>
      <c r="U21" s="201"/>
      <c r="V21" s="201"/>
      <c r="W21" s="201"/>
      <c r="X21" s="201"/>
    </row>
    <row r="22" spans="1:24" s="211" customFormat="1" x14ac:dyDescent="0.3">
      <c r="A22" s="499" t="str">
        <f>Legend!$A$45</f>
        <v>Thermal uses</v>
      </c>
      <c r="B22" s="499" t="str">
        <f>LEFT(Legend!$C$4)&amp;"-"&amp;Legend!$B$45</f>
        <v>S-TH</v>
      </c>
      <c r="C22" s="535" t="str">
        <f>Legend!$A$65</f>
        <v>Heat</v>
      </c>
      <c r="D22" s="535" t="str">
        <f>Legend!B$65</f>
        <v>SRVHET</v>
      </c>
      <c r="E22" s="538" t="str">
        <f t="shared" si="4"/>
        <v>SRVHET</v>
      </c>
      <c r="F22" s="540" t="s">
        <v>403</v>
      </c>
      <c r="G22" s="541" t="s">
        <v>392</v>
      </c>
      <c r="H22" s="499" t="str">
        <f>Legend!$A$58</f>
        <v>Heat exchanger</v>
      </c>
      <c r="I22" s="499" t="str">
        <f>Legend!$B$58</f>
        <v>HEX</v>
      </c>
      <c r="J22" s="221"/>
      <c r="K22" s="405" t="str">
        <f t="shared" si="3"/>
        <v>S-TH-HEX_HET02</v>
      </c>
      <c r="L22" s="203" t="str">
        <f>IF(C22="","",Legend!$C$4&amp;" "&amp;$A22&amp;" technology: "&amp;$C22&amp;" "&amp;F22&amp;" -New")</f>
        <v>SRV Thermal uses technology: Heat District Heat (Imp.) -New</v>
      </c>
      <c r="M22" s="203" t="str">
        <f t="shared" si="0"/>
        <v>SRVHET</v>
      </c>
      <c r="N22" s="203" t="str">
        <f t="shared" si="1"/>
        <v>S-TH</v>
      </c>
      <c r="O22" s="222">
        <f>SUMIFS('Key Inputs_New Techs'!$F$8:$F$71,'Key Inputs_New Techs'!$B$8:$B$71,K22)</f>
        <v>2025</v>
      </c>
      <c r="P22" s="212">
        <f t="shared" si="2"/>
        <v>31.536000000000001</v>
      </c>
      <c r="Q22" s="222">
        <f>SUMIFS('Key Inputs_New Techs'!$G$8:$G$71,'Key Inputs_New Techs'!$B$8:$B$71,K22)</f>
        <v>20</v>
      </c>
      <c r="R22" s="201"/>
      <c r="S22" s="201"/>
      <c r="T22" s="201"/>
      <c r="U22" s="201"/>
      <c r="V22" s="201"/>
      <c r="W22" s="201"/>
      <c r="X22" s="201"/>
    </row>
    <row r="23" spans="1:24" s="211" customFormat="1" x14ac:dyDescent="0.3">
      <c r="A23" s="499" t="str">
        <f>Legend!$A$46</f>
        <v>Air conditioning</v>
      </c>
      <c r="B23" s="499" t="str">
        <f>LEFT(Legend!$C$4)&amp;"-"&amp;Legend!$B$46</f>
        <v>S-AC</v>
      </c>
      <c r="C23" s="535" t="str">
        <f>Legend!$A$63</f>
        <v>Electricity</v>
      </c>
      <c r="D23" s="535" t="str">
        <f>Legend!$B$63</f>
        <v>SRVELC</v>
      </c>
      <c r="E23" s="538" t="str">
        <f t="shared" ref="E23" si="9">LEFT(D23,6)</f>
        <v>SRVELC</v>
      </c>
      <c r="F23" s="540" t="s">
        <v>404</v>
      </c>
      <c r="G23" s="541" t="s">
        <v>391</v>
      </c>
      <c r="H23" s="541"/>
      <c r="I23" s="541"/>
      <c r="J23" s="221"/>
      <c r="K23" s="409" t="str">
        <f t="shared" ref="K23:K45" si="10">B23&amp;"_"&amp;RIGHT($E23,3)&amp;$G23</f>
        <v>S-AC_ELC01</v>
      </c>
      <c r="L23" s="207" t="str">
        <f>Legend!$C$4&amp;" "&amp;'SRV_New Techs'!$A23&amp;" tech: "&amp;'SRV_New Techs'!$C23&amp;" - "&amp;'SRV_New Techs'!$F23</f>
        <v>SRV Air conditioning tech: Electricity - Air conditioning (Ord.)</v>
      </c>
      <c r="M23" s="207" t="str">
        <f t="shared" si="0"/>
        <v>SRVELC</v>
      </c>
      <c r="N23" s="207" t="str">
        <f t="shared" si="1"/>
        <v>S-AC</v>
      </c>
      <c r="O23" s="242">
        <f>SUMIFS('Key Inputs_New Techs'!$F$8:$F$71,'Key Inputs_New Techs'!$B$8:$B$71,K23)</f>
        <v>2020</v>
      </c>
      <c r="P23" s="229">
        <f t="shared" si="2"/>
        <v>31.536000000000001</v>
      </c>
      <c r="Q23" s="242">
        <f>SUMIFS('Key Inputs_New Techs'!$G$8:$G$71,'Key Inputs_New Techs'!$B$8:$B$71,K23)</f>
        <v>14</v>
      </c>
      <c r="R23" s="201"/>
      <c r="S23" s="201"/>
      <c r="T23" s="201"/>
      <c r="U23" s="201"/>
      <c r="V23" s="201"/>
      <c r="W23" s="201"/>
      <c r="X23" s="201"/>
    </row>
    <row r="24" spans="1:24" s="211" customFormat="1" x14ac:dyDescent="0.3">
      <c r="A24" s="499" t="str">
        <f>Legend!$A$46</f>
        <v>Air conditioning</v>
      </c>
      <c r="B24" s="499" t="str">
        <f>LEFT(Legend!$C$4)&amp;"-"&amp;Legend!$B$46</f>
        <v>S-AC</v>
      </c>
      <c r="C24" s="535" t="str">
        <f>Legend!$A$63</f>
        <v>Electricity</v>
      </c>
      <c r="D24" s="535" t="str">
        <f>Legend!$B$63</f>
        <v>SRVELC</v>
      </c>
      <c r="E24" s="538" t="str">
        <f t="shared" si="4"/>
        <v>SRVELC</v>
      </c>
      <c r="F24" s="542" t="s">
        <v>405</v>
      </c>
      <c r="G24" s="541" t="s">
        <v>392</v>
      </c>
      <c r="H24" s="541"/>
      <c r="I24" s="541"/>
      <c r="J24" s="221"/>
      <c r="K24" s="405" t="str">
        <f t="shared" si="10"/>
        <v>S-AC_ELC02</v>
      </c>
      <c r="L24" s="203" t="str">
        <f>Legend!$C$4&amp;" "&amp;'SRV_New Techs'!$A24&amp;" tech: "&amp;'SRV_New Techs'!$C24&amp;" - "&amp;'SRV_New Techs'!$F24</f>
        <v>SRV Air conditioning tech: Electricity - Air conditioning (Imp.)</v>
      </c>
      <c r="M24" s="203" t="str">
        <f t="shared" si="0"/>
        <v>SRVELC</v>
      </c>
      <c r="N24" s="203" t="str">
        <f t="shared" si="1"/>
        <v>S-AC</v>
      </c>
      <c r="O24" s="222">
        <f>SUMIFS('Key Inputs_New Techs'!$F$8:$F$71,'Key Inputs_New Techs'!$B$8:$B$71,K24)</f>
        <v>2025</v>
      </c>
      <c r="P24" s="212">
        <f t="shared" si="2"/>
        <v>31.536000000000001</v>
      </c>
      <c r="Q24" s="222">
        <f>SUMIFS('Key Inputs_New Techs'!$G$8:$G$71,'Key Inputs_New Techs'!$B$8:$B$71,K24)</f>
        <v>14</v>
      </c>
      <c r="R24" s="201"/>
      <c r="S24" s="201"/>
      <c r="T24" s="201"/>
      <c r="U24" s="201"/>
      <c r="V24" s="201"/>
      <c r="W24" s="201"/>
      <c r="X24" s="201"/>
    </row>
    <row r="25" spans="1:24" s="211" customFormat="1" x14ac:dyDescent="0.3">
      <c r="A25" s="499" t="str">
        <f>Legend!$A$46</f>
        <v>Air conditioning</v>
      </c>
      <c r="B25" s="499" t="str">
        <f>LEFT(Legend!$C$4)&amp;"-"&amp;Legend!$B$46</f>
        <v>S-AC</v>
      </c>
      <c r="C25" s="535" t="str">
        <f>Legend!$A$63</f>
        <v>Electricity</v>
      </c>
      <c r="D25" s="535" t="str">
        <f>Legend!$B$63</f>
        <v>SRVELC</v>
      </c>
      <c r="E25" s="538" t="str">
        <f t="shared" si="4"/>
        <v>SRVELC</v>
      </c>
      <c r="F25" s="542" t="s">
        <v>406</v>
      </c>
      <c r="G25" s="541" t="s">
        <v>401</v>
      </c>
      <c r="H25" s="541"/>
      <c r="I25" s="541"/>
      <c r="J25" s="221"/>
      <c r="K25" s="405" t="str">
        <f t="shared" si="10"/>
        <v>S-AC_ELC03</v>
      </c>
      <c r="L25" s="203" t="str">
        <f>Legend!$C$4&amp;" "&amp;'SRV_New Techs'!$A25&amp;" tech: "&amp;'SRV_New Techs'!$C25&amp;" - "&amp;'SRV_New Techs'!$F25</f>
        <v>SRV Air conditioning tech: Electricity - Air conditioning (Adv.)</v>
      </c>
      <c r="M25" s="203" t="str">
        <f t="shared" si="0"/>
        <v>SRVELC</v>
      </c>
      <c r="N25" s="203" t="str">
        <f t="shared" si="1"/>
        <v>S-AC</v>
      </c>
      <c r="O25" s="222">
        <f>SUMIFS('Key Inputs_New Techs'!$F$8:$F$71,'Key Inputs_New Techs'!$B$8:$B$71,K25)</f>
        <v>2030</v>
      </c>
      <c r="P25" s="212">
        <f t="shared" si="2"/>
        <v>31.536000000000001</v>
      </c>
      <c r="Q25" s="222">
        <f>SUMIFS('Key Inputs_New Techs'!$G$8:$G$71,'Key Inputs_New Techs'!$B$8:$B$71,K25)</f>
        <v>14</v>
      </c>
      <c r="R25" s="201"/>
      <c r="S25" s="201"/>
      <c r="T25" s="201"/>
      <c r="U25" s="201"/>
      <c r="V25" s="201"/>
      <c r="W25" s="201"/>
      <c r="X25" s="201"/>
    </row>
    <row r="26" spans="1:24" s="211" customFormat="1" x14ac:dyDescent="0.3">
      <c r="A26" s="499" t="str">
        <f>Legend!$A$46</f>
        <v>Air conditioning</v>
      </c>
      <c r="B26" s="499" t="str">
        <f>LEFT(Legend!$C$4)&amp;"-"&amp;Legend!$B$46</f>
        <v>S-AC</v>
      </c>
      <c r="C26" s="535" t="str">
        <f>Legend!A$68&amp;", "&amp;Legend!A$60</f>
        <v>Natural gas, Biogas</v>
      </c>
      <c r="D26" s="535" t="str">
        <f>Legend!B$68&amp;", "&amp;Legend!B$60&amp;", "&amp;Legend!B$72&amp;", "&amp;Legend!B$73&amp;", "&amp;Legend!B$74</f>
        <v>SRVGAS, SRVBGS, SRVH2G, SRVH2B, SRVEFUM</v>
      </c>
      <c r="E26" s="538" t="str">
        <f t="shared" si="4"/>
        <v>SRVGAS</v>
      </c>
      <c r="F26" s="542" t="s">
        <v>404</v>
      </c>
      <c r="G26" s="541" t="s">
        <v>391</v>
      </c>
      <c r="H26" s="541"/>
      <c r="I26" s="541"/>
      <c r="J26" s="221"/>
      <c r="K26" s="405" t="str">
        <f t="shared" si="10"/>
        <v>S-AC_GAS01</v>
      </c>
      <c r="L26" s="203" t="str">
        <f>Legend!$C$4&amp;" "&amp;'SRV_New Techs'!$A26&amp;" tech: "&amp;'SRV_New Techs'!$C26&amp;" - "&amp;'SRV_New Techs'!$F26</f>
        <v>SRV Air conditioning tech: Natural gas, Biogas - Air conditioning (Ord.)</v>
      </c>
      <c r="M26" s="203" t="str">
        <f t="shared" si="0"/>
        <v>SRVGAS, SRVBGS, SRVH2G, SRVH2B, SRVEFUM</v>
      </c>
      <c r="N26" s="203" t="str">
        <f t="shared" si="1"/>
        <v>S-AC</v>
      </c>
      <c r="O26" s="222">
        <f>SUMIFS('Key Inputs_New Techs'!$F$8:$F$71,'Key Inputs_New Techs'!$B$8:$B$71,K26)</f>
        <v>2020</v>
      </c>
      <c r="P26" s="212">
        <f t="shared" si="2"/>
        <v>31.536000000000001</v>
      </c>
      <c r="Q26" s="222">
        <f>SUMIFS('Key Inputs_New Techs'!$G$8:$G$71,'Key Inputs_New Techs'!$B$8:$B$71,K26)</f>
        <v>7</v>
      </c>
      <c r="R26" s="201"/>
      <c r="S26" s="201"/>
      <c r="T26" s="201"/>
      <c r="U26" s="201"/>
      <c r="V26" s="201"/>
      <c r="W26" s="201"/>
      <c r="X26" s="201"/>
    </row>
    <row r="27" spans="1:24" s="211" customFormat="1" x14ac:dyDescent="0.3">
      <c r="A27" s="499" t="str">
        <f>Legend!$A$46</f>
        <v>Air conditioning</v>
      </c>
      <c r="B27" s="499" t="str">
        <f>LEFT(Legend!$C$4)&amp;"-"&amp;Legend!$B$46</f>
        <v>S-AC</v>
      </c>
      <c r="C27" s="535" t="str">
        <f>Legend!A$68&amp;", "&amp;Legend!A$60</f>
        <v>Natural gas, Biogas</v>
      </c>
      <c r="D27" s="535" t="str">
        <f>Legend!B$68&amp;", "&amp;Legend!B$60&amp;", "&amp;Legend!B$72&amp;", "&amp;Legend!B$73&amp;", "&amp;Legend!B$74</f>
        <v>SRVGAS, SRVBGS, SRVH2G, SRVH2B, SRVEFUM</v>
      </c>
      <c r="E27" s="538" t="str">
        <f t="shared" si="4"/>
        <v>SRVGAS</v>
      </c>
      <c r="F27" s="535" t="s">
        <v>405</v>
      </c>
      <c r="G27" s="541" t="s">
        <v>392</v>
      </c>
      <c r="H27" s="541"/>
      <c r="I27" s="541"/>
      <c r="J27" s="221"/>
      <c r="K27" s="405" t="str">
        <f t="shared" si="10"/>
        <v>S-AC_GAS02</v>
      </c>
      <c r="L27" s="203" t="str">
        <f>Legend!$C$4&amp;" "&amp;'SRV_New Techs'!$A27&amp;" tech: "&amp;'SRV_New Techs'!$C27&amp;" - "&amp;'SRV_New Techs'!$F27</f>
        <v>SRV Air conditioning tech: Natural gas, Biogas - Air conditioning (Imp.)</v>
      </c>
      <c r="M27" s="203" t="str">
        <f t="shared" si="0"/>
        <v>SRVGAS, SRVBGS, SRVH2G, SRVH2B, SRVEFUM</v>
      </c>
      <c r="N27" s="203" t="str">
        <f t="shared" si="1"/>
        <v>S-AC</v>
      </c>
      <c r="O27" s="222">
        <f>SUMIFS('Key Inputs_New Techs'!$F$8:$F$71,'Key Inputs_New Techs'!$B$8:$B$71,K27)</f>
        <v>2025</v>
      </c>
      <c r="P27" s="212">
        <f t="shared" si="2"/>
        <v>31.536000000000001</v>
      </c>
      <c r="Q27" s="222">
        <f>SUMIFS('Key Inputs_New Techs'!$G$8:$G$71,'Key Inputs_New Techs'!$B$8:$B$71,K27)</f>
        <v>7</v>
      </c>
      <c r="R27" s="201"/>
      <c r="S27" s="201"/>
      <c r="T27" s="201"/>
      <c r="U27" s="201"/>
      <c r="V27" s="201"/>
      <c r="W27" s="201"/>
      <c r="X27" s="201"/>
    </row>
    <row r="28" spans="1:24" s="211" customFormat="1" x14ac:dyDescent="0.3">
      <c r="A28" s="499" t="str">
        <f>Legend!$A$46</f>
        <v>Air conditioning</v>
      </c>
      <c r="B28" s="499" t="str">
        <f>LEFT(Legend!$C$4)&amp;"-"&amp;Legend!$B$46</f>
        <v>S-AC</v>
      </c>
      <c r="C28" s="535" t="str">
        <f>Legend!A$68&amp;", "&amp;Legend!A$60</f>
        <v>Natural gas, Biogas</v>
      </c>
      <c r="D28" s="535" t="str">
        <f>Legend!B$68&amp;", "&amp;Legend!B$60&amp;", "&amp;Legend!B$72&amp;", "&amp;Legend!B$73&amp;", "&amp;Legend!B$74</f>
        <v>SRVGAS, SRVBGS, SRVH2G, SRVH2B, SRVEFUM</v>
      </c>
      <c r="E28" s="538" t="str">
        <f t="shared" si="4"/>
        <v>SRVGAS</v>
      </c>
      <c r="F28" s="535" t="s">
        <v>406</v>
      </c>
      <c r="G28" s="541" t="s">
        <v>401</v>
      </c>
      <c r="H28" s="541"/>
      <c r="I28" s="541"/>
      <c r="J28" s="221"/>
      <c r="K28" s="405" t="str">
        <f t="shared" si="10"/>
        <v>S-AC_GAS03</v>
      </c>
      <c r="L28" s="203" t="str">
        <f>Legend!$C$4&amp;" "&amp;'SRV_New Techs'!$A28&amp;" tech: "&amp;'SRV_New Techs'!$C28&amp;" - "&amp;'SRV_New Techs'!$F28</f>
        <v>SRV Air conditioning tech: Natural gas, Biogas - Air conditioning (Adv.)</v>
      </c>
      <c r="M28" s="203" t="str">
        <f t="shared" si="0"/>
        <v>SRVGAS, SRVBGS, SRVH2G, SRVH2B, SRVEFUM</v>
      </c>
      <c r="N28" s="203" t="str">
        <f t="shared" si="1"/>
        <v>S-AC</v>
      </c>
      <c r="O28" s="222">
        <f>SUMIFS('Key Inputs_New Techs'!$F$8:$F$71,'Key Inputs_New Techs'!$B$8:$B$71,K28)</f>
        <v>2030</v>
      </c>
      <c r="P28" s="212">
        <f t="shared" si="2"/>
        <v>31.536000000000001</v>
      </c>
      <c r="Q28" s="222">
        <f>SUMIFS('Key Inputs_New Techs'!$G$8:$G$71,'Key Inputs_New Techs'!$B$8:$B$71,K28)</f>
        <v>7</v>
      </c>
      <c r="R28" s="201"/>
      <c r="S28" s="201"/>
      <c r="T28" s="201"/>
      <c r="U28" s="201"/>
      <c r="V28" s="201"/>
      <c r="W28" s="201"/>
      <c r="X28" s="201"/>
    </row>
    <row r="29" spans="1:24" s="211" customFormat="1" x14ac:dyDescent="0.3">
      <c r="A29" s="499" t="str">
        <f>Legend!$A$46</f>
        <v>Air conditioning</v>
      </c>
      <c r="B29" s="499" t="str">
        <f>LEFT(Legend!$C$4)&amp;"-"&amp;Legend!$B$46</f>
        <v>S-AC</v>
      </c>
      <c r="C29" s="535" t="str">
        <f>Legend!$A$65</f>
        <v>Heat</v>
      </c>
      <c r="D29" s="535" t="str">
        <f>Legend!B$65</f>
        <v>SRVHET</v>
      </c>
      <c r="E29" s="538" t="str">
        <f t="shared" si="4"/>
        <v>SRVHET</v>
      </c>
      <c r="F29" s="535" t="s">
        <v>404</v>
      </c>
      <c r="G29" s="541" t="s">
        <v>391</v>
      </c>
      <c r="H29" s="541"/>
      <c r="I29" s="541"/>
      <c r="J29" s="221"/>
      <c r="K29" s="405" t="str">
        <f t="shared" si="10"/>
        <v>S-AC_HET01</v>
      </c>
      <c r="L29" s="203" t="str">
        <f>Legend!$C$4&amp;" "&amp;'SRV_New Techs'!$A29&amp;" tech: "&amp;'SRV_New Techs'!$C29&amp;" - "&amp;'SRV_New Techs'!$F29</f>
        <v>SRV Air conditioning tech: Heat - Air conditioning (Ord.)</v>
      </c>
      <c r="M29" s="203" t="str">
        <f t="shared" si="0"/>
        <v>SRVHET</v>
      </c>
      <c r="N29" s="203" t="str">
        <f t="shared" si="1"/>
        <v>S-AC</v>
      </c>
      <c r="O29" s="222">
        <f>SUMIFS('Key Inputs_New Techs'!$F$8:$F$71,'Key Inputs_New Techs'!$B$8:$B$71,K29)</f>
        <v>2020</v>
      </c>
      <c r="P29" s="212">
        <f t="shared" si="2"/>
        <v>31.536000000000001</v>
      </c>
      <c r="Q29" s="222">
        <f>SUMIFS('Key Inputs_New Techs'!$G$8:$G$71,'Key Inputs_New Techs'!$B$8:$B$71,K29)</f>
        <v>7</v>
      </c>
      <c r="R29" s="201"/>
      <c r="S29" s="201"/>
      <c r="T29" s="201"/>
      <c r="U29" s="201"/>
      <c r="V29" s="201"/>
      <c r="W29" s="201"/>
      <c r="X29" s="201"/>
    </row>
    <row r="30" spans="1:24" s="211" customFormat="1" x14ac:dyDescent="0.3">
      <c r="A30" s="499" t="str">
        <f>Legend!$A$46</f>
        <v>Air conditioning</v>
      </c>
      <c r="B30" s="499" t="str">
        <f>LEFT(Legend!$C$4)&amp;"-"&amp;Legend!$B$46</f>
        <v>S-AC</v>
      </c>
      <c r="C30" s="535" t="str">
        <f>Legend!$A$65</f>
        <v>Heat</v>
      </c>
      <c r="D30" s="535" t="str">
        <f>Legend!B$65</f>
        <v>SRVHET</v>
      </c>
      <c r="E30" s="538" t="str">
        <f t="shared" si="4"/>
        <v>SRVHET</v>
      </c>
      <c r="F30" s="535" t="s">
        <v>405</v>
      </c>
      <c r="G30" s="541" t="s">
        <v>392</v>
      </c>
      <c r="H30" s="541"/>
      <c r="I30" s="541"/>
      <c r="J30" s="221"/>
      <c r="K30" s="405" t="str">
        <f t="shared" si="10"/>
        <v>S-AC_HET02</v>
      </c>
      <c r="L30" s="203" t="str">
        <f>Legend!$C$4&amp;" "&amp;'SRV_New Techs'!$A30&amp;" tech: "&amp;'SRV_New Techs'!$C30&amp;" - "&amp;'SRV_New Techs'!$F30</f>
        <v>SRV Air conditioning tech: Heat - Air conditioning (Imp.)</v>
      </c>
      <c r="M30" s="203" t="str">
        <f t="shared" si="0"/>
        <v>SRVHET</v>
      </c>
      <c r="N30" s="203" t="str">
        <f t="shared" si="1"/>
        <v>S-AC</v>
      </c>
      <c r="O30" s="222">
        <f>SUMIFS('Key Inputs_New Techs'!$F$8:$F$71,'Key Inputs_New Techs'!$B$8:$B$71,K30)</f>
        <v>2025</v>
      </c>
      <c r="P30" s="212">
        <f t="shared" si="2"/>
        <v>31.536000000000001</v>
      </c>
      <c r="Q30" s="222">
        <f>SUMIFS('Key Inputs_New Techs'!$G$8:$G$71,'Key Inputs_New Techs'!$B$8:$B$71,K30)</f>
        <v>7</v>
      </c>
      <c r="R30" s="201"/>
      <c r="S30" s="201"/>
      <c r="T30" s="201"/>
      <c r="U30" s="201"/>
      <c r="V30" s="201"/>
      <c r="W30" s="201"/>
      <c r="X30" s="201"/>
    </row>
    <row r="31" spans="1:24" s="211" customFormat="1" x14ac:dyDescent="0.3">
      <c r="A31" s="499" t="str">
        <f>Legend!$A$46</f>
        <v>Air conditioning</v>
      </c>
      <c r="B31" s="499" t="str">
        <f>LEFT(Legend!$C$4)&amp;"-"&amp;Legend!$B$46</f>
        <v>S-AC</v>
      </c>
      <c r="C31" s="535" t="str">
        <f>Legend!$A$65</f>
        <v>Heat</v>
      </c>
      <c r="D31" s="535" t="str">
        <f>Legend!B$65</f>
        <v>SRVHET</v>
      </c>
      <c r="E31" s="538" t="str">
        <f t="shared" si="4"/>
        <v>SRVHET</v>
      </c>
      <c r="F31" s="535" t="s">
        <v>406</v>
      </c>
      <c r="G31" s="541" t="s">
        <v>401</v>
      </c>
      <c r="H31" s="541"/>
      <c r="I31" s="541"/>
      <c r="J31" s="221"/>
      <c r="K31" s="405" t="str">
        <f t="shared" si="10"/>
        <v>S-AC_HET03</v>
      </c>
      <c r="L31" s="203" t="str">
        <f>Legend!$C$4&amp;" "&amp;'SRV_New Techs'!$A31&amp;" tech: "&amp;'SRV_New Techs'!$C31&amp;" - "&amp;'SRV_New Techs'!$F31</f>
        <v>SRV Air conditioning tech: Heat - Air conditioning (Adv.)</v>
      </c>
      <c r="M31" s="203" t="str">
        <f t="shared" si="0"/>
        <v>SRVHET</v>
      </c>
      <c r="N31" s="203" t="str">
        <f t="shared" si="1"/>
        <v>S-AC</v>
      </c>
      <c r="O31" s="222">
        <f>SUMIFS('Key Inputs_New Techs'!$F$8:$F$71,'Key Inputs_New Techs'!$B$8:$B$71,K31)</f>
        <v>2030</v>
      </c>
      <c r="P31" s="212">
        <f t="shared" si="2"/>
        <v>31.536000000000001</v>
      </c>
      <c r="Q31" s="222">
        <f>SUMIFS('Key Inputs_New Techs'!$G$8:$G$71,'Key Inputs_New Techs'!$B$8:$B$71,K31)</f>
        <v>7</v>
      </c>
      <c r="R31" s="201"/>
      <c r="S31" s="201"/>
      <c r="T31" s="201"/>
      <c r="U31" s="201"/>
      <c r="V31" s="201"/>
      <c r="W31" s="201"/>
      <c r="X31" s="201"/>
    </row>
    <row r="32" spans="1:24" s="211" customFormat="1" x14ac:dyDescent="0.3">
      <c r="A32" s="499" t="str">
        <f>Legend!$A$48</f>
        <v>Street lighting</v>
      </c>
      <c r="B32" s="499" t="str">
        <f>LEFT(Legend!$C$4)&amp;"-"&amp;Legend!$B$48</f>
        <v>S-SLIG</v>
      </c>
      <c r="C32" s="535" t="str">
        <f>Legend!$A$63</f>
        <v>Electricity</v>
      </c>
      <c r="D32" s="535" t="str">
        <f>Legend!$B$63</f>
        <v>SRVELC</v>
      </c>
      <c r="E32" s="538" t="str">
        <f t="shared" si="4"/>
        <v>SRVELC</v>
      </c>
      <c r="F32" s="542" t="s">
        <v>566</v>
      </c>
      <c r="G32" s="541" t="s">
        <v>391</v>
      </c>
      <c r="H32" s="541"/>
      <c r="I32" s="541"/>
      <c r="J32" s="221"/>
      <c r="K32" s="409" t="str">
        <f t="shared" si="10"/>
        <v>S-SLIG_ELC01</v>
      </c>
      <c r="L32" s="207" t="str">
        <f>Legend!$C$4&amp;" "&amp;'SRV_New Techs'!$A32&amp;" tech: "&amp;'SRV_New Techs'!$C32&amp;" - "&amp;'SRV_New Techs'!$F32</f>
        <v>SRV Street lighting tech: Electricity - Street lights (Ord.)</v>
      </c>
      <c r="M32" s="207" t="str">
        <f t="shared" si="0"/>
        <v>SRVELC</v>
      </c>
      <c r="N32" s="207" t="str">
        <f t="shared" si="1"/>
        <v>S-SLIG</v>
      </c>
      <c r="O32" s="242">
        <f>SUMIFS('Key Inputs_New Techs'!$F$8:$F$71,'Key Inputs_New Techs'!$B$8:$B$71,K32)</f>
        <v>2020</v>
      </c>
      <c r="P32" s="229">
        <f t="shared" si="2"/>
        <v>31.536000000000001</v>
      </c>
      <c r="Q32" s="242">
        <f>SUMIFS('Key Inputs_New Techs'!$G$8:$G$71,'Key Inputs_New Techs'!$B$8:$B$71,K32)</f>
        <v>5.7077625570776256</v>
      </c>
      <c r="R32" s="201"/>
      <c r="S32" s="201"/>
      <c r="T32" s="201"/>
      <c r="U32" s="201"/>
      <c r="V32" s="201"/>
      <c r="W32" s="201"/>
      <c r="X32" s="201"/>
    </row>
    <row r="33" spans="1:37" s="211" customFormat="1" x14ac:dyDescent="0.3">
      <c r="A33" s="499" t="str">
        <f>Legend!$A$48</f>
        <v>Street lighting</v>
      </c>
      <c r="B33" s="499" t="str">
        <f>LEFT(Legend!$C$4)&amp;"-"&amp;Legend!$B$48</f>
        <v>S-SLIG</v>
      </c>
      <c r="C33" s="535" t="str">
        <f>Legend!$A$63</f>
        <v>Electricity</v>
      </c>
      <c r="D33" s="535" t="str">
        <f>Legend!$B$63</f>
        <v>SRVELC</v>
      </c>
      <c r="E33" s="538" t="str">
        <f t="shared" si="4"/>
        <v>SRVELC</v>
      </c>
      <c r="F33" s="540" t="s">
        <v>567</v>
      </c>
      <c r="G33" s="541" t="s">
        <v>392</v>
      </c>
      <c r="H33" s="541"/>
      <c r="I33" s="541"/>
      <c r="J33" s="221"/>
      <c r="K33" s="405" t="str">
        <f t="shared" si="10"/>
        <v>S-SLIG_ELC02</v>
      </c>
      <c r="L33" s="203" t="str">
        <f>Legend!$C$4&amp;" "&amp;'SRV_New Techs'!$A33&amp;" tech: "&amp;'SRV_New Techs'!$C33&amp;" - "&amp;'SRV_New Techs'!$F33</f>
        <v>SRV Street lighting tech: Electricity - Street lights (Imp.)</v>
      </c>
      <c r="M33" s="203" t="str">
        <f t="shared" si="0"/>
        <v>SRVELC</v>
      </c>
      <c r="N33" s="203" t="str">
        <f t="shared" si="1"/>
        <v>S-SLIG</v>
      </c>
      <c r="O33" s="222">
        <f>SUMIFS('Key Inputs_New Techs'!$F$8:$F$71,'Key Inputs_New Techs'!$B$8:$B$71,K33)</f>
        <v>2025</v>
      </c>
      <c r="P33" s="212">
        <f t="shared" si="2"/>
        <v>31.536000000000001</v>
      </c>
      <c r="Q33" s="222">
        <f>SUMIFS('Key Inputs_New Techs'!$G$8:$G$71,'Key Inputs_New Techs'!$B$8:$B$71,K33)</f>
        <v>5.7077625570776256</v>
      </c>
      <c r="R33" s="201"/>
      <c r="S33" s="201"/>
      <c r="T33" s="201"/>
      <c r="U33" s="201"/>
      <c r="V33" s="201"/>
      <c r="W33" s="201"/>
      <c r="X33" s="201"/>
    </row>
    <row r="34" spans="1:37" s="211" customFormat="1" x14ac:dyDescent="0.3">
      <c r="A34" s="499" t="str">
        <f>Legend!$A$48</f>
        <v>Street lighting</v>
      </c>
      <c r="B34" s="499" t="str">
        <f>LEFT(Legend!$C$4)&amp;"-"&amp;Legend!$B$48</f>
        <v>S-SLIG</v>
      </c>
      <c r="C34" s="535" t="str">
        <f>Legend!$A$63</f>
        <v>Electricity</v>
      </c>
      <c r="D34" s="535" t="str">
        <f>Legend!$B$63</f>
        <v>SRVELC</v>
      </c>
      <c r="E34" s="538" t="str">
        <f t="shared" ref="E34" si="11">LEFT(D34,6)</f>
        <v>SRVELC</v>
      </c>
      <c r="F34" s="540" t="s">
        <v>568</v>
      </c>
      <c r="G34" s="541" t="s">
        <v>401</v>
      </c>
      <c r="H34" s="541"/>
      <c r="I34" s="541"/>
      <c r="J34" s="221"/>
      <c r="K34" s="405" t="str">
        <f t="shared" si="10"/>
        <v>S-SLIG_ELC03</v>
      </c>
      <c r="L34" s="203" t="str">
        <f>Legend!$C$4&amp;" "&amp;'SRV_New Techs'!$A34&amp;" tech: "&amp;'SRV_New Techs'!$C34&amp;" - "&amp;'SRV_New Techs'!$F34</f>
        <v>SRV Street lighting tech: Electricity - Street lights (Adv.)</v>
      </c>
      <c r="M34" s="203" t="str">
        <f t="shared" si="0"/>
        <v>SRVELC</v>
      </c>
      <c r="N34" s="203" t="str">
        <f t="shared" si="1"/>
        <v>S-SLIG</v>
      </c>
      <c r="O34" s="222">
        <f>SUMIFS('Key Inputs_New Techs'!$F$8:$F$71,'Key Inputs_New Techs'!$B$8:$B$71,K34)</f>
        <v>2030</v>
      </c>
      <c r="P34" s="212">
        <f t="shared" si="2"/>
        <v>31.536000000000001</v>
      </c>
      <c r="Q34" s="222">
        <f>SUMIFS('Key Inputs_New Techs'!$G$8:$G$71,'Key Inputs_New Techs'!$B$8:$B$71,K34)</f>
        <v>5.7077625570776256</v>
      </c>
      <c r="R34" s="201"/>
      <c r="S34" s="201"/>
      <c r="T34" s="201"/>
      <c r="U34" s="201"/>
      <c r="V34" s="201"/>
      <c r="W34" s="201"/>
      <c r="X34" s="201"/>
    </row>
    <row r="35" spans="1:37" s="211" customFormat="1" x14ac:dyDescent="0.3">
      <c r="A35" s="499" t="str">
        <f>Legend!$A$49</f>
        <v>Lighting</v>
      </c>
      <c r="B35" s="499" t="str">
        <f>LEFT(Legend!$C$4)&amp;"-"&amp;Legend!$B$49</f>
        <v>S-LIG</v>
      </c>
      <c r="C35" s="535" t="str">
        <f>Legend!$A$63</f>
        <v>Electricity</v>
      </c>
      <c r="D35" s="535" t="str">
        <f>Legend!$B$63</f>
        <v>SRVELC</v>
      </c>
      <c r="E35" s="538" t="str">
        <f t="shared" ref="E35:E39" si="12">LEFT(D35,6)</f>
        <v>SRVELC</v>
      </c>
      <c r="F35" s="542" t="s">
        <v>570</v>
      </c>
      <c r="G35" s="541" t="s">
        <v>391</v>
      </c>
      <c r="H35" s="541"/>
      <c r="I35" s="541"/>
      <c r="J35" s="221"/>
      <c r="K35" s="409" t="str">
        <f t="shared" si="10"/>
        <v>S-LIG_ELC01</v>
      </c>
      <c r="L35" s="207" t="str">
        <f>Legend!$C$4&amp;" "&amp;'SRV_New Techs'!$A35&amp;" tech: "&amp;'SRV_New Techs'!$C35&amp;" - "&amp;'SRV_New Techs'!$F35</f>
        <v>SRV Lighting tech: Electricity - Office lighting (Ord.)</v>
      </c>
      <c r="M35" s="207" t="str">
        <f t="shared" si="0"/>
        <v>SRVELC</v>
      </c>
      <c r="N35" s="207" t="str">
        <f t="shared" si="1"/>
        <v>S-LIG</v>
      </c>
      <c r="O35" s="242">
        <f>SUMIFS('Key Inputs_New Techs'!$F$8:$F$71,'Key Inputs_New Techs'!$B$8:$B$71,K35)</f>
        <v>2020</v>
      </c>
      <c r="P35" s="229">
        <f t="shared" ref="P35:P40" si="13">IF(A35="","",31.536)</f>
        <v>31.536000000000001</v>
      </c>
      <c r="Q35" s="242">
        <f>SUMIFS('Key Inputs_New Techs'!$G$8:$G$71,'Key Inputs_New Techs'!$B$8:$B$71,K35)</f>
        <v>5.7077625570776256</v>
      </c>
      <c r="R35" s="201"/>
      <c r="S35" s="201"/>
      <c r="T35" s="201"/>
      <c r="U35" s="201"/>
      <c r="V35" s="201"/>
      <c r="W35" s="201"/>
      <c r="X35" s="201"/>
    </row>
    <row r="36" spans="1:37" s="211" customFormat="1" x14ac:dyDescent="0.3">
      <c r="A36" s="499" t="str">
        <f>Legend!$A$49</f>
        <v>Lighting</v>
      </c>
      <c r="B36" s="499" t="str">
        <f>LEFT(Legend!$C$4)&amp;"-"&amp;Legend!$B$49</f>
        <v>S-LIG</v>
      </c>
      <c r="C36" s="535" t="str">
        <f>Legend!$A$63</f>
        <v>Electricity</v>
      </c>
      <c r="D36" s="535" t="str">
        <f>Legend!$B$63</f>
        <v>SRVELC</v>
      </c>
      <c r="E36" s="538" t="str">
        <f t="shared" si="12"/>
        <v>SRVELC</v>
      </c>
      <c r="F36" s="535" t="s">
        <v>571</v>
      </c>
      <c r="G36" s="541" t="s">
        <v>392</v>
      </c>
      <c r="H36" s="541"/>
      <c r="I36" s="541"/>
      <c r="J36" s="221"/>
      <c r="K36" s="405" t="str">
        <f t="shared" si="10"/>
        <v>S-LIG_ELC02</v>
      </c>
      <c r="L36" s="203" t="str">
        <f>Legend!$C$4&amp;" "&amp;'SRV_New Techs'!$A36&amp;" tech: "&amp;'SRV_New Techs'!$C36&amp;" - "&amp;'SRV_New Techs'!$F36</f>
        <v>SRV Lighting tech: Electricity - Office lighting (Imp.)</v>
      </c>
      <c r="M36" s="203" t="str">
        <f t="shared" si="0"/>
        <v>SRVELC</v>
      </c>
      <c r="N36" s="203" t="str">
        <f t="shared" si="1"/>
        <v>S-LIG</v>
      </c>
      <c r="O36" s="222">
        <f>SUMIFS('Key Inputs_New Techs'!$F$8:$F$71,'Key Inputs_New Techs'!$B$8:$B$71,K36)</f>
        <v>2025</v>
      </c>
      <c r="P36" s="212">
        <f t="shared" si="13"/>
        <v>31.536000000000001</v>
      </c>
      <c r="Q36" s="222">
        <f>SUMIFS('Key Inputs_New Techs'!$G$8:$G$71,'Key Inputs_New Techs'!$B$8:$B$71,K36)</f>
        <v>5.7077625570776256</v>
      </c>
    </row>
    <row r="37" spans="1:37" s="211" customFormat="1" x14ac:dyDescent="0.3">
      <c r="A37" s="499" t="str">
        <f>Legend!$A$49</f>
        <v>Lighting</v>
      </c>
      <c r="B37" s="499" t="str">
        <f>LEFT(Legend!$C$4)&amp;"-"&amp;Legend!$B$49</f>
        <v>S-LIG</v>
      </c>
      <c r="C37" s="535" t="str">
        <f>Legend!$A$63</f>
        <v>Electricity</v>
      </c>
      <c r="D37" s="535" t="str">
        <f>Legend!$B$63</f>
        <v>SRVELC</v>
      </c>
      <c r="E37" s="538" t="str">
        <f t="shared" si="12"/>
        <v>SRVELC</v>
      </c>
      <c r="F37" s="535" t="s">
        <v>572</v>
      </c>
      <c r="G37" s="541" t="s">
        <v>401</v>
      </c>
      <c r="H37" s="541"/>
      <c r="I37" s="541"/>
      <c r="J37" s="221"/>
      <c r="K37" s="405" t="str">
        <f t="shared" si="10"/>
        <v>S-LIG_ELC03</v>
      </c>
      <c r="L37" s="203" t="str">
        <f>Legend!$C$4&amp;" "&amp;'SRV_New Techs'!$A37&amp;" tech: "&amp;'SRV_New Techs'!$C37&amp;" - "&amp;'SRV_New Techs'!$F37</f>
        <v>SRV Lighting tech: Electricity - Office lighting (Adv.)</v>
      </c>
      <c r="M37" s="203" t="str">
        <f t="shared" si="0"/>
        <v>SRVELC</v>
      </c>
      <c r="N37" s="203" t="str">
        <f t="shared" si="1"/>
        <v>S-LIG</v>
      </c>
      <c r="O37" s="222">
        <f>SUMIFS('Key Inputs_New Techs'!$F$8:$F$71,'Key Inputs_New Techs'!$B$8:$B$71,K37)</f>
        <v>2030</v>
      </c>
      <c r="P37" s="212">
        <f t="shared" si="13"/>
        <v>31.536000000000001</v>
      </c>
      <c r="Q37" s="222">
        <f>SUMIFS('Key Inputs_New Techs'!$G$8:$G$71,'Key Inputs_New Techs'!$B$8:$B$71,K37)</f>
        <v>5.7077625570776256</v>
      </c>
    </row>
    <row r="38" spans="1:37" s="211" customFormat="1" x14ac:dyDescent="0.3">
      <c r="A38" s="499" t="str">
        <f>Legend!$A$50</f>
        <v>Electric Appliances</v>
      </c>
      <c r="B38" s="499" t="str">
        <f>LEFT(Legend!$C$4)&amp;"-"&amp;Legend!$B$50</f>
        <v>S-EAP</v>
      </c>
      <c r="C38" s="535" t="str">
        <f>Legend!$A$63</f>
        <v>Electricity</v>
      </c>
      <c r="D38" s="535" t="str">
        <f>Legend!$B$63</f>
        <v>SRVELC</v>
      </c>
      <c r="E38" s="538" t="str">
        <f t="shared" si="12"/>
        <v>SRVELC</v>
      </c>
      <c r="F38" s="535" t="s">
        <v>573</v>
      </c>
      <c r="G38" s="541" t="s">
        <v>391</v>
      </c>
      <c r="H38" s="541"/>
      <c r="I38" s="541"/>
      <c r="J38" s="221"/>
      <c r="K38" s="409" t="str">
        <f t="shared" si="10"/>
        <v>S-EAP_ELC01</v>
      </c>
      <c r="L38" s="207" t="str">
        <f>Legend!$C$4&amp;" "&amp;'SRV_New Techs'!$A38&amp;" tech: "&amp;'SRV_New Techs'!$C38&amp;" - "&amp;'SRV_New Techs'!$F38</f>
        <v>SRV Electric Appliances tech: Electricity - Appl.(Ord.)</v>
      </c>
      <c r="M38" s="207" t="str">
        <f t="shared" si="0"/>
        <v>SRVELC</v>
      </c>
      <c r="N38" s="207" t="str">
        <f t="shared" si="1"/>
        <v>S-EAP</v>
      </c>
      <c r="O38" s="242">
        <f>SUMIFS('Key Inputs_New Techs'!$F$8:$F$71,'Key Inputs_New Techs'!$B$8:$B$71,K38)</f>
        <v>2020</v>
      </c>
      <c r="P38" s="229">
        <f t="shared" si="13"/>
        <v>31.536000000000001</v>
      </c>
      <c r="Q38" s="242">
        <f>SUMIFS('Key Inputs_New Techs'!$G$8:$G$71,'Key Inputs_New Techs'!$B$8:$B$71,K38)</f>
        <v>7</v>
      </c>
    </row>
    <row r="39" spans="1:37" s="211" customFormat="1" x14ac:dyDescent="0.3">
      <c r="A39" s="499" t="str">
        <f>Legend!$A$50</f>
        <v>Electric Appliances</v>
      </c>
      <c r="B39" s="499" t="str">
        <f>LEFT(Legend!$C$4)&amp;"-"&amp;Legend!$B$50</f>
        <v>S-EAP</v>
      </c>
      <c r="C39" s="535" t="str">
        <f>Legend!$A$63</f>
        <v>Electricity</v>
      </c>
      <c r="D39" s="535" t="str">
        <f>Legend!$B$63</f>
        <v>SRVELC</v>
      </c>
      <c r="E39" s="538" t="str">
        <f t="shared" si="12"/>
        <v>SRVELC</v>
      </c>
      <c r="F39" s="535" t="s">
        <v>574</v>
      </c>
      <c r="G39" s="541" t="s">
        <v>392</v>
      </c>
      <c r="H39" s="541"/>
      <c r="I39" s="541"/>
      <c r="J39" s="221"/>
      <c r="K39" s="405" t="str">
        <f t="shared" si="10"/>
        <v>S-EAP_ELC02</v>
      </c>
      <c r="L39" s="203" t="str">
        <f>Legend!$C$4&amp;" "&amp;'SRV_New Techs'!$A39&amp;" tech: "&amp;'SRV_New Techs'!$C39&amp;" - "&amp;'SRV_New Techs'!$F39</f>
        <v>SRV Electric Appliances tech: Electricity - Appl.(Imp.)</v>
      </c>
      <c r="M39" s="203" t="str">
        <f t="shared" si="0"/>
        <v>SRVELC</v>
      </c>
      <c r="N39" s="203" t="str">
        <f t="shared" si="1"/>
        <v>S-EAP</v>
      </c>
      <c r="O39" s="222">
        <f>SUMIFS('Key Inputs_New Techs'!$F$8:$F$71,'Key Inputs_New Techs'!$B$8:$B$71,K39)</f>
        <v>2025</v>
      </c>
      <c r="P39" s="212">
        <f t="shared" si="13"/>
        <v>31.536000000000001</v>
      </c>
      <c r="Q39" s="222">
        <f>SUMIFS('Key Inputs_New Techs'!$G$8:$G$71,'Key Inputs_New Techs'!$B$8:$B$71,K39)</f>
        <v>7</v>
      </c>
    </row>
    <row r="40" spans="1:37" s="211" customFormat="1" x14ac:dyDescent="0.3">
      <c r="A40" s="499" t="str">
        <f>Legend!$A$50</f>
        <v>Electric Appliances</v>
      </c>
      <c r="B40" s="499" t="str">
        <f>LEFT(Legend!$C$4)&amp;"-"&amp;Legend!$B$50</f>
        <v>S-EAP</v>
      </c>
      <c r="C40" s="535" t="str">
        <f>Legend!$A$63</f>
        <v>Electricity</v>
      </c>
      <c r="D40" s="535" t="str">
        <f>Legend!$B$63</f>
        <v>SRVELC</v>
      </c>
      <c r="E40" s="538" t="str">
        <f t="shared" ref="E40" si="14">LEFT(D40,6)</f>
        <v>SRVELC</v>
      </c>
      <c r="F40" s="535" t="s">
        <v>575</v>
      </c>
      <c r="G40" s="541" t="s">
        <v>401</v>
      </c>
      <c r="H40" s="541"/>
      <c r="I40" s="541"/>
      <c r="J40" s="221"/>
      <c r="K40" s="407" t="str">
        <f t="shared" si="10"/>
        <v>S-EAP_ELC03</v>
      </c>
      <c r="L40" s="230" t="str">
        <f>Legend!$C$4&amp;" "&amp;'SRV_New Techs'!$A40&amp;" tech: "&amp;'SRV_New Techs'!$C40&amp;" - "&amp;'SRV_New Techs'!$F40</f>
        <v>SRV Electric Appliances tech: Electricity - Appl.(Adv.)</v>
      </c>
      <c r="M40" s="230" t="str">
        <f t="shared" si="0"/>
        <v>SRVELC</v>
      </c>
      <c r="N40" s="230" t="str">
        <f t="shared" si="1"/>
        <v>S-EAP</v>
      </c>
      <c r="O40" s="308">
        <f>SUMIFS('Key Inputs_New Techs'!$F$8:$F$71,'Key Inputs_New Techs'!$B$8:$B$71,K40)</f>
        <v>2030</v>
      </c>
      <c r="P40" s="299">
        <f t="shared" si="13"/>
        <v>31.536000000000001</v>
      </c>
      <c r="Q40" s="308">
        <f>SUMIFS('Key Inputs_New Techs'!$G$8:$G$71,'Key Inputs_New Techs'!$B$8:$B$71,K40)</f>
        <v>7</v>
      </c>
    </row>
    <row r="41" spans="1:37" s="211" customFormat="1" x14ac:dyDescent="0.3">
      <c r="A41" s="499" t="str">
        <f>Legend!$A$47</f>
        <v>Cooking</v>
      </c>
      <c r="B41" s="499" t="str">
        <f>LEFT(Legend!$C$4)&amp;"-"&amp;Legend!$B$47</f>
        <v>S-CK</v>
      </c>
      <c r="C41" s="535" t="str">
        <f>Legend!$A$63</f>
        <v>Electricity</v>
      </c>
      <c r="D41" s="604" t="str">
        <f>Legend!$B$63</f>
        <v>SRVELC</v>
      </c>
      <c r="E41" s="538" t="str">
        <f t="shared" ref="E41:E45" si="15">LEFT(D41,6)</f>
        <v>SRVELC</v>
      </c>
      <c r="F41" s="535" t="s">
        <v>407</v>
      </c>
      <c r="G41" s="541" t="s">
        <v>391</v>
      </c>
      <c r="H41" s="541"/>
      <c r="I41" s="541"/>
      <c r="J41" s="221"/>
      <c r="K41" s="405" t="str">
        <f t="shared" si="10"/>
        <v>S-CK_ELC01</v>
      </c>
      <c r="L41" s="203" t="str">
        <f>Legend!$C$4&amp;" "&amp;'SRV_New Techs'!$A41&amp;" tech: "&amp;'SRV_New Techs'!$C41&amp;" - "&amp;'SRV_New Techs'!$F41</f>
        <v>SRV Cooking tech: Electricity - Cooking system (Ord.)</v>
      </c>
      <c r="M41" s="203" t="str">
        <f t="shared" si="0"/>
        <v>SRVELC</v>
      </c>
      <c r="N41" s="203" t="str">
        <f t="shared" si="1"/>
        <v>S-CK</v>
      </c>
      <c r="O41" s="222">
        <v>2020</v>
      </c>
      <c r="P41" s="229">
        <f>IF(A41="","",31.536)</f>
        <v>31.536000000000001</v>
      </c>
      <c r="Q41" s="222">
        <f>SUMIFS('Key Inputs_New Techs'!$G$8:$G$76,'Key Inputs_New Techs'!$B$8:$B$76,K41)</f>
        <v>12</v>
      </c>
    </row>
    <row r="42" spans="1:37" s="211" customFormat="1" x14ac:dyDescent="0.3">
      <c r="A42" s="499" t="str">
        <f>Legend!$A$47</f>
        <v>Cooking</v>
      </c>
      <c r="B42" s="499" t="str">
        <f>LEFT(Legend!$C$4)&amp;"-"&amp;Legend!$B$47</f>
        <v>S-CK</v>
      </c>
      <c r="C42" s="535" t="str">
        <f>Legend!A$68&amp;","&amp;Legend!A$60</f>
        <v>Natural gas,Biogas</v>
      </c>
      <c r="D42" s="535" t="str">
        <f>Legend!B$68&amp;", "&amp;Legend!B$60&amp;", "&amp;Legend!B$72&amp;", "&amp;Legend!B$73&amp;", "&amp;Legend!B$74</f>
        <v>SRVGAS, SRVBGS, SRVH2G, SRVH2B, SRVEFUM</v>
      </c>
      <c r="E42" s="538" t="str">
        <f t="shared" si="15"/>
        <v>SRVGAS</v>
      </c>
      <c r="F42" s="535" t="s">
        <v>407</v>
      </c>
      <c r="G42" s="541" t="s">
        <v>391</v>
      </c>
      <c r="H42" s="541"/>
      <c r="I42" s="541"/>
      <c r="J42" s="221"/>
      <c r="K42" s="405" t="str">
        <f t="shared" si="10"/>
        <v>S-CK_GAS01</v>
      </c>
      <c r="L42" s="203" t="str">
        <f>Legend!$C$4&amp;" "&amp;'SRV_New Techs'!$A42&amp;" tech: "&amp;'SRV_New Techs'!$C42&amp;" - "&amp;'SRV_New Techs'!$F42</f>
        <v>SRV Cooking tech: Natural gas,Biogas - Cooking system (Ord.)</v>
      </c>
      <c r="M42" s="203" t="str">
        <f t="shared" si="0"/>
        <v>SRVGAS, SRVBGS, SRVH2G, SRVH2B, SRVEFUM</v>
      </c>
      <c r="N42" s="203" t="str">
        <f t="shared" si="1"/>
        <v>S-CK</v>
      </c>
      <c r="O42" s="222">
        <v>2020</v>
      </c>
      <c r="P42" s="212">
        <f>IF(A42="","",31.536)</f>
        <v>31.536000000000001</v>
      </c>
      <c r="Q42" s="222">
        <f>SUMIFS('Key Inputs_New Techs'!$G$8:$G$76,'Key Inputs_New Techs'!$B$8:$B$76,K42)</f>
        <v>12</v>
      </c>
    </row>
    <row r="43" spans="1:37" s="211" customFormat="1" x14ac:dyDescent="0.3">
      <c r="A43" s="499" t="str">
        <f>Legend!$A$47</f>
        <v>Cooking</v>
      </c>
      <c r="B43" s="499" t="str">
        <f>LEFT(Legend!$C$4)&amp;"-"&amp;Legend!$B$47</f>
        <v>S-CK</v>
      </c>
      <c r="C43" s="535" t="str">
        <f>Legend!A$67</f>
        <v>LPG</v>
      </c>
      <c r="D43" s="535" t="str">
        <f>Legend!B$67</f>
        <v>SRVLPG</v>
      </c>
      <c r="E43" s="538" t="str">
        <f t="shared" si="15"/>
        <v>SRVLPG</v>
      </c>
      <c r="F43" s="535" t="s">
        <v>407</v>
      </c>
      <c r="G43" s="541" t="s">
        <v>391</v>
      </c>
      <c r="H43" s="541"/>
      <c r="I43" s="541"/>
      <c r="J43" s="221"/>
      <c r="K43" s="405" t="str">
        <f t="shared" si="10"/>
        <v>S-CK_LPG01</v>
      </c>
      <c r="L43" s="203" t="str">
        <f>Legend!$C$4&amp;" "&amp;'SRV_New Techs'!$A43&amp;" tech: "&amp;'SRV_New Techs'!$C43&amp;" - "&amp;'SRV_New Techs'!$F43</f>
        <v>SRV Cooking tech: LPG - Cooking system (Ord.)</v>
      </c>
      <c r="M43" s="203" t="str">
        <f t="shared" si="0"/>
        <v>SRVLPG</v>
      </c>
      <c r="N43" s="203" t="str">
        <f t="shared" si="1"/>
        <v>S-CK</v>
      </c>
      <c r="O43" s="222">
        <v>2020</v>
      </c>
      <c r="P43" s="212">
        <f>IF(A43="","",31.536)</f>
        <v>31.536000000000001</v>
      </c>
      <c r="Q43" s="222">
        <f>SUMIFS('Key Inputs_New Techs'!$G$8:$G$76,'Key Inputs_New Techs'!$B$8:$B$76,K43)</f>
        <v>12</v>
      </c>
    </row>
    <row r="44" spans="1:37" s="211" customFormat="1" x14ac:dyDescent="0.3">
      <c r="A44" s="499" t="str">
        <f>Legend!$A$47</f>
        <v>Cooking</v>
      </c>
      <c r="B44" s="499" t="str">
        <f>LEFT(Legend!$C$4)&amp;"-"&amp;Legend!$B$47</f>
        <v>S-CK</v>
      </c>
      <c r="C44" s="535" t="str">
        <f>Legend!A$70</f>
        <v>Biomass</v>
      </c>
      <c r="D44" s="535" t="str">
        <f>Legend!B$70</f>
        <v>SRVBIO</v>
      </c>
      <c r="E44" s="538" t="str">
        <f t="shared" ref="E44" si="16">LEFT(D44,6)</f>
        <v>SRVBIO</v>
      </c>
      <c r="F44" s="535" t="s">
        <v>407</v>
      </c>
      <c r="G44" s="656" t="s">
        <v>391</v>
      </c>
      <c r="H44" s="541"/>
      <c r="I44" s="541"/>
      <c r="J44" s="221"/>
      <c r="K44" s="405" t="str">
        <f t="shared" ref="K44" si="17">B44&amp;"_"&amp;RIGHT($E44,3)&amp;$G44</f>
        <v>S-CK_BIO01</v>
      </c>
      <c r="L44" s="203" t="str">
        <f>Legend!$C$4&amp;" "&amp;'SRV_New Techs'!$A44&amp;" tech: "&amp;'SRV_New Techs'!$C44&amp;" - "&amp;'SRV_New Techs'!$F44</f>
        <v>SRV Cooking tech: Biomass - Cooking system (Ord.)</v>
      </c>
      <c r="M44" s="203" t="str">
        <f t="shared" ref="M44" si="18">IF(D44="","",D44)</f>
        <v>SRVBIO</v>
      </c>
      <c r="N44" s="203" t="str">
        <f t="shared" si="1"/>
        <v>S-CK</v>
      </c>
      <c r="O44" s="222">
        <v>2020</v>
      </c>
      <c r="P44" s="212">
        <f>IF(A44="","",31.536)</f>
        <v>31.536000000000001</v>
      </c>
      <c r="Q44" s="222">
        <f>SUMIFS('Key Inputs_New Techs'!$G$8:$G$76,'Key Inputs_New Techs'!$B$8:$B$76,K44)</f>
        <v>12</v>
      </c>
    </row>
    <row r="45" spans="1:37" s="211" customFormat="1" x14ac:dyDescent="0.3">
      <c r="A45" s="499" t="str">
        <f>Legend!$A$47</f>
        <v>Cooking</v>
      </c>
      <c r="B45" s="499" t="str">
        <f>LEFT(Legend!$C$4)&amp;"-"&amp;Legend!$B$47</f>
        <v>S-CK</v>
      </c>
      <c r="C45" s="535" t="str">
        <f>Legend!A$61</f>
        <v>Coal</v>
      </c>
      <c r="D45" s="535" t="str">
        <f>Legend!B$61</f>
        <v>SRVCOA</v>
      </c>
      <c r="E45" s="538" t="str">
        <f t="shared" si="15"/>
        <v>SRVCOA</v>
      </c>
      <c r="F45" s="535" t="s">
        <v>407</v>
      </c>
      <c r="G45" s="541" t="s">
        <v>391</v>
      </c>
      <c r="H45" s="541"/>
      <c r="I45" s="541"/>
      <c r="J45" s="221"/>
      <c r="K45" s="407" t="str">
        <f t="shared" si="10"/>
        <v>S-CK_COA01</v>
      </c>
      <c r="L45" s="230" t="str">
        <f>Legend!$C$4&amp;" "&amp;'SRV_New Techs'!$A45&amp;" tech: "&amp;'SRV_New Techs'!$C45&amp;" - "&amp;'SRV_New Techs'!$F45</f>
        <v>SRV Cooking tech: Coal - Cooking system (Ord.)</v>
      </c>
      <c r="M45" s="230" t="str">
        <f t="shared" si="0"/>
        <v>SRVCOA</v>
      </c>
      <c r="N45" s="230" t="str">
        <f t="shared" si="1"/>
        <v>S-CK</v>
      </c>
      <c r="O45" s="308">
        <v>2020</v>
      </c>
      <c r="P45" s="299">
        <f>IF(A45="","",31.536)</f>
        <v>31.536000000000001</v>
      </c>
      <c r="Q45" s="308">
        <f>SUMIFS('Key Inputs_New Techs'!$G$8:$G$76,'Key Inputs_New Techs'!$B$8:$B$76,K45)</f>
        <v>12</v>
      </c>
    </row>
    <row r="46" spans="1:37" s="211" customFormat="1" x14ac:dyDescent="0.3">
      <c r="A46" s="535"/>
      <c r="B46" s="535"/>
      <c r="C46" s="535"/>
      <c r="D46" s="535"/>
      <c r="E46" s="538"/>
      <c r="F46" s="535"/>
      <c r="G46" s="541"/>
      <c r="H46" s="541"/>
      <c r="I46" s="541"/>
      <c r="J46" s="221"/>
      <c r="K46" s="232"/>
      <c r="L46" s="201"/>
      <c r="M46" s="201"/>
      <c r="N46" s="201"/>
      <c r="O46" s="222"/>
      <c r="P46" s="212"/>
      <c r="Q46" s="222"/>
    </row>
    <row r="47" spans="1:37" s="211" customFormat="1" ht="15.6" x14ac:dyDescent="0.3">
      <c r="A47" s="535"/>
      <c r="B47" s="535"/>
      <c r="C47" s="535"/>
      <c r="D47" s="535"/>
      <c r="E47" s="535"/>
      <c r="F47" s="535"/>
      <c r="G47" s="535"/>
      <c r="H47" s="535"/>
      <c r="I47" s="535"/>
      <c r="J47" s="221"/>
      <c r="K47" s="232"/>
      <c r="L47" s="201"/>
      <c r="M47" s="201"/>
      <c r="N47" s="201"/>
      <c r="O47" s="222"/>
      <c r="P47" s="212"/>
      <c r="Q47" s="223"/>
      <c r="R47" s="222"/>
      <c r="S47" s="212"/>
      <c r="T47" s="221"/>
      <c r="U47" s="232"/>
      <c r="V47" s="201"/>
      <c r="W47" s="201"/>
      <c r="X47" s="201"/>
      <c r="Y47" s="201"/>
      <c r="Z47" s="201"/>
      <c r="AA47" s="201"/>
      <c r="AB47" s="201"/>
      <c r="AC47" s="201"/>
      <c r="AD47" s="201"/>
      <c r="AE47" s="212"/>
      <c r="AF47" s="225"/>
      <c r="AG47" s="225"/>
      <c r="AH47" s="201"/>
      <c r="AI47" s="201"/>
      <c r="AJ47" s="201"/>
      <c r="AK47" s="225"/>
    </row>
    <row r="48" spans="1:37" s="211" customFormat="1" ht="15.6" x14ac:dyDescent="0.3">
      <c r="A48" s="535"/>
      <c r="B48" s="535"/>
      <c r="C48" s="535"/>
      <c r="D48" s="535"/>
      <c r="E48" s="535"/>
      <c r="F48" s="535"/>
      <c r="G48" s="535"/>
      <c r="H48" s="535"/>
      <c r="I48" s="535"/>
      <c r="J48" s="221"/>
      <c r="K48" s="213" t="s">
        <v>37</v>
      </c>
      <c r="L48" s="201"/>
      <c r="M48" s="201"/>
      <c r="O48" s="212"/>
      <c r="P48" s="223"/>
      <c r="Q48" s="222"/>
      <c r="R48" s="212"/>
      <c r="S48" s="221"/>
      <c r="T48" s="232"/>
      <c r="U48" s="201"/>
      <c r="V48" s="201"/>
      <c r="W48" s="201"/>
      <c r="X48" s="201"/>
      <c r="Y48" s="201"/>
      <c r="Z48" s="201"/>
      <c r="AA48" s="201"/>
      <c r="AB48" s="201"/>
      <c r="AC48" s="201"/>
      <c r="AD48" s="212"/>
      <c r="AE48" s="225"/>
      <c r="AF48" s="225"/>
      <c r="AG48" s="201"/>
      <c r="AH48" s="201"/>
      <c r="AI48" s="201"/>
      <c r="AJ48" s="225"/>
    </row>
    <row r="49" spans="1:48" ht="38.4" customHeight="1" thickBot="1" x14ac:dyDescent="0.35">
      <c r="A49" s="694"/>
      <c r="B49" s="694"/>
      <c r="C49" s="694"/>
      <c r="D49" s="694"/>
      <c r="E49" s="694"/>
      <c r="F49" s="543"/>
      <c r="G49" s="543"/>
      <c r="H49" s="543"/>
      <c r="I49" s="543"/>
      <c r="K49" s="99" t="s">
        <v>38</v>
      </c>
      <c r="L49" s="99" t="s">
        <v>179</v>
      </c>
      <c r="M49" s="99" t="s">
        <v>175</v>
      </c>
      <c r="N49" s="99" t="s">
        <v>104</v>
      </c>
      <c r="O49" s="99" t="s">
        <v>43</v>
      </c>
      <c r="P49" s="99" t="s">
        <v>182</v>
      </c>
      <c r="Q49" s="99" t="s">
        <v>50</v>
      </c>
      <c r="R49" s="99" t="s">
        <v>457</v>
      </c>
      <c r="S49" s="99" t="s">
        <v>458</v>
      </c>
      <c r="T49" s="99" t="s">
        <v>460</v>
      </c>
      <c r="U49" s="99" t="s">
        <v>459</v>
      </c>
      <c r="V49" s="99" t="s">
        <v>461</v>
      </c>
      <c r="W49" s="99" t="s">
        <v>463</v>
      </c>
      <c r="X49" s="99" t="s">
        <v>464</v>
      </c>
      <c r="Y49" s="99" t="s">
        <v>465</v>
      </c>
      <c r="Z49" s="99" t="s">
        <v>1</v>
      </c>
      <c r="AA49" s="99" t="s">
        <v>2</v>
      </c>
      <c r="AB49" s="99" t="s">
        <v>707</v>
      </c>
      <c r="AC49" s="99" t="s">
        <v>3</v>
      </c>
      <c r="AD49" s="99" t="s">
        <v>467</v>
      </c>
      <c r="AE49" s="99" t="s">
        <v>468</v>
      </c>
      <c r="AF49" s="99" t="s">
        <v>469</v>
      </c>
      <c r="AG49" s="99" t="s">
        <v>708</v>
      </c>
      <c r="AH49" s="99" t="s">
        <v>470</v>
      </c>
      <c r="AI49" s="99" t="s">
        <v>5</v>
      </c>
      <c r="AJ49" s="99" t="s">
        <v>6</v>
      </c>
      <c r="AK49" s="99" t="s">
        <v>7</v>
      </c>
      <c r="AL49" s="99" t="s">
        <v>8</v>
      </c>
      <c r="AM49" s="99" t="s">
        <v>709</v>
      </c>
      <c r="AN49" s="99" t="s">
        <v>9</v>
      </c>
      <c r="AO49" s="99" t="s">
        <v>10</v>
      </c>
      <c r="AP49" s="99" t="s">
        <v>710</v>
      </c>
      <c r="AQ49" s="99" t="s">
        <v>11</v>
      </c>
      <c r="AR49" s="99" t="s">
        <v>711</v>
      </c>
      <c r="AS49" s="99" t="s">
        <v>13</v>
      </c>
    </row>
    <row r="50" spans="1:48" ht="27.75" customHeight="1" x14ac:dyDescent="0.3">
      <c r="K50" s="2" t="s">
        <v>183</v>
      </c>
      <c r="L50" s="2" t="s">
        <v>30</v>
      </c>
      <c r="M50" s="2" t="s">
        <v>184</v>
      </c>
      <c r="N50" s="2"/>
      <c r="O50" s="6"/>
      <c r="P50" s="6" t="s">
        <v>49</v>
      </c>
      <c r="Q50" s="2" t="s">
        <v>654</v>
      </c>
      <c r="R50" s="6" t="s">
        <v>477</v>
      </c>
      <c r="S50" s="6" t="s">
        <v>478</v>
      </c>
      <c r="T50" s="6" t="s">
        <v>480</v>
      </c>
      <c r="U50" s="6" t="s">
        <v>479</v>
      </c>
      <c r="V50" s="6" t="s">
        <v>481</v>
      </c>
      <c r="W50" s="6" t="s">
        <v>482</v>
      </c>
      <c r="X50" s="6" t="s">
        <v>483</v>
      </c>
      <c r="Y50" s="6" t="s">
        <v>484</v>
      </c>
      <c r="Z50" s="6" t="s">
        <v>90</v>
      </c>
      <c r="AA50" s="6" t="s">
        <v>91</v>
      </c>
      <c r="AB50" s="6" t="s">
        <v>715</v>
      </c>
      <c r="AC50" s="6" t="s">
        <v>716</v>
      </c>
      <c r="AD50" s="6" t="s">
        <v>485</v>
      </c>
      <c r="AE50" s="6" t="s">
        <v>486</v>
      </c>
      <c r="AF50" s="6" t="s">
        <v>487</v>
      </c>
      <c r="AG50" s="6" t="s">
        <v>717</v>
      </c>
      <c r="AH50" s="6" t="s">
        <v>488</v>
      </c>
      <c r="AI50" s="6" t="s">
        <v>718</v>
      </c>
      <c r="AJ50" s="6" t="s">
        <v>92</v>
      </c>
      <c r="AK50" s="6" t="s">
        <v>93</v>
      </c>
      <c r="AL50" s="6" t="s">
        <v>94</v>
      </c>
      <c r="AM50" s="6" t="s">
        <v>719</v>
      </c>
      <c r="AN50" s="6" t="s">
        <v>720</v>
      </c>
      <c r="AO50" s="6" t="s">
        <v>95</v>
      </c>
      <c r="AP50" s="6" t="s">
        <v>721</v>
      </c>
      <c r="AQ50" s="6" t="s">
        <v>722</v>
      </c>
      <c r="AR50" s="6" t="s">
        <v>769</v>
      </c>
      <c r="AS50" s="6" t="s">
        <v>489</v>
      </c>
    </row>
    <row r="51" spans="1:48" x14ac:dyDescent="0.3">
      <c r="K51" s="515" t="s">
        <v>668</v>
      </c>
      <c r="L51" s="516"/>
      <c r="M51" s="516"/>
      <c r="N51" s="516"/>
      <c r="O51" s="517"/>
      <c r="P51" s="517"/>
      <c r="Q51" s="517"/>
      <c r="R51" s="517"/>
      <c r="S51" s="517"/>
      <c r="T51" s="517"/>
      <c r="U51" s="517"/>
      <c r="V51" s="517"/>
      <c r="W51" s="517"/>
      <c r="X51" s="517"/>
      <c r="Y51" s="517"/>
      <c r="Z51" s="517"/>
      <c r="AA51" s="517"/>
      <c r="AB51" s="517"/>
      <c r="AC51" s="517"/>
      <c r="AD51" s="517"/>
      <c r="AE51" s="517"/>
      <c r="AF51" s="517"/>
      <c r="AG51" s="517"/>
      <c r="AH51" s="517"/>
      <c r="AI51" s="517"/>
      <c r="AJ51" s="517"/>
      <c r="AK51" s="517"/>
      <c r="AL51" s="517"/>
      <c r="AM51" s="517"/>
      <c r="AN51" s="517"/>
      <c r="AO51" s="206"/>
      <c r="AP51" s="206"/>
      <c r="AQ51" s="206"/>
      <c r="AR51" s="206"/>
      <c r="AS51" s="206"/>
    </row>
    <row r="52" spans="1:48" ht="15.6" x14ac:dyDescent="0.3">
      <c r="E52" s="538"/>
      <c r="G52" s="541"/>
      <c r="H52" s="541"/>
      <c r="I52" s="541"/>
      <c r="J52" s="221"/>
      <c r="K52" s="328" t="str">
        <f>IF('Key Inputs_New Techs'!B8="","",'Key Inputs_New Techs'!B8)</f>
        <v>S-TH-HPA_ELC01</v>
      </c>
      <c r="L52" s="531" t="str">
        <f>IF(K52="","",VLOOKUP(K52,'Commodities &amp; Processes'!$L$48:$M$87,2,FALSE))</f>
        <v>SRV Thermal uses technology: Electricity Heat Pump Air (Ord.) -New</v>
      </c>
      <c r="N52" s="201">
        <f>'Key Inputs_New Techs'!H8</f>
        <v>2020</v>
      </c>
      <c r="O52" s="212" t="s">
        <v>40</v>
      </c>
      <c r="P52" s="223" t="s">
        <v>154</v>
      </c>
      <c r="Q52" s="223"/>
      <c r="R52" s="286">
        <f>'Key Inputs_New Techs'!K8</f>
        <v>2.6656</v>
      </c>
      <c r="S52" s="286">
        <f>'Key Inputs_New Techs'!L8</f>
        <v>2.6656</v>
      </c>
      <c r="T52" s="286">
        <f>'Key Inputs_New Techs'!M8</f>
        <v>2.6656</v>
      </c>
      <c r="U52" s="286">
        <f>'Key Inputs_New Techs'!N8</f>
        <v>2.6656</v>
      </c>
      <c r="V52" s="286">
        <f>'Key Inputs_New Techs'!O8</f>
        <v>2.38</v>
      </c>
      <c r="W52" s="286">
        <f>'Key Inputs_New Techs'!P8</f>
        <v>1.9753999999999998</v>
      </c>
      <c r="X52" s="286">
        <f>'Key Inputs_New Techs'!Q8</f>
        <v>1.9753999999999998</v>
      </c>
      <c r="Y52" s="286">
        <f>'Key Inputs_New Techs'!R8</f>
        <v>2.38</v>
      </c>
      <c r="Z52" s="286">
        <f>'Key Inputs_New Techs'!S8</f>
        <v>2.6656</v>
      </c>
      <c r="AA52" s="286">
        <f>'Key Inputs_New Techs'!T8</f>
        <v>2.38</v>
      </c>
      <c r="AB52" s="286">
        <f>'Key Inputs_New Techs'!U8</f>
        <v>2.6656</v>
      </c>
      <c r="AC52" s="286">
        <f>'Key Inputs_New Techs'!V8</f>
        <v>1.9753999999999998</v>
      </c>
      <c r="AD52" s="286">
        <f>'Key Inputs_New Techs'!W8</f>
        <v>2.6656</v>
      </c>
      <c r="AE52" s="286">
        <f>'Key Inputs_New Techs'!X8</f>
        <v>2.6656</v>
      </c>
      <c r="AF52" s="286">
        <f>'Key Inputs_New Techs'!Y8</f>
        <v>2.6656</v>
      </c>
      <c r="AG52" s="286">
        <f>'Key Inputs_New Techs'!Z8</f>
        <v>1.9753999999999998</v>
      </c>
      <c r="AH52" s="286">
        <f>'Key Inputs_New Techs'!AA8</f>
        <v>1.9753999999999998</v>
      </c>
      <c r="AI52" s="286">
        <f>'Key Inputs_New Techs'!AB8</f>
        <v>1.9753999999999998</v>
      </c>
      <c r="AJ52" s="286">
        <f>'Key Inputs_New Techs'!AC8</f>
        <v>2.38</v>
      </c>
      <c r="AK52" s="286">
        <f>'Key Inputs_New Techs'!AD8</f>
        <v>2.38</v>
      </c>
      <c r="AL52" s="286">
        <f>'Key Inputs_New Techs'!AE8</f>
        <v>2.6656</v>
      </c>
      <c r="AM52" s="286">
        <f>'Key Inputs_New Techs'!AF8</f>
        <v>2.6656</v>
      </c>
      <c r="AN52" s="286">
        <f>'Key Inputs_New Techs'!AG8</f>
        <v>2.6656</v>
      </c>
      <c r="AO52" s="286">
        <f>'Key Inputs_New Techs'!AH8</f>
        <v>2.6656</v>
      </c>
      <c r="AP52" s="286">
        <f>'Key Inputs_New Techs'!AI8</f>
        <v>2.6656</v>
      </c>
      <c r="AQ52" s="286">
        <f>'Key Inputs_New Techs'!AJ8</f>
        <v>2.6656</v>
      </c>
      <c r="AR52" s="286">
        <f>'Key Inputs_New Techs'!AK8</f>
        <v>1.9753999999999998</v>
      </c>
      <c r="AS52" s="286">
        <f>'Key Inputs_New Techs'!AL8</f>
        <v>1.9753999999999998</v>
      </c>
      <c r="AT52" s="297"/>
      <c r="AU52" s="297"/>
      <c r="AV52" s="297"/>
    </row>
    <row r="53" spans="1:48" ht="15.6" x14ac:dyDescent="0.3">
      <c r="E53" s="538"/>
      <c r="G53" s="541"/>
      <c r="H53" s="541"/>
      <c r="I53" s="541"/>
      <c r="J53" s="221"/>
      <c r="K53" s="328" t="str">
        <f>IF('Key Inputs_New Techs'!B9="","",'Key Inputs_New Techs'!B9)</f>
        <v>S-TH-HPA_ELC02</v>
      </c>
      <c r="L53" s="530" t="str">
        <f>IF(K53="","",VLOOKUP(K53,'Commodities &amp; Processes'!$L$48:$M$87,2,FALSE))</f>
        <v>SRV Thermal uses technology: Electricity Heat Pump Air (Imp.) -New</v>
      </c>
      <c r="N53" s="201">
        <f>'Key Inputs_New Techs'!H9</f>
        <v>2025</v>
      </c>
      <c r="O53" s="212" t="s">
        <v>40</v>
      </c>
      <c r="P53" s="223" t="s">
        <v>154</v>
      </c>
      <c r="Q53" s="223"/>
      <c r="R53" s="286">
        <f>'Key Inputs_New Techs'!K9</f>
        <v>2.6656</v>
      </c>
      <c r="S53" s="286">
        <f>'Key Inputs_New Techs'!L9</f>
        <v>2.6656</v>
      </c>
      <c r="T53" s="286">
        <f>'Key Inputs_New Techs'!M9</f>
        <v>2.6656</v>
      </c>
      <c r="U53" s="286">
        <f>'Key Inputs_New Techs'!N9</f>
        <v>2.6656</v>
      </c>
      <c r="V53" s="286">
        <f>'Key Inputs_New Techs'!O9</f>
        <v>2.38</v>
      </c>
      <c r="W53" s="286">
        <f>'Key Inputs_New Techs'!P9</f>
        <v>1.9753999999999998</v>
      </c>
      <c r="X53" s="286">
        <f>'Key Inputs_New Techs'!Q9</f>
        <v>1.9753999999999998</v>
      </c>
      <c r="Y53" s="286">
        <f>'Key Inputs_New Techs'!R9</f>
        <v>2.38</v>
      </c>
      <c r="Z53" s="286">
        <f>'Key Inputs_New Techs'!S9</f>
        <v>2.6656</v>
      </c>
      <c r="AA53" s="286">
        <f>'Key Inputs_New Techs'!T9</f>
        <v>2.38</v>
      </c>
      <c r="AB53" s="286">
        <f>'Key Inputs_New Techs'!U9</f>
        <v>2.6656</v>
      </c>
      <c r="AC53" s="286">
        <f>'Key Inputs_New Techs'!V9</f>
        <v>1.9753999999999998</v>
      </c>
      <c r="AD53" s="286">
        <f>'Key Inputs_New Techs'!W9</f>
        <v>2.6656</v>
      </c>
      <c r="AE53" s="286">
        <f>'Key Inputs_New Techs'!X9</f>
        <v>2.6656</v>
      </c>
      <c r="AF53" s="286">
        <f>'Key Inputs_New Techs'!Y9</f>
        <v>2.6656</v>
      </c>
      <c r="AG53" s="286">
        <f>'Key Inputs_New Techs'!Z9</f>
        <v>1.9753999999999998</v>
      </c>
      <c r="AH53" s="286">
        <f>'Key Inputs_New Techs'!AA9</f>
        <v>1.9753999999999998</v>
      </c>
      <c r="AI53" s="286">
        <f>'Key Inputs_New Techs'!AB9</f>
        <v>1.9753999999999998</v>
      </c>
      <c r="AJ53" s="286">
        <f>'Key Inputs_New Techs'!AC9</f>
        <v>2.38</v>
      </c>
      <c r="AK53" s="286">
        <f>'Key Inputs_New Techs'!AD9</f>
        <v>2.38</v>
      </c>
      <c r="AL53" s="286">
        <f>'Key Inputs_New Techs'!AE9</f>
        <v>2.6656</v>
      </c>
      <c r="AM53" s="286">
        <f>'Key Inputs_New Techs'!AF9</f>
        <v>2.6656</v>
      </c>
      <c r="AN53" s="286">
        <f>'Key Inputs_New Techs'!AG9</f>
        <v>2.6656</v>
      </c>
      <c r="AO53" s="286">
        <f>'Key Inputs_New Techs'!AH9</f>
        <v>2.6656</v>
      </c>
      <c r="AP53" s="286">
        <f>'Key Inputs_New Techs'!AI9</f>
        <v>2.6656</v>
      </c>
      <c r="AQ53" s="286">
        <f>'Key Inputs_New Techs'!AJ9</f>
        <v>2.6656</v>
      </c>
      <c r="AR53" s="286">
        <f>'Key Inputs_New Techs'!AK9</f>
        <v>1.9753999999999998</v>
      </c>
      <c r="AS53" s="286">
        <f>'Key Inputs_New Techs'!AL9</f>
        <v>1.9753999999999998</v>
      </c>
      <c r="AT53" s="286"/>
      <c r="AU53" s="286"/>
      <c r="AV53" s="286"/>
    </row>
    <row r="54" spans="1:48" ht="15.6" x14ac:dyDescent="0.3">
      <c r="E54" s="538"/>
      <c r="G54" s="541"/>
      <c r="H54" s="541"/>
      <c r="I54" s="541"/>
      <c r="J54" s="221"/>
      <c r="K54" s="328" t="str">
        <f>IF('Key Inputs_New Techs'!B10="","",'Key Inputs_New Techs'!B10)</f>
        <v/>
      </c>
      <c r="L54" s="530" t="str">
        <f>IF(K54="","",VLOOKUP(K54,'Commodities &amp; Processes'!$L$48:$M$87,2,FALSE))</f>
        <v/>
      </c>
      <c r="N54" s="201">
        <f>'Key Inputs_New Techs'!H10</f>
        <v>2030</v>
      </c>
      <c r="O54" s="212" t="s">
        <v>40</v>
      </c>
      <c r="P54" s="223" t="s">
        <v>154</v>
      </c>
      <c r="Q54" s="223"/>
      <c r="R54" s="286">
        <f>'Key Inputs_New Techs'!K10</f>
        <v>3.3066214074015861</v>
      </c>
      <c r="S54" s="286">
        <f>'Key Inputs_New Techs'!L10</f>
        <v>3.3066214074015861</v>
      </c>
      <c r="T54" s="286">
        <f>'Key Inputs_New Techs'!M10</f>
        <v>3.3066214074015861</v>
      </c>
      <c r="U54" s="286">
        <f>'Key Inputs_New Techs'!N10</f>
        <v>3.3066214074015861</v>
      </c>
      <c r="V54" s="286">
        <f>'Key Inputs_New Techs'!O10</f>
        <v>2.9523405423228444</v>
      </c>
      <c r="W54" s="286">
        <f>'Key Inputs_New Techs'!P10</f>
        <v>2.4504426501279606</v>
      </c>
      <c r="X54" s="286">
        <f>'Key Inputs_New Techs'!Q10</f>
        <v>2.4504426501279606</v>
      </c>
      <c r="Y54" s="286">
        <f>'Key Inputs_New Techs'!R10</f>
        <v>2.9523405423228444</v>
      </c>
      <c r="Z54" s="286">
        <f>'Key Inputs_New Techs'!S10</f>
        <v>3.3066214074015861</v>
      </c>
      <c r="AA54" s="286">
        <f>'Key Inputs_New Techs'!T10</f>
        <v>2.9523405423228444</v>
      </c>
      <c r="AB54" s="286">
        <f>'Key Inputs_New Techs'!U10</f>
        <v>3.3066214074015861</v>
      </c>
      <c r="AC54" s="286">
        <f>'Key Inputs_New Techs'!V10</f>
        <v>2.4504426501279606</v>
      </c>
      <c r="AD54" s="286">
        <f>'Key Inputs_New Techs'!W10</f>
        <v>3.3066214074015861</v>
      </c>
      <c r="AE54" s="286">
        <f>'Key Inputs_New Techs'!X10</f>
        <v>3.3066214074015861</v>
      </c>
      <c r="AF54" s="286">
        <f>'Key Inputs_New Techs'!Y10</f>
        <v>3.3066214074015861</v>
      </c>
      <c r="AG54" s="286">
        <f>'Key Inputs_New Techs'!Z10</f>
        <v>2.4504426501279606</v>
      </c>
      <c r="AH54" s="286">
        <f>'Key Inputs_New Techs'!AA10</f>
        <v>2.4504426501279606</v>
      </c>
      <c r="AI54" s="286">
        <f>'Key Inputs_New Techs'!AB10</f>
        <v>2.4504426501279606</v>
      </c>
      <c r="AJ54" s="286">
        <f>'Key Inputs_New Techs'!AC10</f>
        <v>2.9523405423228444</v>
      </c>
      <c r="AK54" s="286">
        <f>'Key Inputs_New Techs'!AD10</f>
        <v>2.9523405423228444</v>
      </c>
      <c r="AL54" s="286">
        <f>'Key Inputs_New Techs'!AE10</f>
        <v>3.3066214074015861</v>
      </c>
      <c r="AM54" s="286">
        <f>'Key Inputs_New Techs'!AF10</f>
        <v>3.3066214074015861</v>
      </c>
      <c r="AN54" s="286">
        <f>'Key Inputs_New Techs'!AG10</f>
        <v>3.3066214074015861</v>
      </c>
      <c r="AO54" s="286">
        <f>'Key Inputs_New Techs'!AH10</f>
        <v>3.3066214074015861</v>
      </c>
      <c r="AP54" s="286">
        <f>'Key Inputs_New Techs'!AI10</f>
        <v>3.3066214074015861</v>
      </c>
      <c r="AQ54" s="286">
        <f>'Key Inputs_New Techs'!AJ10</f>
        <v>3.3066214074015861</v>
      </c>
      <c r="AR54" s="286">
        <f>'Key Inputs_New Techs'!AK10</f>
        <v>2.4504426501279606</v>
      </c>
      <c r="AS54" s="286">
        <f>'Key Inputs_New Techs'!AL10</f>
        <v>2.4504426501279606</v>
      </c>
      <c r="AT54" s="286"/>
      <c r="AU54" s="286"/>
      <c r="AV54" s="286"/>
    </row>
    <row r="55" spans="1:48" ht="15.6" x14ac:dyDescent="0.3">
      <c r="E55" s="538"/>
      <c r="G55" s="541"/>
      <c r="H55" s="541"/>
      <c r="I55" s="541"/>
      <c r="J55" s="221"/>
      <c r="K55" s="328" t="str">
        <f>IF('Key Inputs_New Techs'!B11="","",'Key Inputs_New Techs'!B11)</f>
        <v/>
      </c>
      <c r="L55" s="530" t="str">
        <f>IF(K55="","",VLOOKUP(K55,'Commodities &amp; Processes'!$L$48:$M$87,2,FALSE))</f>
        <v/>
      </c>
      <c r="N55" s="201">
        <f>'Key Inputs_New Techs'!H11</f>
        <v>2050</v>
      </c>
      <c r="O55" s="212" t="s">
        <v>40</v>
      </c>
      <c r="P55" s="223" t="s">
        <v>154</v>
      </c>
      <c r="Q55" s="223"/>
      <c r="R55" s="286">
        <f>'Key Inputs_New Techs'!K11</f>
        <v>4.2039573283693024</v>
      </c>
      <c r="S55" s="286">
        <f>'Key Inputs_New Techs'!L11</f>
        <v>4.2039573283693024</v>
      </c>
      <c r="T55" s="286">
        <f>'Key Inputs_New Techs'!M11</f>
        <v>4.2039573283693024</v>
      </c>
      <c r="U55" s="286">
        <f>'Key Inputs_New Techs'!N11</f>
        <v>4.2039573283693024</v>
      </c>
      <c r="V55" s="286">
        <f>'Key Inputs_New Techs'!O11</f>
        <v>3.7535333289011628</v>
      </c>
      <c r="W55" s="286">
        <f>'Key Inputs_New Techs'!P11</f>
        <v>3.1154326629879647</v>
      </c>
      <c r="X55" s="286">
        <f>'Key Inputs_New Techs'!Q11</f>
        <v>3.1154326629879647</v>
      </c>
      <c r="Y55" s="286">
        <f>'Key Inputs_New Techs'!R11</f>
        <v>3.7535333289011628</v>
      </c>
      <c r="Z55" s="286">
        <f>'Key Inputs_New Techs'!S11</f>
        <v>4.2039573283693024</v>
      </c>
      <c r="AA55" s="286">
        <f>'Key Inputs_New Techs'!T11</f>
        <v>3.7535333289011628</v>
      </c>
      <c r="AB55" s="286">
        <f>'Key Inputs_New Techs'!U11</f>
        <v>4.2039573283693024</v>
      </c>
      <c r="AC55" s="286">
        <f>'Key Inputs_New Techs'!V11</f>
        <v>3.1154326629879647</v>
      </c>
      <c r="AD55" s="286">
        <f>'Key Inputs_New Techs'!W11</f>
        <v>4.2039573283693024</v>
      </c>
      <c r="AE55" s="286">
        <f>'Key Inputs_New Techs'!X11</f>
        <v>4.2039573283693024</v>
      </c>
      <c r="AF55" s="286">
        <f>'Key Inputs_New Techs'!Y11</f>
        <v>4.2039573283693024</v>
      </c>
      <c r="AG55" s="286">
        <f>'Key Inputs_New Techs'!Z11</f>
        <v>3.1154326629879647</v>
      </c>
      <c r="AH55" s="286">
        <f>'Key Inputs_New Techs'!AA11</f>
        <v>3.1154326629879647</v>
      </c>
      <c r="AI55" s="286">
        <f>'Key Inputs_New Techs'!AB11</f>
        <v>3.1154326629879647</v>
      </c>
      <c r="AJ55" s="286">
        <f>'Key Inputs_New Techs'!AC11</f>
        <v>3.7535333289011628</v>
      </c>
      <c r="AK55" s="286">
        <f>'Key Inputs_New Techs'!AD11</f>
        <v>3.7535333289011628</v>
      </c>
      <c r="AL55" s="286">
        <f>'Key Inputs_New Techs'!AE11</f>
        <v>4.2039573283693024</v>
      </c>
      <c r="AM55" s="286">
        <f>'Key Inputs_New Techs'!AF11</f>
        <v>4.2039573283693024</v>
      </c>
      <c r="AN55" s="286">
        <f>'Key Inputs_New Techs'!AG11</f>
        <v>4.2039573283693024</v>
      </c>
      <c r="AO55" s="286">
        <f>'Key Inputs_New Techs'!AH11</f>
        <v>4.2039573283693024</v>
      </c>
      <c r="AP55" s="286">
        <f>'Key Inputs_New Techs'!AI11</f>
        <v>4.2039573283693024</v>
      </c>
      <c r="AQ55" s="286">
        <f>'Key Inputs_New Techs'!AJ11</f>
        <v>4.2039573283693024</v>
      </c>
      <c r="AR55" s="286">
        <f>'Key Inputs_New Techs'!AK11</f>
        <v>3.1154326629879647</v>
      </c>
      <c r="AS55" s="286">
        <f>'Key Inputs_New Techs'!AL11</f>
        <v>3.1154326629879647</v>
      </c>
      <c r="AT55" s="286"/>
      <c r="AU55" s="286"/>
      <c r="AV55" s="286"/>
    </row>
    <row r="56" spans="1:48" ht="15.6" x14ac:dyDescent="0.3">
      <c r="E56" s="538"/>
      <c r="G56" s="541"/>
      <c r="H56" s="541"/>
      <c r="I56" s="541"/>
      <c r="J56" s="221"/>
      <c r="K56" s="328" t="str">
        <f>IF('Key Inputs_New Techs'!B12="","",'Key Inputs_New Techs'!B12)</f>
        <v>S-TH-HPA_ELC03</v>
      </c>
      <c r="L56" s="530" t="str">
        <f>IF(K56="","",VLOOKUP(K56,'Commodities &amp; Processes'!$L$48:$M$87,2,FALSE))</f>
        <v>SRV Thermal uses technology: Electricity Heat Pump Air (Adv.) -New</v>
      </c>
      <c r="N56" s="201">
        <f>'Key Inputs_New Techs'!H12</f>
        <v>2030</v>
      </c>
      <c r="O56" s="212" t="s">
        <v>40</v>
      </c>
      <c r="P56" s="223" t="s">
        <v>154</v>
      </c>
      <c r="Q56" s="223"/>
      <c r="R56" s="286">
        <f>'Key Inputs_New Techs'!K12</f>
        <v>3.5985628885383445</v>
      </c>
      <c r="S56" s="286">
        <f>'Key Inputs_New Techs'!L12</f>
        <v>3.5985628885383445</v>
      </c>
      <c r="T56" s="286">
        <f>'Key Inputs_New Techs'!M12</f>
        <v>3.5985628885383445</v>
      </c>
      <c r="U56" s="286">
        <f>'Key Inputs_New Techs'!N12</f>
        <v>3.5985628885383445</v>
      </c>
      <c r="V56" s="286">
        <f>'Key Inputs_New Techs'!O12</f>
        <v>3.2130025790520929</v>
      </c>
      <c r="W56" s="286">
        <f>'Key Inputs_New Techs'!P12</f>
        <v>2.6667921406132371</v>
      </c>
      <c r="X56" s="286">
        <f>'Key Inputs_New Techs'!Q12</f>
        <v>2.6667921406132371</v>
      </c>
      <c r="Y56" s="286">
        <f>'Key Inputs_New Techs'!R12</f>
        <v>3.2130025790520929</v>
      </c>
      <c r="Z56" s="286">
        <f>'Key Inputs_New Techs'!S12</f>
        <v>3.5985628885383445</v>
      </c>
      <c r="AA56" s="286">
        <f>'Key Inputs_New Techs'!T12</f>
        <v>3.2130025790520929</v>
      </c>
      <c r="AB56" s="286">
        <f>'Key Inputs_New Techs'!U12</f>
        <v>3.5985628885383445</v>
      </c>
      <c r="AC56" s="286">
        <f>'Key Inputs_New Techs'!V12</f>
        <v>2.6667921406132371</v>
      </c>
      <c r="AD56" s="286">
        <f>'Key Inputs_New Techs'!W12</f>
        <v>3.5985628885383445</v>
      </c>
      <c r="AE56" s="286">
        <f>'Key Inputs_New Techs'!X12</f>
        <v>3.5985628885383445</v>
      </c>
      <c r="AF56" s="286">
        <f>'Key Inputs_New Techs'!Y12</f>
        <v>3.5985628885383445</v>
      </c>
      <c r="AG56" s="286">
        <f>'Key Inputs_New Techs'!Z12</f>
        <v>2.6667921406132371</v>
      </c>
      <c r="AH56" s="286">
        <f>'Key Inputs_New Techs'!AA12</f>
        <v>2.6667921406132371</v>
      </c>
      <c r="AI56" s="286">
        <f>'Key Inputs_New Techs'!AB12</f>
        <v>2.6667921406132371</v>
      </c>
      <c r="AJ56" s="286">
        <f>'Key Inputs_New Techs'!AC12</f>
        <v>3.2130025790520929</v>
      </c>
      <c r="AK56" s="286">
        <f>'Key Inputs_New Techs'!AD12</f>
        <v>3.2130025790520929</v>
      </c>
      <c r="AL56" s="286">
        <f>'Key Inputs_New Techs'!AE12</f>
        <v>3.5985628885383445</v>
      </c>
      <c r="AM56" s="286">
        <f>'Key Inputs_New Techs'!AF12</f>
        <v>3.5985628885383445</v>
      </c>
      <c r="AN56" s="286">
        <f>'Key Inputs_New Techs'!AG12</f>
        <v>3.5985628885383445</v>
      </c>
      <c r="AO56" s="286">
        <f>'Key Inputs_New Techs'!AH12</f>
        <v>3.5985628885383445</v>
      </c>
      <c r="AP56" s="286">
        <f>'Key Inputs_New Techs'!AI12</f>
        <v>3.5985628885383445</v>
      </c>
      <c r="AQ56" s="286">
        <f>'Key Inputs_New Techs'!AJ12</f>
        <v>3.5985628885383445</v>
      </c>
      <c r="AR56" s="286">
        <f>'Key Inputs_New Techs'!AK12</f>
        <v>2.6667921406132371</v>
      </c>
      <c r="AS56" s="286">
        <f>'Key Inputs_New Techs'!AL12</f>
        <v>2.6667921406132371</v>
      </c>
      <c r="AT56" s="286"/>
      <c r="AU56" s="286"/>
      <c r="AV56" s="286"/>
    </row>
    <row r="57" spans="1:48" ht="15.6" x14ac:dyDescent="0.3">
      <c r="E57" s="538"/>
      <c r="G57" s="541"/>
      <c r="H57" s="541"/>
      <c r="I57" s="541"/>
      <c r="J57" s="221"/>
      <c r="K57" s="328" t="str">
        <f>IF('Key Inputs_New Techs'!B13="","",'Key Inputs_New Techs'!B13)</f>
        <v/>
      </c>
      <c r="L57" s="530" t="str">
        <f>IF(K57="","",VLOOKUP(K57,'Commodities &amp; Processes'!$L$48:$M$87,2,FALSE))</f>
        <v/>
      </c>
      <c r="N57" s="201">
        <f>'Key Inputs_New Techs'!H13</f>
        <v>2050</v>
      </c>
      <c r="O57" s="212" t="s">
        <v>40</v>
      </c>
      <c r="P57" s="223" t="s">
        <v>154</v>
      </c>
      <c r="Q57" s="223"/>
      <c r="R57" s="286">
        <f>'Key Inputs_New Techs'!K13</f>
        <v>4.9169091559874891</v>
      </c>
      <c r="S57" s="286">
        <f>'Key Inputs_New Techs'!L13</f>
        <v>4.9169091559874891</v>
      </c>
      <c r="T57" s="286">
        <f>'Key Inputs_New Techs'!M13</f>
        <v>4.9169091559874891</v>
      </c>
      <c r="U57" s="286">
        <f>'Key Inputs_New Techs'!N13</f>
        <v>4.9169091559874891</v>
      </c>
      <c r="V57" s="286">
        <f>'Key Inputs_New Techs'!O13</f>
        <v>4.3900974607031147</v>
      </c>
      <c r="W57" s="286">
        <f>'Key Inputs_New Techs'!P13</f>
        <v>3.6437808923835848</v>
      </c>
      <c r="X57" s="286">
        <f>'Key Inputs_New Techs'!Q13</f>
        <v>3.6437808923835848</v>
      </c>
      <c r="Y57" s="286">
        <f>'Key Inputs_New Techs'!R13</f>
        <v>4.3900974607031147</v>
      </c>
      <c r="Z57" s="286">
        <f>'Key Inputs_New Techs'!S13</f>
        <v>4.9169091559874891</v>
      </c>
      <c r="AA57" s="286">
        <f>'Key Inputs_New Techs'!T13</f>
        <v>4.3900974607031147</v>
      </c>
      <c r="AB57" s="286">
        <f>'Key Inputs_New Techs'!U13</f>
        <v>4.9169091559874891</v>
      </c>
      <c r="AC57" s="286">
        <f>'Key Inputs_New Techs'!V13</f>
        <v>3.6437808923835848</v>
      </c>
      <c r="AD57" s="286">
        <f>'Key Inputs_New Techs'!W13</f>
        <v>4.9169091559874891</v>
      </c>
      <c r="AE57" s="286">
        <f>'Key Inputs_New Techs'!X13</f>
        <v>4.9169091559874891</v>
      </c>
      <c r="AF57" s="286">
        <f>'Key Inputs_New Techs'!Y13</f>
        <v>4.9169091559874891</v>
      </c>
      <c r="AG57" s="286">
        <f>'Key Inputs_New Techs'!Z13</f>
        <v>3.6437808923835848</v>
      </c>
      <c r="AH57" s="286">
        <f>'Key Inputs_New Techs'!AA13</f>
        <v>3.6437808923835848</v>
      </c>
      <c r="AI57" s="286">
        <f>'Key Inputs_New Techs'!AB13</f>
        <v>3.6437808923835848</v>
      </c>
      <c r="AJ57" s="286">
        <f>'Key Inputs_New Techs'!AC13</f>
        <v>4.3900974607031147</v>
      </c>
      <c r="AK57" s="286">
        <f>'Key Inputs_New Techs'!AD13</f>
        <v>4.3900974607031147</v>
      </c>
      <c r="AL57" s="286">
        <f>'Key Inputs_New Techs'!AE13</f>
        <v>4.9169091559874891</v>
      </c>
      <c r="AM57" s="286">
        <f>'Key Inputs_New Techs'!AF13</f>
        <v>4.9169091559874891</v>
      </c>
      <c r="AN57" s="286">
        <f>'Key Inputs_New Techs'!AG13</f>
        <v>4.9169091559874891</v>
      </c>
      <c r="AO57" s="286">
        <f>'Key Inputs_New Techs'!AH13</f>
        <v>4.9169091559874891</v>
      </c>
      <c r="AP57" s="286">
        <f>'Key Inputs_New Techs'!AI13</f>
        <v>4.9169091559874891</v>
      </c>
      <c r="AQ57" s="286">
        <f>'Key Inputs_New Techs'!AJ13</f>
        <v>4.9169091559874891</v>
      </c>
      <c r="AR57" s="286">
        <f>'Key Inputs_New Techs'!AK13</f>
        <v>3.6437808923835848</v>
      </c>
      <c r="AS57" s="286">
        <f>'Key Inputs_New Techs'!AL13</f>
        <v>3.6437808923835848</v>
      </c>
      <c r="AT57" s="286"/>
      <c r="AU57" s="286"/>
      <c r="AV57" s="286"/>
    </row>
    <row r="58" spans="1:48" ht="15.6" x14ac:dyDescent="0.3">
      <c r="E58" s="538"/>
      <c r="G58" s="541"/>
      <c r="H58" s="541"/>
      <c r="I58" s="541"/>
      <c r="J58" s="221"/>
      <c r="K58" s="328" t="str">
        <f>IF('Key Inputs_New Techs'!B14="","",'Key Inputs_New Techs'!B14)</f>
        <v>S-TH-HPA_ELC04</v>
      </c>
      <c r="L58" s="530" t="str">
        <f>IF(K58="","",VLOOKUP(K58,'Commodities &amp; Processes'!$L$48:$M$87,2,FALSE))</f>
        <v>SRV Thermal uses technology: Electricity Heat Pump Wat. (Ord.) -New</v>
      </c>
      <c r="N58" s="201">
        <f>'Key Inputs_New Techs'!H14</f>
        <v>2020</v>
      </c>
      <c r="O58" s="212" t="s">
        <v>40</v>
      </c>
      <c r="P58" s="223" t="s">
        <v>154</v>
      </c>
      <c r="Q58" s="223"/>
      <c r="R58" s="286">
        <f>'Key Inputs_New Techs'!K14</f>
        <v>3.6960000000000002</v>
      </c>
      <c r="S58" s="286">
        <f>'Key Inputs_New Techs'!L14</f>
        <v>3.6960000000000002</v>
      </c>
      <c r="T58" s="286">
        <f>'Key Inputs_New Techs'!M14</f>
        <v>3.6960000000000002</v>
      </c>
      <c r="U58" s="286">
        <f>'Key Inputs_New Techs'!N14</f>
        <v>3.6960000000000002</v>
      </c>
      <c r="V58" s="286">
        <f>'Key Inputs_New Techs'!O14</f>
        <v>3.3</v>
      </c>
      <c r="W58" s="286">
        <f>'Key Inputs_New Techs'!P14</f>
        <v>2.7389999999999999</v>
      </c>
      <c r="X58" s="286">
        <f>'Key Inputs_New Techs'!Q14</f>
        <v>2.7389999999999999</v>
      </c>
      <c r="Y58" s="286">
        <f>'Key Inputs_New Techs'!R14</f>
        <v>3.3</v>
      </c>
      <c r="Z58" s="286">
        <f>'Key Inputs_New Techs'!S14</f>
        <v>3.6960000000000002</v>
      </c>
      <c r="AA58" s="286">
        <f>'Key Inputs_New Techs'!T14</f>
        <v>3.3</v>
      </c>
      <c r="AB58" s="286">
        <f>'Key Inputs_New Techs'!U14</f>
        <v>3.6960000000000002</v>
      </c>
      <c r="AC58" s="286">
        <f>'Key Inputs_New Techs'!V14</f>
        <v>2.7389999999999999</v>
      </c>
      <c r="AD58" s="286">
        <f>'Key Inputs_New Techs'!W14</f>
        <v>3.6960000000000002</v>
      </c>
      <c r="AE58" s="286">
        <f>'Key Inputs_New Techs'!X14</f>
        <v>3.6960000000000002</v>
      </c>
      <c r="AF58" s="286">
        <f>'Key Inputs_New Techs'!Y14</f>
        <v>3.6960000000000002</v>
      </c>
      <c r="AG58" s="286">
        <f>'Key Inputs_New Techs'!Z14</f>
        <v>2.7389999999999999</v>
      </c>
      <c r="AH58" s="286">
        <f>'Key Inputs_New Techs'!AA14</f>
        <v>2.7389999999999999</v>
      </c>
      <c r="AI58" s="286">
        <f>'Key Inputs_New Techs'!AB14</f>
        <v>2.7389999999999999</v>
      </c>
      <c r="AJ58" s="286">
        <f>'Key Inputs_New Techs'!AC14</f>
        <v>3.3</v>
      </c>
      <c r="AK58" s="286">
        <f>'Key Inputs_New Techs'!AD14</f>
        <v>3.3</v>
      </c>
      <c r="AL58" s="286">
        <f>'Key Inputs_New Techs'!AE14</f>
        <v>3.6960000000000002</v>
      </c>
      <c r="AM58" s="286">
        <f>'Key Inputs_New Techs'!AF14</f>
        <v>3.6960000000000002</v>
      </c>
      <c r="AN58" s="286">
        <f>'Key Inputs_New Techs'!AG14</f>
        <v>3.6960000000000002</v>
      </c>
      <c r="AO58" s="286">
        <f>'Key Inputs_New Techs'!AH14</f>
        <v>3.6960000000000002</v>
      </c>
      <c r="AP58" s="286">
        <f>'Key Inputs_New Techs'!AI14</f>
        <v>3.6960000000000002</v>
      </c>
      <c r="AQ58" s="286">
        <f>'Key Inputs_New Techs'!AJ14</f>
        <v>3.6960000000000002</v>
      </c>
      <c r="AR58" s="286">
        <f>'Key Inputs_New Techs'!AK14</f>
        <v>2.7389999999999999</v>
      </c>
      <c r="AS58" s="286">
        <f>'Key Inputs_New Techs'!AL14</f>
        <v>2.7389999999999999</v>
      </c>
      <c r="AT58" s="286"/>
      <c r="AU58" s="286"/>
      <c r="AV58" s="286"/>
    </row>
    <row r="59" spans="1:48" ht="15.6" x14ac:dyDescent="0.3">
      <c r="E59" s="538"/>
      <c r="G59" s="541"/>
      <c r="H59" s="541"/>
      <c r="I59" s="541"/>
      <c r="J59" s="221"/>
      <c r="K59" s="328" t="str">
        <f>IF('Key Inputs_New Techs'!B15="","",'Key Inputs_New Techs'!B15)</f>
        <v>S-TH-HPA_ELC05</v>
      </c>
      <c r="L59" s="530" t="str">
        <f>IF(K59="","",VLOOKUP(K59,'Commodities &amp; Processes'!$L$48:$M$87,2,FALSE))</f>
        <v>SRV Thermal uses technology: Electricity Heat Pump Wat. (Imp.) -New</v>
      </c>
      <c r="N59" s="201">
        <f>'Key Inputs_New Techs'!H15</f>
        <v>2025</v>
      </c>
      <c r="O59" s="212" t="s">
        <v>40</v>
      </c>
      <c r="P59" s="223" t="s">
        <v>154</v>
      </c>
      <c r="Q59" s="223"/>
      <c r="R59" s="286">
        <f>'Key Inputs_New Techs'!K15</f>
        <v>3.6960000000000002</v>
      </c>
      <c r="S59" s="286">
        <f>'Key Inputs_New Techs'!L15</f>
        <v>3.6960000000000002</v>
      </c>
      <c r="T59" s="286">
        <f>'Key Inputs_New Techs'!M15</f>
        <v>3.6960000000000002</v>
      </c>
      <c r="U59" s="286">
        <f>'Key Inputs_New Techs'!N15</f>
        <v>3.6960000000000002</v>
      </c>
      <c r="V59" s="286">
        <f>'Key Inputs_New Techs'!O15</f>
        <v>3.3</v>
      </c>
      <c r="W59" s="286">
        <f>'Key Inputs_New Techs'!P15</f>
        <v>2.7389999999999999</v>
      </c>
      <c r="X59" s="286">
        <f>'Key Inputs_New Techs'!Q15</f>
        <v>2.7389999999999999</v>
      </c>
      <c r="Y59" s="286">
        <f>'Key Inputs_New Techs'!R15</f>
        <v>3.3</v>
      </c>
      <c r="Z59" s="286">
        <f>'Key Inputs_New Techs'!S15</f>
        <v>3.6960000000000002</v>
      </c>
      <c r="AA59" s="286">
        <f>'Key Inputs_New Techs'!T15</f>
        <v>3.3</v>
      </c>
      <c r="AB59" s="286">
        <f>'Key Inputs_New Techs'!U15</f>
        <v>3.6960000000000002</v>
      </c>
      <c r="AC59" s="286">
        <f>'Key Inputs_New Techs'!V15</f>
        <v>2.7389999999999999</v>
      </c>
      <c r="AD59" s="286">
        <f>'Key Inputs_New Techs'!W15</f>
        <v>3.6960000000000002</v>
      </c>
      <c r="AE59" s="286">
        <f>'Key Inputs_New Techs'!X15</f>
        <v>3.6960000000000002</v>
      </c>
      <c r="AF59" s="286">
        <f>'Key Inputs_New Techs'!Y15</f>
        <v>3.6960000000000002</v>
      </c>
      <c r="AG59" s="286">
        <f>'Key Inputs_New Techs'!Z15</f>
        <v>2.7389999999999999</v>
      </c>
      <c r="AH59" s="286">
        <f>'Key Inputs_New Techs'!AA15</f>
        <v>2.7389999999999999</v>
      </c>
      <c r="AI59" s="286">
        <f>'Key Inputs_New Techs'!AB15</f>
        <v>2.7389999999999999</v>
      </c>
      <c r="AJ59" s="286">
        <f>'Key Inputs_New Techs'!AC15</f>
        <v>3.3</v>
      </c>
      <c r="AK59" s="286">
        <f>'Key Inputs_New Techs'!AD15</f>
        <v>3.3</v>
      </c>
      <c r="AL59" s="286">
        <f>'Key Inputs_New Techs'!AE15</f>
        <v>3.6960000000000002</v>
      </c>
      <c r="AM59" s="286">
        <f>'Key Inputs_New Techs'!AF15</f>
        <v>3.6960000000000002</v>
      </c>
      <c r="AN59" s="286">
        <f>'Key Inputs_New Techs'!AG15</f>
        <v>3.6960000000000002</v>
      </c>
      <c r="AO59" s="286">
        <f>'Key Inputs_New Techs'!AH15</f>
        <v>3.6960000000000002</v>
      </c>
      <c r="AP59" s="286">
        <f>'Key Inputs_New Techs'!AI15</f>
        <v>3.6960000000000002</v>
      </c>
      <c r="AQ59" s="286">
        <f>'Key Inputs_New Techs'!AJ15</f>
        <v>3.6960000000000002</v>
      </c>
      <c r="AR59" s="286">
        <f>'Key Inputs_New Techs'!AK15</f>
        <v>2.7389999999999999</v>
      </c>
      <c r="AS59" s="286">
        <f>'Key Inputs_New Techs'!AL15</f>
        <v>2.7389999999999999</v>
      </c>
      <c r="AT59" s="286"/>
      <c r="AU59" s="286"/>
      <c r="AV59" s="286"/>
    </row>
    <row r="60" spans="1:48" ht="15.6" x14ac:dyDescent="0.3">
      <c r="E60" s="538"/>
      <c r="G60" s="541"/>
      <c r="H60" s="541"/>
      <c r="I60" s="541"/>
      <c r="J60" s="221"/>
      <c r="K60" s="328" t="str">
        <f>IF('Key Inputs_New Techs'!B16="","",'Key Inputs_New Techs'!B16)</f>
        <v/>
      </c>
      <c r="L60" s="530" t="str">
        <f>IF(K60="","",VLOOKUP(K60,'Commodities &amp; Processes'!$L$48:$M$87,2,FALSE))</f>
        <v/>
      </c>
      <c r="N60" s="201">
        <f>'Key Inputs_New Techs'!H16</f>
        <v>2030</v>
      </c>
      <c r="O60" s="212" t="s">
        <v>40</v>
      </c>
      <c r="P60" s="223" t="s">
        <v>154</v>
      </c>
      <c r="Q60" s="223"/>
      <c r="R60" s="286">
        <f>'Key Inputs_New Techs'!K16</f>
        <v>4.5887261538461548</v>
      </c>
      <c r="S60" s="286">
        <f>'Key Inputs_New Techs'!L16</f>
        <v>4.5887261538461548</v>
      </c>
      <c r="T60" s="286">
        <f>'Key Inputs_New Techs'!M16</f>
        <v>4.5887261538461548</v>
      </c>
      <c r="U60" s="286">
        <f>'Key Inputs_New Techs'!N16</f>
        <v>4.5887261538461548</v>
      </c>
      <c r="V60" s="286">
        <f>'Key Inputs_New Techs'!O16</f>
        <v>4.0970769230769237</v>
      </c>
      <c r="W60" s="286">
        <f>'Key Inputs_New Techs'!P16</f>
        <v>3.4005738461538466</v>
      </c>
      <c r="X60" s="286">
        <f>'Key Inputs_New Techs'!Q16</f>
        <v>3.4005738461538466</v>
      </c>
      <c r="Y60" s="286">
        <f>'Key Inputs_New Techs'!R16</f>
        <v>4.0970769230769237</v>
      </c>
      <c r="Z60" s="286">
        <f>'Key Inputs_New Techs'!S16</f>
        <v>4.5887261538461548</v>
      </c>
      <c r="AA60" s="286">
        <f>'Key Inputs_New Techs'!T16</f>
        <v>4.0970769230769237</v>
      </c>
      <c r="AB60" s="286">
        <f>'Key Inputs_New Techs'!U16</f>
        <v>4.5887261538461548</v>
      </c>
      <c r="AC60" s="286">
        <f>'Key Inputs_New Techs'!V16</f>
        <v>3.4005738461538466</v>
      </c>
      <c r="AD60" s="286">
        <f>'Key Inputs_New Techs'!W16</f>
        <v>4.5887261538461548</v>
      </c>
      <c r="AE60" s="286">
        <f>'Key Inputs_New Techs'!X16</f>
        <v>4.5887261538461548</v>
      </c>
      <c r="AF60" s="286">
        <f>'Key Inputs_New Techs'!Y16</f>
        <v>4.5887261538461548</v>
      </c>
      <c r="AG60" s="286">
        <f>'Key Inputs_New Techs'!Z16</f>
        <v>3.4005738461538466</v>
      </c>
      <c r="AH60" s="286">
        <f>'Key Inputs_New Techs'!AA16</f>
        <v>3.4005738461538466</v>
      </c>
      <c r="AI60" s="286">
        <f>'Key Inputs_New Techs'!AB16</f>
        <v>3.4005738461538466</v>
      </c>
      <c r="AJ60" s="286">
        <f>'Key Inputs_New Techs'!AC16</f>
        <v>4.0970769230769237</v>
      </c>
      <c r="AK60" s="286">
        <f>'Key Inputs_New Techs'!AD16</f>
        <v>4.0970769230769237</v>
      </c>
      <c r="AL60" s="286">
        <f>'Key Inputs_New Techs'!AE16</f>
        <v>4.5887261538461548</v>
      </c>
      <c r="AM60" s="286">
        <f>'Key Inputs_New Techs'!AF16</f>
        <v>4.5887261538461548</v>
      </c>
      <c r="AN60" s="286">
        <f>'Key Inputs_New Techs'!AG16</f>
        <v>4.5887261538461548</v>
      </c>
      <c r="AO60" s="286">
        <f>'Key Inputs_New Techs'!AH16</f>
        <v>4.5887261538461548</v>
      </c>
      <c r="AP60" s="286">
        <f>'Key Inputs_New Techs'!AI16</f>
        <v>4.5887261538461548</v>
      </c>
      <c r="AQ60" s="286">
        <f>'Key Inputs_New Techs'!AJ16</f>
        <v>4.5887261538461548</v>
      </c>
      <c r="AR60" s="286">
        <f>'Key Inputs_New Techs'!AK16</f>
        <v>3.4005738461538466</v>
      </c>
      <c r="AS60" s="286">
        <f>'Key Inputs_New Techs'!AL16</f>
        <v>3.4005738461538466</v>
      </c>
      <c r="AT60" s="286"/>
      <c r="AU60" s="286"/>
      <c r="AV60" s="286"/>
    </row>
    <row r="61" spans="1:48" ht="15.6" x14ac:dyDescent="0.3">
      <c r="E61" s="538"/>
      <c r="G61" s="541"/>
      <c r="H61" s="541"/>
      <c r="I61" s="541"/>
      <c r="J61" s="221"/>
      <c r="K61" s="328" t="str">
        <f>IF('Key Inputs_New Techs'!B17="","",'Key Inputs_New Techs'!B17)</f>
        <v/>
      </c>
      <c r="L61" s="530" t="str">
        <f>IF(K61="","",VLOOKUP(K61,'Commodities &amp; Processes'!$L$48:$M$87,2,FALSE))</f>
        <v/>
      </c>
      <c r="N61" s="201">
        <f>'Key Inputs_New Techs'!H17</f>
        <v>2050</v>
      </c>
      <c r="O61" s="212" t="s">
        <v>40</v>
      </c>
      <c r="P61" s="223" t="s">
        <v>154</v>
      </c>
      <c r="Q61" s="223"/>
      <c r="R61" s="286">
        <f>'Key Inputs_New Techs'!K17</f>
        <v>5.5776000000000012</v>
      </c>
      <c r="S61" s="286">
        <f>'Key Inputs_New Techs'!L17</f>
        <v>5.5776000000000012</v>
      </c>
      <c r="T61" s="286">
        <f>'Key Inputs_New Techs'!M17</f>
        <v>5.5776000000000012</v>
      </c>
      <c r="U61" s="286">
        <f>'Key Inputs_New Techs'!N17</f>
        <v>5.5776000000000012</v>
      </c>
      <c r="V61" s="286">
        <f>'Key Inputs_New Techs'!O17</f>
        <v>4.9800000000000004</v>
      </c>
      <c r="W61" s="286">
        <f>'Key Inputs_New Techs'!P17</f>
        <v>4.1334</v>
      </c>
      <c r="X61" s="286">
        <f>'Key Inputs_New Techs'!Q17</f>
        <v>4.1334</v>
      </c>
      <c r="Y61" s="286">
        <f>'Key Inputs_New Techs'!R17</f>
        <v>4.9800000000000004</v>
      </c>
      <c r="Z61" s="286">
        <f>'Key Inputs_New Techs'!S17</f>
        <v>5.5776000000000012</v>
      </c>
      <c r="AA61" s="286">
        <f>'Key Inputs_New Techs'!T17</f>
        <v>4.9800000000000004</v>
      </c>
      <c r="AB61" s="286">
        <f>'Key Inputs_New Techs'!U17</f>
        <v>5.5776000000000012</v>
      </c>
      <c r="AC61" s="286">
        <f>'Key Inputs_New Techs'!V17</f>
        <v>4.1334</v>
      </c>
      <c r="AD61" s="286">
        <f>'Key Inputs_New Techs'!W17</f>
        <v>5.5776000000000012</v>
      </c>
      <c r="AE61" s="286">
        <f>'Key Inputs_New Techs'!X17</f>
        <v>5.5776000000000012</v>
      </c>
      <c r="AF61" s="286">
        <f>'Key Inputs_New Techs'!Y17</f>
        <v>5.5776000000000012</v>
      </c>
      <c r="AG61" s="286">
        <f>'Key Inputs_New Techs'!Z17</f>
        <v>4.1334</v>
      </c>
      <c r="AH61" s="286">
        <f>'Key Inputs_New Techs'!AA17</f>
        <v>4.1334</v>
      </c>
      <c r="AI61" s="286">
        <f>'Key Inputs_New Techs'!AB17</f>
        <v>4.1334</v>
      </c>
      <c r="AJ61" s="286">
        <f>'Key Inputs_New Techs'!AC17</f>
        <v>4.9800000000000004</v>
      </c>
      <c r="AK61" s="286">
        <f>'Key Inputs_New Techs'!AD17</f>
        <v>4.9800000000000004</v>
      </c>
      <c r="AL61" s="286">
        <f>'Key Inputs_New Techs'!AE17</f>
        <v>5.5776000000000012</v>
      </c>
      <c r="AM61" s="286">
        <f>'Key Inputs_New Techs'!AF17</f>
        <v>5.5776000000000012</v>
      </c>
      <c r="AN61" s="286">
        <f>'Key Inputs_New Techs'!AG17</f>
        <v>5.5776000000000012</v>
      </c>
      <c r="AO61" s="286">
        <f>'Key Inputs_New Techs'!AH17</f>
        <v>5.5776000000000012</v>
      </c>
      <c r="AP61" s="286">
        <f>'Key Inputs_New Techs'!AI17</f>
        <v>5.5776000000000012</v>
      </c>
      <c r="AQ61" s="286">
        <f>'Key Inputs_New Techs'!AJ17</f>
        <v>5.5776000000000012</v>
      </c>
      <c r="AR61" s="286">
        <f>'Key Inputs_New Techs'!AK17</f>
        <v>4.1334</v>
      </c>
      <c r="AS61" s="286">
        <f>'Key Inputs_New Techs'!AL17</f>
        <v>4.1334</v>
      </c>
      <c r="AT61" s="286"/>
      <c r="AU61" s="286"/>
      <c r="AV61" s="286"/>
    </row>
    <row r="62" spans="1:48" s="211" customFormat="1" ht="15.6" x14ac:dyDescent="0.3">
      <c r="A62" s="535"/>
      <c r="B62" s="535"/>
      <c r="C62" s="535"/>
      <c r="D62" s="535"/>
      <c r="E62" s="538"/>
      <c r="F62" s="535"/>
      <c r="G62" s="541"/>
      <c r="H62" s="541"/>
      <c r="I62" s="541"/>
      <c r="J62" s="221"/>
      <c r="K62" s="328" t="str">
        <f>IF('Key Inputs_New Techs'!B18="","",'Key Inputs_New Techs'!B18)</f>
        <v>S-TH-HPA_ELC06</v>
      </c>
      <c r="L62" s="530" t="str">
        <f>IF(K62="","",VLOOKUP(K62,'Commodities &amp; Processes'!$L$48:$M$87,2,FALSE))</f>
        <v>SRV Thermal uses technology: Electricity Heat Pump Wat. (Adv.) -New</v>
      </c>
      <c r="M62" s="201"/>
      <c r="N62" s="201">
        <f>'Key Inputs_New Techs'!H18</f>
        <v>2030</v>
      </c>
      <c r="O62" s="212" t="s">
        <v>40</v>
      </c>
      <c r="P62" s="223" t="s">
        <v>154</v>
      </c>
      <c r="Q62" s="223"/>
      <c r="R62" s="286">
        <f>'Key Inputs_New Techs'!K18</f>
        <v>5.0624000000000002</v>
      </c>
      <c r="S62" s="286">
        <f>'Key Inputs_New Techs'!L18</f>
        <v>5.0624000000000002</v>
      </c>
      <c r="T62" s="286">
        <f>'Key Inputs_New Techs'!M18</f>
        <v>5.0624000000000002</v>
      </c>
      <c r="U62" s="286">
        <f>'Key Inputs_New Techs'!N18</f>
        <v>5.0624000000000002</v>
      </c>
      <c r="V62" s="286">
        <f>'Key Inputs_New Techs'!O18</f>
        <v>4.5199999999999996</v>
      </c>
      <c r="W62" s="286">
        <f>'Key Inputs_New Techs'!P18</f>
        <v>3.7515999999999994</v>
      </c>
      <c r="X62" s="286">
        <f>'Key Inputs_New Techs'!Q18</f>
        <v>3.7515999999999994</v>
      </c>
      <c r="Y62" s="286">
        <f>'Key Inputs_New Techs'!R18</f>
        <v>4.5199999999999996</v>
      </c>
      <c r="Z62" s="286">
        <f>'Key Inputs_New Techs'!S18</f>
        <v>5.0624000000000002</v>
      </c>
      <c r="AA62" s="286">
        <f>'Key Inputs_New Techs'!T18</f>
        <v>4.5199999999999996</v>
      </c>
      <c r="AB62" s="286">
        <f>'Key Inputs_New Techs'!U18</f>
        <v>5.0624000000000002</v>
      </c>
      <c r="AC62" s="286">
        <f>'Key Inputs_New Techs'!V18</f>
        <v>3.7515999999999994</v>
      </c>
      <c r="AD62" s="286">
        <f>'Key Inputs_New Techs'!W18</f>
        <v>5.0624000000000002</v>
      </c>
      <c r="AE62" s="286">
        <f>'Key Inputs_New Techs'!X18</f>
        <v>5.0624000000000002</v>
      </c>
      <c r="AF62" s="286">
        <f>'Key Inputs_New Techs'!Y18</f>
        <v>5.0624000000000002</v>
      </c>
      <c r="AG62" s="286">
        <f>'Key Inputs_New Techs'!Z18</f>
        <v>3.7515999999999994</v>
      </c>
      <c r="AH62" s="286">
        <f>'Key Inputs_New Techs'!AA18</f>
        <v>3.7515999999999994</v>
      </c>
      <c r="AI62" s="286">
        <f>'Key Inputs_New Techs'!AB18</f>
        <v>3.7515999999999994</v>
      </c>
      <c r="AJ62" s="286">
        <f>'Key Inputs_New Techs'!AC18</f>
        <v>4.5199999999999996</v>
      </c>
      <c r="AK62" s="286">
        <f>'Key Inputs_New Techs'!AD18</f>
        <v>4.5199999999999996</v>
      </c>
      <c r="AL62" s="286">
        <f>'Key Inputs_New Techs'!AE18</f>
        <v>5.0624000000000002</v>
      </c>
      <c r="AM62" s="286">
        <f>'Key Inputs_New Techs'!AF18</f>
        <v>5.0624000000000002</v>
      </c>
      <c r="AN62" s="286">
        <f>'Key Inputs_New Techs'!AG18</f>
        <v>5.0624000000000002</v>
      </c>
      <c r="AO62" s="286">
        <f>'Key Inputs_New Techs'!AH18</f>
        <v>5.0624000000000002</v>
      </c>
      <c r="AP62" s="286">
        <f>'Key Inputs_New Techs'!AI18</f>
        <v>5.0624000000000002</v>
      </c>
      <c r="AQ62" s="286">
        <f>'Key Inputs_New Techs'!AJ18</f>
        <v>5.0624000000000002</v>
      </c>
      <c r="AR62" s="286">
        <f>'Key Inputs_New Techs'!AK18</f>
        <v>3.7515999999999994</v>
      </c>
      <c r="AS62" s="286">
        <f>'Key Inputs_New Techs'!AL18</f>
        <v>3.7515999999999994</v>
      </c>
      <c r="AT62" s="286"/>
      <c r="AU62" s="286"/>
      <c r="AV62" s="286"/>
    </row>
    <row r="63" spans="1:48" s="211" customFormat="1" ht="15.6" x14ac:dyDescent="0.3">
      <c r="A63" s="535"/>
      <c r="B63" s="535"/>
      <c r="C63" s="535"/>
      <c r="D63" s="535"/>
      <c r="E63" s="538"/>
      <c r="F63" s="535"/>
      <c r="G63" s="541"/>
      <c r="H63" s="541"/>
      <c r="I63" s="541"/>
      <c r="J63" s="221"/>
      <c r="K63" s="328" t="str">
        <f>IF('Key Inputs_New Techs'!B19="","",'Key Inputs_New Techs'!B19)</f>
        <v/>
      </c>
      <c r="L63" s="530" t="str">
        <f>IF(K63="","",VLOOKUP(K63,'Commodities &amp; Processes'!$L$48:$M$87,2,FALSE))</f>
        <v/>
      </c>
      <c r="M63" s="201"/>
      <c r="N63" s="201">
        <f>'Key Inputs_New Techs'!H19</f>
        <v>2050</v>
      </c>
      <c r="O63" s="212" t="s">
        <v>40</v>
      </c>
      <c r="P63" s="223" t="s">
        <v>154</v>
      </c>
      <c r="Q63" s="223"/>
      <c r="R63" s="286">
        <f>'Key Inputs_New Techs'!K19</f>
        <v>6.4165424693333373</v>
      </c>
      <c r="S63" s="286">
        <f>'Key Inputs_New Techs'!L19</f>
        <v>6.4165424693333373</v>
      </c>
      <c r="T63" s="286">
        <f>'Key Inputs_New Techs'!M19</f>
        <v>6.4165424693333373</v>
      </c>
      <c r="U63" s="286">
        <f>'Key Inputs_New Techs'!N19</f>
        <v>6.4165424693333373</v>
      </c>
      <c r="V63" s="286">
        <f>'Key Inputs_New Techs'!O19</f>
        <v>5.7290557761904788</v>
      </c>
      <c r="W63" s="286">
        <f>'Key Inputs_New Techs'!P19</f>
        <v>4.7551162942380971</v>
      </c>
      <c r="X63" s="286">
        <f>'Key Inputs_New Techs'!Q19</f>
        <v>4.7551162942380971</v>
      </c>
      <c r="Y63" s="286">
        <f>'Key Inputs_New Techs'!R19</f>
        <v>5.7290557761904788</v>
      </c>
      <c r="Z63" s="286">
        <f>'Key Inputs_New Techs'!S19</f>
        <v>6.4165424693333373</v>
      </c>
      <c r="AA63" s="286">
        <f>'Key Inputs_New Techs'!T19</f>
        <v>5.7290557761904788</v>
      </c>
      <c r="AB63" s="286">
        <f>'Key Inputs_New Techs'!U19</f>
        <v>6.4165424693333373</v>
      </c>
      <c r="AC63" s="286">
        <f>'Key Inputs_New Techs'!V19</f>
        <v>4.7551162942380971</v>
      </c>
      <c r="AD63" s="286">
        <f>'Key Inputs_New Techs'!W19</f>
        <v>6.4165424693333373</v>
      </c>
      <c r="AE63" s="286">
        <f>'Key Inputs_New Techs'!X19</f>
        <v>6.4165424693333373</v>
      </c>
      <c r="AF63" s="286">
        <f>'Key Inputs_New Techs'!Y19</f>
        <v>6.4165424693333373</v>
      </c>
      <c r="AG63" s="286">
        <f>'Key Inputs_New Techs'!Z19</f>
        <v>4.7551162942380971</v>
      </c>
      <c r="AH63" s="286">
        <f>'Key Inputs_New Techs'!AA19</f>
        <v>4.7551162942380971</v>
      </c>
      <c r="AI63" s="286">
        <f>'Key Inputs_New Techs'!AB19</f>
        <v>4.7551162942380971</v>
      </c>
      <c r="AJ63" s="286">
        <f>'Key Inputs_New Techs'!AC19</f>
        <v>5.7290557761904788</v>
      </c>
      <c r="AK63" s="286">
        <f>'Key Inputs_New Techs'!AD19</f>
        <v>5.7290557761904788</v>
      </c>
      <c r="AL63" s="286">
        <f>'Key Inputs_New Techs'!AE19</f>
        <v>6.4165424693333373</v>
      </c>
      <c r="AM63" s="286">
        <f>'Key Inputs_New Techs'!AF19</f>
        <v>6.4165424693333373</v>
      </c>
      <c r="AN63" s="286">
        <f>'Key Inputs_New Techs'!AG19</f>
        <v>6.4165424693333373</v>
      </c>
      <c r="AO63" s="286">
        <f>'Key Inputs_New Techs'!AH19</f>
        <v>6.4165424693333373</v>
      </c>
      <c r="AP63" s="286">
        <f>'Key Inputs_New Techs'!AI19</f>
        <v>6.4165424693333373</v>
      </c>
      <c r="AQ63" s="286">
        <f>'Key Inputs_New Techs'!AJ19</f>
        <v>6.4165424693333373</v>
      </c>
      <c r="AR63" s="286">
        <f>'Key Inputs_New Techs'!AK19</f>
        <v>4.7551162942380971</v>
      </c>
      <c r="AS63" s="286">
        <f>'Key Inputs_New Techs'!AL19</f>
        <v>4.7551162942380971</v>
      </c>
      <c r="AT63" s="286"/>
      <c r="AU63" s="286"/>
      <c r="AV63" s="286"/>
    </row>
    <row r="64" spans="1:48" s="211" customFormat="1" ht="15.6" x14ac:dyDescent="0.3">
      <c r="A64" s="535"/>
      <c r="B64" s="535"/>
      <c r="C64" s="535"/>
      <c r="D64" s="535"/>
      <c r="E64" s="538"/>
      <c r="F64" s="535"/>
      <c r="G64" s="541"/>
      <c r="H64" s="541"/>
      <c r="I64" s="541"/>
      <c r="J64" s="221"/>
      <c r="K64" s="328" t="str">
        <f>IF('Key Inputs_New Techs'!B20="","",'Key Inputs_New Techs'!B20)</f>
        <v>S-TH-BLR_GAS01</v>
      </c>
      <c r="L64" s="530" t="str">
        <f>IF(K64="","",VLOOKUP(K64,'Commodities &amp; Processes'!$L$48:$M$87,2,FALSE))</f>
        <v>SRV Thermal uses technology: Natural gas, Biogas Boiler (Ord.) -New</v>
      </c>
      <c r="M64" s="201"/>
      <c r="N64" s="201">
        <f>'Key Inputs_New Techs'!H20</f>
        <v>2020</v>
      </c>
      <c r="O64" s="212" t="s">
        <v>40</v>
      </c>
      <c r="P64" s="223" t="s">
        <v>154</v>
      </c>
      <c r="Q64" s="223"/>
      <c r="R64" s="286">
        <f>'Key Inputs_New Techs'!K20</f>
        <v>1.1536896000000003</v>
      </c>
      <c r="S64" s="286">
        <f>'Key Inputs_New Techs'!L20</f>
        <v>1.1536896000000003</v>
      </c>
      <c r="T64" s="286">
        <f>'Key Inputs_New Techs'!M20</f>
        <v>1.1536896000000003</v>
      </c>
      <c r="U64" s="286">
        <f>'Key Inputs_New Techs'!N20</f>
        <v>1.1536896000000003</v>
      </c>
      <c r="V64" s="286">
        <f>'Key Inputs_New Techs'!O20</f>
        <v>1.0300800000000001</v>
      </c>
      <c r="W64" s="286">
        <f>'Key Inputs_New Techs'!P20</f>
        <v>0.85496640000000002</v>
      </c>
      <c r="X64" s="286">
        <f>'Key Inputs_New Techs'!Q20</f>
        <v>0.85496640000000002</v>
      </c>
      <c r="Y64" s="286">
        <f>'Key Inputs_New Techs'!R20</f>
        <v>1.0300800000000001</v>
      </c>
      <c r="Z64" s="286">
        <f>'Key Inputs_New Techs'!S20</f>
        <v>1.1536896000000003</v>
      </c>
      <c r="AA64" s="286">
        <f>'Key Inputs_New Techs'!T20</f>
        <v>1.0300800000000001</v>
      </c>
      <c r="AB64" s="286">
        <f>'Key Inputs_New Techs'!U20</f>
        <v>1.1536896000000003</v>
      </c>
      <c r="AC64" s="286">
        <f>'Key Inputs_New Techs'!V20</f>
        <v>0.85496640000000002</v>
      </c>
      <c r="AD64" s="286">
        <f>'Key Inputs_New Techs'!W20</f>
        <v>1.1536896000000003</v>
      </c>
      <c r="AE64" s="286">
        <f>'Key Inputs_New Techs'!X20</f>
        <v>1.1536896000000003</v>
      </c>
      <c r="AF64" s="286">
        <f>'Key Inputs_New Techs'!Y20</f>
        <v>1.1536896000000003</v>
      </c>
      <c r="AG64" s="286">
        <f>'Key Inputs_New Techs'!Z20</f>
        <v>0.85496640000000002</v>
      </c>
      <c r="AH64" s="286">
        <f>'Key Inputs_New Techs'!AA20</f>
        <v>0.85496640000000002</v>
      </c>
      <c r="AI64" s="286">
        <f>'Key Inputs_New Techs'!AB20</f>
        <v>0.85496640000000002</v>
      </c>
      <c r="AJ64" s="286">
        <f>'Key Inputs_New Techs'!AC20</f>
        <v>1.0300800000000001</v>
      </c>
      <c r="AK64" s="286">
        <f>'Key Inputs_New Techs'!AD20</f>
        <v>1.0300800000000001</v>
      </c>
      <c r="AL64" s="286">
        <f>'Key Inputs_New Techs'!AE20</f>
        <v>1.1536896000000003</v>
      </c>
      <c r="AM64" s="286">
        <f>'Key Inputs_New Techs'!AF20</f>
        <v>1.1536896000000003</v>
      </c>
      <c r="AN64" s="286">
        <f>'Key Inputs_New Techs'!AG20</f>
        <v>1.1536896000000003</v>
      </c>
      <c r="AO64" s="286">
        <f>'Key Inputs_New Techs'!AH20</f>
        <v>1.1536896000000003</v>
      </c>
      <c r="AP64" s="286">
        <f>'Key Inputs_New Techs'!AI20</f>
        <v>1.1536896000000003</v>
      </c>
      <c r="AQ64" s="286">
        <f>'Key Inputs_New Techs'!AJ20</f>
        <v>1.1536896000000003</v>
      </c>
      <c r="AR64" s="286">
        <f>'Key Inputs_New Techs'!AK20</f>
        <v>0.85496640000000002</v>
      </c>
      <c r="AS64" s="286">
        <f>'Key Inputs_New Techs'!AL20</f>
        <v>0.85496640000000002</v>
      </c>
      <c r="AT64" s="286"/>
      <c r="AU64" s="286"/>
      <c r="AV64" s="286"/>
    </row>
    <row r="65" spans="1:48" s="211" customFormat="1" ht="15.6" x14ac:dyDescent="0.3">
      <c r="A65" s="535"/>
      <c r="B65" s="535"/>
      <c r="C65" s="535"/>
      <c r="D65" s="535"/>
      <c r="E65" s="538"/>
      <c r="F65" s="535"/>
      <c r="G65" s="541"/>
      <c r="H65" s="541"/>
      <c r="I65" s="541"/>
      <c r="J65" s="221"/>
      <c r="K65" s="328" t="str">
        <f>IF('Key Inputs_New Techs'!B21="","",'Key Inputs_New Techs'!B21)</f>
        <v>S-TH-BLR_GAS02</v>
      </c>
      <c r="L65" s="530" t="str">
        <f>IF(K65="","",VLOOKUP(K65,'Commodities &amp; Processes'!$L$48:$M$87,2,FALSE))</f>
        <v>SRV Thermal uses technology: Natural gas, Biogas Boiler cond. (Ord.) -New</v>
      </c>
      <c r="M65" s="201"/>
      <c r="N65" s="201">
        <f>'Key Inputs_New Techs'!H21</f>
        <v>2020</v>
      </c>
      <c r="O65" s="212" t="s">
        <v>40</v>
      </c>
      <c r="P65" s="223" t="s">
        <v>154</v>
      </c>
      <c r="Q65" s="223"/>
      <c r="R65" s="286">
        <f>'Key Inputs_New Techs'!K21</f>
        <v>1.2023200000000001</v>
      </c>
      <c r="S65" s="286">
        <f>'Key Inputs_New Techs'!L21</f>
        <v>1.2023200000000001</v>
      </c>
      <c r="T65" s="286">
        <f>'Key Inputs_New Techs'!M21</f>
        <v>1.2023200000000001</v>
      </c>
      <c r="U65" s="286">
        <f>'Key Inputs_New Techs'!N21</f>
        <v>1.2023200000000001</v>
      </c>
      <c r="V65" s="286">
        <f>'Key Inputs_New Techs'!O21</f>
        <v>1.0734999999999999</v>
      </c>
      <c r="W65" s="286">
        <f>'Key Inputs_New Techs'!P21</f>
        <v>0.89100499999999982</v>
      </c>
      <c r="X65" s="286">
        <f>'Key Inputs_New Techs'!Q21</f>
        <v>0.89100499999999982</v>
      </c>
      <c r="Y65" s="286">
        <f>'Key Inputs_New Techs'!R21</f>
        <v>1.0734999999999999</v>
      </c>
      <c r="Z65" s="286">
        <f>'Key Inputs_New Techs'!S21</f>
        <v>1.2023200000000001</v>
      </c>
      <c r="AA65" s="286">
        <f>'Key Inputs_New Techs'!T21</f>
        <v>1.0734999999999999</v>
      </c>
      <c r="AB65" s="286">
        <f>'Key Inputs_New Techs'!U21</f>
        <v>1.2023200000000001</v>
      </c>
      <c r="AC65" s="286">
        <f>'Key Inputs_New Techs'!V21</f>
        <v>0.89100499999999982</v>
      </c>
      <c r="AD65" s="286">
        <f>'Key Inputs_New Techs'!W21</f>
        <v>1.2023200000000001</v>
      </c>
      <c r="AE65" s="286">
        <f>'Key Inputs_New Techs'!X21</f>
        <v>1.2023200000000001</v>
      </c>
      <c r="AF65" s="286">
        <f>'Key Inputs_New Techs'!Y21</f>
        <v>1.2023200000000001</v>
      </c>
      <c r="AG65" s="286">
        <f>'Key Inputs_New Techs'!Z21</f>
        <v>0.89100499999999982</v>
      </c>
      <c r="AH65" s="286">
        <f>'Key Inputs_New Techs'!AA21</f>
        <v>0.89100499999999982</v>
      </c>
      <c r="AI65" s="286">
        <f>'Key Inputs_New Techs'!AB21</f>
        <v>0.89100499999999982</v>
      </c>
      <c r="AJ65" s="286">
        <f>'Key Inputs_New Techs'!AC21</f>
        <v>1.0734999999999999</v>
      </c>
      <c r="AK65" s="286">
        <f>'Key Inputs_New Techs'!AD21</f>
        <v>1.0734999999999999</v>
      </c>
      <c r="AL65" s="286">
        <f>'Key Inputs_New Techs'!AE21</f>
        <v>1.2023200000000001</v>
      </c>
      <c r="AM65" s="286">
        <f>'Key Inputs_New Techs'!AF21</f>
        <v>1.2023200000000001</v>
      </c>
      <c r="AN65" s="286">
        <f>'Key Inputs_New Techs'!AG21</f>
        <v>1.2023200000000001</v>
      </c>
      <c r="AO65" s="286">
        <f>'Key Inputs_New Techs'!AH21</f>
        <v>1.2023200000000001</v>
      </c>
      <c r="AP65" s="286">
        <f>'Key Inputs_New Techs'!AI21</f>
        <v>1.2023200000000001</v>
      </c>
      <c r="AQ65" s="286">
        <f>'Key Inputs_New Techs'!AJ21</f>
        <v>1.2023200000000001</v>
      </c>
      <c r="AR65" s="286">
        <f>'Key Inputs_New Techs'!AK21</f>
        <v>0.89100499999999982</v>
      </c>
      <c r="AS65" s="286">
        <f>'Key Inputs_New Techs'!AL21</f>
        <v>0.89100499999999982</v>
      </c>
      <c r="AT65" s="286"/>
      <c r="AU65" s="286"/>
      <c r="AV65" s="286"/>
    </row>
    <row r="66" spans="1:48" s="211" customFormat="1" ht="15.6" x14ac:dyDescent="0.3">
      <c r="A66" s="535"/>
      <c r="B66" s="535"/>
      <c r="C66" s="535"/>
      <c r="D66" s="535"/>
      <c r="E66" s="538"/>
      <c r="F66" s="535"/>
      <c r="G66" s="541"/>
      <c r="H66" s="541"/>
      <c r="I66" s="541"/>
      <c r="J66" s="221"/>
      <c r="K66" s="328" t="str">
        <f>IF('Key Inputs_New Techs'!B22="","",'Key Inputs_New Techs'!B22)</f>
        <v>S-TH-HPG_ELC01</v>
      </c>
      <c r="L66" s="530" t="str">
        <f>IF(K66="","",VLOOKUP(K66,'Commodities &amp; Processes'!$L$48:$M$87,2,FALSE))</f>
        <v>SRV Thermal uses technology: Electricity Ground Heat Pump (Ord.) -New</v>
      </c>
      <c r="M66" s="201"/>
      <c r="N66" s="201">
        <f>'Key Inputs_New Techs'!H22</f>
        <v>2020</v>
      </c>
      <c r="O66" s="212" t="s">
        <v>40</v>
      </c>
      <c r="P66" s="223" t="s">
        <v>154</v>
      </c>
      <c r="Q66" s="223"/>
      <c r="R66" s="286">
        <f>'Key Inputs_New Techs'!K22</f>
        <v>4.0320000000000009</v>
      </c>
      <c r="S66" s="286">
        <f>'Key Inputs_New Techs'!L22</f>
        <v>4.0320000000000009</v>
      </c>
      <c r="T66" s="286">
        <f>'Key Inputs_New Techs'!M22</f>
        <v>4.0320000000000009</v>
      </c>
      <c r="U66" s="286">
        <f>'Key Inputs_New Techs'!N22</f>
        <v>4.0320000000000009</v>
      </c>
      <c r="V66" s="286">
        <f>'Key Inputs_New Techs'!O22</f>
        <v>3.6</v>
      </c>
      <c r="W66" s="286">
        <f>'Key Inputs_New Techs'!P22</f>
        <v>2.988</v>
      </c>
      <c r="X66" s="286">
        <f>'Key Inputs_New Techs'!Q22</f>
        <v>2.988</v>
      </c>
      <c r="Y66" s="286">
        <f>'Key Inputs_New Techs'!R22</f>
        <v>3.6</v>
      </c>
      <c r="Z66" s="286">
        <f>'Key Inputs_New Techs'!S22</f>
        <v>4.0320000000000009</v>
      </c>
      <c r="AA66" s="286">
        <f>'Key Inputs_New Techs'!T22</f>
        <v>3.6</v>
      </c>
      <c r="AB66" s="286">
        <f>'Key Inputs_New Techs'!U22</f>
        <v>4.0320000000000009</v>
      </c>
      <c r="AC66" s="286">
        <f>'Key Inputs_New Techs'!V22</f>
        <v>2.988</v>
      </c>
      <c r="AD66" s="286">
        <f>'Key Inputs_New Techs'!W22</f>
        <v>4.0320000000000009</v>
      </c>
      <c r="AE66" s="286">
        <f>'Key Inputs_New Techs'!X22</f>
        <v>4.0320000000000009</v>
      </c>
      <c r="AF66" s="286">
        <f>'Key Inputs_New Techs'!Y22</f>
        <v>4.0320000000000009</v>
      </c>
      <c r="AG66" s="286">
        <f>'Key Inputs_New Techs'!Z22</f>
        <v>2.988</v>
      </c>
      <c r="AH66" s="286">
        <f>'Key Inputs_New Techs'!AA22</f>
        <v>2.988</v>
      </c>
      <c r="AI66" s="286">
        <f>'Key Inputs_New Techs'!AB22</f>
        <v>2.988</v>
      </c>
      <c r="AJ66" s="286">
        <f>'Key Inputs_New Techs'!AC22</f>
        <v>3.6</v>
      </c>
      <c r="AK66" s="286">
        <f>'Key Inputs_New Techs'!AD22</f>
        <v>3.6</v>
      </c>
      <c r="AL66" s="286">
        <f>'Key Inputs_New Techs'!AE22</f>
        <v>4.0320000000000009</v>
      </c>
      <c r="AM66" s="286">
        <f>'Key Inputs_New Techs'!AF22</f>
        <v>4.0320000000000009</v>
      </c>
      <c r="AN66" s="286">
        <f>'Key Inputs_New Techs'!AG22</f>
        <v>4.0320000000000009</v>
      </c>
      <c r="AO66" s="286">
        <f>'Key Inputs_New Techs'!AH22</f>
        <v>4.0320000000000009</v>
      </c>
      <c r="AP66" s="286">
        <f>'Key Inputs_New Techs'!AI22</f>
        <v>4.0320000000000009</v>
      </c>
      <c r="AQ66" s="286">
        <f>'Key Inputs_New Techs'!AJ22</f>
        <v>4.0320000000000009</v>
      </c>
      <c r="AR66" s="286">
        <f>'Key Inputs_New Techs'!AK22</f>
        <v>2.988</v>
      </c>
      <c r="AS66" s="286">
        <f>'Key Inputs_New Techs'!AL22</f>
        <v>2.988</v>
      </c>
      <c r="AT66" s="286"/>
      <c r="AU66" s="286"/>
      <c r="AV66" s="286"/>
    </row>
    <row r="67" spans="1:48" s="211" customFormat="1" ht="15.6" x14ac:dyDescent="0.3">
      <c r="A67" s="535"/>
      <c r="B67" s="535"/>
      <c r="C67" s="535"/>
      <c r="D67" s="535"/>
      <c r="E67" s="538"/>
      <c r="F67" s="535"/>
      <c r="G67" s="541"/>
      <c r="H67" s="541"/>
      <c r="I67" s="541"/>
      <c r="J67" s="221"/>
      <c r="K67" s="328" t="str">
        <f>IF('Key Inputs_New Techs'!B23="","",'Key Inputs_New Techs'!B23)</f>
        <v>S-TH-HPG_ELC02</v>
      </c>
      <c r="L67" s="530" t="str">
        <f>IF(K67="","",VLOOKUP(K67,'Commodities &amp; Processes'!$L$48:$M$87,2,FALSE))</f>
        <v>SRV Thermal uses technology: Electricity Ground Heat Pump (Imp.) -New</v>
      </c>
      <c r="M67" s="201"/>
      <c r="N67" s="201">
        <f>'Key Inputs_New Techs'!H23</f>
        <v>2025</v>
      </c>
      <c r="O67" s="212" t="s">
        <v>40</v>
      </c>
      <c r="P67" s="223" t="s">
        <v>154</v>
      </c>
      <c r="Q67" s="223"/>
      <c r="R67" s="286">
        <f>'Key Inputs_New Techs'!K23</f>
        <v>4.0320000000000009</v>
      </c>
      <c r="S67" s="286">
        <f>'Key Inputs_New Techs'!L23</f>
        <v>4.0320000000000009</v>
      </c>
      <c r="T67" s="286">
        <f>'Key Inputs_New Techs'!M23</f>
        <v>4.0320000000000009</v>
      </c>
      <c r="U67" s="286">
        <f>'Key Inputs_New Techs'!N23</f>
        <v>4.0320000000000009</v>
      </c>
      <c r="V67" s="286">
        <f>'Key Inputs_New Techs'!O23</f>
        <v>3.6</v>
      </c>
      <c r="W67" s="286">
        <f>'Key Inputs_New Techs'!P23</f>
        <v>2.988</v>
      </c>
      <c r="X67" s="286">
        <f>'Key Inputs_New Techs'!Q23</f>
        <v>2.988</v>
      </c>
      <c r="Y67" s="286">
        <f>'Key Inputs_New Techs'!R23</f>
        <v>3.6</v>
      </c>
      <c r="Z67" s="286">
        <f>'Key Inputs_New Techs'!S23</f>
        <v>4.0320000000000009</v>
      </c>
      <c r="AA67" s="286">
        <f>'Key Inputs_New Techs'!T23</f>
        <v>3.6</v>
      </c>
      <c r="AB67" s="286">
        <f>'Key Inputs_New Techs'!U23</f>
        <v>4.0320000000000009</v>
      </c>
      <c r="AC67" s="286">
        <f>'Key Inputs_New Techs'!V23</f>
        <v>2.988</v>
      </c>
      <c r="AD67" s="286">
        <f>'Key Inputs_New Techs'!W23</f>
        <v>4.0320000000000009</v>
      </c>
      <c r="AE67" s="286">
        <f>'Key Inputs_New Techs'!X23</f>
        <v>4.0320000000000009</v>
      </c>
      <c r="AF67" s="286">
        <f>'Key Inputs_New Techs'!Y23</f>
        <v>4.0320000000000009</v>
      </c>
      <c r="AG67" s="286">
        <f>'Key Inputs_New Techs'!Z23</f>
        <v>2.988</v>
      </c>
      <c r="AH67" s="286">
        <f>'Key Inputs_New Techs'!AA23</f>
        <v>2.988</v>
      </c>
      <c r="AI67" s="286">
        <f>'Key Inputs_New Techs'!AB23</f>
        <v>2.988</v>
      </c>
      <c r="AJ67" s="286">
        <f>'Key Inputs_New Techs'!AC23</f>
        <v>3.6</v>
      </c>
      <c r="AK67" s="286">
        <f>'Key Inputs_New Techs'!AD23</f>
        <v>3.6</v>
      </c>
      <c r="AL67" s="286">
        <f>'Key Inputs_New Techs'!AE23</f>
        <v>4.0320000000000009</v>
      </c>
      <c r="AM67" s="286">
        <f>'Key Inputs_New Techs'!AF23</f>
        <v>4.0320000000000009</v>
      </c>
      <c r="AN67" s="286">
        <f>'Key Inputs_New Techs'!AG23</f>
        <v>4.0320000000000009</v>
      </c>
      <c r="AO67" s="286">
        <f>'Key Inputs_New Techs'!AH23</f>
        <v>4.0320000000000009</v>
      </c>
      <c r="AP67" s="286">
        <f>'Key Inputs_New Techs'!AI23</f>
        <v>4.0320000000000009</v>
      </c>
      <c r="AQ67" s="286">
        <f>'Key Inputs_New Techs'!AJ23</f>
        <v>4.0320000000000009</v>
      </c>
      <c r="AR67" s="286">
        <f>'Key Inputs_New Techs'!AK23</f>
        <v>2.988</v>
      </c>
      <c r="AS67" s="286">
        <f>'Key Inputs_New Techs'!AL23</f>
        <v>2.988</v>
      </c>
      <c r="AT67" s="286"/>
      <c r="AU67" s="286"/>
      <c r="AV67" s="286"/>
    </row>
    <row r="68" spans="1:48" s="211" customFormat="1" ht="15.6" x14ac:dyDescent="0.3">
      <c r="A68" s="535"/>
      <c r="B68" s="535"/>
      <c r="C68" s="535"/>
      <c r="D68" s="535"/>
      <c r="E68" s="538"/>
      <c r="F68" s="535"/>
      <c r="G68" s="541"/>
      <c r="H68" s="541"/>
      <c r="I68" s="541"/>
      <c r="J68" s="221"/>
      <c r="K68" s="328" t="str">
        <f>IF('Key Inputs_New Techs'!B24="","",'Key Inputs_New Techs'!B24)</f>
        <v/>
      </c>
      <c r="L68" s="530" t="str">
        <f>IF(K68="","",VLOOKUP(K68,'Commodities &amp; Processes'!$L$48:$M$87,2,FALSE))</f>
        <v/>
      </c>
      <c r="M68" s="201"/>
      <c r="N68" s="201">
        <f>'Key Inputs_New Techs'!H24</f>
        <v>2030</v>
      </c>
      <c r="O68" s="212" t="s">
        <v>40</v>
      </c>
      <c r="P68" s="223" t="s">
        <v>154</v>
      </c>
      <c r="Q68" s="223"/>
      <c r="R68" s="286">
        <f>'Key Inputs_New Techs'!K24</f>
        <v>5.0058830769230784</v>
      </c>
      <c r="S68" s="286">
        <f>'Key Inputs_New Techs'!L24</f>
        <v>5.0058830769230784</v>
      </c>
      <c r="T68" s="286">
        <f>'Key Inputs_New Techs'!M24</f>
        <v>5.0058830769230784</v>
      </c>
      <c r="U68" s="286">
        <f>'Key Inputs_New Techs'!N24</f>
        <v>5.0058830769230784</v>
      </c>
      <c r="V68" s="286">
        <f>'Key Inputs_New Techs'!O24</f>
        <v>4.4695384615384626</v>
      </c>
      <c r="W68" s="286">
        <f>'Key Inputs_New Techs'!P24</f>
        <v>3.7097169230769236</v>
      </c>
      <c r="X68" s="286">
        <f>'Key Inputs_New Techs'!Q24</f>
        <v>3.7097169230769236</v>
      </c>
      <c r="Y68" s="286">
        <f>'Key Inputs_New Techs'!R24</f>
        <v>4.4695384615384626</v>
      </c>
      <c r="Z68" s="286">
        <f>'Key Inputs_New Techs'!S24</f>
        <v>5.0058830769230784</v>
      </c>
      <c r="AA68" s="286">
        <f>'Key Inputs_New Techs'!T24</f>
        <v>4.4695384615384626</v>
      </c>
      <c r="AB68" s="286">
        <f>'Key Inputs_New Techs'!U24</f>
        <v>5.0058830769230784</v>
      </c>
      <c r="AC68" s="286">
        <f>'Key Inputs_New Techs'!V24</f>
        <v>3.7097169230769236</v>
      </c>
      <c r="AD68" s="286">
        <f>'Key Inputs_New Techs'!W24</f>
        <v>5.0058830769230784</v>
      </c>
      <c r="AE68" s="286">
        <f>'Key Inputs_New Techs'!X24</f>
        <v>5.0058830769230784</v>
      </c>
      <c r="AF68" s="286">
        <f>'Key Inputs_New Techs'!Y24</f>
        <v>5.0058830769230784</v>
      </c>
      <c r="AG68" s="286">
        <f>'Key Inputs_New Techs'!Z24</f>
        <v>3.7097169230769236</v>
      </c>
      <c r="AH68" s="286">
        <f>'Key Inputs_New Techs'!AA24</f>
        <v>3.7097169230769236</v>
      </c>
      <c r="AI68" s="286">
        <f>'Key Inputs_New Techs'!AB24</f>
        <v>3.7097169230769236</v>
      </c>
      <c r="AJ68" s="286">
        <f>'Key Inputs_New Techs'!AC24</f>
        <v>4.4695384615384626</v>
      </c>
      <c r="AK68" s="286">
        <f>'Key Inputs_New Techs'!AD24</f>
        <v>4.4695384615384626</v>
      </c>
      <c r="AL68" s="286">
        <f>'Key Inputs_New Techs'!AE24</f>
        <v>5.0058830769230784</v>
      </c>
      <c r="AM68" s="286">
        <f>'Key Inputs_New Techs'!AF24</f>
        <v>5.0058830769230784</v>
      </c>
      <c r="AN68" s="286">
        <f>'Key Inputs_New Techs'!AG24</f>
        <v>5.0058830769230784</v>
      </c>
      <c r="AO68" s="286">
        <f>'Key Inputs_New Techs'!AH24</f>
        <v>5.0058830769230784</v>
      </c>
      <c r="AP68" s="286">
        <f>'Key Inputs_New Techs'!AI24</f>
        <v>5.0058830769230784</v>
      </c>
      <c r="AQ68" s="286">
        <f>'Key Inputs_New Techs'!AJ24</f>
        <v>5.0058830769230784</v>
      </c>
      <c r="AR68" s="286">
        <f>'Key Inputs_New Techs'!AK24</f>
        <v>3.7097169230769236</v>
      </c>
      <c r="AS68" s="286">
        <f>'Key Inputs_New Techs'!AL24</f>
        <v>3.7097169230769236</v>
      </c>
      <c r="AT68" s="286"/>
      <c r="AU68" s="286"/>
      <c r="AV68" s="286"/>
    </row>
    <row r="69" spans="1:48" s="211" customFormat="1" ht="15.6" x14ac:dyDescent="0.3">
      <c r="A69" s="535"/>
      <c r="B69" s="535"/>
      <c r="C69" s="535"/>
      <c r="D69" s="535"/>
      <c r="E69" s="538"/>
      <c r="F69" s="535"/>
      <c r="G69" s="541"/>
      <c r="H69" s="541"/>
      <c r="I69" s="541"/>
      <c r="J69" s="221"/>
      <c r="K69" s="328" t="str">
        <f>IF('Key Inputs_New Techs'!B25="","",'Key Inputs_New Techs'!B25)</f>
        <v/>
      </c>
      <c r="L69" s="530" t="str">
        <f>IF(K69="","",VLOOKUP(K69,'Commodities &amp; Processes'!$L$48:$M$87,2,FALSE))</f>
        <v/>
      </c>
      <c r="M69" s="201"/>
      <c r="N69" s="201">
        <f>'Key Inputs_New Techs'!H25</f>
        <v>2050</v>
      </c>
      <c r="O69" s="212" t="s">
        <v>40</v>
      </c>
      <c r="P69" s="223" t="s">
        <v>154</v>
      </c>
      <c r="Q69" s="223"/>
      <c r="R69" s="286">
        <f>'Key Inputs_New Techs'!K25</f>
        <v>6.0846545454545469</v>
      </c>
      <c r="S69" s="286">
        <f>'Key Inputs_New Techs'!L25</f>
        <v>6.0846545454545469</v>
      </c>
      <c r="T69" s="286">
        <f>'Key Inputs_New Techs'!M25</f>
        <v>6.0846545454545469</v>
      </c>
      <c r="U69" s="286">
        <f>'Key Inputs_New Techs'!N25</f>
        <v>6.0846545454545469</v>
      </c>
      <c r="V69" s="286">
        <f>'Key Inputs_New Techs'!O25</f>
        <v>5.4327272727272735</v>
      </c>
      <c r="W69" s="286">
        <f>'Key Inputs_New Techs'!P25</f>
        <v>4.5091636363636365</v>
      </c>
      <c r="X69" s="286">
        <f>'Key Inputs_New Techs'!Q25</f>
        <v>4.5091636363636365</v>
      </c>
      <c r="Y69" s="286">
        <f>'Key Inputs_New Techs'!R25</f>
        <v>5.4327272727272735</v>
      </c>
      <c r="Z69" s="286">
        <f>'Key Inputs_New Techs'!S25</f>
        <v>6.0846545454545469</v>
      </c>
      <c r="AA69" s="286">
        <f>'Key Inputs_New Techs'!T25</f>
        <v>5.4327272727272735</v>
      </c>
      <c r="AB69" s="286">
        <f>'Key Inputs_New Techs'!U25</f>
        <v>6.0846545454545469</v>
      </c>
      <c r="AC69" s="286">
        <f>'Key Inputs_New Techs'!V25</f>
        <v>4.5091636363636365</v>
      </c>
      <c r="AD69" s="286">
        <f>'Key Inputs_New Techs'!W25</f>
        <v>6.0846545454545469</v>
      </c>
      <c r="AE69" s="286">
        <f>'Key Inputs_New Techs'!X25</f>
        <v>6.0846545454545469</v>
      </c>
      <c r="AF69" s="286">
        <f>'Key Inputs_New Techs'!Y25</f>
        <v>6.0846545454545469</v>
      </c>
      <c r="AG69" s="286">
        <f>'Key Inputs_New Techs'!Z25</f>
        <v>4.5091636363636365</v>
      </c>
      <c r="AH69" s="286">
        <f>'Key Inputs_New Techs'!AA25</f>
        <v>4.5091636363636365</v>
      </c>
      <c r="AI69" s="286">
        <f>'Key Inputs_New Techs'!AB25</f>
        <v>4.5091636363636365</v>
      </c>
      <c r="AJ69" s="286">
        <f>'Key Inputs_New Techs'!AC25</f>
        <v>5.4327272727272735</v>
      </c>
      <c r="AK69" s="286">
        <f>'Key Inputs_New Techs'!AD25</f>
        <v>5.4327272727272735</v>
      </c>
      <c r="AL69" s="286">
        <f>'Key Inputs_New Techs'!AE25</f>
        <v>6.0846545454545469</v>
      </c>
      <c r="AM69" s="286">
        <f>'Key Inputs_New Techs'!AF25</f>
        <v>6.0846545454545469</v>
      </c>
      <c r="AN69" s="286">
        <f>'Key Inputs_New Techs'!AG25</f>
        <v>6.0846545454545469</v>
      </c>
      <c r="AO69" s="286">
        <f>'Key Inputs_New Techs'!AH25</f>
        <v>6.0846545454545469</v>
      </c>
      <c r="AP69" s="286">
        <f>'Key Inputs_New Techs'!AI25</f>
        <v>6.0846545454545469</v>
      </c>
      <c r="AQ69" s="286">
        <f>'Key Inputs_New Techs'!AJ25</f>
        <v>6.0846545454545469</v>
      </c>
      <c r="AR69" s="286">
        <f>'Key Inputs_New Techs'!AK25</f>
        <v>4.5091636363636365</v>
      </c>
      <c r="AS69" s="286">
        <f>'Key Inputs_New Techs'!AL25</f>
        <v>4.5091636363636365</v>
      </c>
      <c r="AT69" s="286"/>
      <c r="AU69" s="286"/>
      <c r="AV69" s="286"/>
    </row>
    <row r="70" spans="1:48" s="211" customFormat="1" ht="15.6" x14ac:dyDescent="0.3">
      <c r="A70" s="535"/>
      <c r="B70" s="535"/>
      <c r="C70" s="535"/>
      <c r="D70" s="535"/>
      <c r="E70" s="538"/>
      <c r="F70" s="535"/>
      <c r="G70" s="541"/>
      <c r="H70" s="541"/>
      <c r="I70" s="541"/>
      <c r="J70" s="221"/>
      <c r="K70" s="328" t="str">
        <f>IF('Key Inputs_New Techs'!B26="","",'Key Inputs_New Techs'!B26)</f>
        <v>S-TH-HPG_ELC03</v>
      </c>
      <c r="L70" s="530" t="str">
        <f>IF(K70="","",VLOOKUP(K70,'Commodities &amp; Processes'!$L$48:$M$87,2,FALSE))</f>
        <v>SRV Thermal uses technology: Electricity Ground Heat Pump (Adv.) -New</v>
      </c>
      <c r="M70" s="201"/>
      <c r="N70" s="201">
        <f>'Key Inputs_New Techs'!H26</f>
        <v>2030</v>
      </c>
      <c r="O70" s="212" t="s">
        <v>40</v>
      </c>
      <c r="P70" s="223" t="s">
        <v>154</v>
      </c>
      <c r="Q70" s="223"/>
      <c r="R70" s="286">
        <f>'Key Inputs_New Techs'!K26</f>
        <v>5.5226181818181823</v>
      </c>
      <c r="S70" s="286">
        <f>'Key Inputs_New Techs'!L26</f>
        <v>5.5226181818181823</v>
      </c>
      <c r="T70" s="286">
        <f>'Key Inputs_New Techs'!M26</f>
        <v>5.5226181818181823</v>
      </c>
      <c r="U70" s="286">
        <f>'Key Inputs_New Techs'!N26</f>
        <v>5.5226181818181823</v>
      </c>
      <c r="V70" s="286">
        <f>'Key Inputs_New Techs'!O26</f>
        <v>4.9309090909090907</v>
      </c>
      <c r="W70" s="286">
        <f>'Key Inputs_New Techs'!P26</f>
        <v>4.0926545454545451</v>
      </c>
      <c r="X70" s="286">
        <f>'Key Inputs_New Techs'!Q26</f>
        <v>4.0926545454545451</v>
      </c>
      <c r="Y70" s="286">
        <f>'Key Inputs_New Techs'!R26</f>
        <v>4.9309090909090907</v>
      </c>
      <c r="Z70" s="286">
        <f>'Key Inputs_New Techs'!S26</f>
        <v>5.5226181818181823</v>
      </c>
      <c r="AA70" s="286">
        <f>'Key Inputs_New Techs'!T26</f>
        <v>4.9309090909090907</v>
      </c>
      <c r="AB70" s="286">
        <f>'Key Inputs_New Techs'!U26</f>
        <v>5.5226181818181823</v>
      </c>
      <c r="AC70" s="286">
        <f>'Key Inputs_New Techs'!V26</f>
        <v>4.0926545454545451</v>
      </c>
      <c r="AD70" s="286">
        <f>'Key Inputs_New Techs'!W26</f>
        <v>5.5226181818181823</v>
      </c>
      <c r="AE70" s="286">
        <f>'Key Inputs_New Techs'!X26</f>
        <v>5.5226181818181823</v>
      </c>
      <c r="AF70" s="286">
        <f>'Key Inputs_New Techs'!Y26</f>
        <v>5.5226181818181823</v>
      </c>
      <c r="AG70" s="286">
        <f>'Key Inputs_New Techs'!Z26</f>
        <v>4.0926545454545451</v>
      </c>
      <c r="AH70" s="286">
        <f>'Key Inputs_New Techs'!AA26</f>
        <v>4.0926545454545451</v>
      </c>
      <c r="AI70" s="286">
        <f>'Key Inputs_New Techs'!AB26</f>
        <v>4.0926545454545451</v>
      </c>
      <c r="AJ70" s="286">
        <f>'Key Inputs_New Techs'!AC26</f>
        <v>4.9309090909090907</v>
      </c>
      <c r="AK70" s="286">
        <f>'Key Inputs_New Techs'!AD26</f>
        <v>4.9309090909090907</v>
      </c>
      <c r="AL70" s="286">
        <f>'Key Inputs_New Techs'!AE26</f>
        <v>5.5226181818181823</v>
      </c>
      <c r="AM70" s="286">
        <f>'Key Inputs_New Techs'!AF26</f>
        <v>5.5226181818181823</v>
      </c>
      <c r="AN70" s="286">
        <f>'Key Inputs_New Techs'!AG26</f>
        <v>5.5226181818181823</v>
      </c>
      <c r="AO70" s="286">
        <f>'Key Inputs_New Techs'!AH26</f>
        <v>5.5226181818181823</v>
      </c>
      <c r="AP70" s="286">
        <f>'Key Inputs_New Techs'!AI26</f>
        <v>5.5226181818181823</v>
      </c>
      <c r="AQ70" s="286">
        <f>'Key Inputs_New Techs'!AJ26</f>
        <v>5.5226181818181823</v>
      </c>
      <c r="AR70" s="286">
        <f>'Key Inputs_New Techs'!AK26</f>
        <v>4.0926545454545451</v>
      </c>
      <c r="AS70" s="286">
        <f>'Key Inputs_New Techs'!AL26</f>
        <v>4.0926545454545451</v>
      </c>
      <c r="AT70" s="286"/>
      <c r="AU70" s="286"/>
      <c r="AV70" s="286"/>
    </row>
    <row r="71" spans="1:48" s="211" customFormat="1" ht="15.6" x14ac:dyDescent="0.3">
      <c r="A71" s="535"/>
      <c r="B71" s="535"/>
      <c r="C71" s="535"/>
      <c r="D71" s="535"/>
      <c r="E71" s="538"/>
      <c r="F71" s="535"/>
      <c r="G71" s="541"/>
      <c r="H71" s="541"/>
      <c r="I71" s="541"/>
      <c r="J71" s="221"/>
      <c r="K71" s="328" t="str">
        <f>IF('Key Inputs_New Techs'!B27="","",'Key Inputs_New Techs'!B27)</f>
        <v/>
      </c>
      <c r="L71" s="530" t="str">
        <f>IF(K71="","",VLOOKUP(K71,'Commodities &amp; Processes'!$L$48:$M$87,2,FALSE))</f>
        <v/>
      </c>
      <c r="M71" s="201"/>
      <c r="N71" s="201">
        <f>'Key Inputs_New Techs'!H27</f>
        <v>2050</v>
      </c>
      <c r="O71" s="212" t="s">
        <v>40</v>
      </c>
      <c r="P71" s="223" t="s">
        <v>154</v>
      </c>
      <c r="Q71" s="223"/>
      <c r="R71" s="286">
        <f>'Key Inputs_New Techs'!K27</f>
        <v>6.6498712864000025</v>
      </c>
      <c r="S71" s="286">
        <f>'Key Inputs_New Techs'!L27</f>
        <v>6.6498712864000025</v>
      </c>
      <c r="T71" s="286">
        <f>'Key Inputs_New Techs'!M27</f>
        <v>6.6498712864000025</v>
      </c>
      <c r="U71" s="286">
        <f>'Key Inputs_New Techs'!N27</f>
        <v>6.6498712864000025</v>
      </c>
      <c r="V71" s="286">
        <f>'Key Inputs_New Techs'!O27</f>
        <v>5.9373850771428591</v>
      </c>
      <c r="W71" s="286">
        <f>'Key Inputs_New Techs'!P27</f>
        <v>4.9280296140285724</v>
      </c>
      <c r="X71" s="286">
        <f>'Key Inputs_New Techs'!Q27</f>
        <v>4.9280296140285724</v>
      </c>
      <c r="Y71" s="286">
        <f>'Key Inputs_New Techs'!R27</f>
        <v>5.9373850771428591</v>
      </c>
      <c r="Z71" s="286">
        <f>'Key Inputs_New Techs'!S27</f>
        <v>6.6498712864000025</v>
      </c>
      <c r="AA71" s="286">
        <f>'Key Inputs_New Techs'!T27</f>
        <v>5.9373850771428591</v>
      </c>
      <c r="AB71" s="286">
        <f>'Key Inputs_New Techs'!U27</f>
        <v>6.6498712864000025</v>
      </c>
      <c r="AC71" s="286">
        <f>'Key Inputs_New Techs'!V27</f>
        <v>4.9280296140285724</v>
      </c>
      <c r="AD71" s="286">
        <f>'Key Inputs_New Techs'!W27</f>
        <v>6.6498712864000025</v>
      </c>
      <c r="AE71" s="286">
        <f>'Key Inputs_New Techs'!X27</f>
        <v>6.6498712864000025</v>
      </c>
      <c r="AF71" s="286">
        <f>'Key Inputs_New Techs'!Y27</f>
        <v>6.6498712864000025</v>
      </c>
      <c r="AG71" s="286">
        <f>'Key Inputs_New Techs'!Z27</f>
        <v>4.9280296140285724</v>
      </c>
      <c r="AH71" s="286">
        <f>'Key Inputs_New Techs'!AA27</f>
        <v>4.9280296140285724</v>
      </c>
      <c r="AI71" s="286">
        <f>'Key Inputs_New Techs'!AB27</f>
        <v>4.9280296140285724</v>
      </c>
      <c r="AJ71" s="286">
        <f>'Key Inputs_New Techs'!AC27</f>
        <v>5.9373850771428591</v>
      </c>
      <c r="AK71" s="286">
        <f>'Key Inputs_New Techs'!AD27</f>
        <v>5.9373850771428591</v>
      </c>
      <c r="AL71" s="286">
        <f>'Key Inputs_New Techs'!AE27</f>
        <v>6.6498712864000025</v>
      </c>
      <c r="AM71" s="286">
        <f>'Key Inputs_New Techs'!AF27</f>
        <v>6.6498712864000025</v>
      </c>
      <c r="AN71" s="286">
        <f>'Key Inputs_New Techs'!AG27</f>
        <v>6.6498712864000025</v>
      </c>
      <c r="AO71" s="286">
        <f>'Key Inputs_New Techs'!AH27</f>
        <v>6.6498712864000025</v>
      </c>
      <c r="AP71" s="286">
        <f>'Key Inputs_New Techs'!AI27</f>
        <v>6.6498712864000025</v>
      </c>
      <c r="AQ71" s="286">
        <f>'Key Inputs_New Techs'!AJ27</f>
        <v>6.6498712864000025</v>
      </c>
      <c r="AR71" s="286">
        <f>'Key Inputs_New Techs'!AK27</f>
        <v>4.9280296140285724</v>
      </c>
      <c r="AS71" s="286">
        <f>'Key Inputs_New Techs'!AL27</f>
        <v>4.9280296140285724</v>
      </c>
      <c r="AT71" s="286"/>
      <c r="AU71" s="286"/>
      <c r="AV71" s="286"/>
    </row>
    <row r="72" spans="1:48" s="211" customFormat="1" ht="15.6" x14ac:dyDescent="0.3">
      <c r="A72" s="535"/>
      <c r="B72" s="535"/>
      <c r="C72" s="535"/>
      <c r="D72" s="535"/>
      <c r="E72" s="538"/>
      <c r="F72" s="535"/>
      <c r="G72" s="541"/>
      <c r="H72" s="541"/>
      <c r="I72" s="541"/>
      <c r="J72" s="221"/>
      <c r="K72" s="328" t="str">
        <f>IF('Key Inputs_New Techs'!B28="","",'Key Inputs_New Techs'!B28)</f>
        <v>S-TH-STV_COA01</v>
      </c>
      <c r="L72" s="530" t="str">
        <f>IF(K72="","",VLOOKUP(K72,'Commodities &amp; Processes'!$L$48:$M$87,2,FALSE))</f>
        <v>SRV Thermal uses technology: Coal Thermal uses technology: Coal -New</v>
      </c>
      <c r="M72" s="201"/>
      <c r="N72" s="201">
        <f>'Key Inputs_New Techs'!H28</f>
        <v>2020</v>
      </c>
      <c r="O72" s="212" t="s">
        <v>40</v>
      </c>
      <c r="P72" s="223" t="s">
        <v>154</v>
      </c>
      <c r="Q72" s="223"/>
      <c r="R72" s="286">
        <f>'Key Inputs_New Techs'!K28</f>
        <v>0.67500000000000004</v>
      </c>
      <c r="S72" s="286">
        <f>'Key Inputs_New Techs'!L28</f>
        <v>0.67500000000000004</v>
      </c>
      <c r="T72" s="286">
        <f>'Key Inputs_New Techs'!M28</f>
        <v>0.67500000000000004</v>
      </c>
      <c r="U72" s="286">
        <f>'Key Inputs_New Techs'!N28</f>
        <v>0.67500000000000004</v>
      </c>
      <c r="V72" s="286">
        <f>'Key Inputs_New Techs'!O28</f>
        <v>0.67500000000000004</v>
      </c>
      <c r="W72" s="286">
        <f>'Key Inputs_New Techs'!P28</f>
        <v>0.67500000000000004</v>
      </c>
      <c r="X72" s="286">
        <f>'Key Inputs_New Techs'!Q28</f>
        <v>0.67500000000000004</v>
      </c>
      <c r="Y72" s="286">
        <f>'Key Inputs_New Techs'!R28</f>
        <v>0.67500000000000004</v>
      </c>
      <c r="Z72" s="286">
        <f>'Key Inputs_New Techs'!S28</f>
        <v>0.67500000000000004</v>
      </c>
      <c r="AA72" s="286">
        <f>'Key Inputs_New Techs'!T28</f>
        <v>0.67500000000000004</v>
      </c>
      <c r="AB72" s="286">
        <f>'Key Inputs_New Techs'!U28</f>
        <v>0.67500000000000004</v>
      </c>
      <c r="AC72" s="286">
        <f>'Key Inputs_New Techs'!V28</f>
        <v>0.67500000000000004</v>
      </c>
      <c r="AD72" s="286">
        <f>'Key Inputs_New Techs'!W28</f>
        <v>0.67500000000000004</v>
      </c>
      <c r="AE72" s="286">
        <f>'Key Inputs_New Techs'!X28</f>
        <v>0.67500000000000004</v>
      </c>
      <c r="AF72" s="286">
        <f>'Key Inputs_New Techs'!Y28</f>
        <v>0.67500000000000004</v>
      </c>
      <c r="AG72" s="286">
        <f>'Key Inputs_New Techs'!Z28</f>
        <v>0.67500000000000004</v>
      </c>
      <c r="AH72" s="286">
        <f>'Key Inputs_New Techs'!AA28</f>
        <v>0.67500000000000004</v>
      </c>
      <c r="AI72" s="286">
        <f>'Key Inputs_New Techs'!AB28</f>
        <v>0.67500000000000004</v>
      </c>
      <c r="AJ72" s="286">
        <f>'Key Inputs_New Techs'!AC28</f>
        <v>0.67500000000000004</v>
      </c>
      <c r="AK72" s="286">
        <f>'Key Inputs_New Techs'!AD28</f>
        <v>0.67500000000000004</v>
      </c>
      <c r="AL72" s="286">
        <f>'Key Inputs_New Techs'!AE28</f>
        <v>0.67500000000000004</v>
      </c>
      <c r="AM72" s="286">
        <f>'Key Inputs_New Techs'!AF28</f>
        <v>0.67500000000000004</v>
      </c>
      <c r="AN72" s="286">
        <f>'Key Inputs_New Techs'!AG28</f>
        <v>0.67500000000000004</v>
      </c>
      <c r="AO72" s="286">
        <f>'Key Inputs_New Techs'!AH28</f>
        <v>0.67500000000000004</v>
      </c>
      <c r="AP72" s="286">
        <f>'Key Inputs_New Techs'!AI28</f>
        <v>0.67500000000000004</v>
      </c>
      <c r="AQ72" s="286">
        <f>'Key Inputs_New Techs'!AJ28</f>
        <v>0.67500000000000004</v>
      </c>
      <c r="AR72" s="286">
        <f>'Key Inputs_New Techs'!AK28</f>
        <v>0.67500000000000004</v>
      </c>
      <c r="AS72" s="286">
        <f>'Key Inputs_New Techs'!AL28</f>
        <v>0.67500000000000004</v>
      </c>
      <c r="AT72" s="286"/>
      <c r="AU72" s="286"/>
      <c r="AV72" s="286"/>
    </row>
    <row r="73" spans="1:48" s="211" customFormat="1" ht="15.6" x14ac:dyDescent="0.3">
      <c r="A73" s="535"/>
      <c r="B73" s="535"/>
      <c r="C73" s="535"/>
      <c r="D73" s="535"/>
      <c r="E73" s="538"/>
      <c r="F73" s="535"/>
      <c r="G73" s="541"/>
      <c r="H73" s="541"/>
      <c r="I73" s="541"/>
      <c r="J73" s="221"/>
      <c r="K73" s="328" t="str">
        <f>IF('Key Inputs_New Techs'!B29="","",'Key Inputs_New Techs'!B29)</f>
        <v>S-TH-STV_OIL01</v>
      </c>
      <c r="L73" s="530" t="str">
        <f>IF(K73="","",VLOOKUP(K73,'Commodities &amp; Processes'!$L$48:$M$87,2,FALSE))</f>
        <v>SRV Thermal uses technology: Oil Thermal uses technology: Oil -New</v>
      </c>
      <c r="M73" s="201"/>
      <c r="N73" s="201">
        <f>'Key Inputs_New Techs'!H29</f>
        <v>2020</v>
      </c>
      <c r="O73" s="212" t="s">
        <v>40</v>
      </c>
      <c r="P73" s="223" t="s">
        <v>154</v>
      </c>
      <c r="Q73" s="223"/>
      <c r="R73" s="286">
        <f>'Key Inputs_New Techs'!K29</f>
        <v>0.70200000000000007</v>
      </c>
      <c r="S73" s="286">
        <f>'Key Inputs_New Techs'!L29</f>
        <v>0.70200000000000007</v>
      </c>
      <c r="T73" s="286">
        <f>'Key Inputs_New Techs'!M29</f>
        <v>0.70200000000000007</v>
      </c>
      <c r="U73" s="286">
        <f>'Key Inputs_New Techs'!N29</f>
        <v>0.70200000000000007</v>
      </c>
      <c r="V73" s="286">
        <f>'Key Inputs_New Techs'!O29</f>
        <v>0.70200000000000007</v>
      </c>
      <c r="W73" s="286">
        <f>'Key Inputs_New Techs'!P29</f>
        <v>0.70200000000000007</v>
      </c>
      <c r="X73" s="286">
        <f>'Key Inputs_New Techs'!Q29</f>
        <v>0.70200000000000007</v>
      </c>
      <c r="Y73" s="286">
        <f>'Key Inputs_New Techs'!R29</f>
        <v>0.70200000000000007</v>
      </c>
      <c r="Z73" s="286">
        <f>'Key Inputs_New Techs'!S29</f>
        <v>0.70200000000000007</v>
      </c>
      <c r="AA73" s="286">
        <f>'Key Inputs_New Techs'!T29</f>
        <v>0.70200000000000007</v>
      </c>
      <c r="AB73" s="286">
        <f>'Key Inputs_New Techs'!U29</f>
        <v>0.70200000000000007</v>
      </c>
      <c r="AC73" s="286">
        <f>'Key Inputs_New Techs'!V29</f>
        <v>0.70200000000000007</v>
      </c>
      <c r="AD73" s="286">
        <f>'Key Inputs_New Techs'!W29</f>
        <v>0.70200000000000007</v>
      </c>
      <c r="AE73" s="286">
        <f>'Key Inputs_New Techs'!X29</f>
        <v>0.70200000000000007</v>
      </c>
      <c r="AF73" s="286">
        <f>'Key Inputs_New Techs'!Y29</f>
        <v>0.70200000000000007</v>
      </c>
      <c r="AG73" s="286">
        <f>'Key Inputs_New Techs'!Z29</f>
        <v>0.70200000000000007</v>
      </c>
      <c r="AH73" s="286">
        <f>'Key Inputs_New Techs'!AA29</f>
        <v>0.70200000000000007</v>
      </c>
      <c r="AI73" s="286">
        <f>'Key Inputs_New Techs'!AB29</f>
        <v>0.70200000000000007</v>
      </c>
      <c r="AJ73" s="286">
        <f>'Key Inputs_New Techs'!AC29</f>
        <v>0.70200000000000007</v>
      </c>
      <c r="AK73" s="286">
        <f>'Key Inputs_New Techs'!AD29</f>
        <v>0.70200000000000007</v>
      </c>
      <c r="AL73" s="286">
        <f>'Key Inputs_New Techs'!AE29</f>
        <v>0.70200000000000007</v>
      </c>
      <c r="AM73" s="286">
        <f>'Key Inputs_New Techs'!AF29</f>
        <v>0.70200000000000007</v>
      </c>
      <c r="AN73" s="286">
        <f>'Key Inputs_New Techs'!AG29</f>
        <v>0.70200000000000007</v>
      </c>
      <c r="AO73" s="286">
        <f>'Key Inputs_New Techs'!AH29</f>
        <v>0.70200000000000007</v>
      </c>
      <c r="AP73" s="286">
        <f>'Key Inputs_New Techs'!AI29</f>
        <v>0.70200000000000007</v>
      </c>
      <c r="AQ73" s="286">
        <f>'Key Inputs_New Techs'!AJ29</f>
        <v>0.70200000000000007</v>
      </c>
      <c r="AR73" s="286">
        <f>'Key Inputs_New Techs'!AK29</f>
        <v>0.70200000000000007</v>
      </c>
      <c r="AS73" s="286">
        <f>'Key Inputs_New Techs'!AL29</f>
        <v>0.70200000000000007</v>
      </c>
      <c r="AT73" s="286"/>
      <c r="AU73" s="286"/>
      <c r="AV73" s="286"/>
    </row>
    <row r="74" spans="1:48" s="211" customFormat="1" ht="15.6" x14ac:dyDescent="0.3">
      <c r="A74" s="535"/>
      <c r="B74" s="535"/>
      <c r="C74" s="535"/>
      <c r="D74" s="535"/>
      <c r="E74" s="538"/>
      <c r="F74" s="535"/>
      <c r="G74" s="541"/>
      <c r="H74" s="541"/>
      <c r="I74" s="541"/>
      <c r="J74" s="221"/>
      <c r="K74" s="328" t="str">
        <f>IF('Key Inputs_New Techs'!B30="","",'Key Inputs_New Techs'!B30)</f>
        <v>S-TH-STV_LPG01</v>
      </c>
      <c r="L74" s="530" t="str">
        <f>IF(K74="","",VLOOKUP(K74,'Commodities &amp; Processes'!$L$48:$M$87,2,FALSE))</f>
        <v>SRV Thermal uses technology: LPG Thermal uses technology: LPG -New</v>
      </c>
      <c r="M74" s="201"/>
      <c r="N74" s="201">
        <f>'Key Inputs_New Techs'!H30</f>
        <v>2020</v>
      </c>
      <c r="O74" s="212" t="s">
        <v>40</v>
      </c>
      <c r="P74" s="223" t="s">
        <v>154</v>
      </c>
      <c r="Q74" s="223"/>
      <c r="R74" s="286">
        <f>'Key Inputs_New Techs'!K30</f>
        <v>0.70200000000000007</v>
      </c>
      <c r="S74" s="286">
        <f>'Key Inputs_New Techs'!L30</f>
        <v>0.70200000000000007</v>
      </c>
      <c r="T74" s="286">
        <f>'Key Inputs_New Techs'!M30</f>
        <v>0.70200000000000007</v>
      </c>
      <c r="U74" s="286">
        <f>'Key Inputs_New Techs'!N30</f>
        <v>0.70200000000000007</v>
      </c>
      <c r="V74" s="286">
        <f>'Key Inputs_New Techs'!O30</f>
        <v>0.70200000000000007</v>
      </c>
      <c r="W74" s="286">
        <f>'Key Inputs_New Techs'!P30</f>
        <v>0.70200000000000007</v>
      </c>
      <c r="X74" s="286">
        <f>'Key Inputs_New Techs'!Q30</f>
        <v>0.70200000000000007</v>
      </c>
      <c r="Y74" s="286">
        <f>'Key Inputs_New Techs'!R30</f>
        <v>0.70200000000000007</v>
      </c>
      <c r="Z74" s="286">
        <f>'Key Inputs_New Techs'!S30</f>
        <v>0.70200000000000007</v>
      </c>
      <c r="AA74" s="286">
        <f>'Key Inputs_New Techs'!T30</f>
        <v>0.70200000000000007</v>
      </c>
      <c r="AB74" s="286">
        <f>'Key Inputs_New Techs'!U30</f>
        <v>0.70200000000000007</v>
      </c>
      <c r="AC74" s="286">
        <f>'Key Inputs_New Techs'!V30</f>
        <v>0.70200000000000007</v>
      </c>
      <c r="AD74" s="286">
        <f>'Key Inputs_New Techs'!W30</f>
        <v>0.70200000000000007</v>
      </c>
      <c r="AE74" s="286">
        <f>'Key Inputs_New Techs'!X30</f>
        <v>0.70200000000000007</v>
      </c>
      <c r="AF74" s="286">
        <f>'Key Inputs_New Techs'!Y30</f>
        <v>0.70200000000000007</v>
      </c>
      <c r="AG74" s="286">
        <f>'Key Inputs_New Techs'!Z30</f>
        <v>0.70200000000000007</v>
      </c>
      <c r="AH74" s="286">
        <f>'Key Inputs_New Techs'!AA30</f>
        <v>0.70200000000000007</v>
      </c>
      <c r="AI74" s="286">
        <f>'Key Inputs_New Techs'!AB30</f>
        <v>0.70200000000000007</v>
      </c>
      <c r="AJ74" s="286">
        <f>'Key Inputs_New Techs'!AC30</f>
        <v>0.70200000000000007</v>
      </c>
      <c r="AK74" s="286">
        <f>'Key Inputs_New Techs'!AD30</f>
        <v>0.70200000000000007</v>
      </c>
      <c r="AL74" s="286">
        <f>'Key Inputs_New Techs'!AE30</f>
        <v>0.70200000000000007</v>
      </c>
      <c r="AM74" s="286">
        <f>'Key Inputs_New Techs'!AF30</f>
        <v>0.70200000000000007</v>
      </c>
      <c r="AN74" s="286">
        <f>'Key Inputs_New Techs'!AG30</f>
        <v>0.70200000000000007</v>
      </c>
      <c r="AO74" s="286">
        <f>'Key Inputs_New Techs'!AH30</f>
        <v>0.70200000000000007</v>
      </c>
      <c r="AP74" s="286">
        <f>'Key Inputs_New Techs'!AI30</f>
        <v>0.70200000000000007</v>
      </c>
      <c r="AQ74" s="286">
        <f>'Key Inputs_New Techs'!AJ30</f>
        <v>0.70200000000000007</v>
      </c>
      <c r="AR74" s="286">
        <f>'Key Inputs_New Techs'!AK30</f>
        <v>0.70200000000000007</v>
      </c>
      <c r="AS74" s="286">
        <f>'Key Inputs_New Techs'!AL30</f>
        <v>0.70200000000000007</v>
      </c>
      <c r="AT74" s="286"/>
      <c r="AU74" s="286"/>
      <c r="AV74" s="286"/>
    </row>
    <row r="75" spans="1:48" s="211" customFormat="1" ht="15.6" x14ac:dyDescent="0.3">
      <c r="A75" s="535"/>
      <c r="B75" s="535"/>
      <c r="C75" s="535"/>
      <c r="D75" s="535"/>
      <c r="E75" s="538"/>
      <c r="F75" s="535"/>
      <c r="G75" s="541"/>
      <c r="H75" s="541"/>
      <c r="I75" s="541"/>
      <c r="J75" s="221"/>
      <c r="K75" s="328" t="str">
        <f>IF('Key Inputs_New Techs'!B31="","",'Key Inputs_New Techs'!B31)</f>
        <v>S-TH-STV_BIO01</v>
      </c>
      <c r="L75" s="530" t="str">
        <f>IF(K75="","",VLOOKUP(K75,'Commodities &amp; Processes'!$L$48:$M$87,2,FALSE))</f>
        <v>SRV Thermal uses technology: Biomass Thermal uses technology: Biomass -New</v>
      </c>
      <c r="M75" s="201"/>
      <c r="N75" s="201">
        <f>'Key Inputs_New Techs'!H31</f>
        <v>2020</v>
      </c>
      <c r="O75" s="212" t="s">
        <v>40</v>
      </c>
      <c r="P75" s="223" t="s">
        <v>154</v>
      </c>
      <c r="Q75" s="223"/>
      <c r="R75" s="286">
        <f>'Key Inputs_New Techs'!K31</f>
        <v>0.64800000000000002</v>
      </c>
      <c r="S75" s="286">
        <f>'Key Inputs_New Techs'!L31</f>
        <v>0.64800000000000002</v>
      </c>
      <c r="T75" s="286">
        <f>'Key Inputs_New Techs'!M31</f>
        <v>0.64800000000000002</v>
      </c>
      <c r="U75" s="286">
        <f>'Key Inputs_New Techs'!N31</f>
        <v>0.64800000000000002</v>
      </c>
      <c r="V75" s="286">
        <f>'Key Inputs_New Techs'!O31</f>
        <v>0.64800000000000002</v>
      </c>
      <c r="W75" s="286">
        <f>'Key Inputs_New Techs'!P31</f>
        <v>0.64800000000000002</v>
      </c>
      <c r="X75" s="286">
        <f>'Key Inputs_New Techs'!Q31</f>
        <v>0.64800000000000002</v>
      </c>
      <c r="Y75" s="286">
        <f>'Key Inputs_New Techs'!R31</f>
        <v>0.64800000000000002</v>
      </c>
      <c r="Z75" s="286">
        <f>'Key Inputs_New Techs'!S31</f>
        <v>0.64800000000000002</v>
      </c>
      <c r="AA75" s="286">
        <f>'Key Inputs_New Techs'!T31</f>
        <v>0.64800000000000002</v>
      </c>
      <c r="AB75" s="286">
        <f>'Key Inputs_New Techs'!U31</f>
        <v>0.64800000000000002</v>
      </c>
      <c r="AC75" s="286">
        <f>'Key Inputs_New Techs'!V31</f>
        <v>0.64800000000000002</v>
      </c>
      <c r="AD75" s="286">
        <f>'Key Inputs_New Techs'!W31</f>
        <v>0.64800000000000002</v>
      </c>
      <c r="AE75" s="286">
        <f>'Key Inputs_New Techs'!X31</f>
        <v>0.64800000000000002</v>
      </c>
      <c r="AF75" s="286">
        <f>'Key Inputs_New Techs'!Y31</f>
        <v>0.64800000000000002</v>
      </c>
      <c r="AG75" s="286">
        <f>'Key Inputs_New Techs'!Z31</f>
        <v>0.64800000000000002</v>
      </c>
      <c r="AH75" s="286">
        <f>'Key Inputs_New Techs'!AA31</f>
        <v>0.64800000000000002</v>
      </c>
      <c r="AI75" s="286">
        <f>'Key Inputs_New Techs'!AB31</f>
        <v>0.64800000000000002</v>
      </c>
      <c r="AJ75" s="286">
        <f>'Key Inputs_New Techs'!AC31</f>
        <v>0.64800000000000002</v>
      </c>
      <c r="AK75" s="286">
        <f>'Key Inputs_New Techs'!AD31</f>
        <v>0.64800000000000002</v>
      </c>
      <c r="AL75" s="286">
        <f>'Key Inputs_New Techs'!AE31</f>
        <v>0.64800000000000002</v>
      </c>
      <c r="AM75" s="286">
        <f>'Key Inputs_New Techs'!AF31</f>
        <v>0.64800000000000002</v>
      </c>
      <c r="AN75" s="286">
        <f>'Key Inputs_New Techs'!AG31</f>
        <v>0.64800000000000002</v>
      </c>
      <c r="AO75" s="286">
        <f>'Key Inputs_New Techs'!AH31</f>
        <v>0.64800000000000002</v>
      </c>
      <c r="AP75" s="286">
        <f>'Key Inputs_New Techs'!AI31</f>
        <v>0.64800000000000002</v>
      </c>
      <c r="AQ75" s="286">
        <f>'Key Inputs_New Techs'!AJ31</f>
        <v>0.64800000000000002</v>
      </c>
      <c r="AR75" s="286">
        <f>'Key Inputs_New Techs'!AK31</f>
        <v>0.64800000000000002</v>
      </c>
      <c r="AS75" s="286">
        <f>'Key Inputs_New Techs'!AL31</f>
        <v>0.64800000000000002</v>
      </c>
      <c r="AT75" s="286"/>
      <c r="AU75" s="286"/>
      <c r="AV75" s="286"/>
    </row>
    <row r="76" spans="1:48" s="211" customFormat="1" ht="15.6" x14ac:dyDescent="0.3">
      <c r="A76" s="535"/>
      <c r="B76" s="535"/>
      <c r="C76" s="535"/>
      <c r="D76" s="535"/>
      <c r="E76" s="538"/>
      <c r="F76" s="535"/>
      <c r="G76" s="541"/>
      <c r="H76" s="541"/>
      <c r="I76" s="541"/>
      <c r="J76" s="221"/>
      <c r="K76" s="328" t="str">
        <f>IF('Key Inputs_New Techs'!B32="","",'Key Inputs_New Techs'!B32)</f>
        <v>S-TH-HEX_HET01</v>
      </c>
      <c r="L76" s="530" t="str">
        <f>IF(K76="","",VLOOKUP(K76,'Commodities &amp; Processes'!$L$48:$M$87,2,FALSE))</f>
        <v>SRV Thermal uses technology: Heat District Heat (Ord.) -New</v>
      </c>
      <c r="M76" s="201"/>
      <c r="N76" s="201">
        <f>'Key Inputs_New Techs'!H32</f>
        <v>2020</v>
      </c>
      <c r="O76" s="212" t="s">
        <v>40</v>
      </c>
      <c r="P76" s="223" t="s">
        <v>154</v>
      </c>
      <c r="Q76" s="223"/>
      <c r="R76" s="286">
        <f>'Key Inputs_New Techs'!K32</f>
        <v>0.80999395142491404</v>
      </c>
      <c r="S76" s="286">
        <f>'Key Inputs_New Techs'!L32</f>
        <v>0.80999395142491404</v>
      </c>
      <c r="T76" s="286">
        <f>'Key Inputs_New Techs'!M32</f>
        <v>0.80999395142491404</v>
      </c>
      <c r="U76" s="286">
        <f>'Key Inputs_New Techs'!N32</f>
        <v>0.80999395142491404</v>
      </c>
      <c r="V76" s="286">
        <f>'Key Inputs_New Techs'!O32</f>
        <v>0.72320888520081605</v>
      </c>
      <c r="W76" s="286">
        <f>'Key Inputs_New Techs'!P32</f>
        <v>0.60026337471667734</v>
      </c>
      <c r="X76" s="286">
        <f>'Key Inputs_New Techs'!Q32</f>
        <v>0.60026337471667734</v>
      </c>
      <c r="Y76" s="286">
        <f>'Key Inputs_New Techs'!R32</f>
        <v>0.72320888520081605</v>
      </c>
      <c r="Z76" s="286">
        <f>'Key Inputs_New Techs'!S32</f>
        <v>0.80999395142491404</v>
      </c>
      <c r="AA76" s="286">
        <f>'Key Inputs_New Techs'!T32</f>
        <v>0.72320888520081605</v>
      </c>
      <c r="AB76" s="286">
        <f>'Key Inputs_New Techs'!U32</f>
        <v>0.80999395142491404</v>
      </c>
      <c r="AC76" s="286">
        <f>'Key Inputs_New Techs'!V32</f>
        <v>0.60026337471667734</v>
      </c>
      <c r="AD76" s="286">
        <f>'Key Inputs_New Techs'!W32</f>
        <v>0.80999395142491404</v>
      </c>
      <c r="AE76" s="286">
        <f>'Key Inputs_New Techs'!X32</f>
        <v>0.80999395142491404</v>
      </c>
      <c r="AF76" s="286">
        <f>'Key Inputs_New Techs'!Y32</f>
        <v>0.80999395142491404</v>
      </c>
      <c r="AG76" s="286">
        <f>'Key Inputs_New Techs'!Z32</f>
        <v>0.60026337471667734</v>
      </c>
      <c r="AH76" s="286">
        <f>'Key Inputs_New Techs'!AA32</f>
        <v>0.60026337471667734</v>
      </c>
      <c r="AI76" s="286">
        <f>'Key Inputs_New Techs'!AB32</f>
        <v>0.60026337471667734</v>
      </c>
      <c r="AJ76" s="286">
        <f>'Key Inputs_New Techs'!AC32</f>
        <v>0.72320888520081605</v>
      </c>
      <c r="AK76" s="286">
        <f>'Key Inputs_New Techs'!AD32</f>
        <v>0.72320888520081605</v>
      </c>
      <c r="AL76" s="286">
        <f>'Key Inputs_New Techs'!AE32</f>
        <v>0.80999395142491404</v>
      </c>
      <c r="AM76" s="286">
        <f>'Key Inputs_New Techs'!AF32</f>
        <v>0.80999395142491404</v>
      </c>
      <c r="AN76" s="286">
        <f>'Key Inputs_New Techs'!AG32</f>
        <v>0.80999395142491404</v>
      </c>
      <c r="AO76" s="286">
        <f>'Key Inputs_New Techs'!AH32</f>
        <v>0.80999395142491404</v>
      </c>
      <c r="AP76" s="286">
        <f>'Key Inputs_New Techs'!AI32</f>
        <v>0.80999395142491404</v>
      </c>
      <c r="AQ76" s="286">
        <f>'Key Inputs_New Techs'!AJ32</f>
        <v>0.80999395142491404</v>
      </c>
      <c r="AR76" s="286">
        <f>'Key Inputs_New Techs'!AK32</f>
        <v>0.60026337471667734</v>
      </c>
      <c r="AS76" s="286">
        <f>'Key Inputs_New Techs'!AL32</f>
        <v>0.60026337471667734</v>
      </c>
      <c r="AT76" s="286"/>
      <c r="AU76" s="286"/>
      <c r="AV76" s="286"/>
    </row>
    <row r="77" spans="1:48" s="211" customFormat="1" ht="15.6" x14ac:dyDescent="0.3">
      <c r="A77" s="535"/>
      <c r="B77" s="535"/>
      <c r="C77" s="535"/>
      <c r="D77" s="535"/>
      <c r="E77" s="538"/>
      <c r="F77" s="535"/>
      <c r="G77" s="541"/>
      <c r="H77" s="541"/>
      <c r="I77" s="541"/>
      <c r="J77" s="221"/>
      <c r="K77" s="328" t="str">
        <f>IF('Key Inputs_New Techs'!B33="","",'Key Inputs_New Techs'!B33)</f>
        <v>S-TH-HEX_HET02</v>
      </c>
      <c r="L77" s="530" t="str">
        <f>IF(K77="","",VLOOKUP(K77,'Commodities &amp; Processes'!$L$48:$M$87,2,FALSE))</f>
        <v>SRV Thermal uses technology: Heat District Heat (Imp.) -New</v>
      </c>
      <c r="M77" s="201"/>
      <c r="N77" s="201">
        <f>'Key Inputs_New Techs'!H33</f>
        <v>2025</v>
      </c>
      <c r="O77" s="212" t="s">
        <v>40</v>
      </c>
      <c r="P77" s="223" t="s">
        <v>154</v>
      </c>
      <c r="Q77" s="223"/>
      <c r="R77" s="286">
        <f>'Key Inputs_New Techs'!K33</f>
        <v>0.80999395142491404</v>
      </c>
      <c r="S77" s="286">
        <f>'Key Inputs_New Techs'!L33</f>
        <v>0.80999395142491404</v>
      </c>
      <c r="T77" s="286">
        <f>'Key Inputs_New Techs'!M33</f>
        <v>0.80999395142491404</v>
      </c>
      <c r="U77" s="286">
        <f>'Key Inputs_New Techs'!N33</f>
        <v>0.80999395142491404</v>
      </c>
      <c r="V77" s="286">
        <f>'Key Inputs_New Techs'!O33</f>
        <v>0.72320888520081605</v>
      </c>
      <c r="W77" s="286">
        <f>'Key Inputs_New Techs'!P33</f>
        <v>0.60026337471667734</v>
      </c>
      <c r="X77" s="286">
        <f>'Key Inputs_New Techs'!Q33</f>
        <v>0.60026337471667734</v>
      </c>
      <c r="Y77" s="286">
        <f>'Key Inputs_New Techs'!R33</f>
        <v>0.72320888520081605</v>
      </c>
      <c r="Z77" s="286">
        <f>'Key Inputs_New Techs'!S33</f>
        <v>0.80999395142491404</v>
      </c>
      <c r="AA77" s="286">
        <f>'Key Inputs_New Techs'!T33</f>
        <v>0.72320888520081605</v>
      </c>
      <c r="AB77" s="286">
        <f>'Key Inputs_New Techs'!U33</f>
        <v>0.80999395142491404</v>
      </c>
      <c r="AC77" s="286">
        <f>'Key Inputs_New Techs'!V33</f>
        <v>0.60026337471667734</v>
      </c>
      <c r="AD77" s="286">
        <f>'Key Inputs_New Techs'!W33</f>
        <v>0.80999395142491404</v>
      </c>
      <c r="AE77" s="286">
        <f>'Key Inputs_New Techs'!X33</f>
        <v>0.80999395142491404</v>
      </c>
      <c r="AF77" s="286">
        <f>'Key Inputs_New Techs'!Y33</f>
        <v>0.80999395142491404</v>
      </c>
      <c r="AG77" s="286">
        <f>'Key Inputs_New Techs'!Z33</f>
        <v>0.60026337471667734</v>
      </c>
      <c r="AH77" s="286">
        <f>'Key Inputs_New Techs'!AA33</f>
        <v>0.60026337471667734</v>
      </c>
      <c r="AI77" s="286">
        <f>'Key Inputs_New Techs'!AB33</f>
        <v>0.60026337471667734</v>
      </c>
      <c r="AJ77" s="286">
        <f>'Key Inputs_New Techs'!AC33</f>
        <v>0.72320888520081605</v>
      </c>
      <c r="AK77" s="286">
        <f>'Key Inputs_New Techs'!AD33</f>
        <v>0.72320888520081605</v>
      </c>
      <c r="AL77" s="286">
        <f>'Key Inputs_New Techs'!AE33</f>
        <v>0.80999395142491404</v>
      </c>
      <c r="AM77" s="286">
        <f>'Key Inputs_New Techs'!AF33</f>
        <v>0.80999395142491404</v>
      </c>
      <c r="AN77" s="286">
        <f>'Key Inputs_New Techs'!AG33</f>
        <v>0.80999395142491404</v>
      </c>
      <c r="AO77" s="286">
        <f>'Key Inputs_New Techs'!AH33</f>
        <v>0.80999395142491404</v>
      </c>
      <c r="AP77" s="286">
        <f>'Key Inputs_New Techs'!AI33</f>
        <v>0.80999395142491404</v>
      </c>
      <c r="AQ77" s="286">
        <f>'Key Inputs_New Techs'!AJ33</f>
        <v>0.80999395142491404</v>
      </c>
      <c r="AR77" s="286">
        <f>'Key Inputs_New Techs'!AK33</f>
        <v>0.60026337471667734</v>
      </c>
      <c r="AS77" s="286">
        <f>'Key Inputs_New Techs'!AL33</f>
        <v>0.60026337471667734</v>
      </c>
      <c r="AT77" s="286"/>
      <c r="AU77" s="286"/>
      <c r="AV77" s="286"/>
    </row>
    <row r="78" spans="1:48" s="211" customFormat="1" ht="15.6" x14ac:dyDescent="0.3">
      <c r="A78" s="535"/>
      <c r="B78" s="535"/>
      <c r="C78" s="535"/>
      <c r="D78" s="535"/>
      <c r="E78" s="538"/>
      <c r="F78" s="535"/>
      <c r="G78" s="541"/>
      <c r="H78" s="541"/>
      <c r="I78" s="541"/>
      <c r="J78" s="221"/>
      <c r="K78" s="328" t="str">
        <f>IF('Key Inputs_New Techs'!B34="","",'Key Inputs_New Techs'!B34)</f>
        <v/>
      </c>
      <c r="L78" s="530" t="str">
        <f>IF(K78="","",VLOOKUP(K78,'Commodities &amp; Processes'!$L$48:$M$87,2,FALSE))</f>
        <v/>
      </c>
      <c r="M78" s="201"/>
      <c r="N78" s="201">
        <f>'Key Inputs_New Techs'!H34</f>
        <v>2030</v>
      </c>
      <c r="O78" s="212" t="s">
        <v>40</v>
      </c>
      <c r="P78" s="223" t="s">
        <v>154</v>
      </c>
      <c r="Q78" s="223"/>
      <c r="R78" s="286">
        <f>'Key Inputs_New Techs'!K34</f>
        <v>0.83216000000000012</v>
      </c>
      <c r="S78" s="286">
        <f>'Key Inputs_New Techs'!L34</f>
        <v>0.83216000000000012</v>
      </c>
      <c r="T78" s="286">
        <f>'Key Inputs_New Techs'!M34</f>
        <v>0.83216000000000012</v>
      </c>
      <c r="U78" s="286">
        <f>'Key Inputs_New Techs'!N34</f>
        <v>0.83216000000000012</v>
      </c>
      <c r="V78" s="286">
        <f>'Key Inputs_New Techs'!O34</f>
        <v>0.74299999999999999</v>
      </c>
      <c r="W78" s="286">
        <f>'Key Inputs_New Techs'!P34</f>
        <v>0.61668999999999996</v>
      </c>
      <c r="X78" s="286">
        <f>'Key Inputs_New Techs'!Q34</f>
        <v>0.61668999999999996</v>
      </c>
      <c r="Y78" s="286">
        <f>'Key Inputs_New Techs'!R34</f>
        <v>0.74299999999999999</v>
      </c>
      <c r="Z78" s="286">
        <f>'Key Inputs_New Techs'!S34</f>
        <v>0.83216000000000012</v>
      </c>
      <c r="AA78" s="286">
        <f>'Key Inputs_New Techs'!T34</f>
        <v>0.74299999999999999</v>
      </c>
      <c r="AB78" s="286">
        <f>'Key Inputs_New Techs'!U34</f>
        <v>0.83216000000000012</v>
      </c>
      <c r="AC78" s="286">
        <f>'Key Inputs_New Techs'!V34</f>
        <v>0.61668999999999996</v>
      </c>
      <c r="AD78" s="286">
        <f>'Key Inputs_New Techs'!W34</f>
        <v>0.83216000000000012</v>
      </c>
      <c r="AE78" s="286">
        <f>'Key Inputs_New Techs'!X34</f>
        <v>0.83216000000000012</v>
      </c>
      <c r="AF78" s="286">
        <f>'Key Inputs_New Techs'!Y34</f>
        <v>0.83216000000000012</v>
      </c>
      <c r="AG78" s="286">
        <f>'Key Inputs_New Techs'!Z34</f>
        <v>0.61668999999999996</v>
      </c>
      <c r="AH78" s="286">
        <f>'Key Inputs_New Techs'!AA34</f>
        <v>0.61668999999999996</v>
      </c>
      <c r="AI78" s="286">
        <f>'Key Inputs_New Techs'!AB34</f>
        <v>0.61668999999999996</v>
      </c>
      <c r="AJ78" s="286">
        <f>'Key Inputs_New Techs'!AC34</f>
        <v>0.74299999999999999</v>
      </c>
      <c r="AK78" s="286">
        <f>'Key Inputs_New Techs'!AD34</f>
        <v>0.74299999999999999</v>
      </c>
      <c r="AL78" s="286">
        <f>'Key Inputs_New Techs'!AE34</f>
        <v>0.83216000000000012</v>
      </c>
      <c r="AM78" s="286">
        <f>'Key Inputs_New Techs'!AF34</f>
        <v>0.83216000000000012</v>
      </c>
      <c r="AN78" s="286">
        <f>'Key Inputs_New Techs'!AG34</f>
        <v>0.83216000000000012</v>
      </c>
      <c r="AO78" s="286">
        <f>'Key Inputs_New Techs'!AH34</f>
        <v>0.83216000000000012</v>
      </c>
      <c r="AP78" s="286">
        <f>'Key Inputs_New Techs'!AI34</f>
        <v>0.83216000000000012</v>
      </c>
      <c r="AQ78" s="286">
        <f>'Key Inputs_New Techs'!AJ34</f>
        <v>0.83216000000000012</v>
      </c>
      <c r="AR78" s="286">
        <f>'Key Inputs_New Techs'!AK34</f>
        <v>0.61668999999999996</v>
      </c>
      <c r="AS78" s="286">
        <f>'Key Inputs_New Techs'!AL34</f>
        <v>0.61668999999999996</v>
      </c>
      <c r="AT78" s="286"/>
      <c r="AU78" s="286"/>
      <c r="AV78" s="286"/>
    </row>
    <row r="79" spans="1:48" s="211" customFormat="1" ht="15.6" x14ac:dyDescent="0.3">
      <c r="A79" s="535"/>
      <c r="B79" s="535"/>
      <c r="C79" s="535"/>
      <c r="D79" s="535"/>
      <c r="E79" s="538"/>
      <c r="F79" s="535"/>
      <c r="G79" s="541"/>
      <c r="H79" s="541"/>
      <c r="I79" s="541"/>
      <c r="J79" s="221"/>
      <c r="K79" s="328" t="str">
        <f>IF('Key Inputs_New Techs'!B35="","",'Key Inputs_New Techs'!B35)</f>
        <v/>
      </c>
      <c r="L79" s="530" t="str">
        <f>IF(K79="","",VLOOKUP(K79,'Commodities &amp; Processes'!$L$48:$M$87,2,FALSE))</f>
        <v/>
      </c>
      <c r="M79" s="201"/>
      <c r="N79" s="201">
        <f>'Key Inputs_New Techs'!H35</f>
        <v>2050</v>
      </c>
      <c r="O79" s="212" t="s">
        <v>40</v>
      </c>
      <c r="P79" s="223" t="s">
        <v>154</v>
      </c>
      <c r="Q79" s="223"/>
      <c r="R79" s="286">
        <f>'Key Inputs_New Techs'!K35</f>
        <v>0.84783999999999993</v>
      </c>
      <c r="S79" s="286">
        <f>'Key Inputs_New Techs'!L35</f>
        <v>0.84783999999999993</v>
      </c>
      <c r="T79" s="286">
        <f>'Key Inputs_New Techs'!M35</f>
        <v>0.84783999999999993</v>
      </c>
      <c r="U79" s="286">
        <f>'Key Inputs_New Techs'!N35</f>
        <v>0.84783999999999993</v>
      </c>
      <c r="V79" s="286">
        <f>'Key Inputs_New Techs'!O35</f>
        <v>0.7569999999999999</v>
      </c>
      <c r="W79" s="286">
        <f>'Key Inputs_New Techs'!P35</f>
        <v>0.62830999999999992</v>
      </c>
      <c r="X79" s="286">
        <f>'Key Inputs_New Techs'!Q35</f>
        <v>0.62830999999999992</v>
      </c>
      <c r="Y79" s="286">
        <f>'Key Inputs_New Techs'!R35</f>
        <v>0.7569999999999999</v>
      </c>
      <c r="Z79" s="286">
        <f>'Key Inputs_New Techs'!S35</f>
        <v>0.84783999999999993</v>
      </c>
      <c r="AA79" s="286">
        <f>'Key Inputs_New Techs'!T35</f>
        <v>0.7569999999999999</v>
      </c>
      <c r="AB79" s="286">
        <f>'Key Inputs_New Techs'!U35</f>
        <v>0.84783999999999993</v>
      </c>
      <c r="AC79" s="286">
        <f>'Key Inputs_New Techs'!V35</f>
        <v>0.62830999999999992</v>
      </c>
      <c r="AD79" s="286">
        <f>'Key Inputs_New Techs'!W35</f>
        <v>0.84783999999999993</v>
      </c>
      <c r="AE79" s="286">
        <f>'Key Inputs_New Techs'!X35</f>
        <v>0.84783999999999993</v>
      </c>
      <c r="AF79" s="286">
        <f>'Key Inputs_New Techs'!Y35</f>
        <v>0.84783999999999993</v>
      </c>
      <c r="AG79" s="286">
        <f>'Key Inputs_New Techs'!Z35</f>
        <v>0.62830999999999992</v>
      </c>
      <c r="AH79" s="286">
        <f>'Key Inputs_New Techs'!AA35</f>
        <v>0.62830999999999992</v>
      </c>
      <c r="AI79" s="286">
        <f>'Key Inputs_New Techs'!AB35</f>
        <v>0.62830999999999992</v>
      </c>
      <c r="AJ79" s="286">
        <f>'Key Inputs_New Techs'!AC35</f>
        <v>0.7569999999999999</v>
      </c>
      <c r="AK79" s="286">
        <f>'Key Inputs_New Techs'!AD35</f>
        <v>0.7569999999999999</v>
      </c>
      <c r="AL79" s="286">
        <f>'Key Inputs_New Techs'!AE35</f>
        <v>0.84783999999999993</v>
      </c>
      <c r="AM79" s="286">
        <f>'Key Inputs_New Techs'!AF35</f>
        <v>0.84783999999999993</v>
      </c>
      <c r="AN79" s="286">
        <f>'Key Inputs_New Techs'!AG35</f>
        <v>0.84783999999999993</v>
      </c>
      <c r="AO79" s="286">
        <f>'Key Inputs_New Techs'!AH35</f>
        <v>0.84783999999999993</v>
      </c>
      <c r="AP79" s="286">
        <f>'Key Inputs_New Techs'!AI35</f>
        <v>0.84783999999999993</v>
      </c>
      <c r="AQ79" s="286">
        <f>'Key Inputs_New Techs'!AJ35</f>
        <v>0.84783999999999993</v>
      </c>
      <c r="AR79" s="286">
        <f>'Key Inputs_New Techs'!AK35</f>
        <v>0.62830999999999992</v>
      </c>
      <c r="AS79" s="286">
        <f>'Key Inputs_New Techs'!AL35</f>
        <v>0.62830999999999992</v>
      </c>
      <c r="AT79" s="286"/>
      <c r="AU79" s="286"/>
      <c r="AV79" s="286"/>
    </row>
    <row r="80" spans="1:48" s="211" customFormat="1" ht="15.6" x14ac:dyDescent="0.3">
      <c r="A80" s="535"/>
      <c r="B80" s="535"/>
      <c r="C80" s="535"/>
      <c r="D80" s="535"/>
      <c r="E80" s="538"/>
      <c r="F80" s="535"/>
      <c r="G80" s="541"/>
      <c r="H80" s="541"/>
      <c r="I80" s="541"/>
      <c r="J80" s="221"/>
      <c r="K80" s="328" t="str">
        <f>IF('Key Inputs_New Techs'!B36="","",'Key Inputs_New Techs'!B36)</f>
        <v>S-AC_ELC01</v>
      </c>
      <c r="L80" s="530" t="str">
        <f>IF(K80="","",VLOOKUP(K80,'Commodities &amp; Processes'!$L$48:$M$87,2,FALSE))</f>
        <v>SRV Air conditioning tech: Electricity - Air conditioning (Ord.)</v>
      </c>
      <c r="M80" s="201"/>
      <c r="N80" s="201">
        <f>'Key Inputs_New Techs'!H36</f>
        <v>2020</v>
      </c>
      <c r="O80" s="212" t="s">
        <v>40</v>
      </c>
      <c r="P80" s="223" t="s">
        <v>154</v>
      </c>
      <c r="Q80" s="223"/>
      <c r="R80" s="286">
        <f>'Key Inputs_New Techs'!K36</f>
        <v>2.7453024909845536</v>
      </c>
      <c r="S80" s="286">
        <f>'Key Inputs_New Techs'!L36</f>
        <v>2.7453024909845536</v>
      </c>
      <c r="T80" s="286">
        <f>'Key Inputs_New Techs'!M36</f>
        <v>2.7453024909845536</v>
      </c>
      <c r="U80" s="286">
        <f>'Key Inputs_New Techs'!N36</f>
        <v>2.7453024909845536</v>
      </c>
      <c r="V80" s="286">
        <f>'Key Inputs_New Techs'!O36</f>
        <v>2.7453024909845536</v>
      </c>
      <c r="W80" s="286">
        <f>'Key Inputs_New Techs'!P36</f>
        <v>2.7453024909845536</v>
      </c>
      <c r="X80" s="286">
        <f>'Key Inputs_New Techs'!Q36</f>
        <v>2.7453024909845536</v>
      </c>
      <c r="Y80" s="286">
        <f>'Key Inputs_New Techs'!R36</f>
        <v>2.7453024909845536</v>
      </c>
      <c r="Z80" s="286">
        <f>'Key Inputs_New Techs'!S36</f>
        <v>2.7453024909845536</v>
      </c>
      <c r="AA80" s="286">
        <f>'Key Inputs_New Techs'!T36</f>
        <v>2.7453024909845536</v>
      </c>
      <c r="AB80" s="286">
        <f>'Key Inputs_New Techs'!U36</f>
        <v>2.7453024909845536</v>
      </c>
      <c r="AC80" s="286">
        <f>'Key Inputs_New Techs'!V36</f>
        <v>2.7453024909845536</v>
      </c>
      <c r="AD80" s="286">
        <f>'Key Inputs_New Techs'!W36</f>
        <v>2.7453024909845536</v>
      </c>
      <c r="AE80" s="286">
        <f>'Key Inputs_New Techs'!X36</f>
        <v>2.7453024909845536</v>
      </c>
      <c r="AF80" s="286">
        <f>'Key Inputs_New Techs'!Y36</f>
        <v>2.7453024909845536</v>
      </c>
      <c r="AG80" s="286">
        <f>'Key Inputs_New Techs'!Z36</f>
        <v>2.7453024909845536</v>
      </c>
      <c r="AH80" s="286">
        <f>'Key Inputs_New Techs'!AA36</f>
        <v>2.7453024909845536</v>
      </c>
      <c r="AI80" s="286">
        <f>'Key Inputs_New Techs'!AB36</f>
        <v>2.7453024909845536</v>
      </c>
      <c r="AJ80" s="286">
        <f>'Key Inputs_New Techs'!AC36</f>
        <v>2.7453024909845536</v>
      </c>
      <c r="AK80" s="286">
        <f>'Key Inputs_New Techs'!AD36</f>
        <v>2.7453024909845536</v>
      </c>
      <c r="AL80" s="286">
        <f>'Key Inputs_New Techs'!AE36</f>
        <v>2.7453024909845536</v>
      </c>
      <c r="AM80" s="286">
        <f>'Key Inputs_New Techs'!AF36</f>
        <v>2.7453024909845536</v>
      </c>
      <c r="AN80" s="286">
        <f>'Key Inputs_New Techs'!AG36</f>
        <v>2.7453024909845536</v>
      </c>
      <c r="AO80" s="286">
        <f>'Key Inputs_New Techs'!AH36</f>
        <v>2.7453024909845536</v>
      </c>
      <c r="AP80" s="286">
        <f>'Key Inputs_New Techs'!AI36</f>
        <v>2.7453024909845536</v>
      </c>
      <c r="AQ80" s="286">
        <f>'Key Inputs_New Techs'!AJ36</f>
        <v>2.7453024909845536</v>
      </c>
      <c r="AR80" s="286">
        <f>'Key Inputs_New Techs'!AK36</f>
        <v>2.7453024909845536</v>
      </c>
      <c r="AS80" s="286">
        <f>'Key Inputs_New Techs'!AL36</f>
        <v>2.7453024909845536</v>
      </c>
      <c r="AT80" s="286"/>
      <c r="AU80" s="286"/>
      <c r="AV80" s="286"/>
    </row>
    <row r="81" spans="1:48" s="211" customFormat="1" ht="15.6" x14ac:dyDescent="0.3">
      <c r="A81" s="535"/>
      <c r="B81" s="535"/>
      <c r="C81" s="535"/>
      <c r="D81" s="535"/>
      <c r="E81" s="538"/>
      <c r="F81" s="535"/>
      <c r="G81" s="541"/>
      <c r="H81" s="541"/>
      <c r="I81" s="541"/>
      <c r="J81" s="221"/>
      <c r="K81" s="328" t="str">
        <f>IF('Key Inputs_New Techs'!B37="","",'Key Inputs_New Techs'!B37)</f>
        <v>S-AC_ELC02</v>
      </c>
      <c r="L81" s="530" t="str">
        <f>IF(K81="","",VLOOKUP(K81,'Commodities &amp; Processes'!$L$48:$M$87,2,FALSE))</f>
        <v>SRV Air conditioning tech: Electricity - Air conditioning (Imp.)</v>
      </c>
      <c r="M81" s="201"/>
      <c r="N81" s="201">
        <f>'Key Inputs_New Techs'!H37</f>
        <v>2025</v>
      </c>
      <c r="O81" s="212" t="s">
        <v>40</v>
      </c>
      <c r="P81" s="223" t="s">
        <v>154</v>
      </c>
      <c r="Q81" s="223"/>
      <c r="R81" s="286">
        <f>'Key Inputs_New Techs'!K37</f>
        <v>2.7453024909845536</v>
      </c>
      <c r="S81" s="286">
        <f>'Key Inputs_New Techs'!L37</f>
        <v>2.7453024909845536</v>
      </c>
      <c r="T81" s="286">
        <f>'Key Inputs_New Techs'!M37</f>
        <v>2.7453024909845536</v>
      </c>
      <c r="U81" s="286">
        <f>'Key Inputs_New Techs'!N37</f>
        <v>2.7453024909845536</v>
      </c>
      <c r="V81" s="286">
        <f>'Key Inputs_New Techs'!O37</f>
        <v>2.7453024909845536</v>
      </c>
      <c r="W81" s="286">
        <f>'Key Inputs_New Techs'!P37</f>
        <v>2.7453024909845536</v>
      </c>
      <c r="X81" s="286">
        <f>'Key Inputs_New Techs'!Q37</f>
        <v>2.7453024909845536</v>
      </c>
      <c r="Y81" s="286">
        <f>'Key Inputs_New Techs'!R37</f>
        <v>2.7453024909845536</v>
      </c>
      <c r="Z81" s="286">
        <f>'Key Inputs_New Techs'!S37</f>
        <v>2.7453024909845536</v>
      </c>
      <c r="AA81" s="286">
        <f>'Key Inputs_New Techs'!T37</f>
        <v>2.7453024909845536</v>
      </c>
      <c r="AB81" s="286">
        <f>'Key Inputs_New Techs'!U37</f>
        <v>2.7453024909845536</v>
      </c>
      <c r="AC81" s="286">
        <f>'Key Inputs_New Techs'!V37</f>
        <v>2.7453024909845536</v>
      </c>
      <c r="AD81" s="286">
        <f>'Key Inputs_New Techs'!W37</f>
        <v>2.7453024909845536</v>
      </c>
      <c r="AE81" s="286">
        <f>'Key Inputs_New Techs'!X37</f>
        <v>2.7453024909845536</v>
      </c>
      <c r="AF81" s="286">
        <f>'Key Inputs_New Techs'!Y37</f>
        <v>2.7453024909845536</v>
      </c>
      <c r="AG81" s="286">
        <f>'Key Inputs_New Techs'!Z37</f>
        <v>2.7453024909845536</v>
      </c>
      <c r="AH81" s="286">
        <f>'Key Inputs_New Techs'!AA37</f>
        <v>2.7453024909845536</v>
      </c>
      <c r="AI81" s="286">
        <f>'Key Inputs_New Techs'!AB37</f>
        <v>2.7453024909845536</v>
      </c>
      <c r="AJ81" s="286">
        <f>'Key Inputs_New Techs'!AC37</f>
        <v>2.7453024909845536</v>
      </c>
      <c r="AK81" s="286">
        <f>'Key Inputs_New Techs'!AD37</f>
        <v>2.7453024909845536</v>
      </c>
      <c r="AL81" s="286">
        <f>'Key Inputs_New Techs'!AE37</f>
        <v>2.7453024909845536</v>
      </c>
      <c r="AM81" s="286">
        <f>'Key Inputs_New Techs'!AF37</f>
        <v>2.7453024909845536</v>
      </c>
      <c r="AN81" s="286">
        <f>'Key Inputs_New Techs'!AG37</f>
        <v>2.7453024909845536</v>
      </c>
      <c r="AO81" s="286">
        <f>'Key Inputs_New Techs'!AH37</f>
        <v>2.7453024909845536</v>
      </c>
      <c r="AP81" s="286">
        <f>'Key Inputs_New Techs'!AI37</f>
        <v>2.7453024909845536</v>
      </c>
      <c r="AQ81" s="286">
        <f>'Key Inputs_New Techs'!AJ37</f>
        <v>2.7453024909845536</v>
      </c>
      <c r="AR81" s="286">
        <f>'Key Inputs_New Techs'!AK37</f>
        <v>2.7453024909845536</v>
      </c>
      <c r="AS81" s="286">
        <f>'Key Inputs_New Techs'!AL37</f>
        <v>2.7453024909845536</v>
      </c>
      <c r="AT81" s="286"/>
      <c r="AU81" s="286"/>
      <c r="AV81" s="286"/>
    </row>
    <row r="82" spans="1:48" s="211" customFormat="1" ht="15.6" x14ac:dyDescent="0.3">
      <c r="A82" s="535"/>
      <c r="B82" s="535"/>
      <c r="C82" s="535"/>
      <c r="D82" s="535"/>
      <c r="E82" s="538"/>
      <c r="F82" s="535"/>
      <c r="G82" s="541"/>
      <c r="H82" s="541"/>
      <c r="I82" s="541"/>
      <c r="J82" s="221"/>
      <c r="K82" s="328" t="str">
        <f>IF('Key Inputs_New Techs'!B38="","",'Key Inputs_New Techs'!B38)</f>
        <v/>
      </c>
      <c r="L82" s="530" t="str">
        <f>IF(K82="","",VLOOKUP(K82,'Commodities &amp; Processes'!$L$48:$M$87,2,FALSE))</f>
        <v/>
      </c>
      <c r="M82" s="201"/>
      <c r="N82" s="201">
        <f>'Key Inputs_New Techs'!H38</f>
        <v>2030</v>
      </c>
      <c r="O82" s="212" t="s">
        <v>40</v>
      </c>
      <c r="P82" s="223" t="s">
        <v>154</v>
      </c>
      <c r="Q82" s="223"/>
      <c r="R82" s="286">
        <f>'Key Inputs_New Techs'!K38</f>
        <v>2.9049093100084065</v>
      </c>
      <c r="S82" s="286">
        <f>'Key Inputs_New Techs'!L38</f>
        <v>2.9049093100084065</v>
      </c>
      <c r="T82" s="286">
        <f>'Key Inputs_New Techs'!M38</f>
        <v>2.9049093100084065</v>
      </c>
      <c r="U82" s="286">
        <f>'Key Inputs_New Techs'!N38</f>
        <v>2.9049093100084065</v>
      </c>
      <c r="V82" s="286">
        <f>'Key Inputs_New Techs'!O38</f>
        <v>2.9049093100084065</v>
      </c>
      <c r="W82" s="286">
        <f>'Key Inputs_New Techs'!P38</f>
        <v>2.9049093100084065</v>
      </c>
      <c r="X82" s="286">
        <f>'Key Inputs_New Techs'!Q38</f>
        <v>2.9049093100084065</v>
      </c>
      <c r="Y82" s="286">
        <f>'Key Inputs_New Techs'!R38</f>
        <v>2.9049093100084065</v>
      </c>
      <c r="Z82" s="286">
        <f>'Key Inputs_New Techs'!S38</f>
        <v>2.9049093100084065</v>
      </c>
      <c r="AA82" s="286">
        <f>'Key Inputs_New Techs'!T38</f>
        <v>2.9049093100084065</v>
      </c>
      <c r="AB82" s="286">
        <f>'Key Inputs_New Techs'!U38</f>
        <v>2.9049093100084065</v>
      </c>
      <c r="AC82" s="286">
        <f>'Key Inputs_New Techs'!V38</f>
        <v>2.9049093100084065</v>
      </c>
      <c r="AD82" s="286">
        <f>'Key Inputs_New Techs'!W38</f>
        <v>2.9049093100084065</v>
      </c>
      <c r="AE82" s="286">
        <f>'Key Inputs_New Techs'!X38</f>
        <v>2.9049093100084065</v>
      </c>
      <c r="AF82" s="286">
        <f>'Key Inputs_New Techs'!Y38</f>
        <v>2.9049093100084065</v>
      </c>
      <c r="AG82" s="286">
        <f>'Key Inputs_New Techs'!Z38</f>
        <v>2.9049093100084065</v>
      </c>
      <c r="AH82" s="286">
        <f>'Key Inputs_New Techs'!AA38</f>
        <v>2.9049093100084065</v>
      </c>
      <c r="AI82" s="286">
        <f>'Key Inputs_New Techs'!AB38</f>
        <v>2.9049093100084065</v>
      </c>
      <c r="AJ82" s="286">
        <f>'Key Inputs_New Techs'!AC38</f>
        <v>2.9049093100084065</v>
      </c>
      <c r="AK82" s="286">
        <f>'Key Inputs_New Techs'!AD38</f>
        <v>2.9049093100084065</v>
      </c>
      <c r="AL82" s="286">
        <f>'Key Inputs_New Techs'!AE38</f>
        <v>2.9049093100084065</v>
      </c>
      <c r="AM82" s="286">
        <f>'Key Inputs_New Techs'!AF38</f>
        <v>2.9049093100084065</v>
      </c>
      <c r="AN82" s="286">
        <f>'Key Inputs_New Techs'!AG38</f>
        <v>2.9049093100084065</v>
      </c>
      <c r="AO82" s="286">
        <f>'Key Inputs_New Techs'!AH38</f>
        <v>2.9049093100084065</v>
      </c>
      <c r="AP82" s="286">
        <f>'Key Inputs_New Techs'!AI38</f>
        <v>2.9049093100084065</v>
      </c>
      <c r="AQ82" s="286">
        <f>'Key Inputs_New Techs'!AJ38</f>
        <v>2.9049093100084065</v>
      </c>
      <c r="AR82" s="286">
        <f>'Key Inputs_New Techs'!AK38</f>
        <v>2.9049093100084065</v>
      </c>
      <c r="AS82" s="286">
        <f>'Key Inputs_New Techs'!AL38</f>
        <v>2.9049093100084065</v>
      </c>
      <c r="AT82" s="286"/>
      <c r="AU82" s="286"/>
      <c r="AV82" s="286"/>
    </row>
    <row r="83" spans="1:48" s="211" customFormat="1" ht="15.6" x14ac:dyDescent="0.3">
      <c r="A83" s="535"/>
      <c r="B83" s="535"/>
      <c r="C83" s="535"/>
      <c r="D83" s="535"/>
      <c r="E83" s="538"/>
      <c r="F83" s="535"/>
      <c r="G83" s="541"/>
      <c r="H83" s="541"/>
      <c r="I83" s="541"/>
      <c r="J83" s="221"/>
      <c r="K83" s="328" t="str">
        <f>IF('Key Inputs_New Techs'!B39="","",'Key Inputs_New Techs'!B39)</f>
        <v/>
      </c>
      <c r="L83" s="530" t="str">
        <f>IF(K83="","",VLOOKUP(K83,'Commodities &amp; Processes'!$L$48:$M$87,2,FALSE))</f>
        <v/>
      </c>
      <c r="M83" s="201"/>
      <c r="N83" s="201">
        <f>'Key Inputs_New Techs'!H39</f>
        <v>2050</v>
      </c>
      <c r="O83" s="212" t="s">
        <v>40</v>
      </c>
      <c r="P83" s="223" t="s">
        <v>154</v>
      </c>
      <c r="Q83" s="223"/>
      <c r="R83" s="286">
        <f>'Key Inputs_New Techs'!K39</f>
        <v>2.9368306738131773</v>
      </c>
      <c r="S83" s="286">
        <f>'Key Inputs_New Techs'!L39</f>
        <v>2.9368306738131773</v>
      </c>
      <c r="T83" s="286">
        <f>'Key Inputs_New Techs'!M39</f>
        <v>2.9368306738131773</v>
      </c>
      <c r="U83" s="286">
        <f>'Key Inputs_New Techs'!N39</f>
        <v>2.9368306738131773</v>
      </c>
      <c r="V83" s="286">
        <f>'Key Inputs_New Techs'!O39</f>
        <v>2.9368306738131773</v>
      </c>
      <c r="W83" s="286">
        <f>'Key Inputs_New Techs'!P39</f>
        <v>2.9368306738131773</v>
      </c>
      <c r="X83" s="286">
        <f>'Key Inputs_New Techs'!Q39</f>
        <v>2.9368306738131773</v>
      </c>
      <c r="Y83" s="286">
        <f>'Key Inputs_New Techs'!R39</f>
        <v>2.9368306738131773</v>
      </c>
      <c r="Z83" s="286">
        <f>'Key Inputs_New Techs'!S39</f>
        <v>2.9368306738131773</v>
      </c>
      <c r="AA83" s="286">
        <f>'Key Inputs_New Techs'!T39</f>
        <v>2.9368306738131773</v>
      </c>
      <c r="AB83" s="286">
        <f>'Key Inputs_New Techs'!U39</f>
        <v>2.9368306738131773</v>
      </c>
      <c r="AC83" s="286">
        <f>'Key Inputs_New Techs'!V39</f>
        <v>2.9368306738131773</v>
      </c>
      <c r="AD83" s="286">
        <f>'Key Inputs_New Techs'!W39</f>
        <v>2.9368306738131773</v>
      </c>
      <c r="AE83" s="286">
        <f>'Key Inputs_New Techs'!X39</f>
        <v>2.9368306738131773</v>
      </c>
      <c r="AF83" s="286">
        <f>'Key Inputs_New Techs'!Y39</f>
        <v>2.9368306738131773</v>
      </c>
      <c r="AG83" s="286">
        <f>'Key Inputs_New Techs'!Z39</f>
        <v>2.9368306738131773</v>
      </c>
      <c r="AH83" s="286">
        <f>'Key Inputs_New Techs'!AA39</f>
        <v>2.9368306738131773</v>
      </c>
      <c r="AI83" s="286">
        <f>'Key Inputs_New Techs'!AB39</f>
        <v>2.9368306738131773</v>
      </c>
      <c r="AJ83" s="286">
        <f>'Key Inputs_New Techs'!AC39</f>
        <v>2.9368306738131773</v>
      </c>
      <c r="AK83" s="286">
        <f>'Key Inputs_New Techs'!AD39</f>
        <v>2.9368306738131773</v>
      </c>
      <c r="AL83" s="286">
        <f>'Key Inputs_New Techs'!AE39</f>
        <v>2.9368306738131773</v>
      </c>
      <c r="AM83" s="286">
        <f>'Key Inputs_New Techs'!AF39</f>
        <v>2.9368306738131773</v>
      </c>
      <c r="AN83" s="286">
        <f>'Key Inputs_New Techs'!AG39</f>
        <v>2.9368306738131773</v>
      </c>
      <c r="AO83" s="286">
        <f>'Key Inputs_New Techs'!AH39</f>
        <v>2.9368306738131773</v>
      </c>
      <c r="AP83" s="286">
        <f>'Key Inputs_New Techs'!AI39</f>
        <v>2.9368306738131773</v>
      </c>
      <c r="AQ83" s="286">
        <f>'Key Inputs_New Techs'!AJ39</f>
        <v>2.9368306738131773</v>
      </c>
      <c r="AR83" s="286">
        <f>'Key Inputs_New Techs'!AK39</f>
        <v>2.9368306738131773</v>
      </c>
      <c r="AS83" s="286">
        <f>'Key Inputs_New Techs'!AL39</f>
        <v>2.9368306738131773</v>
      </c>
      <c r="AT83" s="286"/>
      <c r="AU83" s="286"/>
      <c r="AV83" s="286"/>
    </row>
    <row r="84" spans="1:48" s="211" customFormat="1" ht="15.6" x14ac:dyDescent="0.3">
      <c r="A84" s="535"/>
      <c r="B84" s="535"/>
      <c r="C84" s="535"/>
      <c r="D84" s="535"/>
      <c r="E84" s="538"/>
      <c r="F84" s="535"/>
      <c r="G84" s="541"/>
      <c r="H84" s="541"/>
      <c r="I84" s="541"/>
      <c r="J84" s="221"/>
      <c r="K84" s="328" t="str">
        <f>IF('Key Inputs_New Techs'!B40="","",'Key Inputs_New Techs'!B40)</f>
        <v>S-AC_ELC03</v>
      </c>
      <c r="L84" s="530" t="str">
        <f>IF(K84="","",VLOOKUP(K84,'Commodities &amp; Processes'!$L$48:$M$87,2,FALSE))</f>
        <v>SRV Air conditioning tech: Electricity - Air conditioning (Adv.)</v>
      </c>
      <c r="M84" s="201"/>
      <c r="N84" s="201">
        <f>'Key Inputs_New Techs'!H40</f>
        <v>2030</v>
      </c>
      <c r="O84" s="212" t="s">
        <v>40</v>
      </c>
      <c r="P84" s="223" t="s">
        <v>154</v>
      </c>
      <c r="Q84" s="223"/>
      <c r="R84" s="286">
        <f>'Key Inputs_New Techs'!K40</f>
        <v>3.7211981566820276</v>
      </c>
      <c r="S84" s="286">
        <f>'Key Inputs_New Techs'!L40</f>
        <v>3.7211981566820276</v>
      </c>
      <c r="T84" s="286">
        <f>'Key Inputs_New Techs'!M40</f>
        <v>3.7211981566820276</v>
      </c>
      <c r="U84" s="286">
        <f>'Key Inputs_New Techs'!N40</f>
        <v>3.7211981566820276</v>
      </c>
      <c r="V84" s="286">
        <f>'Key Inputs_New Techs'!O40</f>
        <v>3.7211981566820276</v>
      </c>
      <c r="W84" s="286">
        <f>'Key Inputs_New Techs'!P40</f>
        <v>3.7211981566820276</v>
      </c>
      <c r="X84" s="286">
        <f>'Key Inputs_New Techs'!Q40</f>
        <v>3.7211981566820276</v>
      </c>
      <c r="Y84" s="286">
        <f>'Key Inputs_New Techs'!R40</f>
        <v>3.7211981566820276</v>
      </c>
      <c r="Z84" s="286">
        <f>'Key Inputs_New Techs'!S40</f>
        <v>3.7211981566820276</v>
      </c>
      <c r="AA84" s="286">
        <f>'Key Inputs_New Techs'!T40</f>
        <v>3.7211981566820276</v>
      </c>
      <c r="AB84" s="286">
        <f>'Key Inputs_New Techs'!U40</f>
        <v>3.7211981566820276</v>
      </c>
      <c r="AC84" s="286">
        <f>'Key Inputs_New Techs'!V40</f>
        <v>3.7211981566820276</v>
      </c>
      <c r="AD84" s="286">
        <f>'Key Inputs_New Techs'!W40</f>
        <v>3.7211981566820276</v>
      </c>
      <c r="AE84" s="286">
        <f>'Key Inputs_New Techs'!X40</f>
        <v>3.7211981566820276</v>
      </c>
      <c r="AF84" s="286">
        <f>'Key Inputs_New Techs'!Y40</f>
        <v>3.7211981566820276</v>
      </c>
      <c r="AG84" s="286">
        <f>'Key Inputs_New Techs'!Z40</f>
        <v>3.7211981566820276</v>
      </c>
      <c r="AH84" s="286">
        <f>'Key Inputs_New Techs'!AA40</f>
        <v>3.7211981566820276</v>
      </c>
      <c r="AI84" s="286">
        <f>'Key Inputs_New Techs'!AB40</f>
        <v>3.7211981566820276</v>
      </c>
      <c r="AJ84" s="286">
        <f>'Key Inputs_New Techs'!AC40</f>
        <v>3.7211981566820276</v>
      </c>
      <c r="AK84" s="286">
        <f>'Key Inputs_New Techs'!AD40</f>
        <v>3.7211981566820276</v>
      </c>
      <c r="AL84" s="286">
        <f>'Key Inputs_New Techs'!AE40</f>
        <v>3.7211981566820276</v>
      </c>
      <c r="AM84" s="286">
        <f>'Key Inputs_New Techs'!AF40</f>
        <v>3.7211981566820276</v>
      </c>
      <c r="AN84" s="286">
        <f>'Key Inputs_New Techs'!AG40</f>
        <v>3.7211981566820276</v>
      </c>
      <c r="AO84" s="286">
        <f>'Key Inputs_New Techs'!AH40</f>
        <v>3.7211981566820276</v>
      </c>
      <c r="AP84" s="286">
        <f>'Key Inputs_New Techs'!AI40</f>
        <v>3.7211981566820276</v>
      </c>
      <c r="AQ84" s="286">
        <f>'Key Inputs_New Techs'!AJ40</f>
        <v>3.7211981566820276</v>
      </c>
      <c r="AR84" s="286">
        <f>'Key Inputs_New Techs'!AK40</f>
        <v>3.7211981566820276</v>
      </c>
      <c r="AS84" s="286">
        <f>'Key Inputs_New Techs'!AL40</f>
        <v>3.7211981566820276</v>
      </c>
      <c r="AT84" s="286"/>
      <c r="AU84" s="286"/>
      <c r="AV84" s="286"/>
    </row>
    <row r="85" spans="1:48" s="211" customFormat="1" ht="15.6" x14ac:dyDescent="0.3">
      <c r="A85" s="535"/>
      <c r="B85" s="535"/>
      <c r="C85" s="535"/>
      <c r="D85" s="535"/>
      <c r="E85" s="538"/>
      <c r="F85" s="535"/>
      <c r="G85" s="541"/>
      <c r="H85" s="541"/>
      <c r="I85" s="541"/>
      <c r="J85" s="221"/>
      <c r="K85" s="328" t="str">
        <f>IF('Key Inputs_New Techs'!B41="","",'Key Inputs_New Techs'!B41)</f>
        <v/>
      </c>
      <c r="L85" s="530" t="str">
        <f>IF(K85="","",VLOOKUP(K85,'Commodities &amp; Processes'!$L$48:$M$87,2,FALSE))</f>
        <v/>
      </c>
      <c r="M85" s="201"/>
      <c r="N85" s="201">
        <f>'Key Inputs_New Techs'!H41</f>
        <v>2050</v>
      </c>
      <c r="O85" s="212" t="s">
        <v>40</v>
      </c>
      <c r="P85" s="223" t="s">
        <v>154</v>
      </c>
      <c r="Q85" s="223"/>
      <c r="R85" s="286">
        <f>'Key Inputs_New Techs'!K41</f>
        <v>5.2777777777777803</v>
      </c>
      <c r="S85" s="286">
        <f>'Key Inputs_New Techs'!L41</f>
        <v>5.2777777777777803</v>
      </c>
      <c r="T85" s="286">
        <f>'Key Inputs_New Techs'!M41</f>
        <v>5.2777777777777803</v>
      </c>
      <c r="U85" s="286">
        <f>'Key Inputs_New Techs'!N41</f>
        <v>5.2777777777777803</v>
      </c>
      <c r="V85" s="286">
        <f>'Key Inputs_New Techs'!O41</f>
        <v>5.2777777777777803</v>
      </c>
      <c r="W85" s="286">
        <f>'Key Inputs_New Techs'!P41</f>
        <v>5.2777777777777803</v>
      </c>
      <c r="X85" s="286">
        <f>'Key Inputs_New Techs'!Q41</f>
        <v>5.2777777777777803</v>
      </c>
      <c r="Y85" s="286">
        <f>'Key Inputs_New Techs'!R41</f>
        <v>5.2777777777777803</v>
      </c>
      <c r="Z85" s="286">
        <f>'Key Inputs_New Techs'!S41</f>
        <v>5.2777777777777803</v>
      </c>
      <c r="AA85" s="286">
        <f>'Key Inputs_New Techs'!T41</f>
        <v>5.2777777777777803</v>
      </c>
      <c r="AB85" s="286">
        <f>'Key Inputs_New Techs'!U41</f>
        <v>5.2777777777777803</v>
      </c>
      <c r="AC85" s="286">
        <f>'Key Inputs_New Techs'!V41</f>
        <v>5.2777777777777803</v>
      </c>
      <c r="AD85" s="286">
        <f>'Key Inputs_New Techs'!W41</f>
        <v>5.2777777777777803</v>
      </c>
      <c r="AE85" s="286">
        <f>'Key Inputs_New Techs'!X41</f>
        <v>5.2777777777777803</v>
      </c>
      <c r="AF85" s="286">
        <f>'Key Inputs_New Techs'!Y41</f>
        <v>5.2777777777777803</v>
      </c>
      <c r="AG85" s="286">
        <f>'Key Inputs_New Techs'!Z41</f>
        <v>5.2777777777777803</v>
      </c>
      <c r="AH85" s="286">
        <f>'Key Inputs_New Techs'!AA41</f>
        <v>5.2777777777777803</v>
      </c>
      <c r="AI85" s="286">
        <f>'Key Inputs_New Techs'!AB41</f>
        <v>5.2777777777777803</v>
      </c>
      <c r="AJ85" s="286">
        <f>'Key Inputs_New Techs'!AC41</f>
        <v>5.2777777777777803</v>
      </c>
      <c r="AK85" s="286">
        <f>'Key Inputs_New Techs'!AD41</f>
        <v>5.2777777777777803</v>
      </c>
      <c r="AL85" s="286">
        <f>'Key Inputs_New Techs'!AE41</f>
        <v>5.2777777777777803</v>
      </c>
      <c r="AM85" s="286">
        <f>'Key Inputs_New Techs'!AF41</f>
        <v>5.2777777777777803</v>
      </c>
      <c r="AN85" s="286">
        <f>'Key Inputs_New Techs'!AG41</f>
        <v>5.2777777777777803</v>
      </c>
      <c r="AO85" s="286">
        <f>'Key Inputs_New Techs'!AH41</f>
        <v>5.2777777777777803</v>
      </c>
      <c r="AP85" s="286">
        <f>'Key Inputs_New Techs'!AI41</f>
        <v>5.2777777777777803</v>
      </c>
      <c r="AQ85" s="286">
        <f>'Key Inputs_New Techs'!AJ41</f>
        <v>5.2777777777777803</v>
      </c>
      <c r="AR85" s="286">
        <f>'Key Inputs_New Techs'!AK41</f>
        <v>5.2777777777777803</v>
      </c>
      <c r="AS85" s="286">
        <f>'Key Inputs_New Techs'!AL41</f>
        <v>5.2777777777777803</v>
      </c>
      <c r="AT85" s="286"/>
      <c r="AU85" s="286"/>
      <c r="AV85" s="286"/>
    </row>
    <row r="86" spans="1:48" s="211" customFormat="1" ht="15.6" x14ac:dyDescent="0.3">
      <c r="A86" s="535"/>
      <c r="B86" s="535"/>
      <c r="C86" s="535"/>
      <c r="D86" s="535"/>
      <c r="E86" s="538"/>
      <c r="F86" s="535"/>
      <c r="G86" s="541"/>
      <c r="H86" s="541"/>
      <c r="I86" s="541"/>
      <c r="J86" s="221"/>
      <c r="K86" s="328" t="str">
        <f>IF('Key Inputs_New Techs'!B42="","",'Key Inputs_New Techs'!B42)</f>
        <v>S-AC_GAS01</v>
      </c>
      <c r="L86" s="530" t="str">
        <f>IF(K86="","",VLOOKUP(K86,'Commodities &amp; Processes'!$L$48:$M$87,2,FALSE))</f>
        <v>SRV Air conditioning tech: Natural gas, Biogas - Air conditioning (Ord.)</v>
      </c>
      <c r="M86" s="201"/>
      <c r="N86" s="201">
        <f>'Key Inputs_New Techs'!H42</f>
        <v>2020</v>
      </c>
      <c r="O86" s="212" t="s">
        <v>40</v>
      </c>
      <c r="P86" s="223" t="s">
        <v>154</v>
      </c>
      <c r="Q86" s="223"/>
      <c r="R86" s="286">
        <f>'Key Inputs_New Techs'!K42</f>
        <v>1.3</v>
      </c>
      <c r="S86" s="286">
        <f>'Key Inputs_New Techs'!L42</f>
        <v>1.3</v>
      </c>
      <c r="T86" s="286">
        <f>'Key Inputs_New Techs'!M42</f>
        <v>1.3</v>
      </c>
      <c r="U86" s="286">
        <f>'Key Inputs_New Techs'!N42</f>
        <v>1.3</v>
      </c>
      <c r="V86" s="286">
        <f>'Key Inputs_New Techs'!O42</f>
        <v>1.3</v>
      </c>
      <c r="W86" s="286">
        <f>'Key Inputs_New Techs'!P42</f>
        <v>1.3</v>
      </c>
      <c r="X86" s="286">
        <f>'Key Inputs_New Techs'!Q42</f>
        <v>1.3</v>
      </c>
      <c r="Y86" s="286">
        <f>'Key Inputs_New Techs'!R42</f>
        <v>1.3</v>
      </c>
      <c r="Z86" s="286">
        <f>'Key Inputs_New Techs'!S42</f>
        <v>1.3</v>
      </c>
      <c r="AA86" s="286">
        <f>'Key Inputs_New Techs'!T42</f>
        <v>1.3</v>
      </c>
      <c r="AB86" s="286">
        <f>'Key Inputs_New Techs'!U42</f>
        <v>1.3</v>
      </c>
      <c r="AC86" s="286">
        <f>'Key Inputs_New Techs'!V42</f>
        <v>1.3</v>
      </c>
      <c r="AD86" s="286">
        <f>'Key Inputs_New Techs'!W42</f>
        <v>1.3</v>
      </c>
      <c r="AE86" s="286">
        <f>'Key Inputs_New Techs'!X42</f>
        <v>1.3</v>
      </c>
      <c r="AF86" s="286">
        <f>'Key Inputs_New Techs'!Y42</f>
        <v>1.3</v>
      </c>
      <c r="AG86" s="286">
        <f>'Key Inputs_New Techs'!Z42</f>
        <v>1.3</v>
      </c>
      <c r="AH86" s="286">
        <f>'Key Inputs_New Techs'!AA42</f>
        <v>1.3</v>
      </c>
      <c r="AI86" s="286">
        <f>'Key Inputs_New Techs'!AB42</f>
        <v>1.3</v>
      </c>
      <c r="AJ86" s="286">
        <f>'Key Inputs_New Techs'!AC42</f>
        <v>1.3</v>
      </c>
      <c r="AK86" s="286">
        <f>'Key Inputs_New Techs'!AD42</f>
        <v>1.3</v>
      </c>
      <c r="AL86" s="286">
        <f>'Key Inputs_New Techs'!AE42</f>
        <v>1.3</v>
      </c>
      <c r="AM86" s="286">
        <f>'Key Inputs_New Techs'!AF42</f>
        <v>1.3</v>
      </c>
      <c r="AN86" s="286">
        <f>'Key Inputs_New Techs'!AG42</f>
        <v>1.3</v>
      </c>
      <c r="AO86" s="286">
        <f>'Key Inputs_New Techs'!AH42</f>
        <v>1.3</v>
      </c>
      <c r="AP86" s="286">
        <f>'Key Inputs_New Techs'!AI42</f>
        <v>1.3</v>
      </c>
      <c r="AQ86" s="286">
        <f>'Key Inputs_New Techs'!AJ42</f>
        <v>1.3</v>
      </c>
      <c r="AR86" s="286">
        <f>'Key Inputs_New Techs'!AK42</f>
        <v>1.3</v>
      </c>
      <c r="AS86" s="286">
        <f>'Key Inputs_New Techs'!AL42</f>
        <v>1.3</v>
      </c>
      <c r="AT86" s="286"/>
      <c r="AU86" s="286"/>
      <c r="AV86" s="286"/>
    </row>
    <row r="87" spans="1:48" s="211" customFormat="1" ht="15.6" x14ac:dyDescent="0.3">
      <c r="A87" s="535"/>
      <c r="B87" s="535"/>
      <c r="C87" s="535"/>
      <c r="D87" s="535"/>
      <c r="E87" s="538"/>
      <c r="F87" s="535"/>
      <c r="G87" s="541"/>
      <c r="H87" s="541"/>
      <c r="I87" s="541"/>
      <c r="J87" s="221"/>
      <c r="K87" s="328" t="str">
        <f>IF('Key Inputs_New Techs'!B43="","",'Key Inputs_New Techs'!B43)</f>
        <v>S-AC_GAS02</v>
      </c>
      <c r="L87" s="530" t="str">
        <f>IF(K87="","",VLOOKUP(K87,'Commodities &amp; Processes'!$L$48:$M$87,2,FALSE))</f>
        <v>SRV Air conditioning tech: Natural gas, Biogas - Air conditioning (Imp.)</v>
      </c>
      <c r="M87" s="201"/>
      <c r="N87" s="201">
        <f>'Key Inputs_New Techs'!H43</f>
        <v>2025</v>
      </c>
      <c r="O87" s="212" t="s">
        <v>40</v>
      </c>
      <c r="P87" s="223" t="s">
        <v>154</v>
      </c>
      <c r="Q87" s="223"/>
      <c r="R87" s="286">
        <f>'Key Inputs_New Techs'!K43</f>
        <v>1.3</v>
      </c>
      <c r="S87" s="286">
        <f>'Key Inputs_New Techs'!L43</f>
        <v>1.3</v>
      </c>
      <c r="T87" s="286">
        <f>'Key Inputs_New Techs'!M43</f>
        <v>1.3</v>
      </c>
      <c r="U87" s="286">
        <f>'Key Inputs_New Techs'!N43</f>
        <v>1.3</v>
      </c>
      <c r="V87" s="286">
        <f>'Key Inputs_New Techs'!O43</f>
        <v>1.3</v>
      </c>
      <c r="W87" s="286">
        <f>'Key Inputs_New Techs'!P43</f>
        <v>1.3</v>
      </c>
      <c r="X87" s="286">
        <f>'Key Inputs_New Techs'!Q43</f>
        <v>1.3</v>
      </c>
      <c r="Y87" s="286">
        <f>'Key Inputs_New Techs'!R43</f>
        <v>1.3</v>
      </c>
      <c r="Z87" s="286">
        <f>'Key Inputs_New Techs'!S43</f>
        <v>1.3</v>
      </c>
      <c r="AA87" s="286">
        <f>'Key Inputs_New Techs'!T43</f>
        <v>1.3</v>
      </c>
      <c r="AB87" s="286">
        <f>'Key Inputs_New Techs'!U43</f>
        <v>1.3</v>
      </c>
      <c r="AC87" s="286">
        <f>'Key Inputs_New Techs'!V43</f>
        <v>1.3</v>
      </c>
      <c r="AD87" s="286">
        <f>'Key Inputs_New Techs'!W43</f>
        <v>1.3</v>
      </c>
      <c r="AE87" s="286">
        <f>'Key Inputs_New Techs'!X43</f>
        <v>1.3</v>
      </c>
      <c r="AF87" s="286">
        <f>'Key Inputs_New Techs'!Y43</f>
        <v>1.3</v>
      </c>
      <c r="AG87" s="286">
        <f>'Key Inputs_New Techs'!Z43</f>
        <v>1.3</v>
      </c>
      <c r="AH87" s="286">
        <f>'Key Inputs_New Techs'!AA43</f>
        <v>1.3</v>
      </c>
      <c r="AI87" s="286">
        <f>'Key Inputs_New Techs'!AB43</f>
        <v>1.3</v>
      </c>
      <c r="AJ87" s="286">
        <f>'Key Inputs_New Techs'!AC43</f>
        <v>1.3</v>
      </c>
      <c r="AK87" s="286">
        <f>'Key Inputs_New Techs'!AD43</f>
        <v>1.3</v>
      </c>
      <c r="AL87" s="286">
        <f>'Key Inputs_New Techs'!AE43</f>
        <v>1.3</v>
      </c>
      <c r="AM87" s="286">
        <f>'Key Inputs_New Techs'!AF43</f>
        <v>1.3</v>
      </c>
      <c r="AN87" s="286">
        <f>'Key Inputs_New Techs'!AG43</f>
        <v>1.3</v>
      </c>
      <c r="AO87" s="286">
        <f>'Key Inputs_New Techs'!AH43</f>
        <v>1.3</v>
      </c>
      <c r="AP87" s="286">
        <f>'Key Inputs_New Techs'!AI43</f>
        <v>1.3</v>
      </c>
      <c r="AQ87" s="286">
        <f>'Key Inputs_New Techs'!AJ43</f>
        <v>1.3</v>
      </c>
      <c r="AR87" s="286">
        <f>'Key Inputs_New Techs'!AK43</f>
        <v>1.3</v>
      </c>
      <c r="AS87" s="286">
        <f>'Key Inputs_New Techs'!AL43</f>
        <v>1.3</v>
      </c>
      <c r="AT87" s="286"/>
      <c r="AU87" s="286"/>
      <c r="AV87" s="286"/>
    </row>
    <row r="88" spans="1:48" s="211" customFormat="1" ht="15.6" x14ac:dyDescent="0.3">
      <c r="A88" s="535"/>
      <c r="B88" s="535"/>
      <c r="C88" s="535"/>
      <c r="D88" s="535"/>
      <c r="E88" s="538"/>
      <c r="F88" s="535"/>
      <c r="G88" s="541"/>
      <c r="H88" s="541"/>
      <c r="I88" s="541"/>
      <c r="J88" s="221"/>
      <c r="K88" s="328" t="str">
        <f>IF('Key Inputs_New Techs'!B44="","",'Key Inputs_New Techs'!B44)</f>
        <v/>
      </c>
      <c r="L88" s="530" t="str">
        <f>IF(K88="","",VLOOKUP(K88,'Commodities &amp; Processes'!$L$48:$M$87,2,FALSE))</f>
        <v/>
      </c>
      <c r="M88" s="201"/>
      <c r="N88" s="201">
        <f>'Key Inputs_New Techs'!H44</f>
        <v>2030</v>
      </c>
      <c r="O88" s="212" t="s">
        <v>40</v>
      </c>
      <c r="P88" s="223" t="s">
        <v>154</v>
      </c>
      <c r="Q88" s="223"/>
      <c r="R88" s="286">
        <f>'Key Inputs_New Techs'!K44</f>
        <v>1.4824553646498579</v>
      </c>
      <c r="S88" s="286">
        <f>'Key Inputs_New Techs'!L44</f>
        <v>1.4824553646498579</v>
      </c>
      <c r="T88" s="286">
        <f>'Key Inputs_New Techs'!M44</f>
        <v>1.4824553646498579</v>
      </c>
      <c r="U88" s="286">
        <f>'Key Inputs_New Techs'!N44</f>
        <v>1.4824553646498579</v>
      </c>
      <c r="V88" s="286">
        <f>'Key Inputs_New Techs'!O44</f>
        <v>1.4824553646498579</v>
      </c>
      <c r="W88" s="286">
        <f>'Key Inputs_New Techs'!P44</f>
        <v>1.4824553646498579</v>
      </c>
      <c r="X88" s="286">
        <f>'Key Inputs_New Techs'!Q44</f>
        <v>1.4824553646498579</v>
      </c>
      <c r="Y88" s="286">
        <f>'Key Inputs_New Techs'!R44</f>
        <v>1.4824553646498579</v>
      </c>
      <c r="Z88" s="286">
        <f>'Key Inputs_New Techs'!S44</f>
        <v>1.4824553646498579</v>
      </c>
      <c r="AA88" s="286">
        <f>'Key Inputs_New Techs'!T44</f>
        <v>1.4824553646498579</v>
      </c>
      <c r="AB88" s="286">
        <f>'Key Inputs_New Techs'!U44</f>
        <v>1.4824553646498579</v>
      </c>
      <c r="AC88" s="286">
        <f>'Key Inputs_New Techs'!V44</f>
        <v>1.4824553646498579</v>
      </c>
      <c r="AD88" s="286">
        <f>'Key Inputs_New Techs'!W44</f>
        <v>1.4824553646498579</v>
      </c>
      <c r="AE88" s="286">
        <f>'Key Inputs_New Techs'!X44</f>
        <v>1.4824553646498579</v>
      </c>
      <c r="AF88" s="286">
        <f>'Key Inputs_New Techs'!Y44</f>
        <v>1.4824553646498579</v>
      </c>
      <c r="AG88" s="286">
        <f>'Key Inputs_New Techs'!Z44</f>
        <v>1.4824553646498579</v>
      </c>
      <c r="AH88" s="286">
        <f>'Key Inputs_New Techs'!AA44</f>
        <v>1.4824553646498579</v>
      </c>
      <c r="AI88" s="286">
        <f>'Key Inputs_New Techs'!AB44</f>
        <v>1.4824553646498579</v>
      </c>
      <c r="AJ88" s="286">
        <f>'Key Inputs_New Techs'!AC44</f>
        <v>1.4824553646498579</v>
      </c>
      <c r="AK88" s="286">
        <f>'Key Inputs_New Techs'!AD44</f>
        <v>1.4824553646498579</v>
      </c>
      <c r="AL88" s="286">
        <f>'Key Inputs_New Techs'!AE44</f>
        <v>1.4824553646498579</v>
      </c>
      <c r="AM88" s="286">
        <f>'Key Inputs_New Techs'!AF44</f>
        <v>1.4824553646498579</v>
      </c>
      <c r="AN88" s="286">
        <f>'Key Inputs_New Techs'!AG44</f>
        <v>1.4824553646498579</v>
      </c>
      <c r="AO88" s="286">
        <f>'Key Inputs_New Techs'!AH44</f>
        <v>1.4824553646498579</v>
      </c>
      <c r="AP88" s="286">
        <f>'Key Inputs_New Techs'!AI44</f>
        <v>1.4824553646498579</v>
      </c>
      <c r="AQ88" s="286">
        <f>'Key Inputs_New Techs'!AJ44</f>
        <v>1.4824553646498579</v>
      </c>
      <c r="AR88" s="286">
        <f>'Key Inputs_New Techs'!AK44</f>
        <v>1.4824553646498579</v>
      </c>
      <c r="AS88" s="286">
        <f>'Key Inputs_New Techs'!AL44</f>
        <v>1.4824553646498579</v>
      </c>
      <c r="AT88" s="286"/>
      <c r="AU88" s="286"/>
      <c r="AV88" s="286"/>
    </row>
    <row r="89" spans="1:48" s="211" customFormat="1" ht="15.6" x14ac:dyDescent="0.3">
      <c r="A89" s="535"/>
      <c r="B89" s="535"/>
      <c r="C89" s="535"/>
      <c r="D89" s="535"/>
      <c r="E89" s="538"/>
      <c r="F89" s="535"/>
      <c r="G89" s="541"/>
      <c r="H89" s="541"/>
      <c r="I89" s="541"/>
      <c r="J89" s="221"/>
      <c r="K89" s="328" t="str">
        <f>IF('Key Inputs_New Techs'!B45="","",'Key Inputs_New Techs'!B45)</f>
        <v/>
      </c>
      <c r="L89" s="530" t="str">
        <f>IF(K89="","",VLOOKUP(K89,'Commodities &amp; Processes'!$L$48:$M$87,2,FALSE))</f>
        <v/>
      </c>
      <c r="M89" s="201"/>
      <c r="N89" s="201">
        <f>'Key Inputs_New Techs'!H45</f>
        <v>2050</v>
      </c>
      <c r="O89" s="212" t="s">
        <v>40</v>
      </c>
      <c r="P89" s="223" t="s">
        <v>154</v>
      </c>
      <c r="Q89" s="223"/>
      <c r="R89" s="286">
        <f>'Key Inputs_New Techs'!K45</f>
        <v>1.7136698850302603</v>
      </c>
      <c r="S89" s="286">
        <f>'Key Inputs_New Techs'!L45</f>
        <v>1.7136698850302603</v>
      </c>
      <c r="T89" s="286">
        <f>'Key Inputs_New Techs'!M45</f>
        <v>1.7136698850302603</v>
      </c>
      <c r="U89" s="286">
        <f>'Key Inputs_New Techs'!N45</f>
        <v>1.7136698850302603</v>
      </c>
      <c r="V89" s="286">
        <f>'Key Inputs_New Techs'!O45</f>
        <v>1.7136698850302603</v>
      </c>
      <c r="W89" s="286">
        <f>'Key Inputs_New Techs'!P45</f>
        <v>1.7136698850302603</v>
      </c>
      <c r="X89" s="286">
        <f>'Key Inputs_New Techs'!Q45</f>
        <v>1.7136698850302603</v>
      </c>
      <c r="Y89" s="286">
        <f>'Key Inputs_New Techs'!R45</f>
        <v>1.7136698850302603</v>
      </c>
      <c r="Z89" s="286">
        <f>'Key Inputs_New Techs'!S45</f>
        <v>1.7136698850302603</v>
      </c>
      <c r="AA89" s="286">
        <f>'Key Inputs_New Techs'!T45</f>
        <v>1.7136698850302603</v>
      </c>
      <c r="AB89" s="286">
        <f>'Key Inputs_New Techs'!U45</f>
        <v>1.7136698850302603</v>
      </c>
      <c r="AC89" s="286">
        <f>'Key Inputs_New Techs'!V45</f>
        <v>1.7136698850302603</v>
      </c>
      <c r="AD89" s="286">
        <f>'Key Inputs_New Techs'!W45</f>
        <v>1.7136698850302603</v>
      </c>
      <c r="AE89" s="286">
        <f>'Key Inputs_New Techs'!X45</f>
        <v>1.7136698850302603</v>
      </c>
      <c r="AF89" s="286">
        <f>'Key Inputs_New Techs'!Y45</f>
        <v>1.7136698850302603</v>
      </c>
      <c r="AG89" s="286">
        <f>'Key Inputs_New Techs'!Z45</f>
        <v>1.7136698850302603</v>
      </c>
      <c r="AH89" s="286">
        <f>'Key Inputs_New Techs'!AA45</f>
        <v>1.7136698850302603</v>
      </c>
      <c r="AI89" s="286">
        <f>'Key Inputs_New Techs'!AB45</f>
        <v>1.7136698850302603</v>
      </c>
      <c r="AJ89" s="286">
        <f>'Key Inputs_New Techs'!AC45</f>
        <v>1.7136698850302603</v>
      </c>
      <c r="AK89" s="286">
        <f>'Key Inputs_New Techs'!AD45</f>
        <v>1.7136698850302603</v>
      </c>
      <c r="AL89" s="286">
        <f>'Key Inputs_New Techs'!AE45</f>
        <v>1.7136698850302603</v>
      </c>
      <c r="AM89" s="286">
        <f>'Key Inputs_New Techs'!AF45</f>
        <v>1.7136698850302603</v>
      </c>
      <c r="AN89" s="286">
        <f>'Key Inputs_New Techs'!AG45</f>
        <v>1.7136698850302603</v>
      </c>
      <c r="AO89" s="286">
        <f>'Key Inputs_New Techs'!AH45</f>
        <v>1.7136698850302603</v>
      </c>
      <c r="AP89" s="286">
        <f>'Key Inputs_New Techs'!AI45</f>
        <v>1.7136698850302603</v>
      </c>
      <c r="AQ89" s="286">
        <f>'Key Inputs_New Techs'!AJ45</f>
        <v>1.7136698850302603</v>
      </c>
      <c r="AR89" s="286">
        <f>'Key Inputs_New Techs'!AK45</f>
        <v>1.7136698850302603</v>
      </c>
      <c r="AS89" s="286">
        <f>'Key Inputs_New Techs'!AL45</f>
        <v>1.7136698850302603</v>
      </c>
      <c r="AT89" s="286"/>
      <c r="AU89" s="286"/>
      <c r="AV89" s="286"/>
    </row>
    <row r="90" spans="1:48" s="211" customFormat="1" ht="15.6" x14ac:dyDescent="0.3">
      <c r="A90" s="535"/>
      <c r="B90" s="535"/>
      <c r="C90" s="535"/>
      <c r="D90" s="535"/>
      <c r="E90" s="538"/>
      <c r="F90" s="535"/>
      <c r="G90" s="541"/>
      <c r="H90" s="541"/>
      <c r="I90" s="541"/>
      <c r="J90" s="221"/>
      <c r="K90" s="328" t="str">
        <f>IF('Key Inputs_New Techs'!B46="","",'Key Inputs_New Techs'!B46)</f>
        <v>S-AC_GAS03</v>
      </c>
      <c r="L90" s="530" t="str">
        <f>IF(K90="","",VLOOKUP(K90,'Commodities &amp; Processes'!$L$48:$M$87,2,FALSE))</f>
        <v>SRV Air conditioning tech: Natural gas, Biogas - Air conditioning (Adv.)</v>
      </c>
      <c r="M90" s="201"/>
      <c r="N90" s="201">
        <f>'Key Inputs_New Techs'!H46</f>
        <v>2030</v>
      </c>
      <c r="O90" s="212" t="s">
        <v>40</v>
      </c>
      <c r="P90" s="223" t="s">
        <v>154</v>
      </c>
      <c r="Q90" s="223"/>
      <c r="R90" s="286">
        <f>'Key Inputs_New Techs'!K46</f>
        <v>1.5980626248400593</v>
      </c>
      <c r="S90" s="286">
        <f>'Key Inputs_New Techs'!L46</f>
        <v>1.5980626248400593</v>
      </c>
      <c r="T90" s="286">
        <f>'Key Inputs_New Techs'!M46</f>
        <v>1.5980626248400593</v>
      </c>
      <c r="U90" s="286">
        <f>'Key Inputs_New Techs'!N46</f>
        <v>1.5980626248400593</v>
      </c>
      <c r="V90" s="286">
        <f>'Key Inputs_New Techs'!O46</f>
        <v>1.5980626248400593</v>
      </c>
      <c r="W90" s="286">
        <f>'Key Inputs_New Techs'!P46</f>
        <v>1.5980626248400593</v>
      </c>
      <c r="X90" s="286">
        <f>'Key Inputs_New Techs'!Q46</f>
        <v>1.5980626248400593</v>
      </c>
      <c r="Y90" s="286">
        <f>'Key Inputs_New Techs'!R46</f>
        <v>1.5980626248400593</v>
      </c>
      <c r="Z90" s="286">
        <f>'Key Inputs_New Techs'!S46</f>
        <v>1.5980626248400593</v>
      </c>
      <c r="AA90" s="286">
        <f>'Key Inputs_New Techs'!T46</f>
        <v>1.5980626248400593</v>
      </c>
      <c r="AB90" s="286">
        <f>'Key Inputs_New Techs'!U46</f>
        <v>1.5980626248400593</v>
      </c>
      <c r="AC90" s="286">
        <f>'Key Inputs_New Techs'!V46</f>
        <v>1.5980626248400593</v>
      </c>
      <c r="AD90" s="286">
        <f>'Key Inputs_New Techs'!W46</f>
        <v>1.5980626248400593</v>
      </c>
      <c r="AE90" s="286">
        <f>'Key Inputs_New Techs'!X46</f>
        <v>1.5980626248400593</v>
      </c>
      <c r="AF90" s="286">
        <f>'Key Inputs_New Techs'!Y46</f>
        <v>1.5980626248400593</v>
      </c>
      <c r="AG90" s="286">
        <f>'Key Inputs_New Techs'!Z46</f>
        <v>1.5980626248400593</v>
      </c>
      <c r="AH90" s="286">
        <f>'Key Inputs_New Techs'!AA46</f>
        <v>1.5980626248400593</v>
      </c>
      <c r="AI90" s="286">
        <f>'Key Inputs_New Techs'!AB46</f>
        <v>1.5980626248400593</v>
      </c>
      <c r="AJ90" s="286">
        <f>'Key Inputs_New Techs'!AC46</f>
        <v>1.5980626248400593</v>
      </c>
      <c r="AK90" s="286">
        <f>'Key Inputs_New Techs'!AD46</f>
        <v>1.5980626248400593</v>
      </c>
      <c r="AL90" s="286">
        <f>'Key Inputs_New Techs'!AE46</f>
        <v>1.5980626248400593</v>
      </c>
      <c r="AM90" s="286">
        <f>'Key Inputs_New Techs'!AF46</f>
        <v>1.5980626248400593</v>
      </c>
      <c r="AN90" s="286">
        <f>'Key Inputs_New Techs'!AG46</f>
        <v>1.5980626248400593</v>
      </c>
      <c r="AO90" s="286">
        <f>'Key Inputs_New Techs'!AH46</f>
        <v>1.5980626248400593</v>
      </c>
      <c r="AP90" s="286">
        <f>'Key Inputs_New Techs'!AI46</f>
        <v>1.5980626248400593</v>
      </c>
      <c r="AQ90" s="286">
        <f>'Key Inputs_New Techs'!AJ46</f>
        <v>1.5980626248400593</v>
      </c>
      <c r="AR90" s="286">
        <f>'Key Inputs_New Techs'!AK46</f>
        <v>1.5980626248400593</v>
      </c>
      <c r="AS90" s="286">
        <f>'Key Inputs_New Techs'!AL46</f>
        <v>1.5980626248400593</v>
      </c>
      <c r="AT90" s="286"/>
      <c r="AU90" s="286"/>
      <c r="AV90" s="286"/>
    </row>
    <row r="91" spans="1:48" s="211" customFormat="1" ht="15.6" x14ac:dyDescent="0.3">
      <c r="A91" s="535"/>
      <c r="B91" s="535"/>
      <c r="C91" s="535"/>
      <c r="D91" s="535"/>
      <c r="E91" s="538"/>
      <c r="F91" s="535"/>
      <c r="G91" s="541"/>
      <c r="H91" s="541"/>
      <c r="I91" s="541"/>
      <c r="J91" s="221"/>
      <c r="K91" s="328" t="str">
        <f>IF('Key Inputs_New Techs'!B47="","",'Key Inputs_New Techs'!B47)</f>
        <v/>
      </c>
      <c r="L91" s="530" t="str">
        <f>IF(K91="","",VLOOKUP(K91,'Commodities &amp; Processes'!$L$48:$M$87,2,FALSE))</f>
        <v/>
      </c>
      <c r="M91" s="201"/>
      <c r="N91" s="201">
        <f>'Key Inputs_New Techs'!H47</f>
        <v>2050</v>
      </c>
      <c r="O91" s="212" t="s">
        <v>40</v>
      </c>
      <c r="P91" s="223" t="s">
        <v>154</v>
      </c>
      <c r="Q91" s="223"/>
      <c r="R91" s="286">
        <f>'Key Inputs_New Techs'!K47</f>
        <v>2.1440557223015881</v>
      </c>
      <c r="S91" s="286">
        <f>'Key Inputs_New Techs'!L47</f>
        <v>2.1440557223015881</v>
      </c>
      <c r="T91" s="286">
        <f>'Key Inputs_New Techs'!M47</f>
        <v>2.1440557223015881</v>
      </c>
      <c r="U91" s="286">
        <f>'Key Inputs_New Techs'!N47</f>
        <v>2.1440557223015881</v>
      </c>
      <c r="V91" s="286">
        <f>'Key Inputs_New Techs'!O47</f>
        <v>2.1440557223015881</v>
      </c>
      <c r="W91" s="286">
        <f>'Key Inputs_New Techs'!P47</f>
        <v>2.1440557223015881</v>
      </c>
      <c r="X91" s="286">
        <f>'Key Inputs_New Techs'!Q47</f>
        <v>2.1440557223015881</v>
      </c>
      <c r="Y91" s="286">
        <f>'Key Inputs_New Techs'!R47</f>
        <v>2.1440557223015881</v>
      </c>
      <c r="Z91" s="286">
        <f>'Key Inputs_New Techs'!S47</f>
        <v>2.1440557223015881</v>
      </c>
      <c r="AA91" s="286">
        <f>'Key Inputs_New Techs'!T47</f>
        <v>2.1440557223015881</v>
      </c>
      <c r="AB91" s="286">
        <f>'Key Inputs_New Techs'!U47</f>
        <v>2.1440557223015881</v>
      </c>
      <c r="AC91" s="286">
        <f>'Key Inputs_New Techs'!V47</f>
        <v>2.1440557223015881</v>
      </c>
      <c r="AD91" s="286">
        <f>'Key Inputs_New Techs'!W47</f>
        <v>2.1440557223015881</v>
      </c>
      <c r="AE91" s="286">
        <f>'Key Inputs_New Techs'!X47</f>
        <v>2.1440557223015881</v>
      </c>
      <c r="AF91" s="286">
        <f>'Key Inputs_New Techs'!Y47</f>
        <v>2.1440557223015881</v>
      </c>
      <c r="AG91" s="286">
        <f>'Key Inputs_New Techs'!Z47</f>
        <v>2.1440557223015881</v>
      </c>
      <c r="AH91" s="286">
        <f>'Key Inputs_New Techs'!AA47</f>
        <v>2.1440557223015881</v>
      </c>
      <c r="AI91" s="286">
        <f>'Key Inputs_New Techs'!AB47</f>
        <v>2.1440557223015881</v>
      </c>
      <c r="AJ91" s="286">
        <f>'Key Inputs_New Techs'!AC47</f>
        <v>2.1440557223015881</v>
      </c>
      <c r="AK91" s="286">
        <f>'Key Inputs_New Techs'!AD47</f>
        <v>2.1440557223015881</v>
      </c>
      <c r="AL91" s="286">
        <f>'Key Inputs_New Techs'!AE47</f>
        <v>2.1440557223015881</v>
      </c>
      <c r="AM91" s="286">
        <f>'Key Inputs_New Techs'!AF47</f>
        <v>2.1440557223015881</v>
      </c>
      <c r="AN91" s="286">
        <f>'Key Inputs_New Techs'!AG47</f>
        <v>2.1440557223015881</v>
      </c>
      <c r="AO91" s="286">
        <f>'Key Inputs_New Techs'!AH47</f>
        <v>2.1440557223015881</v>
      </c>
      <c r="AP91" s="286">
        <f>'Key Inputs_New Techs'!AI47</f>
        <v>2.1440557223015881</v>
      </c>
      <c r="AQ91" s="286">
        <f>'Key Inputs_New Techs'!AJ47</f>
        <v>2.1440557223015881</v>
      </c>
      <c r="AR91" s="286">
        <f>'Key Inputs_New Techs'!AK47</f>
        <v>2.1440557223015881</v>
      </c>
      <c r="AS91" s="286">
        <f>'Key Inputs_New Techs'!AL47</f>
        <v>2.1440557223015881</v>
      </c>
      <c r="AT91" s="286"/>
      <c r="AU91" s="286"/>
      <c r="AV91" s="286"/>
    </row>
    <row r="92" spans="1:48" s="211" customFormat="1" ht="15.6" x14ac:dyDescent="0.3">
      <c r="A92" s="535"/>
      <c r="B92" s="535"/>
      <c r="C92" s="535"/>
      <c r="D92" s="535"/>
      <c r="E92" s="538"/>
      <c r="F92" s="535"/>
      <c r="G92" s="541"/>
      <c r="H92" s="541"/>
      <c r="I92" s="541"/>
      <c r="J92" s="221"/>
      <c r="K92" s="328" t="str">
        <f>IF('Key Inputs_New Techs'!B48="","",'Key Inputs_New Techs'!B48)</f>
        <v>S-AC_HET01</v>
      </c>
      <c r="L92" s="530" t="str">
        <f>IF(K92="","",VLOOKUP(K92,'Commodities &amp; Processes'!$L$48:$M$87,2,FALSE))</f>
        <v>SRV Air conditioning tech: Heat - Air conditioning (Ord.)</v>
      </c>
      <c r="M92" s="201"/>
      <c r="N92" s="201">
        <f>'Key Inputs_New Techs'!H48</f>
        <v>2020</v>
      </c>
      <c r="O92" s="212" t="s">
        <v>40</v>
      </c>
      <c r="P92" s="223" t="s">
        <v>154</v>
      </c>
      <c r="Q92" s="223"/>
      <c r="R92" s="286">
        <f>'Key Inputs_New Techs'!K48</f>
        <v>0.71134074574423733</v>
      </c>
      <c r="S92" s="286">
        <f>'Key Inputs_New Techs'!L48</f>
        <v>0.71134074574423733</v>
      </c>
      <c r="T92" s="286">
        <f>'Key Inputs_New Techs'!M48</f>
        <v>0.71134074574423733</v>
      </c>
      <c r="U92" s="286">
        <f>'Key Inputs_New Techs'!N48</f>
        <v>0.71134074574423733</v>
      </c>
      <c r="V92" s="286">
        <f>'Key Inputs_New Techs'!O48</f>
        <v>0.71134074574423733</v>
      </c>
      <c r="W92" s="286">
        <f>'Key Inputs_New Techs'!P48</f>
        <v>0.71134074574423733</v>
      </c>
      <c r="X92" s="286">
        <f>'Key Inputs_New Techs'!Q48</f>
        <v>0.71134074574423733</v>
      </c>
      <c r="Y92" s="286">
        <f>'Key Inputs_New Techs'!R48</f>
        <v>0.71134074574423733</v>
      </c>
      <c r="Z92" s="286">
        <f>'Key Inputs_New Techs'!S48</f>
        <v>0.71134074574423733</v>
      </c>
      <c r="AA92" s="286">
        <f>'Key Inputs_New Techs'!T48</f>
        <v>0.71134074574423733</v>
      </c>
      <c r="AB92" s="286">
        <f>'Key Inputs_New Techs'!U48</f>
        <v>0.71134074574423733</v>
      </c>
      <c r="AC92" s="286">
        <f>'Key Inputs_New Techs'!V48</f>
        <v>0.71134074574423733</v>
      </c>
      <c r="AD92" s="286">
        <f>'Key Inputs_New Techs'!W48</f>
        <v>0.71134074574423733</v>
      </c>
      <c r="AE92" s="286">
        <f>'Key Inputs_New Techs'!X48</f>
        <v>0.71134074574423733</v>
      </c>
      <c r="AF92" s="286">
        <f>'Key Inputs_New Techs'!Y48</f>
        <v>0.71134074574423733</v>
      </c>
      <c r="AG92" s="286">
        <f>'Key Inputs_New Techs'!Z48</f>
        <v>0.71134074574423733</v>
      </c>
      <c r="AH92" s="286">
        <f>'Key Inputs_New Techs'!AA48</f>
        <v>0.71134074574423733</v>
      </c>
      <c r="AI92" s="286">
        <f>'Key Inputs_New Techs'!AB48</f>
        <v>0.71134074574423733</v>
      </c>
      <c r="AJ92" s="286">
        <f>'Key Inputs_New Techs'!AC48</f>
        <v>0.71134074574423733</v>
      </c>
      <c r="AK92" s="286">
        <f>'Key Inputs_New Techs'!AD48</f>
        <v>0.71134074574423733</v>
      </c>
      <c r="AL92" s="286">
        <f>'Key Inputs_New Techs'!AE48</f>
        <v>0.71134074574423733</v>
      </c>
      <c r="AM92" s="286">
        <f>'Key Inputs_New Techs'!AF48</f>
        <v>0.71134074574423733</v>
      </c>
      <c r="AN92" s="286">
        <f>'Key Inputs_New Techs'!AG48</f>
        <v>0.71134074574423733</v>
      </c>
      <c r="AO92" s="286">
        <f>'Key Inputs_New Techs'!AH48</f>
        <v>0.71134074574423733</v>
      </c>
      <c r="AP92" s="286">
        <f>'Key Inputs_New Techs'!AI48</f>
        <v>0.71134074574423733</v>
      </c>
      <c r="AQ92" s="286">
        <f>'Key Inputs_New Techs'!AJ48</f>
        <v>0.71134074574423733</v>
      </c>
      <c r="AR92" s="286">
        <f>'Key Inputs_New Techs'!AK48</f>
        <v>0.71134074574423733</v>
      </c>
      <c r="AS92" s="286">
        <f>'Key Inputs_New Techs'!AL48</f>
        <v>0.71134074574423733</v>
      </c>
      <c r="AT92" s="286"/>
      <c r="AU92" s="286"/>
      <c r="AV92" s="286"/>
    </row>
    <row r="93" spans="1:48" s="211" customFormat="1" ht="15.6" x14ac:dyDescent="0.3">
      <c r="A93" s="535"/>
      <c r="B93" s="535"/>
      <c r="C93" s="535"/>
      <c r="D93" s="535"/>
      <c r="E93" s="538"/>
      <c r="F93" s="535"/>
      <c r="G93" s="541"/>
      <c r="H93" s="541"/>
      <c r="I93" s="541"/>
      <c r="J93" s="221"/>
      <c r="K93" s="328" t="str">
        <f>IF('Key Inputs_New Techs'!B49="","",'Key Inputs_New Techs'!B49)</f>
        <v>S-AC_HET02</v>
      </c>
      <c r="L93" s="530" t="str">
        <f>IF(K93="","",VLOOKUP(K93,'Commodities &amp; Processes'!$L$48:$M$87,2,FALSE))</f>
        <v>SRV Air conditioning tech: Heat - Air conditioning (Imp.)</v>
      </c>
      <c r="M93" s="201"/>
      <c r="N93" s="201">
        <f>'Key Inputs_New Techs'!H49</f>
        <v>2025</v>
      </c>
      <c r="O93" s="212" t="s">
        <v>40</v>
      </c>
      <c r="P93" s="223" t="s">
        <v>154</v>
      </c>
      <c r="Q93" s="223"/>
      <c r="R93" s="286">
        <f>'Key Inputs_New Techs'!K49</f>
        <v>0.71134074574423733</v>
      </c>
      <c r="S93" s="286">
        <f>'Key Inputs_New Techs'!L49</f>
        <v>0.71134074574423733</v>
      </c>
      <c r="T93" s="286">
        <f>'Key Inputs_New Techs'!M49</f>
        <v>0.71134074574423733</v>
      </c>
      <c r="U93" s="286">
        <f>'Key Inputs_New Techs'!N49</f>
        <v>0.71134074574423733</v>
      </c>
      <c r="V93" s="286">
        <f>'Key Inputs_New Techs'!O49</f>
        <v>0.71134074574423733</v>
      </c>
      <c r="W93" s="286">
        <f>'Key Inputs_New Techs'!P49</f>
        <v>0.71134074574423733</v>
      </c>
      <c r="X93" s="286">
        <f>'Key Inputs_New Techs'!Q49</f>
        <v>0.71134074574423733</v>
      </c>
      <c r="Y93" s="286">
        <f>'Key Inputs_New Techs'!R49</f>
        <v>0.71134074574423733</v>
      </c>
      <c r="Z93" s="286">
        <f>'Key Inputs_New Techs'!S49</f>
        <v>0.71134074574423733</v>
      </c>
      <c r="AA93" s="286">
        <f>'Key Inputs_New Techs'!T49</f>
        <v>0.71134074574423733</v>
      </c>
      <c r="AB93" s="286">
        <f>'Key Inputs_New Techs'!U49</f>
        <v>0.71134074574423733</v>
      </c>
      <c r="AC93" s="286">
        <f>'Key Inputs_New Techs'!V49</f>
        <v>0.71134074574423733</v>
      </c>
      <c r="AD93" s="286">
        <f>'Key Inputs_New Techs'!W49</f>
        <v>0.71134074574423733</v>
      </c>
      <c r="AE93" s="286">
        <f>'Key Inputs_New Techs'!X49</f>
        <v>0.71134074574423733</v>
      </c>
      <c r="AF93" s="286">
        <f>'Key Inputs_New Techs'!Y49</f>
        <v>0.71134074574423733</v>
      </c>
      <c r="AG93" s="286">
        <f>'Key Inputs_New Techs'!Z49</f>
        <v>0.71134074574423733</v>
      </c>
      <c r="AH93" s="286">
        <f>'Key Inputs_New Techs'!AA49</f>
        <v>0.71134074574423733</v>
      </c>
      <c r="AI93" s="286">
        <f>'Key Inputs_New Techs'!AB49</f>
        <v>0.71134074574423733</v>
      </c>
      <c r="AJ93" s="286">
        <f>'Key Inputs_New Techs'!AC49</f>
        <v>0.71134074574423733</v>
      </c>
      <c r="AK93" s="286">
        <f>'Key Inputs_New Techs'!AD49</f>
        <v>0.71134074574423733</v>
      </c>
      <c r="AL93" s="286">
        <f>'Key Inputs_New Techs'!AE49</f>
        <v>0.71134074574423733</v>
      </c>
      <c r="AM93" s="286">
        <f>'Key Inputs_New Techs'!AF49</f>
        <v>0.71134074574423733</v>
      </c>
      <c r="AN93" s="286">
        <f>'Key Inputs_New Techs'!AG49</f>
        <v>0.71134074574423733</v>
      </c>
      <c r="AO93" s="286">
        <f>'Key Inputs_New Techs'!AH49</f>
        <v>0.71134074574423733</v>
      </c>
      <c r="AP93" s="286">
        <f>'Key Inputs_New Techs'!AI49</f>
        <v>0.71134074574423733</v>
      </c>
      <c r="AQ93" s="286">
        <f>'Key Inputs_New Techs'!AJ49</f>
        <v>0.71134074574423733</v>
      </c>
      <c r="AR93" s="286">
        <f>'Key Inputs_New Techs'!AK49</f>
        <v>0.71134074574423733</v>
      </c>
      <c r="AS93" s="286">
        <f>'Key Inputs_New Techs'!AL49</f>
        <v>0.71134074574423733</v>
      </c>
      <c r="AT93" s="286"/>
      <c r="AU93" s="286"/>
      <c r="AV93" s="286"/>
    </row>
    <row r="94" spans="1:48" s="211" customFormat="1" ht="15.6" x14ac:dyDescent="0.3">
      <c r="A94" s="535"/>
      <c r="B94" s="535"/>
      <c r="C94" s="535"/>
      <c r="D94" s="535"/>
      <c r="E94" s="535"/>
      <c r="F94" s="535"/>
      <c r="G94" s="535"/>
      <c r="H94" s="535"/>
      <c r="I94" s="535"/>
      <c r="J94" s="221"/>
      <c r="K94" s="328" t="str">
        <f>IF('Key Inputs_New Techs'!B50="","",'Key Inputs_New Techs'!B50)</f>
        <v/>
      </c>
      <c r="L94" s="530" t="str">
        <f>IF(K94="","",VLOOKUP(K94,'Commodities &amp; Processes'!$L$48:$M$87,2,FALSE))</f>
        <v/>
      </c>
      <c r="M94" s="201"/>
      <c r="N94" s="201">
        <f>'Key Inputs_New Techs'!H50</f>
        <v>2030</v>
      </c>
      <c r="O94" s="212" t="s">
        <v>40</v>
      </c>
      <c r="P94" s="223" t="s">
        <v>154</v>
      </c>
      <c r="Q94" s="223"/>
      <c r="R94" s="286">
        <f>'Key Inputs_New Techs'!K50</f>
        <v>0.71499999999999997</v>
      </c>
      <c r="S94" s="286">
        <f>'Key Inputs_New Techs'!L50</f>
        <v>0.71499999999999997</v>
      </c>
      <c r="T94" s="286">
        <f>'Key Inputs_New Techs'!M50</f>
        <v>0.71499999999999997</v>
      </c>
      <c r="U94" s="286">
        <f>'Key Inputs_New Techs'!N50</f>
        <v>0.71499999999999997</v>
      </c>
      <c r="V94" s="286">
        <f>'Key Inputs_New Techs'!O50</f>
        <v>0.71499999999999997</v>
      </c>
      <c r="W94" s="286">
        <f>'Key Inputs_New Techs'!P50</f>
        <v>0.71499999999999997</v>
      </c>
      <c r="X94" s="286">
        <f>'Key Inputs_New Techs'!Q50</f>
        <v>0.71499999999999997</v>
      </c>
      <c r="Y94" s="286">
        <f>'Key Inputs_New Techs'!R50</f>
        <v>0.71499999999999997</v>
      </c>
      <c r="Z94" s="286">
        <f>'Key Inputs_New Techs'!S50</f>
        <v>0.71499999999999997</v>
      </c>
      <c r="AA94" s="286">
        <f>'Key Inputs_New Techs'!T50</f>
        <v>0.71499999999999997</v>
      </c>
      <c r="AB94" s="286">
        <f>'Key Inputs_New Techs'!U50</f>
        <v>0.71499999999999997</v>
      </c>
      <c r="AC94" s="286">
        <f>'Key Inputs_New Techs'!V50</f>
        <v>0.71499999999999997</v>
      </c>
      <c r="AD94" s="286">
        <f>'Key Inputs_New Techs'!W50</f>
        <v>0.71499999999999997</v>
      </c>
      <c r="AE94" s="286">
        <f>'Key Inputs_New Techs'!X50</f>
        <v>0.71499999999999997</v>
      </c>
      <c r="AF94" s="286">
        <f>'Key Inputs_New Techs'!Y50</f>
        <v>0.71499999999999997</v>
      </c>
      <c r="AG94" s="286">
        <f>'Key Inputs_New Techs'!Z50</f>
        <v>0.71499999999999997</v>
      </c>
      <c r="AH94" s="286">
        <f>'Key Inputs_New Techs'!AA50</f>
        <v>0.71499999999999997</v>
      </c>
      <c r="AI94" s="286">
        <f>'Key Inputs_New Techs'!AB50</f>
        <v>0.71499999999999997</v>
      </c>
      <c r="AJ94" s="286">
        <f>'Key Inputs_New Techs'!AC50</f>
        <v>0.71499999999999997</v>
      </c>
      <c r="AK94" s="286">
        <f>'Key Inputs_New Techs'!AD50</f>
        <v>0.71499999999999997</v>
      </c>
      <c r="AL94" s="286">
        <f>'Key Inputs_New Techs'!AE50</f>
        <v>0.71499999999999997</v>
      </c>
      <c r="AM94" s="286">
        <f>'Key Inputs_New Techs'!AF50</f>
        <v>0.71499999999999997</v>
      </c>
      <c r="AN94" s="286">
        <f>'Key Inputs_New Techs'!AG50</f>
        <v>0.71499999999999997</v>
      </c>
      <c r="AO94" s="286">
        <f>'Key Inputs_New Techs'!AH50</f>
        <v>0.71499999999999997</v>
      </c>
      <c r="AP94" s="286">
        <f>'Key Inputs_New Techs'!AI50</f>
        <v>0.71499999999999997</v>
      </c>
      <c r="AQ94" s="286">
        <f>'Key Inputs_New Techs'!AJ50</f>
        <v>0.71499999999999997</v>
      </c>
      <c r="AR94" s="286">
        <f>'Key Inputs_New Techs'!AK50</f>
        <v>0.71499999999999997</v>
      </c>
      <c r="AS94" s="286">
        <f>'Key Inputs_New Techs'!AL50</f>
        <v>0.71499999999999997</v>
      </c>
      <c r="AT94" s="286"/>
      <c r="AU94" s="286"/>
      <c r="AV94" s="286"/>
    </row>
    <row r="95" spans="1:48" s="211" customFormat="1" ht="15.6" x14ac:dyDescent="0.3">
      <c r="A95" s="535"/>
      <c r="B95" s="535"/>
      <c r="C95" s="535"/>
      <c r="D95" s="535"/>
      <c r="E95" s="535"/>
      <c r="F95" s="535"/>
      <c r="G95" s="535"/>
      <c r="H95" s="535"/>
      <c r="I95" s="535"/>
      <c r="J95" s="221"/>
      <c r="K95" s="328" t="str">
        <f>IF('Key Inputs_New Techs'!B51="","",'Key Inputs_New Techs'!B51)</f>
        <v/>
      </c>
      <c r="L95" s="530" t="str">
        <f>IF(K95="","",VLOOKUP(K95,'Commodities &amp; Processes'!$L$48:$M$87,2,FALSE))</f>
        <v/>
      </c>
      <c r="M95" s="201"/>
      <c r="N95" s="201">
        <f>'Key Inputs_New Techs'!H51</f>
        <v>2050</v>
      </c>
      <c r="O95" s="212" t="s">
        <v>40</v>
      </c>
      <c r="P95" s="223" t="s">
        <v>154</v>
      </c>
      <c r="Q95" s="223"/>
      <c r="R95" s="286">
        <f>'Key Inputs_New Techs'!K51</f>
        <v>0.72499999999999998</v>
      </c>
      <c r="S95" s="286">
        <f>'Key Inputs_New Techs'!L51</f>
        <v>0.72499999999999998</v>
      </c>
      <c r="T95" s="286">
        <f>'Key Inputs_New Techs'!M51</f>
        <v>0.72499999999999998</v>
      </c>
      <c r="U95" s="286">
        <f>'Key Inputs_New Techs'!N51</f>
        <v>0.72499999999999998</v>
      </c>
      <c r="V95" s="286">
        <f>'Key Inputs_New Techs'!O51</f>
        <v>0.72499999999999998</v>
      </c>
      <c r="W95" s="286">
        <f>'Key Inputs_New Techs'!P51</f>
        <v>0.72499999999999998</v>
      </c>
      <c r="X95" s="286">
        <f>'Key Inputs_New Techs'!Q51</f>
        <v>0.72499999999999998</v>
      </c>
      <c r="Y95" s="286">
        <f>'Key Inputs_New Techs'!R51</f>
        <v>0.72499999999999998</v>
      </c>
      <c r="Z95" s="286">
        <f>'Key Inputs_New Techs'!S51</f>
        <v>0.72499999999999998</v>
      </c>
      <c r="AA95" s="286">
        <f>'Key Inputs_New Techs'!T51</f>
        <v>0.72499999999999998</v>
      </c>
      <c r="AB95" s="286">
        <f>'Key Inputs_New Techs'!U51</f>
        <v>0.72499999999999998</v>
      </c>
      <c r="AC95" s="286">
        <f>'Key Inputs_New Techs'!V51</f>
        <v>0.72499999999999998</v>
      </c>
      <c r="AD95" s="286">
        <f>'Key Inputs_New Techs'!W51</f>
        <v>0.72499999999999998</v>
      </c>
      <c r="AE95" s="286">
        <f>'Key Inputs_New Techs'!X51</f>
        <v>0.72499999999999998</v>
      </c>
      <c r="AF95" s="286">
        <f>'Key Inputs_New Techs'!Y51</f>
        <v>0.72499999999999998</v>
      </c>
      <c r="AG95" s="286">
        <f>'Key Inputs_New Techs'!Z51</f>
        <v>0.72499999999999998</v>
      </c>
      <c r="AH95" s="286">
        <f>'Key Inputs_New Techs'!AA51</f>
        <v>0.72499999999999998</v>
      </c>
      <c r="AI95" s="286">
        <f>'Key Inputs_New Techs'!AB51</f>
        <v>0.72499999999999998</v>
      </c>
      <c r="AJ95" s="286">
        <f>'Key Inputs_New Techs'!AC51</f>
        <v>0.72499999999999998</v>
      </c>
      <c r="AK95" s="286">
        <f>'Key Inputs_New Techs'!AD51</f>
        <v>0.72499999999999998</v>
      </c>
      <c r="AL95" s="286">
        <f>'Key Inputs_New Techs'!AE51</f>
        <v>0.72499999999999998</v>
      </c>
      <c r="AM95" s="286">
        <f>'Key Inputs_New Techs'!AF51</f>
        <v>0.72499999999999998</v>
      </c>
      <c r="AN95" s="286">
        <f>'Key Inputs_New Techs'!AG51</f>
        <v>0.72499999999999998</v>
      </c>
      <c r="AO95" s="286">
        <f>'Key Inputs_New Techs'!AH51</f>
        <v>0.72499999999999998</v>
      </c>
      <c r="AP95" s="286">
        <f>'Key Inputs_New Techs'!AI51</f>
        <v>0.72499999999999998</v>
      </c>
      <c r="AQ95" s="286">
        <f>'Key Inputs_New Techs'!AJ51</f>
        <v>0.72499999999999998</v>
      </c>
      <c r="AR95" s="286">
        <f>'Key Inputs_New Techs'!AK51</f>
        <v>0.72499999999999998</v>
      </c>
      <c r="AS95" s="286">
        <f>'Key Inputs_New Techs'!AL51</f>
        <v>0.72499999999999998</v>
      </c>
      <c r="AT95" s="286"/>
      <c r="AU95" s="286"/>
      <c r="AV95" s="286"/>
    </row>
    <row r="96" spans="1:48" s="211" customFormat="1" ht="15.6" x14ac:dyDescent="0.3">
      <c r="A96" s="535"/>
      <c r="B96" s="535"/>
      <c r="C96" s="535"/>
      <c r="D96" s="535"/>
      <c r="E96" s="535"/>
      <c r="F96" s="535"/>
      <c r="G96" s="535"/>
      <c r="H96" s="535"/>
      <c r="I96" s="535"/>
      <c r="J96" s="221"/>
      <c r="K96" s="328" t="str">
        <f>IF('Key Inputs_New Techs'!B52="","",'Key Inputs_New Techs'!B52)</f>
        <v>S-AC_HET03</v>
      </c>
      <c r="L96" s="530" t="str">
        <f>IF(K96="","",VLOOKUP(K96,'Commodities &amp; Processes'!$L$48:$M$87,2,FALSE))</f>
        <v>SRV Air conditioning tech: Heat - Air conditioning (Adv.)</v>
      </c>
      <c r="M96" s="201"/>
      <c r="N96" s="201">
        <f>'Key Inputs_New Techs'!H52</f>
        <v>2030</v>
      </c>
      <c r="O96" s="212" t="s">
        <v>40</v>
      </c>
      <c r="P96" s="223" t="s">
        <v>154</v>
      </c>
      <c r="Q96" s="223"/>
      <c r="R96" s="286">
        <f>'Key Inputs_New Techs'!K52</f>
        <v>0.74099999999999999</v>
      </c>
      <c r="S96" s="286">
        <f>'Key Inputs_New Techs'!L52</f>
        <v>0.74099999999999999</v>
      </c>
      <c r="T96" s="286">
        <f>'Key Inputs_New Techs'!M52</f>
        <v>0.74099999999999999</v>
      </c>
      <c r="U96" s="286">
        <f>'Key Inputs_New Techs'!N52</f>
        <v>0.74099999999999999</v>
      </c>
      <c r="V96" s="286">
        <f>'Key Inputs_New Techs'!O52</f>
        <v>0.74099999999999999</v>
      </c>
      <c r="W96" s="286">
        <f>'Key Inputs_New Techs'!P52</f>
        <v>0.74099999999999999</v>
      </c>
      <c r="X96" s="286">
        <f>'Key Inputs_New Techs'!Q52</f>
        <v>0.74099999999999999</v>
      </c>
      <c r="Y96" s="286">
        <f>'Key Inputs_New Techs'!R52</f>
        <v>0.74099999999999999</v>
      </c>
      <c r="Z96" s="286">
        <f>'Key Inputs_New Techs'!S52</f>
        <v>0.74099999999999999</v>
      </c>
      <c r="AA96" s="286">
        <f>'Key Inputs_New Techs'!T52</f>
        <v>0.74099999999999999</v>
      </c>
      <c r="AB96" s="286">
        <f>'Key Inputs_New Techs'!U52</f>
        <v>0.74099999999999999</v>
      </c>
      <c r="AC96" s="286">
        <f>'Key Inputs_New Techs'!V52</f>
        <v>0.74099999999999999</v>
      </c>
      <c r="AD96" s="286">
        <f>'Key Inputs_New Techs'!W52</f>
        <v>0.74099999999999999</v>
      </c>
      <c r="AE96" s="286">
        <f>'Key Inputs_New Techs'!X52</f>
        <v>0.74099999999999999</v>
      </c>
      <c r="AF96" s="286">
        <f>'Key Inputs_New Techs'!Y52</f>
        <v>0.74099999999999999</v>
      </c>
      <c r="AG96" s="286">
        <f>'Key Inputs_New Techs'!Z52</f>
        <v>0.74099999999999999</v>
      </c>
      <c r="AH96" s="286">
        <f>'Key Inputs_New Techs'!AA52</f>
        <v>0.74099999999999999</v>
      </c>
      <c r="AI96" s="286">
        <f>'Key Inputs_New Techs'!AB52</f>
        <v>0.74099999999999999</v>
      </c>
      <c r="AJ96" s="286">
        <f>'Key Inputs_New Techs'!AC52</f>
        <v>0.74099999999999999</v>
      </c>
      <c r="AK96" s="286">
        <f>'Key Inputs_New Techs'!AD52</f>
        <v>0.74099999999999999</v>
      </c>
      <c r="AL96" s="286">
        <f>'Key Inputs_New Techs'!AE52</f>
        <v>0.74099999999999999</v>
      </c>
      <c r="AM96" s="286">
        <f>'Key Inputs_New Techs'!AF52</f>
        <v>0.74099999999999999</v>
      </c>
      <c r="AN96" s="286">
        <f>'Key Inputs_New Techs'!AG52</f>
        <v>0.74099999999999999</v>
      </c>
      <c r="AO96" s="286">
        <f>'Key Inputs_New Techs'!AH52</f>
        <v>0.74099999999999999</v>
      </c>
      <c r="AP96" s="286">
        <f>'Key Inputs_New Techs'!AI52</f>
        <v>0.74099999999999999</v>
      </c>
      <c r="AQ96" s="286">
        <f>'Key Inputs_New Techs'!AJ52</f>
        <v>0.74099999999999999</v>
      </c>
      <c r="AR96" s="286">
        <f>'Key Inputs_New Techs'!AK52</f>
        <v>0.74099999999999999</v>
      </c>
      <c r="AS96" s="286">
        <f>'Key Inputs_New Techs'!AL52</f>
        <v>0.74099999999999999</v>
      </c>
      <c r="AT96" s="286"/>
      <c r="AU96" s="286"/>
      <c r="AV96" s="286"/>
    </row>
    <row r="97" spans="1:48" s="211" customFormat="1" ht="15.6" x14ac:dyDescent="0.3">
      <c r="A97" s="535"/>
      <c r="B97" s="535"/>
      <c r="C97" s="535"/>
      <c r="D97" s="535"/>
      <c r="E97" s="535"/>
      <c r="F97" s="535"/>
      <c r="G97" s="535"/>
      <c r="H97" s="535"/>
      <c r="I97" s="535"/>
      <c r="J97" s="221"/>
      <c r="K97" s="328" t="str">
        <f>IF('Key Inputs_New Techs'!B53="","",'Key Inputs_New Techs'!B53)</f>
        <v/>
      </c>
      <c r="L97" s="530" t="str">
        <f>IF(K97="","",VLOOKUP(K97,'Commodities &amp; Processes'!$L$48:$M$87,2,FALSE))</f>
        <v/>
      </c>
      <c r="M97" s="201"/>
      <c r="N97" s="201">
        <f>'Key Inputs_New Techs'!H53</f>
        <v>2050</v>
      </c>
      <c r="O97" s="212" t="s">
        <v>40</v>
      </c>
      <c r="P97" s="223" t="s">
        <v>154</v>
      </c>
      <c r="Q97" s="223"/>
      <c r="R97" s="286">
        <f>'Key Inputs_New Techs'!K53</f>
        <v>0.76719989623252383</v>
      </c>
      <c r="S97" s="286">
        <f>'Key Inputs_New Techs'!L53</f>
        <v>0.76719989623252383</v>
      </c>
      <c r="T97" s="286">
        <f>'Key Inputs_New Techs'!M53</f>
        <v>0.76719989623252383</v>
      </c>
      <c r="U97" s="286">
        <f>'Key Inputs_New Techs'!N53</f>
        <v>0.76719989623252383</v>
      </c>
      <c r="V97" s="286">
        <f>'Key Inputs_New Techs'!O53</f>
        <v>0.76719989623252383</v>
      </c>
      <c r="W97" s="286">
        <f>'Key Inputs_New Techs'!P53</f>
        <v>0.76719989623252383</v>
      </c>
      <c r="X97" s="286">
        <f>'Key Inputs_New Techs'!Q53</f>
        <v>0.76719989623252383</v>
      </c>
      <c r="Y97" s="286">
        <f>'Key Inputs_New Techs'!R53</f>
        <v>0.76719989623252383</v>
      </c>
      <c r="Z97" s="286">
        <f>'Key Inputs_New Techs'!S53</f>
        <v>0.76719989623252383</v>
      </c>
      <c r="AA97" s="286">
        <f>'Key Inputs_New Techs'!T53</f>
        <v>0.76719989623252383</v>
      </c>
      <c r="AB97" s="286">
        <f>'Key Inputs_New Techs'!U53</f>
        <v>0.76719989623252383</v>
      </c>
      <c r="AC97" s="286">
        <f>'Key Inputs_New Techs'!V53</f>
        <v>0.76719989623252383</v>
      </c>
      <c r="AD97" s="286">
        <f>'Key Inputs_New Techs'!W53</f>
        <v>0.76719989623252383</v>
      </c>
      <c r="AE97" s="286">
        <f>'Key Inputs_New Techs'!X53</f>
        <v>0.76719989623252383</v>
      </c>
      <c r="AF97" s="286">
        <f>'Key Inputs_New Techs'!Y53</f>
        <v>0.76719989623252383</v>
      </c>
      <c r="AG97" s="286">
        <f>'Key Inputs_New Techs'!Z53</f>
        <v>0.76719989623252383</v>
      </c>
      <c r="AH97" s="286">
        <f>'Key Inputs_New Techs'!AA53</f>
        <v>0.76719989623252383</v>
      </c>
      <c r="AI97" s="286">
        <f>'Key Inputs_New Techs'!AB53</f>
        <v>0.76719989623252383</v>
      </c>
      <c r="AJ97" s="286">
        <f>'Key Inputs_New Techs'!AC53</f>
        <v>0.76719989623252383</v>
      </c>
      <c r="AK97" s="286">
        <f>'Key Inputs_New Techs'!AD53</f>
        <v>0.76719989623252383</v>
      </c>
      <c r="AL97" s="286">
        <f>'Key Inputs_New Techs'!AE53</f>
        <v>0.76719989623252383</v>
      </c>
      <c r="AM97" s="286">
        <f>'Key Inputs_New Techs'!AF53</f>
        <v>0.76719989623252383</v>
      </c>
      <c r="AN97" s="286">
        <f>'Key Inputs_New Techs'!AG53</f>
        <v>0.76719989623252383</v>
      </c>
      <c r="AO97" s="286">
        <f>'Key Inputs_New Techs'!AH53</f>
        <v>0.76719989623252383</v>
      </c>
      <c r="AP97" s="286">
        <f>'Key Inputs_New Techs'!AI53</f>
        <v>0.76719989623252383</v>
      </c>
      <c r="AQ97" s="286">
        <f>'Key Inputs_New Techs'!AJ53</f>
        <v>0.76719989623252383</v>
      </c>
      <c r="AR97" s="286">
        <f>'Key Inputs_New Techs'!AK53</f>
        <v>0.76719989623252383</v>
      </c>
      <c r="AS97" s="286">
        <f>'Key Inputs_New Techs'!AL53</f>
        <v>0.76719989623252383</v>
      </c>
      <c r="AT97" s="286"/>
      <c r="AU97" s="286"/>
      <c r="AV97" s="286"/>
    </row>
    <row r="98" spans="1:48" s="211" customFormat="1" ht="15.6" x14ac:dyDescent="0.3">
      <c r="A98" s="535"/>
      <c r="B98" s="535"/>
      <c r="C98" s="535"/>
      <c r="D98" s="535"/>
      <c r="E98" s="535"/>
      <c r="F98" s="535"/>
      <c r="G98" s="535"/>
      <c r="H98" s="535"/>
      <c r="I98" s="535"/>
      <c r="J98" s="221"/>
      <c r="K98" s="328" t="str">
        <f>IF('Key Inputs_New Techs'!B54="","",'Key Inputs_New Techs'!B54)</f>
        <v>S-SLIG_ELC01</v>
      </c>
      <c r="L98" s="530" t="str">
        <f>IF(K98="","",VLOOKUP(K98,'Commodities &amp; Processes'!$L$48:$M$87,2,FALSE))</f>
        <v>SRV Street lighting tech: Electricity - Street lights (Ord.)</v>
      </c>
      <c r="M98" s="201"/>
      <c r="N98" s="201">
        <f>'Key Inputs_New Techs'!H54</f>
        <v>2020</v>
      </c>
      <c r="O98" s="212" t="s">
        <v>40</v>
      </c>
      <c r="P98" s="223" t="s">
        <v>154</v>
      </c>
      <c r="Q98" s="223"/>
      <c r="R98" s="286">
        <f>'Key Inputs_New Techs'!K54</f>
        <v>16.367059103624555</v>
      </c>
      <c r="S98" s="286">
        <f>'Key Inputs_New Techs'!L54</f>
        <v>16.367059103624555</v>
      </c>
      <c r="T98" s="286">
        <f>'Key Inputs_New Techs'!M54</f>
        <v>16.367059103624555</v>
      </c>
      <c r="U98" s="286">
        <f>'Key Inputs_New Techs'!N54</f>
        <v>16.367059103624555</v>
      </c>
      <c r="V98" s="286">
        <f>'Key Inputs_New Techs'!O54</f>
        <v>16.367059103624555</v>
      </c>
      <c r="W98" s="286">
        <f>'Key Inputs_New Techs'!P54</f>
        <v>16.367059103624555</v>
      </c>
      <c r="X98" s="286">
        <f>'Key Inputs_New Techs'!Q54</f>
        <v>16.367059103624555</v>
      </c>
      <c r="Y98" s="286">
        <f>'Key Inputs_New Techs'!R54</f>
        <v>16.367059103624555</v>
      </c>
      <c r="Z98" s="286">
        <f>'Key Inputs_New Techs'!S54</f>
        <v>16.367059103624555</v>
      </c>
      <c r="AA98" s="286">
        <f>'Key Inputs_New Techs'!T54</f>
        <v>16.367059103624555</v>
      </c>
      <c r="AB98" s="286">
        <f>'Key Inputs_New Techs'!U54</f>
        <v>16.367059103624555</v>
      </c>
      <c r="AC98" s="286">
        <f>'Key Inputs_New Techs'!V54</f>
        <v>16.367059103624555</v>
      </c>
      <c r="AD98" s="286">
        <f>'Key Inputs_New Techs'!W54</f>
        <v>16.367059103624555</v>
      </c>
      <c r="AE98" s="286">
        <f>'Key Inputs_New Techs'!X54</f>
        <v>16.367059103624555</v>
      </c>
      <c r="AF98" s="286">
        <f>'Key Inputs_New Techs'!Y54</f>
        <v>16.367059103624555</v>
      </c>
      <c r="AG98" s="286">
        <f>'Key Inputs_New Techs'!Z54</f>
        <v>16.367059103624555</v>
      </c>
      <c r="AH98" s="286">
        <f>'Key Inputs_New Techs'!AA54</f>
        <v>16.367059103624555</v>
      </c>
      <c r="AI98" s="286">
        <f>'Key Inputs_New Techs'!AB54</f>
        <v>16.367059103624555</v>
      </c>
      <c r="AJ98" s="286">
        <f>'Key Inputs_New Techs'!AC54</f>
        <v>16.367059103624555</v>
      </c>
      <c r="AK98" s="286">
        <f>'Key Inputs_New Techs'!AD54</f>
        <v>16.367059103624555</v>
      </c>
      <c r="AL98" s="286">
        <f>'Key Inputs_New Techs'!AE54</f>
        <v>16.367059103624555</v>
      </c>
      <c r="AM98" s="286">
        <f>'Key Inputs_New Techs'!AF54</f>
        <v>16.367059103624555</v>
      </c>
      <c r="AN98" s="286">
        <f>'Key Inputs_New Techs'!AG54</f>
        <v>16.367059103624555</v>
      </c>
      <c r="AO98" s="286">
        <f>'Key Inputs_New Techs'!AH54</f>
        <v>16.367059103624555</v>
      </c>
      <c r="AP98" s="286">
        <f>'Key Inputs_New Techs'!AI54</f>
        <v>16.367059103624555</v>
      </c>
      <c r="AQ98" s="286">
        <f>'Key Inputs_New Techs'!AJ54</f>
        <v>16.367059103624555</v>
      </c>
      <c r="AR98" s="286">
        <f>'Key Inputs_New Techs'!AK54</f>
        <v>16.367059103624555</v>
      </c>
      <c r="AS98" s="286">
        <f>'Key Inputs_New Techs'!AL54</f>
        <v>16.367059103624555</v>
      </c>
      <c r="AT98" s="286"/>
      <c r="AU98" s="286"/>
      <c r="AV98" s="286"/>
    </row>
    <row r="99" spans="1:48" s="211" customFormat="1" ht="15.6" x14ac:dyDescent="0.3">
      <c r="A99" s="535"/>
      <c r="B99" s="535"/>
      <c r="C99" s="535"/>
      <c r="D99" s="535"/>
      <c r="E99" s="535"/>
      <c r="F99" s="535"/>
      <c r="G99" s="535"/>
      <c r="H99" s="535"/>
      <c r="I99" s="535"/>
      <c r="J99" s="221"/>
      <c r="K99" s="328" t="str">
        <f>IF('Key Inputs_New Techs'!B55="","",'Key Inputs_New Techs'!B55)</f>
        <v>S-SLIG_ELC02</v>
      </c>
      <c r="L99" s="530" t="str">
        <f>IF(K99="","",VLOOKUP(K99,'Commodities &amp; Processes'!$L$48:$M$87,2,FALSE))</f>
        <v>SRV Street lighting tech: Electricity - Street lights (Imp.)</v>
      </c>
      <c r="M99" s="201"/>
      <c r="N99" s="201">
        <f>'Key Inputs_New Techs'!H55</f>
        <v>2025</v>
      </c>
      <c r="O99" s="212" t="s">
        <v>40</v>
      </c>
      <c r="P99" s="223" t="s">
        <v>154</v>
      </c>
      <c r="Q99" s="223"/>
      <c r="R99" s="286">
        <f>'Key Inputs_New Techs'!K55</f>
        <v>16.367059103624555</v>
      </c>
      <c r="S99" s="286">
        <f>'Key Inputs_New Techs'!L55</f>
        <v>16.367059103624555</v>
      </c>
      <c r="T99" s="286">
        <f>'Key Inputs_New Techs'!M55</f>
        <v>16.367059103624555</v>
      </c>
      <c r="U99" s="286">
        <f>'Key Inputs_New Techs'!N55</f>
        <v>16.367059103624555</v>
      </c>
      <c r="V99" s="286">
        <f>'Key Inputs_New Techs'!O55</f>
        <v>16.367059103624555</v>
      </c>
      <c r="W99" s="286">
        <f>'Key Inputs_New Techs'!P55</f>
        <v>16.367059103624555</v>
      </c>
      <c r="X99" s="286">
        <f>'Key Inputs_New Techs'!Q55</f>
        <v>16.367059103624555</v>
      </c>
      <c r="Y99" s="286">
        <f>'Key Inputs_New Techs'!R55</f>
        <v>16.367059103624555</v>
      </c>
      <c r="Z99" s="286">
        <f>'Key Inputs_New Techs'!S55</f>
        <v>16.367059103624555</v>
      </c>
      <c r="AA99" s="286">
        <f>'Key Inputs_New Techs'!T55</f>
        <v>16.367059103624555</v>
      </c>
      <c r="AB99" s="286">
        <f>'Key Inputs_New Techs'!U55</f>
        <v>16.367059103624555</v>
      </c>
      <c r="AC99" s="286">
        <f>'Key Inputs_New Techs'!V55</f>
        <v>16.367059103624555</v>
      </c>
      <c r="AD99" s="286">
        <f>'Key Inputs_New Techs'!W55</f>
        <v>16.367059103624555</v>
      </c>
      <c r="AE99" s="286">
        <f>'Key Inputs_New Techs'!X55</f>
        <v>16.367059103624555</v>
      </c>
      <c r="AF99" s="286">
        <f>'Key Inputs_New Techs'!Y55</f>
        <v>16.367059103624555</v>
      </c>
      <c r="AG99" s="286">
        <f>'Key Inputs_New Techs'!Z55</f>
        <v>16.367059103624555</v>
      </c>
      <c r="AH99" s="286">
        <f>'Key Inputs_New Techs'!AA55</f>
        <v>16.367059103624555</v>
      </c>
      <c r="AI99" s="286">
        <f>'Key Inputs_New Techs'!AB55</f>
        <v>16.367059103624555</v>
      </c>
      <c r="AJ99" s="286">
        <f>'Key Inputs_New Techs'!AC55</f>
        <v>16.367059103624555</v>
      </c>
      <c r="AK99" s="286">
        <f>'Key Inputs_New Techs'!AD55</f>
        <v>16.367059103624555</v>
      </c>
      <c r="AL99" s="286">
        <f>'Key Inputs_New Techs'!AE55</f>
        <v>16.367059103624555</v>
      </c>
      <c r="AM99" s="286">
        <f>'Key Inputs_New Techs'!AF55</f>
        <v>16.367059103624555</v>
      </c>
      <c r="AN99" s="286">
        <f>'Key Inputs_New Techs'!AG55</f>
        <v>16.367059103624555</v>
      </c>
      <c r="AO99" s="286">
        <f>'Key Inputs_New Techs'!AH55</f>
        <v>16.367059103624555</v>
      </c>
      <c r="AP99" s="286">
        <f>'Key Inputs_New Techs'!AI55</f>
        <v>16.367059103624555</v>
      </c>
      <c r="AQ99" s="286">
        <f>'Key Inputs_New Techs'!AJ55</f>
        <v>16.367059103624555</v>
      </c>
      <c r="AR99" s="286">
        <f>'Key Inputs_New Techs'!AK55</f>
        <v>16.367059103624555</v>
      </c>
      <c r="AS99" s="286">
        <f>'Key Inputs_New Techs'!AL55</f>
        <v>16.367059103624555</v>
      </c>
      <c r="AT99" s="286"/>
      <c r="AU99" s="286"/>
      <c r="AV99" s="286"/>
    </row>
    <row r="100" spans="1:48" s="211" customFormat="1" ht="15.6" x14ac:dyDescent="0.3">
      <c r="A100" s="535"/>
      <c r="B100" s="535"/>
      <c r="C100" s="535"/>
      <c r="D100" s="535"/>
      <c r="E100" s="535"/>
      <c r="F100" s="535"/>
      <c r="G100" s="535"/>
      <c r="H100" s="535"/>
      <c r="I100" s="535"/>
      <c r="J100" s="221"/>
      <c r="K100" s="328" t="str">
        <f>IF('Key Inputs_New Techs'!B56="","",'Key Inputs_New Techs'!B56)</f>
        <v/>
      </c>
      <c r="L100" s="530" t="str">
        <f>IF(K100="","",VLOOKUP(K100,'Commodities &amp; Processes'!$L$48:$M$87,2,FALSE))</f>
        <v/>
      </c>
      <c r="M100" s="201"/>
      <c r="N100" s="201">
        <f>'Key Inputs_New Techs'!H56</f>
        <v>2030</v>
      </c>
      <c r="O100" s="212" t="s">
        <v>40</v>
      </c>
      <c r="P100" s="223" t="s">
        <v>154</v>
      </c>
      <c r="Q100" s="223"/>
      <c r="R100" s="286">
        <f>'Key Inputs_New Techs'!K56</f>
        <v>18.54324284230826</v>
      </c>
      <c r="S100" s="286">
        <f>'Key Inputs_New Techs'!L56</f>
        <v>18.54324284230826</v>
      </c>
      <c r="T100" s="286">
        <f>'Key Inputs_New Techs'!M56</f>
        <v>18.54324284230826</v>
      </c>
      <c r="U100" s="286">
        <f>'Key Inputs_New Techs'!N56</f>
        <v>18.54324284230826</v>
      </c>
      <c r="V100" s="286">
        <f>'Key Inputs_New Techs'!O56</f>
        <v>18.54324284230826</v>
      </c>
      <c r="W100" s="286">
        <f>'Key Inputs_New Techs'!P56</f>
        <v>18.54324284230826</v>
      </c>
      <c r="X100" s="286">
        <f>'Key Inputs_New Techs'!Q56</f>
        <v>18.54324284230826</v>
      </c>
      <c r="Y100" s="286">
        <f>'Key Inputs_New Techs'!R56</f>
        <v>18.54324284230826</v>
      </c>
      <c r="Z100" s="286">
        <f>'Key Inputs_New Techs'!S56</f>
        <v>18.54324284230826</v>
      </c>
      <c r="AA100" s="286">
        <f>'Key Inputs_New Techs'!T56</f>
        <v>18.54324284230826</v>
      </c>
      <c r="AB100" s="286">
        <f>'Key Inputs_New Techs'!U56</f>
        <v>18.54324284230826</v>
      </c>
      <c r="AC100" s="286">
        <f>'Key Inputs_New Techs'!V56</f>
        <v>18.54324284230826</v>
      </c>
      <c r="AD100" s="286">
        <f>'Key Inputs_New Techs'!W56</f>
        <v>18.54324284230826</v>
      </c>
      <c r="AE100" s="286">
        <f>'Key Inputs_New Techs'!X56</f>
        <v>18.54324284230826</v>
      </c>
      <c r="AF100" s="286">
        <f>'Key Inputs_New Techs'!Y56</f>
        <v>18.54324284230826</v>
      </c>
      <c r="AG100" s="286">
        <f>'Key Inputs_New Techs'!Z56</f>
        <v>18.54324284230826</v>
      </c>
      <c r="AH100" s="286">
        <f>'Key Inputs_New Techs'!AA56</f>
        <v>18.54324284230826</v>
      </c>
      <c r="AI100" s="286">
        <f>'Key Inputs_New Techs'!AB56</f>
        <v>18.54324284230826</v>
      </c>
      <c r="AJ100" s="286">
        <f>'Key Inputs_New Techs'!AC56</f>
        <v>18.54324284230826</v>
      </c>
      <c r="AK100" s="286">
        <f>'Key Inputs_New Techs'!AD56</f>
        <v>18.54324284230826</v>
      </c>
      <c r="AL100" s="286">
        <f>'Key Inputs_New Techs'!AE56</f>
        <v>18.54324284230826</v>
      </c>
      <c r="AM100" s="286">
        <f>'Key Inputs_New Techs'!AF56</f>
        <v>18.54324284230826</v>
      </c>
      <c r="AN100" s="286">
        <f>'Key Inputs_New Techs'!AG56</f>
        <v>18.54324284230826</v>
      </c>
      <c r="AO100" s="286">
        <f>'Key Inputs_New Techs'!AH56</f>
        <v>18.54324284230826</v>
      </c>
      <c r="AP100" s="286">
        <f>'Key Inputs_New Techs'!AI56</f>
        <v>18.54324284230826</v>
      </c>
      <c r="AQ100" s="286">
        <f>'Key Inputs_New Techs'!AJ56</f>
        <v>18.54324284230826</v>
      </c>
      <c r="AR100" s="286">
        <f>'Key Inputs_New Techs'!AK56</f>
        <v>18.54324284230826</v>
      </c>
      <c r="AS100" s="286">
        <f>'Key Inputs_New Techs'!AL56</f>
        <v>18.54324284230826</v>
      </c>
      <c r="AT100" s="286"/>
      <c r="AU100" s="286"/>
      <c r="AV100" s="286"/>
    </row>
    <row r="101" spans="1:48" s="211" customFormat="1" ht="15.6" x14ac:dyDescent="0.3">
      <c r="A101" s="535"/>
      <c r="B101" s="535"/>
      <c r="C101" s="535"/>
      <c r="D101" s="535"/>
      <c r="E101" s="535"/>
      <c r="F101" s="535"/>
      <c r="G101" s="535"/>
      <c r="H101" s="535"/>
      <c r="I101" s="535"/>
      <c r="J101" s="221"/>
      <c r="K101" s="328" t="str">
        <f>IF('Key Inputs_New Techs'!B57="","",'Key Inputs_New Techs'!B57)</f>
        <v/>
      </c>
      <c r="L101" s="530" t="str">
        <f>IF(K101="","",VLOOKUP(K101,'Commodities &amp; Processes'!$L$48:$M$87,2,FALSE))</f>
        <v/>
      </c>
      <c r="M101" s="201"/>
      <c r="N101" s="201">
        <f>'Key Inputs_New Techs'!H57</f>
        <v>2050</v>
      </c>
      <c r="O101" s="212" t="s">
        <v>40</v>
      </c>
      <c r="P101" s="223" t="s">
        <v>154</v>
      </c>
      <c r="Q101" s="223"/>
      <c r="R101" s="286">
        <f>'Key Inputs_New Techs'!K57</f>
        <v>25.298522566282127</v>
      </c>
      <c r="S101" s="286">
        <f>'Key Inputs_New Techs'!L57</f>
        <v>25.298522566282127</v>
      </c>
      <c r="T101" s="286">
        <f>'Key Inputs_New Techs'!M57</f>
        <v>25.298522566282127</v>
      </c>
      <c r="U101" s="286">
        <f>'Key Inputs_New Techs'!N57</f>
        <v>25.298522566282127</v>
      </c>
      <c r="V101" s="286">
        <f>'Key Inputs_New Techs'!O57</f>
        <v>25.298522566282127</v>
      </c>
      <c r="W101" s="286">
        <f>'Key Inputs_New Techs'!P57</f>
        <v>25.298522566282127</v>
      </c>
      <c r="X101" s="286">
        <f>'Key Inputs_New Techs'!Q57</f>
        <v>25.298522566282127</v>
      </c>
      <c r="Y101" s="286">
        <f>'Key Inputs_New Techs'!R57</f>
        <v>25.298522566282127</v>
      </c>
      <c r="Z101" s="286">
        <f>'Key Inputs_New Techs'!S57</f>
        <v>25.298522566282127</v>
      </c>
      <c r="AA101" s="286">
        <f>'Key Inputs_New Techs'!T57</f>
        <v>25.298522566282127</v>
      </c>
      <c r="AB101" s="286">
        <f>'Key Inputs_New Techs'!U57</f>
        <v>25.298522566282127</v>
      </c>
      <c r="AC101" s="286">
        <f>'Key Inputs_New Techs'!V57</f>
        <v>25.298522566282127</v>
      </c>
      <c r="AD101" s="286">
        <f>'Key Inputs_New Techs'!W57</f>
        <v>25.298522566282127</v>
      </c>
      <c r="AE101" s="286">
        <f>'Key Inputs_New Techs'!X57</f>
        <v>25.298522566282127</v>
      </c>
      <c r="AF101" s="286">
        <f>'Key Inputs_New Techs'!Y57</f>
        <v>25.298522566282127</v>
      </c>
      <c r="AG101" s="286">
        <f>'Key Inputs_New Techs'!Z57</f>
        <v>25.298522566282127</v>
      </c>
      <c r="AH101" s="286">
        <f>'Key Inputs_New Techs'!AA57</f>
        <v>25.298522566282127</v>
      </c>
      <c r="AI101" s="286">
        <f>'Key Inputs_New Techs'!AB57</f>
        <v>25.298522566282127</v>
      </c>
      <c r="AJ101" s="286">
        <f>'Key Inputs_New Techs'!AC57</f>
        <v>25.298522566282127</v>
      </c>
      <c r="AK101" s="286">
        <f>'Key Inputs_New Techs'!AD57</f>
        <v>25.298522566282127</v>
      </c>
      <c r="AL101" s="286">
        <f>'Key Inputs_New Techs'!AE57</f>
        <v>25.298522566282127</v>
      </c>
      <c r="AM101" s="286">
        <f>'Key Inputs_New Techs'!AF57</f>
        <v>25.298522566282127</v>
      </c>
      <c r="AN101" s="286">
        <f>'Key Inputs_New Techs'!AG57</f>
        <v>25.298522566282127</v>
      </c>
      <c r="AO101" s="286">
        <f>'Key Inputs_New Techs'!AH57</f>
        <v>25.298522566282127</v>
      </c>
      <c r="AP101" s="286">
        <f>'Key Inputs_New Techs'!AI57</f>
        <v>25.298522566282127</v>
      </c>
      <c r="AQ101" s="286">
        <f>'Key Inputs_New Techs'!AJ57</f>
        <v>25.298522566282127</v>
      </c>
      <c r="AR101" s="286">
        <f>'Key Inputs_New Techs'!AK57</f>
        <v>25.298522566282127</v>
      </c>
      <c r="AS101" s="286">
        <f>'Key Inputs_New Techs'!AL57</f>
        <v>25.298522566282127</v>
      </c>
      <c r="AT101" s="286"/>
      <c r="AU101" s="286"/>
      <c r="AV101" s="286"/>
    </row>
    <row r="102" spans="1:48" ht="15.6" x14ac:dyDescent="0.3">
      <c r="J102" s="221"/>
      <c r="K102" s="328" t="str">
        <f>IF('Key Inputs_New Techs'!B58="","",'Key Inputs_New Techs'!B58)</f>
        <v>S-SLIG_ELC03</v>
      </c>
      <c r="L102" s="530" t="str">
        <f>IF(K102="","",VLOOKUP(K102,'Commodities &amp; Processes'!$L$48:$M$87,2,FALSE))</f>
        <v>SRV Street lighting tech: Electricity - Street lights (Adv.)</v>
      </c>
      <c r="N102" s="201">
        <f>'Key Inputs_New Techs'!H58</f>
        <v>2030</v>
      </c>
      <c r="O102" s="212" t="s">
        <v>40</v>
      </c>
      <c r="P102" s="223" t="s">
        <v>154</v>
      </c>
      <c r="Q102" s="223"/>
      <c r="R102" s="286">
        <f>'Key Inputs_New Techs'!K58</f>
        <v>21.008774571643663</v>
      </c>
      <c r="S102" s="286">
        <f>'Key Inputs_New Techs'!L58</f>
        <v>21.008774571643663</v>
      </c>
      <c r="T102" s="286">
        <f>'Key Inputs_New Techs'!M58</f>
        <v>21.008774571643663</v>
      </c>
      <c r="U102" s="286">
        <f>'Key Inputs_New Techs'!N58</f>
        <v>21.008774571643663</v>
      </c>
      <c r="V102" s="286">
        <f>'Key Inputs_New Techs'!O58</f>
        <v>21.008774571643663</v>
      </c>
      <c r="W102" s="286">
        <f>'Key Inputs_New Techs'!P58</f>
        <v>21.008774571643663</v>
      </c>
      <c r="X102" s="286">
        <f>'Key Inputs_New Techs'!Q58</f>
        <v>21.008774571643663</v>
      </c>
      <c r="Y102" s="286">
        <f>'Key Inputs_New Techs'!R58</f>
        <v>21.008774571643663</v>
      </c>
      <c r="Z102" s="286">
        <f>'Key Inputs_New Techs'!S58</f>
        <v>21.008774571643663</v>
      </c>
      <c r="AA102" s="286">
        <f>'Key Inputs_New Techs'!T58</f>
        <v>21.008774571643663</v>
      </c>
      <c r="AB102" s="286">
        <f>'Key Inputs_New Techs'!U58</f>
        <v>21.008774571643663</v>
      </c>
      <c r="AC102" s="286">
        <f>'Key Inputs_New Techs'!V58</f>
        <v>21.008774571643663</v>
      </c>
      <c r="AD102" s="286">
        <f>'Key Inputs_New Techs'!W58</f>
        <v>21.008774571643663</v>
      </c>
      <c r="AE102" s="286">
        <f>'Key Inputs_New Techs'!X58</f>
        <v>21.008774571643663</v>
      </c>
      <c r="AF102" s="286">
        <f>'Key Inputs_New Techs'!Y58</f>
        <v>21.008774571643663</v>
      </c>
      <c r="AG102" s="286">
        <f>'Key Inputs_New Techs'!Z58</f>
        <v>21.008774571643663</v>
      </c>
      <c r="AH102" s="286">
        <f>'Key Inputs_New Techs'!AA58</f>
        <v>21.008774571643663</v>
      </c>
      <c r="AI102" s="286">
        <f>'Key Inputs_New Techs'!AB58</f>
        <v>21.008774571643663</v>
      </c>
      <c r="AJ102" s="286">
        <f>'Key Inputs_New Techs'!AC58</f>
        <v>21.008774571643663</v>
      </c>
      <c r="AK102" s="286">
        <f>'Key Inputs_New Techs'!AD58</f>
        <v>21.008774571643663</v>
      </c>
      <c r="AL102" s="286">
        <f>'Key Inputs_New Techs'!AE58</f>
        <v>21.008774571643663</v>
      </c>
      <c r="AM102" s="286">
        <f>'Key Inputs_New Techs'!AF58</f>
        <v>21.008774571643663</v>
      </c>
      <c r="AN102" s="286">
        <f>'Key Inputs_New Techs'!AG58</f>
        <v>21.008774571643663</v>
      </c>
      <c r="AO102" s="286">
        <f>'Key Inputs_New Techs'!AH58</f>
        <v>21.008774571643663</v>
      </c>
      <c r="AP102" s="286">
        <f>'Key Inputs_New Techs'!AI58</f>
        <v>21.008774571643663</v>
      </c>
      <c r="AQ102" s="286">
        <f>'Key Inputs_New Techs'!AJ58</f>
        <v>21.008774571643663</v>
      </c>
      <c r="AR102" s="286">
        <f>'Key Inputs_New Techs'!AK58</f>
        <v>21.008774571643663</v>
      </c>
      <c r="AS102" s="286">
        <f>'Key Inputs_New Techs'!AL58</f>
        <v>21.008774571643663</v>
      </c>
      <c r="AT102" s="286"/>
      <c r="AU102" s="286"/>
      <c r="AV102" s="286"/>
    </row>
    <row r="103" spans="1:48" ht="15.6" x14ac:dyDescent="0.3">
      <c r="J103" s="221"/>
      <c r="K103" s="328" t="str">
        <f>IF('Key Inputs_New Techs'!B59="","",'Key Inputs_New Techs'!B59)</f>
        <v/>
      </c>
      <c r="L103" s="530" t="str">
        <f>IF(K103="","",VLOOKUP(K103,'Commodities &amp; Processes'!$L$48:$M$87,2,FALSE))</f>
        <v/>
      </c>
      <c r="N103" s="201">
        <f>'Key Inputs_New Techs'!H59</f>
        <v>2050</v>
      </c>
      <c r="O103" s="212" t="s">
        <v>40</v>
      </c>
      <c r="P103" s="223" t="s">
        <v>154</v>
      </c>
      <c r="Q103" s="223"/>
      <c r="R103" s="286">
        <f>'Key Inputs_New Techs'!K59</f>
        <v>28.662244360949188</v>
      </c>
      <c r="S103" s="286">
        <f>'Key Inputs_New Techs'!L59</f>
        <v>28.662244360949188</v>
      </c>
      <c r="T103" s="286">
        <f>'Key Inputs_New Techs'!M59</f>
        <v>28.662244360949188</v>
      </c>
      <c r="U103" s="286">
        <f>'Key Inputs_New Techs'!N59</f>
        <v>28.662244360949188</v>
      </c>
      <c r="V103" s="286">
        <f>'Key Inputs_New Techs'!O59</f>
        <v>28.662244360949188</v>
      </c>
      <c r="W103" s="286">
        <f>'Key Inputs_New Techs'!P59</f>
        <v>28.662244360949188</v>
      </c>
      <c r="X103" s="286">
        <f>'Key Inputs_New Techs'!Q59</f>
        <v>28.662244360949188</v>
      </c>
      <c r="Y103" s="286">
        <f>'Key Inputs_New Techs'!R59</f>
        <v>28.662244360949188</v>
      </c>
      <c r="Z103" s="286">
        <f>'Key Inputs_New Techs'!S59</f>
        <v>28.662244360949188</v>
      </c>
      <c r="AA103" s="286">
        <f>'Key Inputs_New Techs'!T59</f>
        <v>28.662244360949188</v>
      </c>
      <c r="AB103" s="286">
        <f>'Key Inputs_New Techs'!U59</f>
        <v>28.662244360949188</v>
      </c>
      <c r="AC103" s="286">
        <f>'Key Inputs_New Techs'!V59</f>
        <v>28.662244360949188</v>
      </c>
      <c r="AD103" s="286">
        <f>'Key Inputs_New Techs'!W59</f>
        <v>28.662244360949188</v>
      </c>
      <c r="AE103" s="286">
        <f>'Key Inputs_New Techs'!X59</f>
        <v>28.662244360949188</v>
      </c>
      <c r="AF103" s="286">
        <f>'Key Inputs_New Techs'!Y59</f>
        <v>28.662244360949188</v>
      </c>
      <c r="AG103" s="286">
        <f>'Key Inputs_New Techs'!Z59</f>
        <v>28.662244360949188</v>
      </c>
      <c r="AH103" s="286">
        <f>'Key Inputs_New Techs'!AA59</f>
        <v>28.662244360949188</v>
      </c>
      <c r="AI103" s="286">
        <f>'Key Inputs_New Techs'!AB59</f>
        <v>28.662244360949188</v>
      </c>
      <c r="AJ103" s="286">
        <f>'Key Inputs_New Techs'!AC59</f>
        <v>28.662244360949188</v>
      </c>
      <c r="AK103" s="286">
        <f>'Key Inputs_New Techs'!AD59</f>
        <v>28.662244360949188</v>
      </c>
      <c r="AL103" s="286">
        <f>'Key Inputs_New Techs'!AE59</f>
        <v>28.662244360949188</v>
      </c>
      <c r="AM103" s="286">
        <f>'Key Inputs_New Techs'!AF59</f>
        <v>28.662244360949188</v>
      </c>
      <c r="AN103" s="286">
        <f>'Key Inputs_New Techs'!AG59</f>
        <v>28.662244360949188</v>
      </c>
      <c r="AO103" s="286">
        <f>'Key Inputs_New Techs'!AH59</f>
        <v>28.662244360949188</v>
      </c>
      <c r="AP103" s="286">
        <f>'Key Inputs_New Techs'!AI59</f>
        <v>28.662244360949188</v>
      </c>
      <c r="AQ103" s="286">
        <f>'Key Inputs_New Techs'!AJ59</f>
        <v>28.662244360949188</v>
      </c>
      <c r="AR103" s="286">
        <f>'Key Inputs_New Techs'!AK59</f>
        <v>28.662244360949188</v>
      </c>
      <c r="AS103" s="286">
        <f>'Key Inputs_New Techs'!AL59</f>
        <v>28.662244360949188</v>
      </c>
      <c r="AT103" s="286"/>
      <c r="AU103" s="286"/>
      <c r="AV103" s="286"/>
    </row>
    <row r="104" spans="1:48" ht="15.6" x14ac:dyDescent="0.3">
      <c r="J104" s="221"/>
      <c r="K104" s="328" t="str">
        <f>IF('Key Inputs_New Techs'!B60="","",'Key Inputs_New Techs'!B60)</f>
        <v>S-LIG_ELC01</v>
      </c>
      <c r="L104" s="530" t="str">
        <f>IF(K104="","",VLOOKUP(K104,'Commodities &amp; Processes'!$L$48:$M$87,2,FALSE))</f>
        <v>SRV Lighting tech: Electricity - Office lighting (Ord.)</v>
      </c>
      <c r="N104" s="201">
        <f>'Key Inputs_New Techs'!H60</f>
        <v>2020</v>
      </c>
      <c r="O104" s="212" t="s">
        <v>40</v>
      </c>
      <c r="P104" s="223" t="s">
        <v>154</v>
      </c>
      <c r="Q104" s="223"/>
      <c r="R104" s="286">
        <f>'Key Inputs_New Techs'!K60</f>
        <v>16.367059103624555</v>
      </c>
      <c r="S104" s="286">
        <f>'Key Inputs_New Techs'!L60</f>
        <v>16.367059103624555</v>
      </c>
      <c r="T104" s="286">
        <f>'Key Inputs_New Techs'!M60</f>
        <v>16.367059103624555</v>
      </c>
      <c r="U104" s="286">
        <f>'Key Inputs_New Techs'!N60</f>
        <v>16.367059103624555</v>
      </c>
      <c r="V104" s="286">
        <f>'Key Inputs_New Techs'!O60</f>
        <v>16.367059103624555</v>
      </c>
      <c r="W104" s="286">
        <f>'Key Inputs_New Techs'!P60</f>
        <v>16.367059103624555</v>
      </c>
      <c r="X104" s="286">
        <f>'Key Inputs_New Techs'!Q60</f>
        <v>16.367059103624555</v>
      </c>
      <c r="Y104" s="286">
        <f>'Key Inputs_New Techs'!R60</f>
        <v>16.367059103624555</v>
      </c>
      <c r="Z104" s="286">
        <f>'Key Inputs_New Techs'!S60</f>
        <v>16.367059103624555</v>
      </c>
      <c r="AA104" s="286">
        <f>'Key Inputs_New Techs'!T60</f>
        <v>16.367059103624555</v>
      </c>
      <c r="AB104" s="286">
        <f>'Key Inputs_New Techs'!U60</f>
        <v>16.367059103624555</v>
      </c>
      <c r="AC104" s="286">
        <f>'Key Inputs_New Techs'!V60</f>
        <v>16.367059103624555</v>
      </c>
      <c r="AD104" s="286">
        <f>'Key Inputs_New Techs'!W60</f>
        <v>16.367059103624555</v>
      </c>
      <c r="AE104" s="286">
        <f>'Key Inputs_New Techs'!X60</f>
        <v>16.367059103624555</v>
      </c>
      <c r="AF104" s="286">
        <f>'Key Inputs_New Techs'!Y60</f>
        <v>16.367059103624555</v>
      </c>
      <c r="AG104" s="286">
        <f>'Key Inputs_New Techs'!Z60</f>
        <v>16.367059103624555</v>
      </c>
      <c r="AH104" s="286">
        <f>'Key Inputs_New Techs'!AA60</f>
        <v>16.367059103624555</v>
      </c>
      <c r="AI104" s="286">
        <f>'Key Inputs_New Techs'!AB60</f>
        <v>16.367059103624555</v>
      </c>
      <c r="AJ104" s="286">
        <f>'Key Inputs_New Techs'!AC60</f>
        <v>16.367059103624555</v>
      </c>
      <c r="AK104" s="286">
        <f>'Key Inputs_New Techs'!AD60</f>
        <v>16.367059103624555</v>
      </c>
      <c r="AL104" s="286">
        <f>'Key Inputs_New Techs'!AE60</f>
        <v>16.367059103624555</v>
      </c>
      <c r="AM104" s="286">
        <f>'Key Inputs_New Techs'!AF60</f>
        <v>16.367059103624555</v>
      </c>
      <c r="AN104" s="286">
        <f>'Key Inputs_New Techs'!AG60</f>
        <v>16.367059103624555</v>
      </c>
      <c r="AO104" s="286">
        <f>'Key Inputs_New Techs'!AH60</f>
        <v>16.367059103624555</v>
      </c>
      <c r="AP104" s="286">
        <f>'Key Inputs_New Techs'!AI60</f>
        <v>16.367059103624555</v>
      </c>
      <c r="AQ104" s="286">
        <f>'Key Inputs_New Techs'!AJ60</f>
        <v>16.367059103624555</v>
      </c>
      <c r="AR104" s="286">
        <f>'Key Inputs_New Techs'!AK60</f>
        <v>16.367059103624555</v>
      </c>
      <c r="AS104" s="286">
        <f>'Key Inputs_New Techs'!AL60</f>
        <v>16.367059103624555</v>
      </c>
      <c r="AT104" s="286"/>
      <c r="AU104" s="286"/>
      <c r="AV104" s="286"/>
    </row>
    <row r="105" spans="1:48" ht="15.6" x14ac:dyDescent="0.3">
      <c r="J105" s="221"/>
      <c r="K105" s="328" t="str">
        <f>IF('Key Inputs_New Techs'!B61="","",'Key Inputs_New Techs'!B61)</f>
        <v>S-LIG_ELC02</v>
      </c>
      <c r="L105" s="530" t="str">
        <f>IF(K105="","",VLOOKUP(K105,'Commodities &amp; Processes'!$L$48:$M$87,2,FALSE))</f>
        <v>SRV Lighting tech: Electricity - Office lighting (Imp.)</v>
      </c>
      <c r="N105" s="201">
        <f>'Key Inputs_New Techs'!H61</f>
        <v>2025</v>
      </c>
      <c r="O105" s="212" t="s">
        <v>40</v>
      </c>
      <c r="P105" s="223" t="s">
        <v>154</v>
      </c>
      <c r="Q105" s="223"/>
      <c r="R105" s="286">
        <f>'Key Inputs_New Techs'!K61</f>
        <v>16.367059103624555</v>
      </c>
      <c r="S105" s="286">
        <f>'Key Inputs_New Techs'!L61</f>
        <v>16.367059103624555</v>
      </c>
      <c r="T105" s="286">
        <f>'Key Inputs_New Techs'!M61</f>
        <v>16.367059103624555</v>
      </c>
      <c r="U105" s="286">
        <f>'Key Inputs_New Techs'!N61</f>
        <v>16.367059103624555</v>
      </c>
      <c r="V105" s="286">
        <f>'Key Inputs_New Techs'!O61</f>
        <v>16.367059103624555</v>
      </c>
      <c r="W105" s="286">
        <f>'Key Inputs_New Techs'!P61</f>
        <v>16.367059103624555</v>
      </c>
      <c r="X105" s="286">
        <f>'Key Inputs_New Techs'!Q61</f>
        <v>16.367059103624555</v>
      </c>
      <c r="Y105" s="286">
        <f>'Key Inputs_New Techs'!R61</f>
        <v>16.367059103624555</v>
      </c>
      <c r="Z105" s="286">
        <f>'Key Inputs_New Techs'!S61</f>
        <v>16.367059103624555</v>
      </c>
      <c r="AA105" s="286">
        <f>'Key Inputs_New Techs'!T61</f>
        <v>16.367059103624555</v>
      </c>
      <c r="AB105" s="286">
        <f>'Key Inputs_New Techs'!U61</f>
        <v>16.367059103624555</v>
      </c>
      <c r="AC105" s="286">
        <f>'Key Inputs_New Techs'!V61</f>
        <v>16.367059103624555</v>
      </c>
      <c r="AD105" s="286">
        <f>'Key Inputs_New Techs'!W61</f>
        <v>16.367059103624555</v>
      </c>
      <c r="AE105" s="286">
        <f>'Key Inputs_New Techs'!X61</f>
        <v>16.367059103624555</v>
      </c>
      <c r="AF105" s="286">
        <f>'Key Inputs_New Techs'!Y61</f>
        <v>16.367059103624555</v>
      </c>
      <c r="AG105" s="286">
        <f>'Key Inputs_New Techs'!Z61</f>
        <v>16.367059103624555</v>
      </c>
      <c r="AH105" s="286">
        <f>'Key Inputs_New Techs'!AA61</f>
        <v>16.367059103624555</v>
      </c>
      <c r="AI105" s="286">
        <f>'Key Inputs_New Techs'!AB61</f>
        <v>16.367059103624555</v>
      </c>
      <c r="AJ105" s="286">
        <f>'Key Inputs_New Techs'!AC61</f>
        <v>16.367059103624555</v>
      </c>
      <c r="AK105" s="286">
        <f>'Key Inputs_New Techs'!AD61</f>
        <v>16.367059103624555</v>
      </c>
      <c r="AL105" s="286">
        <f>'Key Inputs_New Techs'!AE61</f>
        <v>16.367059103624555</v>
      </c>
      <c r="AM105" s="286">
        <f>'Key Inputs_New Techs'!AF61</f>
        <v>16.367059103624555</v>
      </c>
      <c r="AN105" s="286">
        <f>'Key Inputs_New Techs'!AG61</f>
        <v>16.367059103624555</v>
      </c>
      <c r="AO105" s="286">
        <f>'Key Inputs_New Techs'!AH61</f>
        <v>16.367059103624555</v>
      </c>
      <c r="AP105" s="286">
        <f>'Key Inputs_New Techs'!AI61</f>
        <v>16.367059103624555</v>
      </c>
      <c r="AQ105" s="286">
        <f>'Key Inputs_New Techs'!AJ61</f>
        <v>16.367059103624555</v>
      </c>
      <c r="AR105" s="286">
        <f>'Key Inputs_New Techs'!AK61</f>
        <v>16.367059103624555</v>
      </c>
      <c r="AS105" s="286">
        <f>'Key Inputs_New Techs'!AL61</f>
        <v>16.367059103624555</v>
      </c>
      <c r="AT105" s="286"/>
      <c r="AU105" s="286"/>
      <c r="AV105" s="286"/>
    </row>
    <row r="106" spans="1:48" ht="15.6" x14ac:dyDescent="0.3">
      <c r="J106" s="221"/>
      <c r="K106" s="328" t="str">
        <f>IF('Key Inputs_New Techs'!B62="","",'Key Inputs_New Techs'!B62)</f>
        <v/>
      </c>
      <c r="L106" s="530" t="str">
        <f>IF(K106="","",VLOOKUP(K106,'Commodities &amp; Processes'!$L$48:$M$87,2,FALSE))</f>
        <v/>
      </c>
      <c r="N106" s="201">
        <f>'Key Inputs_New Techs'!H62</f>
        <v>2030</v>
      </c>
      <c r="O106" s="212" t="s">
        <v>40</v>
      </c>
      <c r="P106" s="223" t="s">
        <v>154</v>
      </c>
      <c r="Q106" s="223"/>
      <c r="R106" s="286">
        <f>'Key Inputs_New Techs'!K62</f>
        <v>18.54324284230826</v>
      </c>
      <c r="S106" s="286">
        <f>'Key Inputs_New Techs'!L62</f>
        <v>18.54324284230826</v>
      </c>
      <c r="T106" s="286">
        <f>'Key Inputs_New Techs'!M62</f>
        <v>18.54324284230826</v>
      </c>
      <c r="U106" s="286">
        <f>'Key Inputs_New Techs'!N62</f>
        <v>18.54324284230826</v>
      </c>
      <c r="V106" s="286">
        <f>'Key Inputs_New Techs'!O62</f>
        <v>18.54324284230826</v>
      </c>
      <c r="W106" s="286">
        <f>'Key Inputs_New Techs'!P62</f>
        <v>18.54324284230826</v>
      </c>
      <c r="X106" s="286">
        <f>'Key Inputs_New Techs'!Q62</f>
        <v>18.54324284230826</v>
      </c>
      <c r="Y106" s="286">
        <f>'Key Inputs_New Techs'!R62</f>
        <v>18.54324284230826</v>
      </c>
      <c r="Z106" s="286">
        <f>'Key Inputs_New Techs'!S62</f>
        <v>18.54324284230826</v>
      </c>
      <c r="AA106" s="286">
        <f>'Key Inputs_New Techs'!T62</f>
        <v>18.54324284230826</v>
      </c>
      <c r="AB106" s="286">
        <f>'Key Inputs_New Techs'!U62</f>
        <v>18.54324284230826</v>
      </c>
      <c r="AC106" s="286">
        <f>'Key Inputs_New Techs'!V62</f>
        <v>18.54324284230826</v>
      </c>
      <c r="AD106" s="286">
        <f>'Key Inputs_New Techs'!W62</f>
        <v>18.54324284230826</v>
      </c>
      <c r="AE106" s="286">
        <f>'Key Inputs_New Techs'!X62</f>
        <v>18.54324284230826</v>
      </c>
      <c r="AF106" s="286">
        <f>'Key Inputs_New Techs'!Y62</f>
        <v>18.54324284230826</v>
      </c>
      <c r="AG106" s="286">
        <f>'Key Inputs_New Techs'!Z62</f>
        <v>18.54324284230826</v>
      </c>
      <c r="AH106" s="286">
        <f>'Key Inputs_New Techs'!AA62</f>
        <v>18.54324284230826</v>
      </c>
      <c r="AI106" s="286">
        <f>'Key Inputs_New Techs'!AB62</f>
        <v>18.54324284230826</v>
      </c>
      <c r="AJ106" s="286">
        <f>'Key Inputs_New Techs'!AC62</f>
        <v>18.54324284230826</v>
      </c>
      <c r="AK106" s="286">
        <f>'Key Inputs_New Techs'!AD62</f>
        <v>18.54324284230826</v>
      </c>
      <c r="AL106" s="286">
        <f>'Key Inputs_New Techs'!AE62</f>
        <v>18.54324284230826</v>
      </c>
      <c r="AM106" s="286">
        <f>'Key Inputs_New Techs'!AF62</f>
        <v>18.54324284230826</v>
      </c>
      <c r="AN106" s="286">
        <f>'Key Inputs_New Techs'!AG62</f>
        <v>18.54324284230826</v>
      </c>
      <c r="AO106" s="286">
        <f>'Key Inputs_New Techs'!AH62</f>
        <v>18.54324284230826</v>
      </c>
      <c r="AP106" s="286">
        <f>'Key Inputs_New Techs'!AI62</f>
        <v>18.54324284230826</v>
      </c>
      <c r="AQ106" s="286">
        <f>'Key Inputs_New Techs'!AJ62</f>
        <v>18.54324284230826</v>
      </c>
      <c r="AR106" s="286">
        <f>'Key Inputs_New Techs'!AK62</f>
        <v>18.54324284230826</v>
      </c>
      <c r="AS106" s="286">
        <f>'Key Inputs_New Techs'!AL62</f>
        <v>18.54324284230826</v>
      </c>
      <c r="AT106" s="286"/>
      <c r="AU106" s="286"/>
      <c r="AV106" s="286"/>
    </row>
    <row r="107" spans="1:48" ht="15.6" x14ac:dyDescent="0.3">
      <c r="J107" s="221"/>
      <c r="K107" s="328" t="str">
        <f>IF('Key Inputs_New Techs'!B63="","",'Key Inputs_New Techs'!B63)</f>
        <v/>
      </c>
      <c r="L107" s="530" t="str">
        <f>IF(K107="","",VLOOKUP(K107,'Commodities &amp; Processes'!$L$48:$M$87,2,FALSE))</f>
        <v/>
      </c>
      <c r="N107" s="201">
        <f>'Key Inputs_New Techs'!H63</f>
        <v>2050</v>
      </c>
      <c r="O107" s="212" t="s">
        <v>40</v>
      </c>
      <c r="P107" s="223" t="s">
        <v>154</v>
      </c>
      <c r="Q107" s="223"/>
      <c r="R107" s="286">
        <f>'Key Inputs_New Techs'!K63</f>
        <v>25.298522566282127</v>
      </c>
      <c r="S107" s="286">
        <f>'Key Inputs_New Techs'!L63</f>
        <v>25.298522566282127</v>
      </c>
      <c r="T107" s="286">
        <f>'Key Inputs_New Techs'!M63</f>
        <v>25.298522566282127</v>
      </c>
      <c r="U107" s="286">
        <f>'Key Inputs_New Techs'!N63</f>
        <v>25.298522566282127</v>
      </c>
      <c r="V107" s="286">
        <f>'Key Inputs_New Techs'!O63</f>
        <v>25.298522566282127</v>
      </c>
      <c r="W107" s="286">
        <f>'Key Inputs_New Techs'!P63</f>
        <v>25.298522566282127</v>
      </c>
      <c r="X107" s="286">
        <f>'Key Inputs_New Techs'!Q63</f>
        <v>25.298522566282127</v>
      </c>
      <c r="Y107" s="286">
        <f>'Key Inputs_New Techs'!R63</f>
        <v>25.298522566282127</v>
      </c>
      <c r="Z107" s="286">
        <f>'Key Inputs_New Techs'!S63</f>
        <v>25.298522566282127</v>
      </c>
      <c r="AA107" s="286">
        <f>'Key Inputs_New Techs'!T63</f>
        <v>25.298522566282127</v>
      </c>
      <c r="AB107" s="286">
        <f>'Key Inputs_New Techs'!U63</f>
        <v>25.298522566282127</v>
      </c>
      <c r="AC107" s="286">
        <f>'Key Inputs_New Techs'!V63</f>
        <v>25.298522566282127</v>
      </c>
      <c r="AD107" s="286">
        <f>'Key Inputs_New Techs'!W63</f>
        <v>25.298522566282127</v>
      </c>
      <c r="AE107" s="286">
        <f>'Key Inputs_New Techs'!X63</f>
        <v>25.298522566282127</v>
      </c>
      <c r="AF107" s="286">
        <f>'Key Inputs_New Techs'!Y63</f>
        <v>25.298522566282127</v>
      </c>
      <c r="AG107" s="286">
        <f>'Key Inputs_New Techs'!Z63</f>
        <v>25.298522566282127</v>
      </c>
      <c r="AH107" s="286">
        <f>'Key Inputs_New Techs'!AA63</f>
        <v>25.298522566282127</v>
      </c>
      <c r="AI107" s="286">
        <f>'Key Inputs_New Techs'!AB63</f>
        <v>25.298522566282127</v>
      </c>
      <c r="AJ107" s="286">
        <f>'Key Inputs_New Techs'!AC63</f>
        <v>25.298522566282127</v>
      </c>
      <c r="AK107" s="286">
        <f>'Key Inputs_New Techs'!AD63</f>
        <v>25.298522566282127</v>
      </c>
      <c r="AL107" s="286">
        <f>'Key Inputs_New Techs'!AE63</f>
        <v>25.298522566282127</v>
      </c>
      <c r="AM107" s="286">
        <f>'Key Inputs_New Techs'!AF63</f>
        <v>25.298522566282127</v>
      </c>
      <c r="AN107" s="286">
        <f>'Key Inputs_New Techs'!AG63</f>
        <v>25.298522566282127</v>
      </c>
      <c r="AO107" s="286">
        <f>'Key Inputs_New Techs'!AH63</f>
        <v>25.298522566282127</v>
      </c>
      <c r="AP107" s="286">
        <f>'Key Inputs_New Techs'!AI63</f>
        <v>25.298522566282127</v>
      </c>
      <c r="AQ107" s="286">
        <f>'Key Inputs_New Techs'!AJ63</f>
        <v>25.298522566282127</v>
      </c>
      <c r="AR107" s="286">
        <f>'Key Inputs_New Techs'!AK63</f>
        <v>25.298522566282127</v>
      </c>
      <c r="AS107" s="286">
        <f>'Key Inputs_New Techs'!AL63</f>
        <v>25.298522566282127</v>
      </c>
      <c r="AT107" s="286"/>
      <c r="AU107" s="286"/>
      <c r="AV107" s="286"/>
    </row>
    <row r="108" spans="1:48" ht="15.6" x14ac:dyDescent="0.3">
      <c r="J108" s="221"/>
      <c r="K108" s="328" t="str">
        <f>IF('Key Inputs_New Techs'!B64="","",'Key Inputs_New Techs'!B64)</f>
        <v>S-LIG_ELC03</v>
      </c>
      <c r="L108" s="530" t="str">
        <f>IF(K108="","",VLOOKUP(K108,'Commodities &amp; Processes'!$L$48:$M$87,2,FALSE))</f>
        <v>SRV Lighting tech: Electricity - Office lighting (Adv.)</v>
      </c>
      <c r="N108" s="201">
        <f>'Key Inputs_New Techs'!H64</f>
        <v>2030</v>
      </c>
      <c r="O108" s="212" t="s">
        <v>40</v>
      </c>
      <c r="P108" s="223" t="s">
        <v>154</v>
      </c>
      <c r="Q108" s="223"/>
      <c r="R108" s="286">
        <f>'Key Inputs_New Techs'!K64</f>
        <v>21.008774571643663</v>
      </c>
      <c r="S108" s="286">
        <f>'Key Inputs_New Techs'!L64</f>
        <v>21.008774571643663</v>
      </c>
      <c r="T108" s="286">
        <f>'Key Inputs_New Techs'!M64</f>
        <v>21.008774571643663</v>
      </c>
      <c r="U108" s="286">
        <f>'Key Inputs_New Techs'!N64</f>
        <v>21.008774571643663</v>
      </c>
      <c r="V108" s="286">
        <f>'Key Inputs_New Techs'!O64</f>
        <v>21.008774571643663</v>
      </c>
      <c r="W108" s="286">
        <f>'Key Inputs_New Techs'!P64</f>
        <v>21.008774571643663</v>
      </c>
      <c r="X108" s="286">
        <f>'Key Inputs_New Techs'!Q64</f>
        <v>21.008774571643663</v>
      </c>
      <c r="Y108" s="286">
        <f>'Key Inputs_New Techs'!R64</f>
        <v>21.008774571643663</v>
      </c>
      <c r="Z108" s="286">
        <f>'Key Inputs_New Techs'!S64</f>
        <v>21.008774571643663</v>
      </c>
      <c r="AA108" s="286">
        <f>'Key Inputs_New Techs'!T64</f>
        <v>21.008774571643663</v>
      </c>
      <c r="AB108" s="286">
        <f>'Key Inputs_New Techs'!U64</f>
        <v>21.008774571643663</v>
      </c>
      <c r="AC108" s="286">
        <f>'Key Inputs_New Techs'!V64</f>
        <v>21.008774571643663</v>
      </c>
      <c r="AD108" s="286">
        <f>'Key Inputs_New Techs'!W64</f>
        <v>21.008774571643663</v>
      </c>
      <c r="AE108" s="286">
        <f>'Key Inputs_New Techs'!X64</f>
        <v>21.008774571643663</v>
      </c>
      <c r="AF108" s="286">
        <f>'Key Inputs_New Techs'!Y64</f>
        <v>21.008774571643663</v>
      </c>
      <c r="AG108" s="286">
        <f>'Key Inputs_New Techs'!Z64</f>
        <v>21.008774571643663</v>
      </c>
      <c r="AH108" s="286">
        <f>'Key Inputs_New Techs'!AA64</f>
        <v>21.008774571643663</v>
      </c>
      <c r="AI108" s="286">
        <f>'Key Inputs_New Techs'!AB64</f>
        <v>21.008774571643663</v>
      </c>
      <c r="AJ108" s="286">
        <f>'Key Inputs_New Techs'!AC64</f>
        <v>21.008774571643663</v>
      </c>
      <c r="AK108" s="286">
        <f>'Key Inputs_New Techs'!AD64</f>
        <v>21.008774571643663</v>
      </c>
      <c r="AL108" s="286">
        <f>'Key Inputs_New Techs'!AE64</f>
        <v>21.008774571643663</v>
      </c>
      <c r="AM108" s="286">
        <f>'Key Inputs_New Techs'!AF64</f>
        <v>21.008774571643663</v>
      </c>
      <c r="AN108" s="286">
        <f>'Key Inputs_New Techs'!AG64</f>
        <v>21.008774571643663</v>
      </c>
      <c r="AO108" s="286">
        <f>'Key Inputs_New Techs'!AH64</f>
        <v>21.008774571643663</v>
      </c>
      <c r="AP108" s="286">
        <f>'Key Inputs_New Techs'!AI64</f>
        <v>21.008774571643663</v>
      </c>
      <c r="AQ108" s="286">
        <f>'Key Inputs_New Techs'!AJ64</f>
        <v>21.008774571643663</v>
      </c>
      <c r="AR108" s="286">
        <f>'Key Inputs_New Techs'!AK64</f>
        <v>21.008774571643663</v>
      </c>
      <c r="AS108" s="286">
        <f>'Key Inputs_New Techs'!AL64</f>
        <v>21.008774571643663</v>
      </c>
      <c r="AT108" s="286"/>
      <c r="AU108" s="286"/>
      <c r="AV108" s="286"/>
    </row>
    <row r="109" spans="1:48" ht="15.6" x14ac:dyDescent="0.3">
      <c r="J109" s="221"/>
      <c r="K109" s="328" t="str">
        <f>IF('Key Inputs_New Techs'!B65="","",'Key Inputs_New Techs'!B65)</f>
        <v/>
      </c>
      <c r="L109" s="530" t="str">
        <f>IF(K109="","",VLOOKUP(K109,'Commodities &amp; Processes'!$L$48:$M$87,2,FALSE))</f>
        <v/>
      </c>
      <c r="N109" s="201">
        <f>'Key Inputs_New Techs'!H65</f>
        <v>2050</v>
      </c>
      <c r="O109" s="212" t="s">
        <v>40</v>
      </c>
      <c r="P109" s="223" t="s">
        <v>154</v>
      </c>
      <c r="Q109" s="223"/>
      <c r="R109" s="286">
        <f>'Key Inputs_New Techs'!K65</f>
        <v>28.662244360949188</v>
      </c>
      <c r="S109" s="286">
        <f>'Key Inputs_New Techs'!L65</f>
        <v>28.662244360949188</v>
      </c>
      <c r="T109" s="286">
        <f>'Key Inputs_New Techs'!M65</f>
        <v>28.662244360949188</v>
      </c>
      <c r="U109" s="286">
        <f>'Key Inputs_New Techs'!N65</f>
        <v>28.662244360949188</v>
      </c>
      <c r="V109" s="286">
        <f>'Key Inputs_New Techs'!O65</f>
        <v>28.662244360949188</v>
      </c>
      <c r="W109" s="286">
        <f>'Key Inputs_New Techs'!P65</f>
        <v>28.662244360949188</v>
      </c>
      <c r="X109" s="286">
        <f>'Key Inputs_New Techs'!Q65</f>
        <v>28.662244360949188</v>
      </c>
      <c r="Y109" s="286">
        <f>'Key Inputs_New Techs'!R65</f>
        <v>28.662244360949188</v>
      </c>
      <c r="Z109" s="286">
        <f>'Key Inputs_New Techs'!S65</f>
        <v>28.662244360949188</v>
      </c>
      <c r="AA109" s="286">
        <f>'Key Inputs_New Techs'!T65</f>
        <v>28.662244360949188</v>
      </c>
      <c r="AB109" s="286">
        <f>'Key Inputs_New Techs'!U65</f>
        <v>28.662244360949188</v>
      </c>
      <c r="AC109" s="286">
        <f>'Key Inputs_New Techs'!V65</f>
        <v>28.662244360949188</v>
      </c>
      <c r="AD109" s="286">
        <f>'Key Inputs_New Techs'!W65</f>
        <v>28.662244360949188</v>
      </c>
      <c r="AE109" s="286">
        <f>'Key Inputs_New Techs'!X65</f>
        <v>28.662244360949188</v>
      </c>
      <c r="AF109" s="286">
        <f>'Key Inputs_New Techs'!Y65</f>
        <v>28.662244360949188</v>
      </c>
      <c r="AG109" s="286">
        <f>'Key Inputs_New Techs'!Z65</f>
        <v>28.662244360949188</v>
      </c>
      <c r="AH109" s="286">
        <f>'Key Inputs_New Techs'!AA65</f>
        <v>28.662244360949188</v>
      </c>
      <c r="AI109" s="286">
        <f>'Key Inputs_New Techs'!AB65</f>
        <v>28.662244360949188</v>
      </c>
      <c r="AJ109" s="286">
        <f>'Key Inputs_New Techs'!AC65</f>
        <v>28.662244360949188</v>
      </c>
      <c r="AK109" s="286">
        <f>'Key Inputs_New Techs'!AD65</f>
        <v>28.662244360949188</v>
      </c>
      <c r="AL109" s="286">
        <f>'Key Inputs_New Techs'!AE65</f>
        <v>28.662244360949188</v>
      </c>
      <c r="AM109" s="286">
        <f>'Key Inputs_New Techs'!AF65</f>
        <v>28.662244360949188</v>
      </c>
      <c r="AN109" s="286">
        <f>'Key Inputs_New Techs'!AG65</f>
        <v>28.662244360949188</v>
      </c>
      <c r="AO109" s="286">
        <f>'Key Inputs_New Techs'!AH65</f>
        <v>28.662244360949188</v>
      </c>
      <c r="AP109" s="286">
        <f>'Key Inputs_New Techs'!AI65</f>
        <v>28.662244360949188</v>
      </c>
      <c r="AQ109" s="286">
        <f>'Key Inputs_New Techs'!AJ65</f>
        <v>28.662244360949188</v>
      </c>
      <c r="AR109" s="286">
        <f>'Key Inputs_New Techs'!AK65</f>
        <v>28.662244360949188</v>
      </c>
      <c r="AS109" s="286">
        <f>'Key Inputs_New Techs'!AL65</f>
        <v>28.662244360949188</v>
      </c>
      <c r="AT109" s="286"/>
      <c r="AU109" s="286"/>
      <c r="AV109" s="286"/>
    </row>
    <row r="110" spans="1:48" ht="15.6" x14ac:dyDescent="0.3">
      <c r="J110" s="221"/>
      <c r="K110" s="328" t="str">
        <f>IF('Key Inputs_New Techs'!B66="","",'Key Inputs_New Techs'!B66)</f>
        <v>S-EAP_ELC01</v>
      </c>
      <c r="L110" s="530" t="str">
        <f>IF(K110="","",VLOOKUP(K110,'Commodities &amp; Processes'!$L$48:$M$87,2,FALSE))</f>
        <v>SRV Electric Appliances tech: Electricity - Appl.(Ord.)</v>
      </c>
      <c r="N110" s="201">
        <f>'Key Inputs_New Techs'!H66</f>
        <v>2020</v>
      </c>
      <c r="O110" s="212" t="s">
        <v>40</v>
      </c>
      <c r="P110" s="223" t="s">
        <v>154</v>
      </c>
      <c r="Q110" s="223"/>
      <c r="R110" s="286">
        <f>'Key Inputs_New Techs'!K66</f>
        <v>16.367059103624555</v>
      </c>
      <c r="S110" s="286">
        <f>'Key Inputs_New Techs'!L66</f>
        <v>16.367059103624555</v>
      </c>
      <c r="T110" s="286">
        <f>'Key Inputs_New Techs'!M66</f>
        <v>16.367059103624555</v>
      </c>
      <c r="U110" s="286">
        <f>'Key Inputs_New Techs'!N66</f>
        <v>16.367059103624555</v>
      </c>
      <c r="V110" s="286">
        <f>'Key Inputs_New Techs'!O66</f>
        <v>16.367059103624555</v>
      </c>
      <c r="W110" s="286">
        <f>'Key Inputs_New Techs'!P66</f>
        <v>16.367059103624555</v>
      </c>
      <c r="X110" s="286">
        <f>'Key Inputs_New Techs'!Q66</f>
        <v>16.367059103624555</v>
      </c>
      <c r="Y110" s="286">
        <f>'Key Inputs_New Techs'!R66</f>
        <v>16.367059103624555</v>
      </c>
      <c r="Z110" s="286">
        <f>'Key Inputs_New Techs'!S66</f>
        <v>16.367059103624555</v>
      </c>
      <c r="AA110" s="286">
        <f>'Key Inputs_New Techs'!T66</f>
        <v>16.367059103624555</v>
      </c>
      <c r="AB110" s="286">
        <f>'Key Inputs_New Techs'!U66</f>
        <v>16.367059103624555</v>
      </c>
      <c r="AC110" s="286">
        <f>'Key Inputs_New Techs'!V66</f>
        <v>16.367059103624555</v>
      </c>
      <c r="AD110" s="286">
        <f>'Key Inputs_New Techs'!W66</f>
        <v>16.367059103624555</v>
      </c>
      <c r="AE110" s="286">
        <f>'Key Inputs_New Techs'!X66</f>
        <v>16.367059103624555</v>
      </c>
      <c r="AF110" s="286">
        <f>'Key Inputs_New Techs'!Y66</f>
        <v>16.367059103624555</v>
      </c>
      <c r="AG110" s="286">
        <f>'Key Inputs_New Techs'!Z66</f>
        <v>16.367059103624555</v>
      </c>
      <c r="AH110" s="286">
        <f>'Key Inputs_New Techs'!AA66</f>
        <v>16.367059103624555</v>
      </c>
      <c r="AI110" s="286">
        <f>'Key Inputs_New Techs'!AB66</f>
        <v>16.367059103624555</v>
      </c>
      <c r="AJ110" s="286">
        <f>'Key Inputs_New Techs'!AC66</f>
        <v>16.367059103624555</v>
      </c>
      <c r="AK110" s="286">
        <f>'Key Inputs_New Techs'!AD66</f>
        <v>16.367059103624555</v>
      </c>
      <c r="AL110" s="286">
        <f>'Key Inputs_New Techs'!AE66</f>
        <v>16.367059103624555</v>
      </c>
      <c r="AM110" s="286">
        <f>'Key Inputs_New Techs'!AF66</f>
        <v>16.367059103624555</v>
      </c>
      <c r="AN110" s="286">
        <f>'Key Inputs_New Techs'!AG66</f>
        <v>16.367059103624555</v>
      </c>
      <c r="AO110" s="286">
        <f>'Key Inputs_New Techs'!AH66</f>
        <v>16.367059103624555</v>
      </c>
      <c r="AP110" s="286">
        <f>'Key Inputs_New Techs'!AI66</f>
        <v>16.367059103624555</v>
      </c>
      <c r="AQ110" s="286">
        <f>'Key Inputs_New Techs'!AJ66</f>
        <v>16.367059103624555</v>
      </c>
      <c r="AR110" s="286">
        <f>'Key Inputs_New Techs'!AK66</f>
        <v>16.367059103624555</v>
      </c>
      <c r="AS110" s="286">
        <f>'Key Inputs_New Techs'!AL66</f>
        <v>16.367059103624555</v>
      </c>
      <c r="AT110" s="286"/>
      <c r="AU110" s="286"/>
      <c r="AV110" s="286"/>
    </row>
    <row r="111" spans="1:48" ht="15.6" x14ac:dyDescent="0.3">
      <c r="J111" s="221"/>
      <c r="K111" s="328" t="str">
        <f>IF('Key Inputs_New Techs'!B67="","",'Key Inputs_New Techs'!B67)</f>
        <v>S-EAP_ELC02</v>
      </c>
      <c r="L111" s="530" t="str">
        <f>IF(K111="","",VLOOKUP(K111,'Commodities &amp; Processes'!$L$48:$M$87,2,FALSE))</f>
        <v>SRV Electric Appliances tech: Electricity - Appl.(Imp.)</v>
      </c>
      <c r="N111" s="201">
        <f>'Key Inputs_New Techs'!H67</f>
        <v>2025</v>
      </c>
      <c r="O111" s="212" t="s">
        <v>40</v>
      </c>
      <c r="P111" s="223" t="s">
        <v>154</v>
      </c>
      <c r="Q111" s="223"/>
      <c r="R111" s="286">
        <f>'Key Inputs_New Techs'!K67</f>
        <v>16.367059103624555</v>
      </c>
      <c r="S111" s="286">
        <f>'Key Inputs_New Techs'!L67</f>
        <v>16.367059103624555</v>
      </c>
      <c r="T111" s="286">
        <f>'Key Inputs_New Techs'!M67</f>
        <v>16.367059103624555</v>
      </c>
      <c r="U111" s="286">
        <f>'Key Inputs_New Techs'!N67</f>
        <v>16.367059103624555</v>
      </c>
      <c r="V111" s="286">
        <f>'Key Inputs_New Techs'!O67</f>
        <v>16.367059103624555</v>
      </c>
      <c r="W111" s="286">
        <f>'Key Inputs_New Techs'!P67</f>
        <v>16.367059103624555</v>
      </c>
      <c r="X111" s="286">
        <f>'Key Inputs_New Techs'!Q67</f>
        <v>16.367059103624555</v>
      </c>
      <c r="Y111" s="286">
        <f>'Key Inputs_New Techs'!R67</f>
        <v>16.367059103624555</v>
      </c>
      <c r="Z111" s="286">
        <f>'Key Inputs_New Techs'!S67</f>
        <v>16.367059103624555</v>
      </c>
      <c r="AA111" s="286">
        <f>'Key Inputs_New Techs'!T67</f>
        <v>16.367059103624555</v>
      </c>
      <c r="AB111" s="286">
        <f>'Key Inputs_New Techs'!U67</f>
        <v>16.367059103624555</v>
      </c>
      <c r="AC111" s="286">
        <f>'Key Inputs_New Techs'!V67</f>
        <v>16.367059103624555</v>
      </c>
      <c r="AD111" s="286">
        <f>'Key Inputs_New Techs'!W67</f>
        <v>16.367059103624555</v>
      </c>
      <c r="AE111" s="286">
        <f>'Key Inputs_New Techs'!X67</f>
        <v>16.367059103624555</v>
      </c>
      <c r="AF111" s="286">
        <f>'Key Inputs_New Techs'!Y67</f>
        <v>16.367059103624555</v>
      </c>
      <c r="AG111" s="286">
        <f>'Key Inputs_New Techs'!Z67</f>
        <v>16.367059103624555</v>
      </c>
      <c r="AH111" s="286">
        <f>'Key Inputs_New Techs'!AA67</f>
        <v>16.367059103624555</v>
      </c>
      <c r="AI111" s="286">
        <f>'Key Inputs_New Techs'!AB67</f>
        <v>16.367059103624555</v>
      </c>
      <c r="AJ111" s="286">
        <f>'Key Inputs_New Techs'!AC67</f>
        <v>16.367059103624555</v>
      </c>
      <c r="AK111" s="286">
        <f>'Key Inputs_New Techs'!AD67</f>
        <v>16.367059103624555</v>
      </c>
      <c r="AL111" s="286">
        <f>'Key Inputs_New Techs'!AE67</f>
        <v>16.367059103624555</v>
      </c>
      <c r="AM111" s="286">
        <f>'Key Inputs_New Techs'!AF67</f>
        <v>16.367059103624555</v>
      </c>
      <c r="AN111" s="286">
        <f>'Key Inputs_New Techs'!AG67</f>
        <v>16.367059103624555</v>
      </c>
      <c r="AO111" s="286">
        <f>'Key Inputs_New Techs'!AH67</f>
        <v>16.367059103624555</v>
      </c>
      <c r="AP111" s="286">
        <f>'Key Inputs_New Techs'!AI67</f>
        <v>16.367059103624555</v>
      </c>
      <c r="AQ111" s="286">
        <f>'Key Inputs_New Techs'!AJ67</f>
        <v>16.367059103624555</v>
      </c>
      <c r="AR111" s="286">
        <f>'Key Inputs_New Techs'!AK67</f>
        <v>16.367059103624555</v>
      </c>
      <c r="AS111" s="286">
        <f>'Key Inputs_New Techs'!AL67</f>
        <v>16.367059103624555</v>
      </c>
      <c r="AT111" s="286"/>
      <c r="AU111" s="286"/>
      <c r="AV111" s="286"/>
    </row>
    <row r="112" spans="1:48" ht="15.6" x14ac:dyDescent="0.3">
      <c r="J112" s="221"/>
      <c r="K112" s="328" t="str">
        <f>IF('Key Inputs_New Techs'!B68="","",'Key Inputs_New Techs'!B68)</f>
        <v/>
      </c>
      <c r="L112" s="530" t="str">
        <f>IF(K112="","",VLOOKUP(K112,'Commodities &amp; Processes'!$L$48:$M$87,2,FALSE))</f>
        <v/>
      </c>
      <c r="N112" s="201">
        <f>'Key Inputs_New Techs'!H68</f>
        <v>2030</v>
      </c>
      <c r="O112" s="212" t="s">
        <v>40</v>
      </c>
      <c r="P112" s="223" t="s">
        <v>154</v>
      </c>
      <c r="Q112" s="223"/>
      <c r="R112" s="286">
        <f>'Key Inputs_New Techs'!K68</f>
        <v>18.54324284230826</v>
      </c>
      <c r="S112" s="286">
        <f>'Key Inputs_New Techs'!L68</f>
        <v>18.54324284230826</v>
      </c>
      <c r="T112" s="286">
        <f>'Key Inputs_New Techs'!M68</f>
        <v>18.54324284230826</v>
      </c>
      <c r="U112" s="286">
        <f>'Key Inputs_New Techs'!N68</f>
        <v>18.54324284230826</v>
      </c>
      <c r="V112" s="286">
        <f>'Key Inputs_New Techs'!O68</f>
        <v>18.54324284230826</v>
      </c>
      <c r="W112" s="286">
        <f>'Key Inputs_New Techs'!P68</f>
        <v>18.54324284230826</v>
      </c>
      <c r="X112" s="286">
        <f>'Key Inputs_New Techs'!Q68</f>
        <v>18.54324284230826</v>
      </c>
      <c r="Y112" s="286">
        <f>'Key Inputs_New Techs'!R68</f>
        <v>18.54324284230826</v>
      </c>
      <c r="Z112" s="286">
        <f>'Key Inputs_New Techs'!S68</f>
        <v>18.54324284230826</v>
      </c>
      <c r="AA112" s="286">
        <f>'Key Inputs_New Techs'!T68</f>
        <v>18.54324284230826</v>
      </c>
      <c r="AB112" s="286">
        <f>'Key Inputs_New Techs'!U68</f>
        <v>18.54324284230826</v>
      </c>
      <c r="AC112" s="286">
        <f>'Key Inputs_New Techs'!V68</f>
        <v>18.54324284230826</v>
      </c>
      <c r="AD112" s="286">
        <f>'Key Inputs_New Techs'!W68</f>
        <v>18.54324284230826</v>
      </c>
      <c r="AE112" s="286">
        <f>'Key Inputs_New Techs'!X68</f>
        <v>18.54324284230826</v>
      </c>
      <c r="AF112" s="286">
        <f>'Key Inputs_New Techs'!Y68</f>
        <v>18.54324284230826</v>
      </c>
      <c r="AG112" s="286">
        <f>'Key Inputs_New Techs'!Z68</f>
        <v>18.54324284230826</v>
      </c>
      <c r="AH112" s="286">
        <f>'Key Inputs_New Techs'!AA68</f>
        <v>18.54324284230826</v>
      </c>
      <c r="AI112" s="286">
        <f>'Key Inputs_New Techs'!AB68</f>
        <v>18.54324284230826</v>
      </c>
      <c r="AJ112" s="286">
        <f>'Key Inputs_New Techs'!AC68</f>
        <v>18.54324284230826</v>
      </c>
      <c r="AK112" s="286">
        <f>'Key Inputs_New Techs'!AD68</f>
        <v>18.54324284230826</v>
      </c>
      <c r="AL112" s="286">
        <f>'Key Inputs_New Techs'!AE68</f>
        <v>18.54324284230826</v>
      </c>
      <c r="AM112" s="286">
        <f>'Key Inputs_New Techs'!AF68</f>
        <v>18.54324284230826</v>
      </c>
      <c r="AN112" s="286">
        <f>'Key Inputs_New Techs'!AG68</f>
        <v>18.54324284230826</v>
      </c>
      <c r="AO112" s="286">
        <f>'Key Inputs_New Techs'!AH68</f>
        <v>18.54324284230826</v>
      </c>
      <c r="AP112" s="286">
        <f>'Key Inputs_New Techs'!AI68</f>
        <v>18.54324284230826</v>
      </c>
      <c r="AQ112" s="286">
        <f>'Key Inputs_New Techs'!AJ68</f>
        <v>18.54324284230826</v>
      </c>
      <c r="AR112" s="286">
        <f>'Key Inputs_New Techs'!AK68</f>
        <v>18.54324284230826</v>
      </c>
      <c r="AS112" s="286">
        <f>'Key Inputs_New Techs'!AL68</f>
        <v>18.54324284230826</v>
      </c>
      <c r="AT112" s="286"/>
      <c r="AU112" s="286"/>
      <c r="AV112" s="286"/>
    </row>
    <row r="113" spans="1:45" s="533" customFormat="1" ht="15.6" x14ac:dyDescent="0.3">
      <c r="A113" s="534"/>
      <c r="B113" s="534"/>
      <c r="C113" s="534"/>
      <c r="D113" s="534"/>
      <c r="E113" s="534"/>
      <c r="F113" s="534"/>
      <c r="G113" s="534"/>
      <c r="H113" s="534"/>
      <c r="I113" s="534"/>
      <c r="K113" s="328" t="str">
        <f>IF('Key Inputs_New Techs'!B69="","",'Key Inputs_New Techs'!B69)</f>
        <v/>
      </c>
      <c r="L113" s="532" t="str">
        <f>IF(K113="","",VLOOKUP(K113,'Commodities &amp; Processes'!$L$48:$M$87,2,FALSE))</f>
        <v/>
      </c>
      <c r="N113" s="201">
        <f>'Key Inputs_New Techs'!H69</f>
        <v>2050</v>
      </c>
      <c r="O113" s="212" t="s">
        <v>40</v>
      </c>
      <c r="P113" s="223" t="s">
        <v>154</v>
      </c>
      <c r="R113" s="286">
        <f>'Key Inputs_New Techs'!K69</f>
        <v>25.298522566282127</v>
      </c>
      <c r="S113" s="286">
        <f>'Key Inputs_New Techs'!L69</f>
        <v>25.298522566282127</v>
      </c>
      <c r="T113" s="286">
        <f>'Key Inputs_New Techs'!M69</f>
        <v>25.298522566282127</v>
      </c>
      <c r="U113" s="286">
        <f>'Key Inputs_New Techs'!N69</f>
        <v>25.298522566282127</v>
      </c>
      <c r="V113" s="286">
        <f>'Key Inputs_New Techs'!O69</f>
        <v>25.298522566282127</v>
      </c>
      <c r="W113" s="286">
        <f>'Key Inputs_New Techs'!P69</f>
        <v>25.298522566282127</v>
      </c>
      <c r="X113" s="286">
        <f>'Key Inputs_New Techs'!Q69</f>
        <v>25.298522566282127</v>
      </c>
      <c r="Y113" s="286">
        <f>'Key Inputs_New Techs'!R69</f>
        <v>25.298522566282127</v>
      </c>
      <c r="Z113" s="286">
        <f>'Key Inputs_New Techs'!S69</f>
        <v>25.298522566282127</v>
      </c>
      <c r="AA113" s="286">
        <f>'Key Inputs_New Techs'!T69</f>
        <v>25.298522566282127</v>
      </c>
      <c r="AB113" s="286">
        <f>'Key Inputs_New Techs'!U69</f>
        <v>25.298522566282127</v>
      </c>
      <c r="AC113" s="286">
        <f>'Key Inputs_New Techs'!V69</f>
        <v>25.298522566282127</v>
      </c>
      <c r="AD113" s="286">
        <f>'Key Inputs_New Techs'!W69</f>
        <v>25.298522566282127</v>
      </c>
      <c r="AE113" s="286">
        <f>'Key Inputs_New Techs'!X69</f>
        <v>25.298522566282127</v>
      </c>
      <c r="AF113" s="286">
        <f>'Key Inputs_New Techs'!Y69</f>
        <v>25.298522566282127</v>
      </c>
      <c r="AG113" s="286">
        <f>'Key Inputs_New Techs'!Z69</f>
        <v>25.298522566282127</v>
      </c>
      <c r="AH113" s="286">
        <f>'Key Inputs_New Techs'!AA69</f>
        <v>25.298522566282127</v>
      </c>
      <c r="AI113" s="286">
        <f>'Key Inputs_New Techs'!AB69</f>
        <v>25.298522566282127</v>
      </c>
      <c r="AJ113" s="286">
        <f>'Key Inputs_New Techs'!AC69</f>
        <v>25.298522566282127</v>
      </c>
      <c r="AK113" s="286">
        <f>'Key Inputs_New Techs'!AD69</f>
        <v>25.298522566282127</v>
      </c>
      <c r="AL113" s="286">
        <f>'Key Inputs_New Techs'!AE69</f>
        <v>25.298522566282127</v>
      </c>
      <c r="AM113" s="286">
        <f>'Key Inputs_New Techs'!AF69</f>
        <v>25.298522566282127</v>
      </c>
      <c r="AN113" s="286">
        <f>'Key Inputs_New Techs'!AG69</f>
        <v>25.298522566282127</v>
      </c>
      <c r="AO113" s="286">
        <f>'Key Inputs_New Techs'!AH69</f>
        <v>25.298522566282127</v>
      </c>
      <c r="AP113" s="286">
        <f>'Key Inputs_New Techs'!AI69</f>
        <v>25.298522566282127</v>
      </c>
      <c r="AQ113" s="286">
        <f>'Key Inputs_New Techs'!AJ69</f>
        <v>25.298522566282127</v>
      </c>
      <c r="AR113" s="286">
        <f>'Key Inputs_New Techs'!AK69</f>
        <v>25.298522566282127</v>
      </c>
      <c r="AS113" s="286">
        <f>'Key Inputs_New Techs'!AL69</f>
        <v>25.298522566282127</v>
      </c>
    </row>
    <row r="114" spans="1:45" s="533" customFormat="1" ht="15.6" x14ac:dyDescent="0.3">
      <c r="A114" s="534"/>
      <c r="B114" s="534"/>
      <c r="C114" s="534"/>
      <c r="D114" s="534"/>
      <c r="E114" s="534"/>
      <c r="F114" s="534"/>
      <c r="G114" s="534"/>
      <c r="H114" s="534"/>
      <c r="I114" s="534"/>
      <c r="K114" s="328" t="str">
        <f>IF('Key Inputs_New Techs'!B70="","",'Key Inputs_New Techs'!B70)</f>
        <v>S-EAP_ELC03</v>
      </c>
      <c r="L114" s="532" t="str">
        <f>IF(K114="","",VLOOKUP(K114,'Commodities &amp; Processes'!$L$48:$M$87,2,FALSE))</f>
        <v>SRV Electric Appliances tech: Electricity - Appl.(Adv.)</v>
      </c>
      <c r="N114" s="201">
        <f>'Key Inputs_New Techs'!H70</f>
        <v>2030</v>
      </c>
      <c r="O114" s="212" t="s">
        <v>40</v>
      </c>
      <c r="P114" s="223" t="s">
        <v>154</v>
      </c>
      <c r="R114" s="286">
        <f>'Key Inputs_New Techs'!K70</f>
        <v>21.008774571643663</v>
      </c>
      <c r="S114" s="286">
        <f>'Key Inputs_New Techs'!L70</f>
        <v>21.008774571643663</v>
      </c>
      <c r="T114" s="286">
        <f>'Key Inputs_New Techs'!M70</f>
        <v>21.008774571643663</v>
      </c>
      <c r="U114" s="286">
        <f>'Key Inputs_New Techs'!N70</f>
        <v>21.008774571643663</v>
      </c>
      <c r="V114" s="286">
        <f>'Key Inputs_New Techs'!O70</f>
        <v>21.008774571643663</v>
      </c>
      <c r="W114" s="286">
        <f>'Key Inputs_New Techs'!P70</f>
        <v>21.008774571643663</v>
      </c>
      <c r="X114" s="286">
        <f>'Key Inputs_New Techs'!Q70</f>
        <v>21.008774571643663</v>
      </c>
      <c r="Y114" s="286">
        <f>'Key Inputs_New Techs'!R70</f>
        <v>21.008774571643663</v>
      </c>
      <c r="Z114" s="286">
        <f>'Key Inputs_New Techs'!S70</f>
        <v>21.008774571643663</v>
      </c>
      <c r="AA114" s="286">
        <f>'Key Inputs_New Techs'!T70</f>
        <v>21.008774571643663</v>
      </c>
      <c r="AB114" s="286">
        <f>'Key Inputs_New Techs'!U70</f>
        <v>21.008774571643663</v>
      </c>
      <c r="AC114" s="286">
        <f>'Key Inputs_New Techs'!V70</f>
        <v>21.008774571643663</v>
      </c>
      <c r="AD114" s="286">
        <f>'Key Inputs_New Techs'!W70</f>
        <v>21.008774571643663</v>
      </c>
      <c r="AE114" s="286">
        <f>'Key Inputs_New Techs'!X70</f>
        <v>21.008774571643663</v>
      </c>
      <c r="AF114" s="286">
        <f>'Key Inputs_New Techs'!Y70</f>
        <v>21.008774571643663</v>
      </c>
      <c r="AG114" s="286">
        <f>'Key Inputs_New Techs'!Z70</f>
        <v>21.008774571643663</v>
      </c>
      <c r="AH114" s="286">
        <f>'Key Inputs_New Techs'!AA70</f>
        <v>21.008774571643663</v>
      </c>
      <c r="AI114" s="286">
        <f>'Key Inputs_New Techs'!AB70</f>
        <v>21.008774571643663</v>
      </c>
      <c r="AJ114" s="286">
        <f>'Key Inputs_New Techs'!AC70</f>
        <v>21.008774571643663</v>
      </c>
      <c r="AK114" s="286">
        <f>'Key Inputs_New Techs'!AD70</f>
        <v>21.008774571643663</v>
      </c>
      <c r="AL114" s="286">
        <f>'Key Inputs_New Techs'!AE70</f>
        <v>21.008774571643663</v>
      </c>
      <c r="AM114" s="286">
        <f>'Key Inputs_New Techs'!AF70</f>
        <v>21.008774571643663</v>
      </c>
      <c r="AN114" s="286">
        <f>'Key Inputs_New Techs'!AG70</f>
        <v>21.008774571643663</v>
      </c>
      <c r="AO114" s="286">
        <f>'Key Inputs_New Techs'!AH70</f>
        <v>21.008774571643663</v>
      </c>
      <c r="AP114" s="286">
        <f>'Key Inputs_New Techs'!AI70</f>
        <v>21.008774571643663</v>
      </c>
      <c r="AQ114" s="286">
        <f>'Key Inputs_New Techs'!AJ70</f>
        <v>21.008774571643663</v>
      </c>
      <c r="AR114" s="286">
        <f>'Key Inputs_New Techs'!AK70</f>
        <v>21.008774571643663</v>
      </c>
      <c r="AS114" s="286">
        <f>'Key Inputs_New Techs'!AL70</f>
        <v>21.008774571643663</v>
      </c>
    </row>
    <row r="115" spans="1:45" s="533" customFormat="1" ht="15.6" x14ac:dyDescent="0.3">
      <c r="A115" s="534"/>
      <c r="B115" s="534"/>
      <c r="C115" s="534"/>
      <c r="D115" s="534"/>
      <c r="E115" s="534"/>
      <c r="F115" s="534"/>
      <c r="G115" s="534"/>
      <c r="H115" s="534"/>
      <c r="I115" s="534"/>
      <c r="K115" s="328" t="str">
        <f>IF('Key Inputs_New Techs'!B71="","",'Key Inputs_New Techs'!B71)</f>
        <v/>
      </c>
      <c r="L115" s="532" t="str">
        <f>IF(K115="","",VLOOKUP(K115,'Commodities &amp; Processes'!$L$48:$M$87,2,FALSE))</f>
        <v/>
      </c>
      <c r="N115" s="201">
        <f>'Key Inputs_New Techs'!H71</f>
        <v>2050</v>
      </c>
      <c r="O115" s="212" t="s">
        <v>40</v>
      </c>
      <c r="P115" s="223" t="s">
        <v>154</v>
      </c>
      <c r="R115" s="286">
        <f>'Key Inputs_New Techs'!K71</f>
        <v>28.662244360949188</v>
      </c>
      <c r="S115" s="286">
        <f>'Key Inputs_New Techs'!L71</f>
        <v>28.662244360949188</v>
      </c>
      <c r="T115" s="286">
        <f>'Key Inputs_New Techs'!M71</f>
        <v>28.662244360949188</v>
      </c>
      <c r="U115" s="286">
        <f>'Key Inputs_New Techs'!N71</f>
        <v>28.662244360949188</v>
      </c>
      <c r="V115" s="286">
        <f>'Key Inputs_New Techs'!O71</f>
        <v>28.662244360949188</v>
      </c>
      <c r="W115" s="286">
        <f>'Key Inputs_New Techs'!P71</f>
        <v>28.662244360949188</v>
      </c>
      <c r="X115" s="286">
        <f>'Key Inputs_New Techs'!Q71</f>
        <v>28.662244360949188</v>
      </c>
      <c r="Y115" s="286">
        <f>'Key Inputs_New Techs'!R71</f>
        <v>28.662244360949188</v>
      </c>
      <c r="Z115" s="286">
        <f>'Key Inputs_New Techs'!S71</f>
        <v>28.662244360949188</v>
      </c>
      <c r="AA115" s="286">
        <f>'Key Inputs_New Techs'!T71</f>
        <v>28.662244360949188</v>
      </c>
      <c r="AB115" s="286">
        <f>'Key Inputs_New Techs'!U71</f>
        <v>28.662244360949188</v>
      </c>
      <c r="AC115" s="286">
        <f>'Key Inputs_New Techs'!V71</f>
        <v>28.662244360949188</v>
      </c>
      <c r="AD115" s="286">
        <f>'Key Inputs_New Techs'!W71</f>
        <v>28.662244360949188</v>
      </c>
      <c r="AE115" s="286">
        <f>'Key Inputs_New Techs'!X71</f>
        <v>28.662244360949188</v>
      </c>
      <c r="AF115" s="286">
        <f>'Key Inputs_New Techs'!Y71</f>
        <v>28.662244360949188</v>
      </c>
      <c r="AG115" s="286">
        <f>'Key Inputs_New Techs'!Z71</f>
        <v>28.662244360949188</v>
      </c>
      <c r="AH115" s="286">
        <f>'Key Inputs_New Techs'!AA71</f>
        <v>28.662244360949188</v>
      </c>
      <c r="AI115" s="286">
        <f>'Key Inputs_New Techs'!AB71</f>
        <v>28.662244360949188</v>
      </c>
      <c r="AJ115" s="286">
        <f>'Key Inputs_New Techs'!AC71</f>
        <v>28.662244360949188</v>
      </c>
      <c r="AK115" s="286">
        <f>'Key Inputs_New Techs'!AD71</f>
        <v>28.662244360949188</v>
      </c>
      <c r="AL115" s="286">
        <f>'Key Inputs_New Techs'!AE71</f>
        <v>28.662244360949188</v>
      </c>
      <c r="AM115" s="286">
        <f>'Key Inputs_New Techs'!AF71</f>
        <v>28.662244360949188</v>
      </c>
      <c r="AN115" s="286">
        <f>'Key Inputs_New Techs'!AG71</f>
        <v>28.662244360949188</v>
      </c>
      <c r="AO115" s="286">
        <f>'Key Inputs_New Techs'!AH71</f>
        <v>28.662244360949188</v>
      </c>
      <c r="AP115" s="286">
        <f>'Key Inputs_New Techs'!AI71</f>
        <v>28.662244360949188</v>
      </c>
      <c r="AQ115" s="286">
        <f>'Key Inputs_New Techs'!AJ71</f>
        <v>28.662244360949188</v>
      </c>
      <c r="AR115" s="286">
        <f>'Key Inputs_New Techs'!AK71</f>
        <v>28.662244360949188</v>
      </c>
      <c r="AS115" s="286">
        <f>'Key Inputs_New Techs'!AL71</f>
        <v>28.662244360949188</v>
      </c>
    </row>
    <row r="116" spans="1:45" s="533" customFormat="1" ht="15.6" x14ac:dyDescent="0.3">
      <c r="A116" s="534"/>
      <c r="B116" s="534"/>
      <c r="C116" s="534"/>
      <c r="D116" s="534"/>
      <c r="E116" s="534"/>
      <c r="F116" s="534"/>
      <c r="G116" s="534"/>
      <c r="H116" s="534"/>
      <c r="I116" s="534"/>
      <c r="K116" s="328" t="str">
        <f>IF('Key Inputs_New Techs'!B72="","",'Key Inputs_New Techs'!B72)</f>
        <v>S-CK_ELC01</v>
      </c>
      <c r="L116" s="532" t="str">
        <f>IF(K116="","",VLOOKUP(K116,'Commodities &amp; Processes'!$L$48:$M$87,2,FALSE))</f>
        <v>SRV Cooking tech: Electricity - Cooking system (Ord.)</v>
      </c>
      <c r="N116" s="201">
        <f>'Key Inputs_New Techs'!H72</f>
        <v>2020</v>
      </c>
      <c r="O116" s="212" t="s">
        <v>40</v>
      </c>
      <c r="P116" s="223" t="s">
        <v>154</v>
      </c>
      <c r="R116" s="286">
        <f>'Key Inputs_New Techs'!K72</f>
        <v>0.79</v>
      </c>
      <c r="S116" s="286">
        <f>'Key Inputs_New Techs'!L72</f>
        <v>0.79</v>
      </c>
      <c r="T116" s="286">
        <f>'Key Inputs_New Techs'!M72</f>
        <v>0.79</v>
      </c>
      <c r="U116" s="286">
        <f>'Key Inputs_New Techs'!N72</f>
        <v>0.79</v>
      </c>
      <c r="V116" s="286">
        <f>'Key Inputs_New Techs'!O72</f>
        <v>0.79</v>
      </c>
      <c r="W116" s="286">
        <f>'Key Inputs_New Techs'!P72</f>
        <v>0.79</v>
      </c>
      <c r="X116" s="286">
        <f>'Key Inputs_New Techs'!Q72</f>
        <v>0.79</v>
      </c>
      <c r="Y116" s="286">
        <f>'Key Inputs_New Techs'!R72</f>
        <v>0.79</v>
      </c>
      <c r="Z116" s="286">
        <f>'Key Inputs_New Techs'!S72</f>
        <v>0.79</v>
      </c>
      <c r="AA116" s="286">
        <f>'Key Inputs_New Techs'!T72</f>
        <v>0.79</v>
      </c>
      <c r="AB116" s="286">
        <f>'Key Inputs_New Techs'!U72</f>
        <v>0.79</v>
      </c>
      <c r="AC116" s="286">
        <f>'Key Inputs_New Techs'!V72</f>
        <v>0.79</v>
      </c>
      <c r="AD116" s="286">
        <f>'Key Inputs_New Techs'!W72</f>
        <v>0.79</v>
      </c>
      <c r="AE116" s="286">
        <f>'Key Inputs_New Techs'!X72</f>
        <v>0.79</v>
      </c>
      <c r="AF116" s="286">
        <f>'Key Inputs_New Techs'!Y72</f>
        <v>0.79</v>
      </c>
      <c r="AG116" s="286">
        <f>'Key Inputs_New Techs'!Z72</f>
        <v>0.79</v>
      </c>
      <c r="AH116" s="286">
        <f>'Key Inputs_New Techs'!AA72</f>
        <v>0.79</v>
      </c>
      <c r="AI116" s="286">
        <f>'Key Inputs_New Techs'!AB72</f>
        <v>0.79</v>
      </c>
      <c r="AJ116" s="286">
        <f>'Key Inputs_New Techs'!AC72</f>
        <v>0.79</v>
      </c>
      <c r="AK116" s="286">
        <f>'Key Inputs_New Techs'!AD72</f>
        <v>0.79</v>
      </c>
      <c r="AL116" s="286">
        <f>'Key Inputs_New Techs'!AE72</f>
        <v>0.79</v>
      </c>
      <c r="AM116" s="286">
        <f>'Key Inputs_New Techs'!AF72</f>
        <v>0.79</v>
      </c>
      <c r="AN116" s="286">
        <f>'Key Inputs_New Techs'!AG72</f>
        <v>0.79</v>
      </c>
      <c r="AO116" s="286">
        <f>'Key Inputs_New Techs'!AH72</f>
        <v>0.79</v>
      </c>
      <c r="AP116" s="286">
        <f>'Key Inputs_New Techs'!AI72</f>
        <v>0.79</v>
      </c>
      <c r="AQ116" s="286">
        <f>'Key Inputs_New Techs'!AJ72</f>
        <v>0.79</v>
      </c>
      <c r="AR116" s="286">
        <f>'Key Inputs_New Techs'!AK72</f>
        <v>0.79</v>
      </c>
      <c r="AS116" s="286">
        <f>'Key Inputs_New Techs'!AL72</f>
        <v>0.79</v>
      </c>
    </row>
    <row r="117" spans="1:45" s="533" customFormat="1" ht="15.6" x14ac:dyDescent="0.3">
      <c r="A117" s="534"/>
      <c r="B117" s="534"/>
      <c r="C117" s="534"/>
      <c r="D117" s="534"/>
      <c r="E117" s="534"/>
      <c r="F117" s="534"/>
      <c r="G117" s="534"/>
      <c r="H117" s="534"/>
      <c r="I117" s="534"/>
      <c r="K117" s="328" t="str">
        <f>IF('Key Inputs_New Techs'!B73="","",'Key Inputs_New Techs'!B73)</f>
        <v>S-CK_GAS01</v>
      </c>
      <c r="L117" s="532" t="str">
        <f>IF(K117="","",VLOOKUP(K117,'Commodities &amp; Processes'!$L$48:$M$87,2,FALSE))</f>
        <v>SRV Cooking tech: Natural gas,Biogas - Cooking system (Ord.)</v>
      </c>
      <c r="N117" s="201">
        <f>'Key Inputs_New Techs'!H73</f>
        <v>2020</v>
      </c>
      <c r="O117" s="212" t="s">
        <v>40</v>
      </c>
      <c r="P117" s="223" t="s">
        <v>154</v>
      </c>
      <c r="R117" s="286">
        <f>'Key Inputs_New Techs'!K73</f>
        <v>0.42</v>
      </c>
      <c r="S117" s="286">
        <f>'Key Inputs_New Techs'!L73</f>
        <v>0.42</v>
      </c>
      <c r="T117" s="286">
        <f>'Key Inputs_New Techs'!M73</f>
        <v>0.42</v>
      </c>
      <c r="U117" s="286">
        <f>'Key Inputs_New Techs'!N73</f>
        <v>0.42</v>
      </c>
      <c r="V117" s="286">
        <f>'Key Inputs_New Techs'!O73</f>
        <v>0.42</v>
      </c>
      <c r="W117" s="286">
        <f>'Key Inputs_New Techs'!P73</f>
        <v>0.42</v>
      </c>
      <c r="X117" s="286">
        <f>'Key Inputs_New Techs'!Q73</f>
        <v>0.42</v>
      </c>
      <c r="Y117" s="286">
        <f>'Key Inputs_New Techs'!R73</f>
        <v>0.42</v>
      </c>
      <c r="Z117" s="286">
        <f>'Key Inputs_New Techs'!S73</f>
        <v>0.42</v>
      </c>
      <c r="AA117" s="286">
        <f>'Key Inputs_New Techs'!T73</f>
        <v>0.42</v>
      </c>
      <c r="AB117" s="286">
        <f>'Key Inputs_New Techs'!U73</f>
        <v>0.42</v>
      </c>
      <c r="AC117" s="286">
        <f>'Key Inputs_New Techs'!V73</f>
        <v>0.42</v>
      </c>
      <c r="AD117" s="286">
        <f>'Key Inputs_New Techs'!W73</f>
        <v>0.42</v>
      </c>
      <c r="AE117" s="286">
        <f>'Key Inputs_New Techs'!X73</f>
        <v>0.42</v>
      </c>
      <c r="AF117" s="286">
        <f>'Key Inputs_New Techs'!Y73</f>
        <v>0.42</v>
      </c>
      <c r="AG117" s="286">
        <f>'Key Inputs_New Techs'!Z73</f>
        <v>0.42</v>
      </c>
      <c r="AH117" s="286">
        <f>'Key Inputs_New Techs'!AA73</f>
        <v>0.42</v>
      </c>
      <c r="AI117" s="286">
        <f>'Key Inputs_New Techs'!AB73</f>
        <v>0.42</v>
      </c>
      <c r="AJ117" s="286">
        <f>'Key Inputs_New Techs'!AC73</f>
        <v>0.42</v>
      </c>
      <c r="AK117" s="286">
        <f>'Key Inputs_New Techs'!AD73</f>
        <v>0.42</v>
      </c>
      <c r="AL117" s="286">
        <f>'Key Inputs_New Techs'!AE73</f>
        <v>0.42</v>
      </c>
      <c r="AM117" s="286">
        <f>'Key Inputs_New Techs'!AF73</f>
        <v>0.42</v>
      </c>
      <c r="AN117" s="286">
        <f>'Key Inputs_New Techs'!AG73</f>
        <v>0.42</v>
      </c>
      <c r="AO117" s="286">
        <f>'Key Inputs_New Techs'!AH73</f>
        <v>0.42</v>
      </c>
      <c r="AP117" s="286">
        <f>'Key Inputs_New Techs'!AI73</f>
        <v>0.42</v>
      </c>
      <c r="AQ117" s="286">
        <f>'Key Inputs_New Techs'!AJ73</f>
        <v>0.42</v>
      </c>
      <c r="AR117" s="286">
        <f>'Key Inputs_New Techs'!AK73</f>
        <v>0.42</v>
      </c>
      <c r="AS117" s="286">
        <f>'Key Inputs_New Techs'!AL73</f>
        <v>0.42</v>
      </c>
    </row>
    <row r="118" spans="1:45" s="533" customFormat="1" ht="15.6" x14ac:dyDescent="0.3">
      <c r="A118" s="534"/>
      <c r="B118" s="534"/>
      <c r="C118" s="534"/>
      <c r="D118" s="534"/>
      <c r="E118" s="534"/>
      <c r="F118" s="534"/>
      <c r="G118" s="534"/>
      <c r="H118" s="534"/>
      <c r="I118" s="534"/>
      <c r="K118" s="328" t="str">
        <f>IF('Key Inputs_New Techs'!B74="","",'Key Inputs_New Techs'!B74)</f>
        <v>S-CK_LPG01</v>
      </c>
      <c r="L118" s="532" t="str">
        <f>IF(K118="","",VLOOKUP(K118,'Commodities &amp; Processes'!$L$48:$M$87,2,FALSE))</f>
        <v>SRV Cooking tech: LPG - Cooking system (Ord.)</v>
      </c>
      <c r="N118" s="201">
        <f>'Key Inputs_New Techs'!H74</f>
        <v>2020</v>
      </c>
      <c r="O118" s="212" t="s">
        <v>40</v>
      </c>
      <c r="P118" s="223" t="s">
        <v>154</v>
      </c>
      <c r="R118" s="286">
        <f>'Key Inputs_New Techs'!K74</f>
        <v>0.60399999999999998</v>
      </c>
      <c r="S118" s="286">
        <f>'Key Inputs_New Techs'!L74</f>
        <v>0.60399999999999998</v>
      </c>
      <c r="T118" s="286">
        <f>'Key Inputs_New Techs'!M74</f>
        <v>0.60399999999999998</v>
      </c>
      <c r="U118" s="286">
        <f>'Key Inputs_New Techs'!N74</f>
        <v>0.60399999999999998</v>
      </c>
      <c r="V118" s="286">
        <f>'Key Inputs_New Techs'!O74</f>
        <v>0.60399999999999998</v>
      </c>
      <c r="W118" s="286">
        <f>'Key Inputs_New Techs'!P74</f>
        <v>0.60399999999999998</v>
      </c>
      <c r="X118" s="286">
        <f>'Key Inputs_New Techs'!Q74</f>
        <v>0.60399999999999998</v>
      </c>
      <c r="Y118" s="286">
        <f>'Key Inputs_New Techs'!R74</f>
        <v>0.60399999999999998</v>
      </c>
      <c r="Z118" s="286">
        <f>'Key Inputs_New Techs'!S74</f>
        <v>0.60399999999999998</v>
      </c>
      <c r="AA118" s="286">
        <f>'Key Inputs_New Techs'!T74</f>
        <v>0.60399999999999998</v>
      </c>
      <c r="AB118" s="286">
        <f>'Key Inputs_New Techs'!U74</f>
        <v>0.60399999999999998</v>
      </c>
      <c r="AC118" s="286">
        <f>'Key Inputs_New Techs'!V74</f>
        <v>0.60399999999999998</v>
      </c>
      <c r="AD118" s="286">
        <f>'Key Inputs_New Techs'!W74</f>
        <v>0.60399999999999998</v>
      </c>
      <c r="AE118" s="286">
        <f>'Key Inputs_New Techs'!X74</f>
        <v>0.60399999999999998</v>
      </c>
      <c r="AF118" s="286">
        <f>'Key Inputs_New Techs'!Y74</f>
        <v>0.60399999999999998</v>
      </c>
      <c r="AG118" s="286">
        <f>'Key Inputs_New Techs'!Z74</f>
        <v>0.60399999999999998</v>
      </c>
      <c r="AH118" s="286">
        <f>'Key Inputs_New Techs'!AA74</f>
        <v>0.60399999999999998</v>
      </c>
      <c r="AI118" s="286">
        <f>'Key Inputs_New Techs'!AB74</f>
        <v>0.60399999999999998</v>
      </c>
      <c r="AJ118" s="286">
        <f>'Key Inputs_New Techs'!AC74</f>
        <v>0.60399999999999998</v>
      </c>
      <c r="AK118" s="286">
        <f>'Key Inputs_New Techs'!AD74</f>
        <v>0.60399999999999998</v>
      </c>
      <c r="AL118" s="286">
        <f>'Key Inputs_New Techs'!AE74</f>
        <v>0.60399999999999998</v>
      </c>
      <c r="AM118" s="286">
        <f>'Key Inputs_New Techs'!AF74</f>
        <v>0.60399999999999998</v>
      </c>
      <c r="AN118" s="286">
        <f>'Key Inputs_New Techs'!AG74</f>
        <v>0.60399999999999998</v>
      </c>
      <c r="AO118" s="286">
        <f>'Key Inputs_New Techs'!AH74</f>
        <v>0.60399999999999998</v>
      </c>
      <c r="AP118" s="286">
        <f>'Key Inputs_New Techs'!AI74</f>
        <v>0.60399999999999998</v>
      </c>
      <c r="AQ118" s="286">
        <f>'Key Inputs_New Techs'!AJ74</f>
        <v>0.60399999999999998</v>
      </c>
      <c r="AR118" s="286">
        <f>'Key Inputs_New Techs'!AK74</f>
        <v>0.60399999999999998</v>
      </c>
      <c r="AS118" s="286">
        <f>'Key Inputs_New Techs'!AL74</f>
        <v>0.60399999999999998</v>
      </c>
    </row>
    <row r="119" spans="1:45" s="533" customFormat="1" ht="15.6" x14ac:dyDescent="0.3">
      <c r="A119" s="534"/>
      <c r="B119" s="534"/>
      <c r="C119" s="534"/>
      <c r="D119" s="534"/>
      <c r="E119" s="534"/>
      <c r="F119" s="534"/>
      <c r="G119" s="534"/>
      <c r="H119" s="534"/>
      <c r="I119" s="534"/>
      <c r="K119" s="328" t="str">
        <f>IF('Key Inputs_New Techs'!B75="","",'Key Inputs_New Techs'!B75)</f>
        <v>S-CK_BIO01</v>
      </c>
      <c r="L119" s="532" t="str">
        <f>IF(K119="","",VLOOKUP(K119,'Commodities &amp; Processes'!$L$48:$M$87,2,FALSE))</f>
        <v>SRV Cooking tech: Biomass - Cooking system (Ord.)</v>
      </c>
      <c r="N119" s="201">
        <f>'Key Inputs_New Techs'!H75</f>
        <v>2020</v>
      </c>
      <c r="O119" s="212" t="s">
        <v>40</v>
      </c>
      <c r="P119" s="223" t="s">
        <v>154</v>
      </c>
      <c r="R119" s="286">
        <f>'Key Inputs_New Techs'!K75</f>
        <v>0.45100000000000001</v>
      </c>
      <c r="S119" s="286">
        <f>'Key Inputs_New Techs'!L75</f>
        <v>0.45100000000000001</v>
      </c>
      <c r="T119" s="286">
        <f>'Key Inputs_New Techs'!M75</f>
        <v>0.45100000000000001</v>
      </c>
      <c r="U119" s="286">
        <f>'Key Inputs_New Techs'!N75</f>
        <v>0.45100000000000001</v>
      </c>
      <c r="V119" s="286">
        <f>'Key Inputs_New Techs'!O75</f>
        <v>0.45100000000000001</v>
      </c>
      <c r="W119" s="286">
        <f>'Key Inputs_New Techs'!P75</f>
        <v>0.45100000000000001</v>
      </c>
      <c r="X119" s="286">
        <f>'Key Inputs_New Techs'!Q75</f>
        <v>0.45100000000000001</v>
      </c>
      <c r="Y119" s="286">
        <f>'Key Inputs_New Techs'!R75</f>
        <v>0.45100000000000001</v>
      </c>
      <c r="Z119" s="286">
        <f>'Key Inputs_New Techs'!S75</f>
        <v>0.45100000000000001</v>
      </c>
      <c r="AA119" s="286">
        <f>'Key Inputs_New Techs'!T75</f>
        <v>0.45100000000000001</v>
      </c>
      <c r="AB119" s="286">
        <f>'Key Inputs_New Techs'!U75</f>
        <v>0.45100000000000001</v>
      </c>
      <c r="AC119" s="286">
        <f>'Key Inputs_New Techs'!V75</f>
        <v>0.45100000000000001</v>
      </c>
      <c r="AD119" s="286">
        <f>'Key Inputs_New Techs'!W75</f>
        <v>0.45100000000000001</v>
      </c>
      <c r="AE119" s="286">
        <f>'Key Inputs_New Techs'!X75</f>
        <v>0.45100000000000001</v>
      </c>
      <c r="AF119" s="286">
        <f>'Key Inputs_New Techs'!Y75</f>
        <v>0.45100000000000001</v>
      </c>
      <c r="AG119" s="286">
        <f>'Key Inputs_New Techs'!Z75</f>
        <v>0.45100000000000001</v>
      </c>
      <c r="AH119" s="286">
        <f>'Key Inputs_New Techs'!AA75</f>
        <v>0.45100000000000001</v>
      </c>
      <c r="AI119" s="286">
        <f>'Key Inputs_New Techs'!AB75</f>
        <v>0.45100000000000001</v>
      </c>
      <c r="AJ119" s="286">
        <f>'Key Inputs_New Techs'!AC75</f>
        <v>0.45100000000000001</v>
      </c>
      <c r="AK119" s="286">
        <f>'Key Inputs_New Techs'!AD75</f>
        <v>0.45100000000000001</v>
      </c>
      <c r="AL119" s="286">
        <f>'Key Inputs_New Techs'!AE75</f>
        <v>0.45100000000000001</v>
      </c>
      <c r="AM119" s="286">
        <f>'Key Inputs_New Techs'!AF75</f>
        <v>0.45100000000000001</v>
      </c>
      <c r="AN119" s="286">
        <f>'Key Inputs_New Techs'!AG75</f>
        <v>0.45100000000000001</v>
      </c>
      <c r="AO119" s="286">
        <f>'Key Inputs_New Techs'!AH75</f>
        <v>0.45100000000000001</v>
      </c>
      <c r="AP119" s="286">
        <f>'Key Inputs_New Techs'!AI75</f>
        <v>0.45100000000000001</v>
      </c>
      <c r="AQ119" s="286">
        <f>'Key Inputs_New Techs'!AJ75</f>
        <v>0.45100000000000001</v>
      </c>
      <c r="AR119" s="286">
        <f>'Key Inputs_New Techs'!AK75</f>
        <v>0.45100000000000001</v>
      </c>
      <c r="AS119" s="286">
        <f>'Key Inputs_New Techs'!AL75</f>
        <v>0.45100000000000001</v>
      </c>
    </row>
    <row r="120" spans="1:45" s="533" customFormat="1" ht="15.6" x14ac:dyDescent="0.3">
      <c r="A120" s="534"/>
      <c r="B120" s="534"/>
      <c r="C120" s="534"/>
      <c r="D120" s="534"/>
      <c r="E120" s="534"/>
      <c r="F120" s="534"/>
      <c r="G120" s="534"/>
      <c r="H120" s="534"/>
      <c r="I120" s="534"/>
      <c r="K120" s="330" t="str">
        <f>IF('Key Inputs_New Techs'!B76="","",'Key Inputs_New Techs'!B76)</f>
        <v>S-CK_COA01</v>
      </c>
      <c r="L120" s="532" t="str">
        <f>IF(K120="","",VLOOKUP(K120,'Commodities &amp; Processes'!$L$48:$M$87,2,FALSE))</f>
        <v>SRV Cooking tech: Coal - Cooking system (Ord.)</v>
      </c>
      <c r="N120" s="201">
        <f>'Key Inputs_New Techs'!H76</f>
        <v>2020</v>
      </c>
      <c r="O120" s="212" t="s">
        <v>40</v>
      </c>
      <c r="P120" s="223" t="s">
        <v>154</v>
      </c>
      <c r="R120" s="286">
        <f>'Key Inputs_New Techs'!K76</f>
        <v>0.45100000000000001</v>
      </c>
      <c r="S120" s="286">
        <f>'Key Inputs_New Techs'!L76</f>
        <v>0.45100000000000001</v>
      </c>
      <c r="T120" s="286">
        <f>'Key Inputs_New Techs'!M76</f>
        <v>0.45100000000000001</v>
      </c>
      <c r="U120" s="286">
        <f>'Key Inputs_New Techs'!N76</f>
        <v>0.45100000000000001</v>
      </c>
      <c r="V120" s="286">
        <f>'Key Inputs_New Techs'!O76</f>
        <v>0.45100000000000001</v>
      </c>
      <c r="W120" s="286">
        <f>'Key Inputs_New Techs'!P76</f>
        <v>0.45100000000000001</v>
      </c>
      <c r="X120" s="286">
        <f>'Key Inputs_New Techs'!Q76</f>
        <v>0.45100000000000001</v>
      </c>
      <c r="Y120" s="286">
        <f>'Key Inputs_New Techs'!R76</f>
        <v>0.45100000000000001</v>
      </c>
      <c r="Z120" s="286">
        <f>'Key Inputs_New Techs'!S76</f>
        <v>0.45100000000000001</v>
      </c>
      <c r="AA120" s="286">
        <f>'Key Inputs_New Techs'!T76</f>
        <v>0.45100000000000001</v>
      </c>
      <c r="AB120" s="286">
        <f>'Key Inputs_New Techs'!U76</f>
        <v>0.45100000000000001</v>
      </c>
      <c r="AC120" s="286">
        <f>'Key Inputs_New Techs'!V76</f>
        <v>0.45100000000000001</v>
      </c>
      <c r="AD120" s="286">
        <f>'Key Inputs_New Techs'!W76</f>
        <v>0.45100000000000001</v>
      </c>
      <c r="AE120" s="286">
        <f>'Key Inputs_New Techs'!X76</f>
        <v>0.45100000000000001</v>
      </c>
      <c r="AF120" s="286">
        <f>'Key Inputs_New Techs'!Y76</f>
        <v>0.45100000000000001</v>
      </c>
      <c r="AG120" s="286">
        <f>'Key Inputs_New Techs'!Z76</f>
        <v>0.45100000000000001</v>
      </c>
      <c r="AH120" s="286">
        <f>'Key Inputs_New Techs'!AA76</f>
        <v>0.45100000000000001</v>
      </c>
      <c r="AI120" s="286">
        <f>'Key Inputs_New Techs'!AB76</f>
        <v>0.45100000000000001</v>
      </c>
      <c r="AJ120" s="286">
        <f>'Key Inputs_New Techs'!AC76</f>
        <v>0.45100000000000001</v>
      </c>
      <c r="AK120" s="286">
        <f>'Key Inputs_New Techs'!AD76</f>
        <v>0.45100000000000001</v>
      </c>
      <c r="AL120" s="286">
        <f>'Key Inputs_New Techs'!AE76</f>
        <v>0.45100000000000001</v>
      </c>
      <c r="AM120" s="286">
        <f>'Key Inputs_New Techs'!AF76</f>
        <v>0.45100000000000001</v>
      </c>
      <c r="AN120" s="286">
        <f>'Key Inputs_New Techs'!AG76</f>
        <v>0.45100000000000001</v>
      </c>
      <c r="AO120" s="286">
        <f>'Key Inputs_New Techs'!AH76</f>
        <v>0.45100000000000001</v>
      </c>
      <c r="AP120" s="286">
        <f>'Key Inputs_New Techs'!AI76</f>
        <v>0.45100000000000001</v>
      </c>
      <c r="AQ120" s="286">
        <f>'Key Inputs_New Techs'!AJ76</f>
        <v>0.45100000000000001</v>
      </c>
      <c r="AR120" s="286">
        <f>'Key Inputs_New Techs'!AK76</f>
        <v>0.45100000000000001</v>
      </c>
      <c r="AS120" s="286">
        <f>'Key Inputs_New Techs'!AL76</f>
        <v>0.45100000000000001</v>
      </c>
    </row>
    <row r="121" spans="1:45" x14ac:dyDescent="0.3">
      <c r="J121" s="221"/>
      <c r="K121" s="515" t="s">
        <v>667</v>
      </c>
      <c r="L121" s="516"/>
      <c r="M121" s="516"/>
      <c r="N121" s="516"/>
      <c r="O121" s="517"/>
      <c r="P121" s="517"/>
      <c r="Q121" s="517"/>
      <c r="R121" s="517"/>
      <c r="S121" s="517"/>
      <c r="T121" s="517"/>
      <c r="U121" s="517"/>
      <c r="V121" s="517"/>
      <c r="W121" s="517"/>
      <c r="X121" s="517"/>
      <c r="Y121" s="517"/>
      <c r="Z121" s="517"/>
      <c r="AA121" s="517"/>
      <c r="AB121" s="517"/>
      <c r="AC121" s="517"/>
      <c r="AD121" s="517"/>
      <c r="AE121" s="517"/>
      <c r="AF121" s="517"/>
      <c r="AG121" s="517"/>
      <c r="AH121" s="517"/>
      <c r="AI121" s="517"/>
      <c r="AJ121" s="517"/>
      <c r="AK121" s="517"/>
      <c r="AL121" s="517"/>
      <c r="AM121" s="517"/>
      <c r="AN121" s="517"/>
      <c r="AO121" s="206"/>
      <c r="AP121" s="206"/>
      <c r="AQ121" s="206"/>
      <c r="AR121" s="206"/>
      <c r="AS121" s="206"/>
    </row>
    <row r="122" spans="1:45" x14ac:dyDescent="0.3">
      <c r="J122" s="221"/>
      <c r="K122" s="328" t="str">
        <f>IF('Key Inputs_New Techs'!B84="","",'Key Inputs_New Techs'!B84)</f>
        <v>S-TH-HPA_ELC01</v>
      </c>
      <c r="L122" s="208" t="str">
        <f>IF(K122="","",VLOOKUP(K122,'Commodities &amp; Processes'!$L$48:$M$87,2,FALSE))</f>
        <v>SRV Thermal uses technology: Electricity Heat Pump Air (Ord.) -New</v>
      </c>
      <c r="M122" s="208"/>
      <c r="N122" s="242">
        <f>'Key Inputs_New Techs'!H84</f>
        <v>2020</v>
      </c>
      <c r="O122" s="437" t="s">
        <v>451</v>
      </c>
      <c r="P122" s="229" t="s">
        <v>409</v>
      </c>
      <c r="Q122" s="229"/>
      <c r="R122" s="438">
        <f>'Key Inputs_New Techs'!K84</f>
        <v>566.49629876604524</v>
      </c>
      <c r="S122" s="438">
        <f>'Key Inputs_New Techs'!L84</f>
        <v>587.73357594916831</v>
      </c>
      <c r="T122" s="438">
        <f>'Key Inputs_New Techs'!M84</f>
        <v>566.43711237549837</v>
      </c>
      <c r="U122" s="438">
        <f>'Key Inputs_New Techs'!N84</f>
        <v>575.49639540344901</v>
      </c>
      <c r="V122" s="438">
        <f>'Key Inputs_New Techs'!O84</f>
        <v>682.16060738502165</v>
      </c>
      <c r="W122" s="438">
        <f>'Key Inputs_New Techs'!P84</f>
        <v>583.85525629131564</v>
      </c>
      <c r="X122" s="438">
        <f>'Key Inputs_New Techs'!Q84</f>
        <v>596.80508120587967</v>
      </c>
      <c r="Y122" s="438">
        <f>'Key Inputs_New Techs'!R84</f>
        <v>573.95006861467959</v>
      </c>
      <c r="Z122" s="438">
        <f>'Key Inputs_New Techs'!S84</f>
        <v>596.86214997245236</v>
      </c>
      <c r="AA122" s="438">
        <f>'Key Inputs_New Techs'!T84</f>
        <v>684.07790997977111</v>
      </c>
      <c r="AB122" s="438">
        <f>'Key Inputs_New Techs'!U84</f>
        <v>622.46928479660164</v>
      </c>
      <c r="AC122" s="438">
        <f>'Key Inputs_New Techs'!V84</f>
        <v>600.71662264659005</v>
      </c>
      <c r="AD122" s="438">
        <f>'Key Inputs_New Techs'!W84</f>
        <v>598.28323922660638</v>
      </c>
      <c r="AE122" s="438">
        <f>'Key Inputs_New Techs'!X84</f>
        <v>687.52578612292825</v>
      </c>
      <c r="AF122" s="438">
        <f>'Key Inputs_New Techs'!Y84</f>
        <v>642.42371130338847</v>
      </c>
      <c r="AG122" s="438">
        <f>'Key Inputs_New Techs'!Z84</f>
        <v>666.39437620152989</v>
      </c>
      <c r="AH122" s="438">
        <f>'Key Inputs_New Techs'!AA84</f>
        <v>699.65127250199987</v>
      </c>
      <c r="AI122" s="438">
        <f>'Key Inputs_New Techs'!AB84</f>
        <v>587.05937308335251</v>
      </c>
      <c r="AJ122" s="438">
        <f>'Key Inputs_New Techs'!AC84</f>
        <v>576.45684049532895</v>
      </c>
      <c r="AK122" s="438">
        <f>'Key Inputs_New Techs'!AD84</f>
        <v>665.07174537058938</v>
      </c>
      <c r="AL122" s="438">
        <f>'Key Inputs_New Techs'!AE84</f>
        <v>591.47916761068814</v>
      </c>
      <c r="AM122" s="438">
        <f>'Key Inputs_New Techs'!AF84</f>
        <v>617.43139018372517</v>
      </c>
      <c r="AN122" s="438">
        <f>'Key Inputs_New Techs'!AG84</f>
        <v>614.09735207055621</v>
      </c>
      <c r="AO122" s="438">
        <f>'Key Inputs_New Techs'!AH84</f>
        <v>611.70538888992098</v>
      </c>
      <c r="AP122" s="438">
        <f>'Key Inputs_New Techs'!AI84</f>
        <v>572.55999808977936</v>
      </c>
      <c r="AQ122" s="438">
        <f>'Key Inputs_New Techs'!AJ84</f>
        <v>629.77813604248945</v>
      </c>
      <c r="AR122" s="438">
        <f>'Key Inputs_New Techs'!AK84</f>
        <v>667.86460426244673</v>
      </c>
      <c r="AS122" s="438">
        <f>'Key Inputs_New Techs'!AL84</f>
        <v>717.72039459714267</v>
      </c>
    </row>
    <row r="123" spans="1:45" x14ac:dyDescent="0.3">
      <c r="J123" s="221"/>
      <c r="K123" s="328" t="str">
        <f>IF('Key Inputs_New Techs'!B85="","",'Key Inputs_New Techs'!B85)</f>
        <v>S-TH-HPA_ELC02</v>
      </c>
      <c r="L123" s="201" t="str">
        <f>IF(K123="","",VLOOKUP(K123,'Commodities &amp; Processes'!$L$48:$M$87,2,FALSE))</f>
        <v>SRV Thermal uses technology: Electricity Heat Pump Air (Imp.) -New</v>
      </c>
      <c r="N123" s="222">
        <f>'Key Inputs_New Techs'!H85</f>
        <v>2030</v>
      </c>
      <c r="O123" s="331" t="s">
        <v>451</v>
      </c>
      <c r="P123" s="212" t="s">
        <v>409</v>
      </c>
      <c r="Q123" s="212"/>
      <c r="R123" s="224">
        <f>'Key Inputs_New Techs'!K85</f>
        <v>603.42442845981373</v>
      </c>
      <c r="S123" s="224">
        <f>'Key Inputs_New Techs'!L85</f>
        <v>626.04609761137351</v>
      </c>
      <c r="T123" s="224">
        <f>'Key Inputs_New Techs'!M85</f>
        <v>603.36138389276857</v>
      </c>
      <c r="U123" s="224">
        <f>'Key Inputs_New Techs'!N85</f>
        <v>613.01121337145059</v>
      </c>
      <c r="V123" s="224">
        <f>'Key Inputs_New Techs'!O85</f>
        <v>726.62853318853593</v>
      </c>
      <c r="W123" s="224">
        <f>'Key Inputs_New Techs'!P85</f>
        <v>621.91496237179331</v>
      </c>
      <c r="X123" s="224">
        <f>'Key Inputs_New Techs'!Q85</f>
        <v>635.70894604785019</v>
      </c>
      <c r="Y123" s="224">
        <f>'Key Inputs_New Techs'!R85</f>
        <v>611.36408635445548</v>
      </c>
      <c r="Z123" s="224">
        <f>'Key Inputs_New Techs'!S85</f>
        <v>635.76973494960816</v>
      </c>
      <c r="AA123" s="224">
        <f>'Key Inputs_New Techs'!T85</f>
        <v>728.67081876911482</v>
      </c>
      <c r="AB123" s="224">
        <f>'Key Inputs_New Techs'!U85</f>
        <v>663.04611915443627</v>
      </c>
      <c r="AC123" s="224">
        <f>'Key Inputs_New Techs'!V85</f>
        <v>639.87546869486278</v>
      </c>
      <c r="AD123" s="224">
        <f>'Key Inputs_New Techs'!W85</f>
        <v>637.28346058708564</v>
      </c>
      <c r="AE123" s="224">
        <f>'Key Inputs_New Techs'!X85</f>
        <v>732.34345122164223</v>
      </c>
      <c r="AF123" s="224">
        <f>'Key Inputs_New Techs'!Y85</f>
        <v>684.30131258876077</v>
      </c>
      <c r="AG123" s="224">
        <f>'Key Inputs_New Techs'!Z85</f>
        <v>709.83455048893688</v>
      </c>
      <c r="AH123" s="224">
        <f>'Key Inputs_New Techs'!AA85</f>
        <v>745.25936030000014</v>
      </c>
      <c r="AI123" s="224">
        <f>'Key Inputs_New Techs'!AB85</f>
        <v>625.32794556014733</v>
      </c>
      <c r="AJ123" s="224">
        <f>'Key Inputs_New Techs'!AC85</f>
        <v>614.03426688812328</v>
      </c>
      <c r="AK123" s="224">
        <f>'Key Inputs_New Techs'!AD85</f>
        <v>708.42570147269089</v>
      </c>
      <c r="AL123" s="224">
        <f>'Key Inputs_New Techs'!AE85</f>
        <v>630.03585272984412</v>
      </c>
      <c r="AM123" s="224">
        <f>'Key Inputs_New Techs'!AF85</f>
        <v>657.67981987933501</v>
      </c>
      <c r="AN123" s="224">
        <f>'Key Inputs_New Techs'!AG85</f>
        <v>654.12844620348847</v>
      </c>
      <c r="AO123" s="224">
        <f>'Key Inputs_New Techs'!AH85</f>
        <v>651.58055839148392</v>
      </c>
      <c r="AP123" s="224">
        <f>'Key Inputs_New Techs'!AI85</f>
        <v>609.88340146060204</v>
      </c>
      <c r="AQ123" s="224">
        <f>'Key Inputs_New Techs'!AJ85</f>
        <v>670.83141165388304</v>
      </c>
      <c r="AR123" s="224">
        <f>'Key Inputs_New Techs'!AK85</f>
        <v>711.40061813897591</v>
      </c>
      <c r="AS123" s="224">
        <f>'Key Inputs_New Techs'!AL85</f>
        <v>764.50635219876813</v>
      </c>
    </row>
    <row r="124" spans="1:45" x14ac:dyDescent="0.3">
      <c r="J124" s="221"/>
      <c r="K124" s="328" t="str">
        <f>IF('Key Inputs_New Techs'!B86="","",'Key Inputs_New Techs'!B86)</f>
        <v/>
      </c>
      <c r="L124" s="201" t="str">
        <f>IF(K124="","",VLOOKUP(K124,'Commodities &amp; Processes'!$L$48:$M$87,2,FALSE))</f>
        <v/>
      </c>
      <c r="N124" s="222">
        <f>'Key Inputs_New Techs'!H86</f>
        <v>2050</v>
      </c>
      <c r="O124" s="331" t="s">
        <v>451</v>
      </c>
      <c r="P124" s="212" t="s">
        <v>409</v>
      </c>
      <c r="Q124" s="212"/>
      <c r="R124" s="224">
        <f>'Key Inputs_New Techs'!K86</f>
        <v>485.99153070565819</v>
      </c>
      <c r="S124" s="224">
        <f>'Key Inputs_New Techs'!L86</f>
        <v>504.21077921395039</v>
      </c>
      <c r="T124" s="224">
        <f>'Key Inputs_New Techs'!M86</f>
        <v>485.94075529088241</v>
      </c>
      <c r="U124" s="224">
        <f>'Key Inputs_New Techs'!N86</f>
        <v>493.71262394287476</v>
      </c>
      <c r="V124" s="224">
        <f>'Key Inputs_New Techs'!O86</f>
        <v>585.21878870573687</v>
      </c>
      <c r="W124" s="224">
        <f>'Key Inputs_New Techs'!P86</f>
        <v>500.88360741919871</v>
      </c>
      <c r="X124" s="224">
        <f>'Key Inputs_New Techs'!Q86</f>
        <v>511.99313319422652</v>
      </c>
      <c r="Y124" s="224">
        <f>'Key Inputs_New Techs'!R86</f>
        <v>492.38604559685177</v>
      </c>
      <c r="Z124" s="224">
        <f>'Key Inputs_New Techs'!S86</f>
        <v>512.04209192049279</v>
      </c>
      <c r="AA124" s="224">
        <f>'Key Inputs_New Techs'!T86</f>
        <v>586.86362349967612</v>
      </c>
      <c r="AB124" s="224">
        <f>'Key Inputs_New Techs'!U86</f>
        <v>534.01019776210569</v>
      </c>
      <c r="AC124" s="224">
        <f>'Key Inputs_New Techs'!V86</f>
        <v>515.34880562550313</v>
      </c>
      <c r="AD124" s="224">
        <f>'Key Inputs_New Techs'!W86</f>
        <v>513.26123023331138</v>
      </c>
      <c r="AE124" s="224">
        <f>'Key Inputs_New Techs'!X86</f>
        <v>589.8215220916818</v>
      </c>
      <c r="AF124" s="224">
        <f>'Key Inputs_New Techs'!Y86</f>
        <v>551.12890145621736</v>
      </c>
      <c r="AG124" s="224">
        <f>'Key Inputs_New Techs'!Z86</f>
        <v>571.69309605246701</v>
      </c>
      <c r="AH124" s="224">
        <f>'Key Inputs_New Techs'!AA86</f>
        <v>600.22385604999999</v>
      </c>
      <c r="AI124" s="224">
        <f>'Key Inputs_New Techs'!AB86</f>
        <v>503.63238729245393</v>
      </c>
      <c r="AJ124" s="224">
        <f>'Key Inputs_New Techs'!AC86</f>
        <v>494.5365802182788</v>
      </c>
      <c r="AK124" s="224">
        <f>'Key Inputs_New Techs'!AD86</f>
        <v>570.55842423998149</v>
      </c>
      <c r="AL124" s="224">
        <f>'Key Inputs_New Techs'!AE86</f>
        <v>507.42408498301808</v>
      </c>
      <c r="AM124" s="224">
        <f>'Key Inputs_New Techs'!AF86</f>
        <v>529.6882381662906</v>
      </c>
      <c r="AN124" s="224">
        <f>'Key Inputs_New Techs'!AG86</f>
        <v>526.82800008604295</v>
      </c>
      <c r="AO124" s="224">
        <f>'Key Inputs_New Techs'!AH86</f>
        <v>524.7759587045183</v>
      </c>
      <c r="AP124" s="224">
        <f>'Key Inputs_New Techs'!AI86</f>
        <v>491.19351794282011</v>
      </c>
      <c r="AQ124" s="224">
        <f>'Key Inputs_New Techs'!AJ86</f>
        <v>540.2803884278278</v>
      </c>
      <c r="AR124" s="224">
        <f>'Key Inputs_New Techs'!AK86</f>
        <v>572.95439005803735</v>
      </c>
      <c r="AS124" s="224">
        <f>'Key Inputs_New Techs'!AL86</f>
        <v>615.72517587266043</v>
      </c>
    </row>
    <row r="125" spans="1:45" x14ac:dyDescent="0.3">
      <c r="J125" s="221"/>
      <c r="K125" s="328" t="str">
        <f>IF('Key Inputs_New Techs'!B87="","",'Key Inputs_New Techs'!B87)</f>
        <v>S-TH-HPA_ELC03</v>
      </c>
      <c r="L125" s="201" t="str">
        <f>IF(K125="","",VLOOKUP(K125,'Commodities &amp; Processes'!$L$48:$M$87,2,FALSE))</f>
        <v>SRV Thermal uses technology: Electricity Heat Pump Air (Adv.) -New</v>
      </c>
      <c r="N125" s="222">
        <f>'Key Inputs_New Techs'!H87</f>
        <v>2030</v>
      </c>
      <c r="O125" s="331" t="s">
        <v>451</v>
      </c>
      <c r="P125" s="212" t="s">
        <v>409</v>
      </c>
      <c r="Q125" s="212"/>
      <c r="R125" s="224">
        <f>'Key Inputs_New Techs'!K87</f>
        <v>780.47710507377099</v>
      </c>
      <c r="S125" s="224">
        <f>'Key Inputs_New Techs'!L87</f>
        <v>809.73626996441124</v>
      </c>
      <c r="T125" s="224">
        <f>'Key Inputs_New Techs'!M87</f>
        <v>780.39556240022762</v>
      </c>
      <c r="U125" s="224">
        <f>'Key Inputs_New Techs'!N87</f>
        <v>792.87677897145704</v>
      </c>
      <c r="V125" s="224">
        <f>'Key Inputs_New Techs'!O87</f>
        <v>939.83091717798663</v>
      </c>
      <c r="W125" s="224">
        <f>'Key Inputs_New Techs'!P87</f>
        <v>804.39300522339738</v>
      </c>
      <c r="X125" s="224">
        <f>'Key Inputs_New Techs'!Q87</f>
        <v>822.23432542715955</v>
      </c>
      <c r="Y125" s="224">
        <f>'Key Inputs_New Techs'!R87</f>
        <v>790.74636318899627</v>
      </c>
      <c r="Z125" s="224">
        <f>'Key Inputs_New Techs'!S87</f>
        <v>822.31295059350521</v>
      </c>
      <c r="AA125" s="224">
        <f>'Key Inputs_New Techs'!T87</f>
        <v>942.47243625226827</v>
      </c>
      <c r="AB125" s="224">
        <f>'Key Inputs_New Techs'!U87</f>
        <v>857.59258525364214</v>
      </c>
      <c r="AC125" s="224">
        <f>'Key Inputs_New Techs'!V87</f>
        <v>827.62336070712786</v>
      </c>
      <c r="AD125" s="224">
        <f>'Key Inputs_New Techs'!W87</f>
        <v>824.27082327431447</v>
      </c>
      <c r="AE125" s="224">
        <f>'Key Inputs_New Techs'!X87</f>
        <v>947.22266744835156</v>
      </c>
      <c r="AF125" s="224">
        <f>'Key Inputs_New Techs'!Y87</f>
        <v>885.08433245013362</v>
      </c>
      <c r="AG125" s="224">
        <f>'Key Inputs_New Techs'!Z87</f>
        <v>918.10935871622974</v>
      </c>
      <c r="AH125" s="224">
        <f>'Key Inputs_New Techs'!AA87</f>
        <v>963.92827440000019</v>
      </c>
      <c r="AI125" s="224">
        <f>'Key Inputs_New Techs'!AB87</f>
        <v>808.80740264066969</v>
      </c>
      <c r="AJ125" s="224">
        <f>'Key Inputs_New Techs'!AC87</f>
        <v>794.20000986727325</v>
      </c>
      <c r="AK125" s="224">
        <f>'Key Inputs_New Techs'!AD87</f>
        <v>916.28713483892955</v>
      </c>
      <c r="AL125" s="224">
        <f>'Key Inputs_New Techs'!AE87</f>
        <v>814.89667179428943</v>
      </c>
      <c r="AM125" s="224">
        <f>'Key Inputs_New Techs'!AF87</f>
        <v>850.65174307746327</v>
      </c>
      <c r="AN125" s="224">
        <f>'Key Inputs_New Techs'!AG87</f>
        <v>846.05834958055993</v>
      </c>
      <c r="AO125" s="224">
        <f>'Key Inputs_New Techs'!AH87</f>
        <v>842.76287791952404</v>
      </c>
      <c r="AP125" s="224">
        <f>'Key Inputs_New Techs'!AI87</f>
        <v>788.83122584125772</v>
      </c>
      <c r="AQ125" s="224">
        <f>'Key Inputs_New Techs'!AJ87</f>
        <v>867.66218513316608</v>
      </c>
      <c r="AR125" s="224">
        <f>'Key Inputs_New Techs'!AK87</f>
        <v>920.1349312456216</v>
      </c>
      <c r="AS125" s="224">
        <f>'Key Inputs_New Techs'!AL87</f>
        <v>988.82258727505337</v>
      </c>
    </row>
    <row r="126" spans="1:45" x14ac:dyDescent="0.3">
      <c r="J126" s="221"/>
      <c r="K126" s="328" t="str">
        <f>IF('Key Inputs_New Techs'!B88="","",'Key Inputs_New Techs'!B88)</f>
        <v/>
      </c>
      <c r="L126" s="201" t="str">
        <f>IF(K126="","",VLOOKUP(K126,'Commodities &amp; Processes'!$L$48:$M$87,2,FALSE))</f>
        <v/>
      </c>
      <c r="N126" s="222">
        <f>'Key Inputs_New Techs'!H88</f>
        <v>2050</v>
      </c>
      <c r="O126" s="331" t="s">
        <v>451</v>
      </c>
      <c r="P126" s="212" t="s">
        <v>409</v>
      </c>
      <c r="Q126" s="212"/>
      <c r="R126" s="224">
        <f>'Key Inputs_New Techs'!K88</f>
        <v>691.03388683432706</v>
      </c>
      <c r="S126" s="224">
        <f>'Key Inputs_New Techs'!L88</f>
        <v>716.93993110963549</v>
      </c>
      <c r="T126" s="224">
        <f>'Key Inputs_New Techs'!M88</f>
        <v>690.96168900779867</v>
      </c>
      <c r="U126" s="224">
        <f>'Key Inputs_New Techs'!N88</f>
        <v>702.01254949245367</v>
      </c>
      <c r="V126" s="224">
        <f>'Key Inputs_New Techs'!O88</f>
        <v>832.1256414090301</v>
      </c>
      <c r="W126" s="224">
        <f>'Key Inputs_New Techs'!P88</f>
        <v>712.20900821854229</v>
      </c>
      <c r="X126" s="224">
        <f>'Key Inputs_New Techs'!Q88</f>
        <v>728.00570073714755</v>
      </c>
      <c r="Y126" s="224">
        <f>'Key Inputs_New Techs'!R88</f>
        <v>700.1262808381183</v>
      </c>
      <c r="Z126" s="224">
        <f>'Key Inputs_New Techs'!S88</f>
        <v>728.07531540482933</v>
      </c>
      <c r="AA126" s="224">
        <f>'Key Inputs_New Techs'!T88</f>
        <v>834.46444056301084</v>
      </c>
      <c r="AB126" s="224">
        <f>'Key Inputs_New Techs'!U88</f>
        <v>759.3118794331682</v>
      </c>
      <c r="AC126" s="224">
        <f>'Key Inputs_New Techs'!V88</f>
        <v>732.77714883164606</v>
      </c>
      <c r="AD126" s="224">
        <f>'Key Inputs_New Techs'!W88</f>
        <v>729.80881451678397</v>
      </c>
      <c r="AE126" s="224">
        <f>'Key Inputs_New Techs'!X88</f>
        <v>838.67029196525129</v>
      </c>
      <c r="AF126" s="224">
        <f>'Key Inputs_New Techs'!Y88</f>
        <v>783.65305330945068</v>
      </c>
      <c r="AG126" s="224">
        <f>'Key Inputs_New Techs'!Z88</f>
        <v>812.8933886314062</v>
      </c>
      <c r="AH126" s="224">
        <f>'Key Inputs_New Techs'!AA88</f>
        <v>853.46142475912507</v>
      </c>
      <c r="AI126" s="224">
        <f>'Key Inputs_New Techs'!AB88</f>
        <v>716.11751262624148</v>
      </c>
      <c r="AJ126" s="224">
        <f>'Key Inputs_New Techs'!AC88</f>
        <v>703.18413720869898</v>
      </c>
      <c r="AK126" s="224">
        <f>'Key Inputs_New Techs'!AD88</f>
        <v>811.27999287587784</v>
      </c>
      <c r="AL126" s="224">
        <f>'Key Inputs_New Techs'!AE88</f>
        <v>721.50894730619723</v>
      </c>
      <c r="AM126" s="224">
        <f>'Key Inputs_New Techs'!AF88</f>
        <v>753.16646259040874</v>
      </c>
      <c r="AN126" s="224">
        <f>'Key Inputs_New Techs'!AG88</f>
        <v>749.09947517810713</v>
      </c>
      <c r="AO126" s="224">
        <f>'Key Inputs_New Techs'!AH88</f>
        <v>746.1816668579479</v>
      </c>
      <c r="AP126" s="224">
        <f>'Key Inputs_New Techs'!AI88</f>
        <v>698.43061956038707</v>
      </c>
      <c r="AQ126" s="224">
        <f>'Key Inputs_New Techs'!AJ88</f>
        <v>768.22749617372097</v>
      </c>
      <c r="AR126" s="224">
        <f>'Key Inputs_New Techs'!AK88</f>
        <v>814.68682914228214</v>
      </c>
      <c r="AS126" s="224">
        <f>'Key Inputs_New Techs'!AL88</f>
        <v>875.50283209097984</v>
      </c>
    </row>
    <row r="127" spans="1:45" x14ac:dyDescent="0.3">
      <c r="J127" s="221"/>
      <c r="K127" s="328" t="str">
        <f>IF('Key Inputs_New Techs'!B89="","",'Key Inputs_New Techs'!B89)</f>
        <v>S-TH-HPA_ELC04</v>
      </c>
      <c r="L127" s="201" t="str">
        <f>IF(K127="","",VLOOKUP(K127,'Commodities &amp; Processes'!$L$48:$M$87,2,FALSE))</f>
        <v>SRV Thermal uses technology: Electricity Heat Pump Wat. (Ord.) -New</v>
      </c>
      <c r="N127" s="222">
        <f>'Key Inputs_New Techs'!H89</f>
        <v>2020</v>
      </c>
      <c r="O127" s="331" t="s">
        <v>451</v>
      </c>
      <c r="P127" s="212" t="s">
        <v>409</v>
      </c>
      <c r="Q127" s="212"/>
      <c r="R127" s="224">
        <f>'Key Inputs_New Techs'!K89</f>
        <v>748.6798896818766</v>
      </c>
      <c r="S127" s="224">
        <f>'Key Inputs_New Techs'!L89</f>
        <v>776.74701452141665</v>
      </c>
      <c r="T127" s="224">
        <f>'Key Inputs_New Techs'!M89</f>
        <v>748.60166911725537</v>
      </c>
      <c r="U127" s="224">
        <f>'Key Inputs_New Techs'!N89</f>
        <v>760.57439168002725</v>
      </c>
      <c r="V127" s="224">
        <f>'Key Inputs_New Techs'!O89</f>
        <v>901.54150944110563</v>
      </c>
      <c r="W127" s="224">
        <f>'Key Inputs_New Techs'!P89</f>
        <v>771.62143834392555</v>
      </c>
      <c r="X127" s="224">
        <f>'Key Inputs_New Techs'!Q89</f>
        <v>788.73588994679369</v>
      </c>
      <c r="Y127" s="224">
        <f>'Key Inputs_New Techs'!R89</f>
        <v>758.53077061462966</v>
      </c>
      <c r="Z127" s="224">
        <f>'Key Inputs_New Techs'!S89</f>
        <v>788.81131186562163</v>
      </c>
      <c r="AA127" s="224">
        <f>'Key Inputs_New Techs'!T89</f>
        <v>904.07541107162024</v>
      </c>
      <c r="AB127" s="224">
        <f>'Key Inputs_New Techs'!U89</f>
        <v>822.65362807664178</v>
      </c>
      <c r="AC127" s="224">
        <f>'Key Inputs_New Techs'!V89</f>
        <v>793.90537193757814</v>
      </c>
      <c r="AD127" s="224">
        <f>'Key Inputs_New Techs'!W89</f>
        <v>790.68941936313865</v>
      </c>
      <c r="AE127" s="224">
        <f>'Key Inputs_New Techs'!X89</f>
        <v>908.6321143300853</v>
      </c>
      <c r="AF127" s="224">
        <f>'Key Inputs_New Techs'!Y89</f>
        <v>849.0253411280911</v>
      </c>
      <c r="AG127" s="224">
        <f>'Key Inputs_New Techs'!Z89</f>
        <v>880.70490336112402</v>
      </c>
      <c r="AH127" s="224">
        <f>'Key Inputs_New Techs'!AA89</f>
        <v>924.65712248000011</v>
      </c>
      <c r="AI127" s="224">
        <f>'Key Inputs_New Techs'!AB89</f>
        <v>775.85598994049417</v>
      </c>
      <c r="AJ127" s="224">
        <f>'Key Inputs_New Techs'!AC89</f>
        <v>761.84371316897682</v>
      </c>
      <c r="AK127" s="224">
        <f>'Key Inputs_New Techs'!AD89</f>
        <v>878.95691823438051</v>
      </c>
      <c r="AL127" s="224">
        <f>'Key Inputs_New Techs'!AE89</f>
        <v>781.69717775822573</v>
      </c>
      <c r="AM127" s="224">
        <f>'Key Inputs_New Techs'!AF89</f>
        <v>815.99556095208504</v>
      </c>
      <c r="AN127" s="224">
        <f>'Key Inputs_New Techs'!AG89</f>
        <v>811.5893057087593</v>
      </c>
      <c r="AO127" s="224">
        <f>'Key Inputs_New Techs'!AH89</f>
        <v>808.42809400428416</v>
      </c>
      <c r="AP127" s="224">
        <f>'Key Inputs_New Techs'!AI89</f>
        <v>756.6936573810583</v>
      </c>
      <c r="AQ127" s="224">
        <f>'Key Inputs_New Techs'!AJ89</f>
        <v>832.31298499811101</v>
      </c>
      <c r="AR127" s="224">
        <f>'Key Inputs_New Techs'!AK89</f>
        <v>882.64795256524428</v>
      </c>
      <c r="AS127" s="224">
        <f>'Key Inputs_New Techs'!AL89</f>
        <v>948.53722260829181</v>
      </c>
    </row>
    <row r="128" spans="1:45" x14ac:dyDescent="0.3">
      <c r="A128" s="543"/>
      <c r="B128" s="543"/>
      <c r="C128" s="543"/>
      <c r="D128" s="543"/>
      <c r="E128" s="543"/>
      <c r="F128" s="543"/>
      <c r="K128" s="328" t="str">
        <f>IF('Key Inputs_New Techs'!B90="","",'Key Inputs_New Techs'!B90)</f>
        <v>S-TH-HPA_ELC05</v>
      </c>
      <c r="L128" s="201" t="str">
        <f>IF(K128="","",VLOOKUP(K128,'Commodities &amp; Processes'!$L$48:$M$87,2,FALSE))</f>
        <v>SRV Thermal uses technology: Electricity Heat Pump Wat. (Imp.) -New</v>
      </c>
      <c r="N128" s="222">
        <f>'Key Inputs_New Techs'!H90</f>
        <v>2030</v>
      </c>
      <c r="O128" s="331" t="s">
        <v>451</v>
      </c>
      <c r="P128" s="212" t="s">
        <v>409</v>
      </c>
      <c r="Q128" s="212"/>
      <c r="R128" s="224">
        <f>'Key Inputs_New Techs'!K90</f>
        <v>797.6610479690172</v>
      </c>
      <c r="S128" s="224">
        <f>'Key Inputs_New Techs'!L90</f>
        <v>827.5644185837906</v>
      </c>
      <c r="T128" s="224">
        <f>'Key Inputs_New Techs'!M90</f>
        <v>797.57770995178396</v>
      </c>
      <c r="U128" s="224">
        <f>'Key Inputs_New Techs'!N90</f>
        <v>810.33372832236012</v>
      </c>
      <c r="V128" s="224">
        <f>'Key Inputs_New Techs'!O90</f>
        <v>960.52338939399976</v>
      </c>
      <c r="W128" s="224">
        <f>'Key Inputs_New Techs'!P90</f>
        <v>822.10350996112163</v>
      </c>
      <c r="X128" s="224">
        <f>'Key Inputs_New Techs'!Q90</f>
        <v>840.33764659161068</v>
      </c>
      <c r="Y128" s="224">
        <f>'Key Inputs_New Techs'!R90</f>
        <v>808.15640668845163</v>
      </c>
      <c r="Z128" s="224">
        <f>'Key Inputs_New Techs'!S90</f>
        <v>840.41800286622322</v>
      </c>
      <c r="AA128" s="224">
        <f>'Key Inputs_New Techs'!T90</f>
        <v>963.22306739777991</v>
      </c>
      <c r="AB128" s="224">
        <f>'Key Inputs_New Techs'!U90</f>
        <v>876.47439731011775</v>
      </c>
      <c r="AC128" s="224">
        <f>'Key Inputs_New Techs'!V90</f>
        <v>845.84533349365677</v>
      </c>
      <c r="AD128" s="224">
        <f>'Key Inputs_New Techs'!W90</f>
        <v>842.41898247755546</v>
      </c>
      <c r="AE128" s="224">
        <f>'Key Inputs_New Techs'!X90</f>
        <v>968.0778855203497</v>
      </c>
      <c r="AF128" s="224">
        <f>'Key Inputs_New Techs'!Y90</f>
        <v>904.57143659121243</v>
      </c>
      <c r="AG128" s="224">
        <f>'Key Inputs_New Techs'!Z90</f>
        <v>938.32358241249005</v>
      </c>
      <c r="AH128" s="224">
        <f>'Key Inputs_New Techs'!AA90</f>
        <v>985.15130364034826</v>
      </c>
      <c r="AI128" s="224">
        <f>'Key Inputs_New Techs'!AB90</f>
        <v>826.61510017577677</v>
      </c>
      <c r="AJ128" s="224">
        <f>'Key Inputs_New Techs'!AC90</f>
        <v>811.68609309539465</v>
      </c>
      <c r="AK128" s="224">
        <f>'Key Inputs_New Techs'!AD90</f>
        <v>936.46123821539265</v>
      </c>
      <c r="AL128" s="224">
        <f>'Key Inputs_New Techs'!AE90</f>
        <v>832.83843816079377</v>
      </c>
      <c r="AM128" s="224">
        <f>'Key Inputs_New Techs'!AF90</f>
        <v>869.38073702457348</v>
      </c>
      <c r="AN128" s="224">
        <f>'Key Inputs_New Techs'!AG90</f>
        <v>864.68620973267093</v>
      </c>
      <c r="AO128" s="224">
        <f>'Key Inputs_New Techs'!AH90</f>
        <v>861.31818091849368</v>
      </c>
      <c r="AP128" s="224">
        <f>'Key Inputs_New Techs'!AI90</f>
        <v>806.19910332379061</v>
      </c>
      <c r="AQ128" s="224">
        <f>'Key Inputs_New Techs'!AJ90</f>
        <v>886.76570187281925</v>
      </c>
      <c r="AR128" s="224">
        <f>'Key Inputs_New Techs'!AK90</f>
        <v>940.39375243545203</v>
      </c>
      <c r="AS128" s="224">
        <f>'Key Inputs_New Techs'!AL90</f>
        <v>1010.5937202945903</v>
      </c>
    </row>
    <row r="129" spans="1:45" x14ac:dyDescent="0.3">
      <c r="K129" s="328" t="str">
        <f>IF('Key Inputs_New Techs'!B91="","",'Key Inputs_New Techs'!B91)</f>
        <v/>
      </c>
      <c r="L129" s="201" t="str">
        <f>IF(K129="","",VLOOKUP(K129,'Commodities &amp; Processes'!$L$48:$M$87,2,FALSE))</f>
        <v/>
      </c>
      <c r="N129" s="222">
        <f>'Key Inputs_New Techs'!H91</f>
        <v>2050</v>
      </c>
      <c r="O129" s="331" t="s">
        <v>451</v>
      </c>
      <c r="P129" s="212" t="s">
        <v>409</v>
      </c>
      <c r="Q129" s="212"/>
      <c r="R129" s="224">
        <f>'Key Inputs_New Techs'!K91</f>
        <v>693.54669791387073</v>
      </c>
      <c r="S129" s="224">
        <f>'Key Inputs_New Techs'!L91</f>
        <v>719.54694450880822</v>
      </c>
      <c r="T129" s="224">
        <f>'Key Inputs_New Techs'!M91</f>
        <v>693.47423755390957</v>
      </c>
      <c r="U129" s="224">
        <f>'Key Inputs_New Techs'!N91</f>
        <v>704.56528235541703</v>
      </c>
      <c r="V129" s="224">
        <f>'Key Inputs_New Techs'!O91</f>
        <v>835.15150536612748</v>
      </c>
      <c r="W129" s="224">
        <f>'Key Inputs_New Techs'!P91</f>
        <v>714.7988185316093</v>
      </c>
      <c r="X129" s="224">
        <f>'Key Inputs_New Techs'!Q91</f>
        <v>730.65295266738735</v>
      </c>
      <c r="Y129" s="224">
        <f>'Key Inputs_New Techs'!R91</f>
        <v>702.67215464993546</v>
      </c>
      <c r="Z129" s="224">
        <f>'Key Inputs_New Techs'!S91</f>
        <v>730.72282047534418</v>
      </c>
      <c r="AA129" s="224">
        <f>'Key Inputs_New Techs'!T91</f>
        <v>837.49880911089451</v>
      </c>
      <c r="AB129" s="224">
        <f>'Key Inputs_New Techs'!U91</f>
        <v>762.07297022744092</v>
      </c>
      <c r="AC129" s="224">
        <f>'Key Inputs_New Techs'!V91</f>
        <v>735.44175121005583</v>
      </c>
      <c r="AD129" s="224">
        <f>'Key Inputs_New Techs'!W91</f>
        <v>732.46262312155079</v>
      </c>
      <c r="AE129" s="224">
        <f>'Key Inputs_New Techs'!X91</f>
        <v>841.71995427832337</v>
      </c>
      <c r="AF129" s="224">
        <f>'Key Inputs_New Techs'!Y91</f>
        <v>786.50265607480139</v>
      </c>
      <c r="AG129" s="224">
        <f>'Key Inputs_New Techs'!Z91</f>
        <v>815.84931822090618</v>
      </c>
      <c r="AH129" s="224">
        <f>'Key Inputs_New Techs'!AA91</f>
        <v>856.56487216591188</v>
      </c>
      <c r="AI129" s="224">
        <f>'Key Inputs_New Techs'!AB91</f>
        <v>718.72153545965978</v>
      </c>
      <c r="AJ129" s="224">
        <f>'Key Inputs_New Techs'!AC91</f>
        <v>705.74113032380069</v>
      </c>
      <c r="AK129" s="224">
        <f>'Key Inputs_New Techs'!AD91</f>
        <v>814.23005566375275</v>
      </c>
      <c r="AL129" s="224">
        <f>'Key Inputs_New Techs'!AE91</f>
        <v>724.13257504909473</v>
      </c>
      <c r="AM129" s="224">
        <f>'Key Inputs_New Techs'!AF91</f>
        <v>755.90520676489166</v>
      </c>
      <c r="AN129" s="224">
        <f>'Key Inputs_New Techs'!AG91</f>
        <v>751.82343053944408</v>
      </c>
      <c r="AO129" s="224">
        <f>'Key Inputs_New Techs'!AH91</f>
        <v>748.89501217364955</v>
      </c>
      <c r="AP129" s="224">
        <f>'Key Inputs_New Techs'!AI91</f>
        <v>700.97032742791839</v>
      </c>
      <c r="AQ129" s="224">
        <f>'Key Inputs_New Techs'!AJ91</f>
        <v>771.02100688393909</v>
      </c>
      <c r="AR129" s="224">
        <f>'Key Inputs_New Techs'!AK91</f>
        <v>817.64928023133814</v>
      </c>
      <c r="AS129" s="224">
        <f>'Key Inputs_New Techs'!AL91</f>
        <v>878.68642881259393</v>
      </c>
    </row>
    <row r="130" spans="1:45" x14ac:dyDescent="0.3">
      <c r="K130" s="328" t="str">
        <f>IF('Key Inputs_New Techs'!B92="","",'Key Inputs_New Techs'!B92)</f>
        <v>S-TH-HPA_ELC06</v>
      </c>
      <c r="L130" s="201" t="str">
        <f>IF(K130="","",VLOOKUP(K130,'Commodities &amp; Processes'!$L$48:$M$87,2,FALSE))</f>
        <v>SRV Thermal uses technology: Electricity Heat Pump Wat. (Adv.) -New</v>
      </c>
      <c r="N130" s="222">
        <f>'Key Inputs_New Techs'!H92</f>
        <v>2030</v>
      </c>
      <c r="O130" s="331" t="s">
        <v>451</v>
      </c>
      <c r="P130" s="212" t="s">
        <v>409</v>
      </c>
      <c r="Q130" s="212"/>
      <c r="R130" s="224">
        <f>'Key Inputs_New Techs'!K92</f>
        <v>1031.705307552741</v>
      </c>
      <c r="S130" s="224">
        <f>'Key Inputs_New Techs'!L92</f>
        <v>1070.3827210425079</v>
      </c>
      <c r="T130" s="224">
        <f>'Key Inputs_New Techs'!M92</f>
        <v>1031.5975170633856</v>
      </c>
      <c r="U130" s="224">
        <f>'Key Inputs_New Techs'!N92</f>
        <v>1048.0963192672446</v>
      </c>
      <c r="V130" s="224">
        <f>'Key Inputs_New Techs'!O92</f>
        <v>1242.3536054437366</v>
      </c>
      <c r="W130" s="224">
        <f>'Key Inputs_New Techs'!P92</f>
        <v>1063.3195098898343</v>
      </c>
      <c r="X130" s="224">
        <f>'Key Inputs_New Techs'!Q92</f>
        <v>1086.903782417892</v>
      </c>
      <c r="Y130" s="224">
        <f>'Key Inputs_New Techs'!R92</f>
        <v>1045.2801427826682</v>
      </c>
      <c r="Z130" s="224">
        <f>'Key Inputs_New Techs'!S92</f>
        <v>1087.0077162820614</v>
      </c>
      <c r="AA130" s="224">
        <f>'Key Inputs_New Techs'!T92</f>
        <v>1245.8454045384462</v>
      </c>
      <c r="AB130" s="224">
        <f>'Key Inputs_New Techs'!U92</f>
        <v>1133.6435318502124</v>
      </c>
      <c r="AC130" s="224">
        <f>'Key Inputs_New Techs'!V92</f>
        <v>1094.0274972133527</v>
      </c>
      <c r="AD130" s="224">
        <f>'Key Inputs_New Techs'!W92</f>
        <v>1089.595809671569</v>
      </c>
      <c r="AE130" s="224">
        <f>'Key Inputs_New Techs'!X92</f>
        <v>1252.1246902538658</v>
      </c>
      <c r="AF130" s="224">
        <f>'Key Inputs_New Techs'!Y92</f>
        <v>1169.9846125970175</v>
      </c>
      <c r="AG130" s="224">
        <f>'Key Inputs_New Techs'!Z92</f>
        <v>1213.6400826413048</v>
      </c>
      <c r="AH130" s="224">
        <f>'Key Inputs_New Techs'!AA92</f>
        <v>1274.2076741695525</v>
      </c>
      <c r="AI130" s="224">
        <f>'Key Inputs_New Techs'!AB92</f>
        <v>1069.1548601075917</v>
      </c>
      <c r="AJ130" s="224">
        <f>'Key Inputs_New Techs'!AC92</f>
        <v>1049.8454856802712</v>
      </c>
      <c r="AK130" s="224">
        <f>'Key Inputs_New Techs'!AD92</f>
        <v>1211.2313021229033</v>
      </c>
      <c r="AL130" s="224">
        <f>'Key Inputs_New Techs'!AE92</f>
        <v>1077.204207441506</v>
      </c>
      <c r="AM130" s="224">
        <f>'Key Inputs_New Techs'!AF92</f>
        <v>1124.4684981874725</v>
      </c>
      <c r="AN130" s="224">
        <f>'Key Inputs_New Techs'!AG92</f>
        <v>1118.3965347440537</v>
      </c>
      <c r="AO130" s="224">
        <f>'Key Inputs_New Techs'!AH92</f>
        <v>1114.040281906555</v>
      </c>
      <c r="AP130" s="224">
        <f>'Key Inputs_New Techs'!AI92</f>
        <v>1042.7485408259811</v>
      </c>
      <c r="AQ130" s="224">
        <f>'Key Inputs_New Techs'!AJ92</f>
        <v>1146.9544407456826</v>
      </c>
      <c r="AR130" s="224">
        <f>'Key Inputs_New Techs'!AK92</f>
        <v>1216.3176678207049</v>
      </c>
      <c r="AS130" s="224">
        <f>'Key Inputs_New Techs'!AL92</f>
        <v>1307.1152310397099</v>
      </c>
    </row>
    <row r="131" spans="1:45" x14ac:dyDescent="0.3">
      <c r="K131" s="328" t="str">
        <f>IF('Key Inputs_New Techs'!B93="","",'Key Inputs_New Techs'!B93)</f>
        <v/>
      </c>
      <c r="L131" s="201" t="str">
        <f>IF(K131="","",VLOOKUP(K131,'Commodities &amp; Processes'!$L$48:$M$87,2,FALSE))</f>
        <v/>
      </c>
      <c r="N131" s="222">
        <f>'Key Inputs_New Techs'!H93</f>
        <v>2050</v>
      </c>
      <c r="O131" s="331" t="s">
        <v>451</v>
      </c>
      <c r="P131" s="212" t="s">
        <v>409</v>
      </c>
      <c r="Q131" s="212"/>
      <c r="R131" s="224">
        <f>'Key Inputs_New Techs'!K93</f>
        <v>863.6279217728337</v>
      </c>
      <c r="S131" s="224">
        <f>'Key Inputs_New Techs'!L93</f>
        <v>896.00431257666628</v>
      </c>
      <c r="T131" s="224">
        <f>'Key Inputs_New Techs'!M93</f>
        <v>863.53769166969528</v>
      </c>
      <c r="U131" s="224">
        <f>'Key Inputs_New Techs'!N93</f>
        <v>877.34863763919759</v>
      </c>
      <c r="V131" s="224">
        <f>'Key Inputs_New Techs'!O93</f>
        <v>1039.9590411349247</v>
      </c>
      <c r="W131" s="224">
        <f>'Key Inputs_New Techs'!P93</f>
        <v>890.09178472189001</v>
      </c>
      <c r="X131" s="224">
        <f>'Key Inputs_New Techs'!Q93</f>
        <v>909.83389142699616</v>
      </c>
      <c r="Y131" s="224">
        <f>'Key Inputs_New Techs'!R93</f>
        <v>874.9912506732536</v>
      </c>
      <c r="Z131" s="224">
        <f>'Key Inputs_New Techs'!S93</f>
        <v>909.92089319625859</v>
      </c>
      <c r="AA131" s="224">
        <f>'Key Inputs_New Techs'!T93</f>
        <v>1042.8819835423508</v>
      </c>
      <c r="AB131" s="224">
        <f>'Key Inputs_New Techs'!U93</f>
        <v>948.95916525365476</v>
      </c>
      <c r="AC131" s="224">
        <f>'Key Inputs_New Techs'!V93</f>
        <v>915.79706614274869</v>
      </c>
      <c r="AD131" s="224">
        <f>'Key Inputs_New Techs'!W93</f>
        <v>912.08735458690148</v>
      </c>
      <c r="AE131" s="224">
        <f>'Key Inputs_New Techs'!X93</f>
        <v>1048.1382969808162</v>
      </c>
      <c r="AF131" s="224">
        <f>'Key Inputs_New Techs'!Y93</f>
        <v>979.37984043152039</v>
      </c>
      <c r="AG131" s="224">
        <f>'Key Inputs_New Techs'!Z93</f>
        <v>1015.9233016237433</v>
      </c>
      <c r="AH131" s="224">
        <f>'Key Inputs_New Techs'!AA93</f>
        <v>1066.6236933105938</v>
      </c>
      <c r="AI131" s="224">
        <f>'Key Inputs_New Techs'!AB93</f>
        <v>894.97648517315804</v>
      </c>
      <c r="AJ131" s="224">
        <f>'Key Inputs_New Techs'!AC93</f>
        <v>878.81284349629493</v>
      </c>
      <c r="AK131" s="224">
        <f>'Key Inputs_New Techs'!AD93</f>
        <v>1013.9069408491259</v>
      </c>
      <c r="AL131" s="224">
        <f>'Key Inputs_New Techs'!AE93</f>
        <v>901.714495590208</v>
      </c>
      <c r="AM131" s="224">
        <f>'Key Inputs_New Techs'!AF93</f>
        <v>941.27885654889133</v>
      </c>
      <c r="AN131" s="224">
        <f>'Key Inputs_New Techs'!AG93</f>
        <v>936.19609005410678</v>
      </c>
      <c r="AO131" s="224">
        <f>'Key Inputs_New Techs'!AH93</f>
        <v>932.54952396859335</v>
      </c>
      <c r="AP131" s="224">
        <f>'Key Inputs_New Techs'!AI93</f>
        <v>872.87207757158956</v>
      </c>
      <c r="AQ131" s="224">
        <f>'Key Inputs_New Techs'!AJ93</f>
        <v>960.10156464052113</v>
      </c>
      <c r="AR131" s="224">
        <f>'Key Inputs_New Techs'!AK93</f>
        <v>1018.1646754995259</v>
      </c>
      <c r="AS131" s="224">
        <f>'Key Inputs_New Techs'!AL93</f>
        <v>1094.1702075548685</v>
      </c>
    </row>
    <row r="132" spans="1:45" x14ac:dyDescent="0.3">
      <c r="K132" s="328" t="str">
        <f>IF('Key Inputs_New Techs'!B94="","",'Key Inputs_New Techs'!B94)</f>
        <v>S-TH-BLR_GAS01</v>
      </c>
      <c r="L132" s="201" t="str">
        <f>IF(K132="","",VLOOKUP(K132,'Commodities &amp; Processes'!$L$48:$M$87,2,FALSE))</f>
        <v>SRV Thermal uses technology: Natural gas, Biogas Boiler (Ord.) -New</v>
      </c>
      <c r="N132" s="222">
        <f>'Key Inputs_New Techs'!H94</f>
        <v>2020</v>
      </c>
      <c r="O132" s="331" t="s">
        <v>451</v>
      </c>
      <c r="P132" s="212" t="s">
        <v>409</v>
      </c>
      <c r="Q132" s="212"/>
      <c r="R132" s="224">
        <f>'Key Inputs_New Techs'!K94</f>
        <v>121.56240624660916</v>
      </c>
      <c r="S132" s="224">
        <f>'Key Inputs_New Techs'!L94</f>
        <v>126.11963728612356</v>
      </c>
      <c r="T132" s="224">
        <f>'Key Inputs_New Techs'!M94</f>
        <v>121.54970565162274</v>
      </c>
      <c r="U132" s="224">
        <f>'Key Inputs_New Techs'!N94</f>
        <v>123.4937046612289</v>
      </c>
      <c r="V132" s="224">
        <f>'Key Inputs_New Techs'!O94</f>
        <v>146.38239483823799</v>
      </c>
      <c r="W132" s="224">
        <f>'Key Inputs_New Techs'!P94</f>
        <v>125.28740259927913</v>
      </c>
      <c r="X132" s="224">
        <f>'Key Inputs_New Techs'!Q94</f>
        <v>128.06625901990478</v>
      </c>
      <c r="Y132" s="224">
        <f>'Key Inputs_New Techs'!R94</f>
        <v>123.16188394907977</v>
      </c>
      <c r="Z132" s="224">
        <f>'Key Inputs_New Techs'!S94</f>
        <v>128.07850520156776</v>
      </c>
      <c r="AA132" s="224">
        <f>'Key Inputs_New Techs'!T94</f>
        <v>146.7938219162759</v>
      </c>
      <c r="AB132" s="224">
        <f>'Key Inputs_New Techs'!U94</f>
        <v>133.57344829843433</v>
      </c>
      <c r="AC132" s="224">
        <f>'Key Inputs_New Techs'!V94</f>
        <v>128.90562264982049</v>
      </c>
      <c r="AD132" s="224">
        <f>'Key Inputs_New Techs'!W94</f>
        <v>128.38345164093982</v>
      </c>
      <c r="AE132" s="224">
        <f>'Key Inputs_New Techs'!X94</f>
        <v>147.53368927518966</v>
      </c>
      <c r="AF132" s="224">
        <f>'Key Inputs_New Techs'!Y94</f>
        <v>137.85539701852278</v>
      </c>
      <c r="AG132" s="224">
        <f>'Key Inputs_New Techs'!Z94</f>
        <v>142.99917591115877</v>
      </c>
      <c r="AH132" s="224">
        <f>'Key Inputs_New Techs'!AA94</f>
        <v>150.13565385000001</v>
      </c>
      <c r="AI132" s="224">
        <f>'Key Inputs_New Techs'!AB94</f>
        <v>125.97496251446937</v>
      </c>
      <c r="AJ132" s="224">
        <f>'Key Inputs_New Techs'!AC94</f>
        <v>123.69980312416853</v>
      </c>
      <c r="AK132" s="224">
        <f>'Key Inputs_New Techs'!AD94</f>
        <v>142.71535731122214</v>
      </c>
      <c r="AL132" s="224">
        <f>'Key Inputs_New Techs'!AE94</f>
        <v>126.92339034891212</v>
      </c>
      <c r="AM132" s="224">
        <f>'Key Inputs_New Techs'!AF94</f>
        <v>132.49238458646994</v>
      </c>
      <c r="AN132" s="224">
        <f>'Key Inputs_New Techs'!AG94</f>
        <v>131.77694532157528</v>
      </c>
      <c r="AO132" s="224">
        <f>'Key Inputs_New Techs'!AH94</f>
        <v>131.26366253310044</v>
      </c>
      <c r="AP132" s="224">
        <f>'Key Inputs_New Techs'!AI94</f>
        <v>122.8635937074181</v>
      </c>
      <c r="AQ132" s="224">
        <f>'Key Inputs_New Techs'!AJ94</f>
        <v>135.14182843839984</v>
      </c>
      <c r="AR132" s="224">
        <f>'Key Inputs_New Techs'!AK94</f>
        <v>143.31466687059779</v>
      </c>
      <c r="AS132" s="224">
        <f>'Key Inputs_New Techs'!AL94</f>
        <v>154.01304186724539</v>
      </c>
    </row>
    <row r="133" spans="1:45" x14ac:dyDescent="0.3">
      <c r="A133" s="543"/>
      <c r="B133" s="543"/>
      <c r="C133" s="543"/>
      <c r="D133" s="543"/>
      <c r="E133" s="543"/>
      <c r="F133" s="543"/>
      <c r="K133" s="328" t="str">
        <f>IF('Key Inputs_New Techs'!B95="","",'Key Inputs_New Techs'!B95)</f>
        <v>S-TH-BLR_GAS02</v>
      </c>
      <c r="L133" s="201" t="str">
        <f>IF(K133="","",VLOOKUP(K133,'Commodities &amp; Processes'!$L$48:$M$87,2,FALSE))</f>
        <v>SRV Thermal uses technology: Natural gas, Biogas Boiler cond. (Ord.) -New</v>
      </c>
      <c r="N133" s="222">
        <f>'Key Inputs_New Techs'!H95</f>
        <v>2020</v>
      </c>
      <c r="O133" s="331" t="s">
        <v>451</v>
      </c>
      <c r="P133" s="212" t="s">
        <v>409</v>
      </c>
      <c r="Q133" s="212"/>
      <c r="R133" s="224">
        <f>'Key Inputs_New Techs'!K95</f>
        <v>161.05083120569876</v>
      </c>
      <c r="S133" s="224">
        <f>'Key Inputs_New Techs'!L95</f>
        <v>167.08843665932295</v>
      </c>
      <c r="T133" s="224">
        <f>'Key Inputs_New Techs'!M95</f>
        <v>161.0340049397295</v>
      </c>
      <c r="U133" s="224">
        <f>'Key Inputs_New Techs'!N95</f>
        <v>163.60949407347525</v>
      </c>
      <c r="V133" s="224">
        <f>'Key Inputs_New Techs'!O95</f>
        <v>193.9333638621242</v>
      </c>
      <c r="W133" s="224">
        <f>'Key Inputs_New Techs'!P95</f>
        <v>165.98585822070103</v>
      </c>
      <c r="X133" s="224">
        <f>'Key Inputs_New Techs'!Q95</f>
        <v>169.66740048496942</v>
      </c>
      <c r="Y133" s="224">
        <f>'Key Inputs_New Techs'!R95</f>
        <v>163.16988446757065</v>
      </c>
      <c r="Z133" s="224">
        <f>'Key Inputs_New Techs'!S95</f>
        <v>169.68362472564394</v>
      </c>
      <c r="AA133" s="224">
        <f>'Key Inputs_New Techs'!T95</f>
        <v>194.47843922665851</v>
      </c>
      <c r="AB133" s="224">
        <f>'Key Inputs_New Techs'!U95</f>
        <v>176.96354933805313</v>
      </c>
      <c r="AC133" s="224">
        <f>'Key Inputs_New Techs'!V95</f>
        <v>170.77942363797877</v>
      </c>
      <c r="AD133" s="224">
        <f>'Key Inputs_New Techs'!W95</f>
        <v>170.0876301994617</v>
      </c>
      <c r="AE133" s="224">
        <f>'Key Inputs_New Techs'!X95</f>
        <v>195.45864566394556</v>
      </c>
      <c r="AF133" s="224">
        <f>'Key Inputs_New Techs'!Y95</f>
        <v>182.63644955320217</v>
      </c>
      <c r="AG133" s="224">
        <f>'Key Inputs_New Techs'!Z95</f>
        <v>189.4511375128728</v>
      </c>
      <c r="AH133" s="224">
        <f>'Key Inputs_New Techs'!AA95</f>
        <v>198.90583440000003</v>
      </c>
      <c r="AI133" s="224">
        <f>'Key Inputs_New Techs'!AB95</f>
        <v>166.89676562426516</v>
      </c>
      <c r="AJ133" s="224">
        <f>'Key Inputs_New Techs'!AC95</f>
        <v>163.88254171864367</v>
      </c>
      <c r="AK133" s="224">
        <f>'Key Inputs_New Techs'!AD95</f>
        <v>189.07512306200132</v>
      </c>
      <c r="AL133" s="224">
        <f>'Key Inputs_New Techs'!AE95</f>
        <v>168.15328148136129</v>
      </c>
      <c r="AM133" s="224">
        <f>'Key Inputs_New Techs'!AF95</f>
        <v>175.53131206360351</v>
      </c>
      <c r="AN133" s="224">
        <f>'Key Inputs_New Techs'!AG95</f>
        <v>174.58346896106792</v>
      </c>
      <c r="AO133" s="224">
        <f>'Key Inputs_New Techs'!AH95</f>
        <v>173.90345099926685</v>
      </c>
      <c r="AP133" s="224">
        <f>'Key Inputs_New Techs'!AI95</f>
        <v>162.77469739581508</v>
      </c>
      <c r="AQ133" s="224">
        <f>'Key Inputs_New Techs'!AJ95</f>
        <v>179.04140328144695</v>
      </c>
      <c r="AR133" s="224">
        <f>'Key Inputs_New Techs'!AK95</f>
        <v>189.86911279671554</v>
      </c>
      <c r="AS133" s="224">
        <f>'Key Inputs_New Techs'!AL95</f>
        <v>204.04275610437608</v>
      </c>
    </row>
    <row r="134" spans="1:45" x14ac:dyDescent="0.3">
      <c r="K134" s="328" t="str">
        <f>IF('Key Inputs_New Techs'!B96="","",'Key Inputs_New Techs'!B96)</f>
        <v/>
      </c>
      <c r="L134" s="201" t="str">
        <f>IF(K134="","",VLOOKUP(K134,'Commodities &amp; Processes'!$L$48:$M$87,2,FALSE))</f>
        <v/>
      </c>
      <c r="N134" s="222">
        <f>'Key Inputs_New Techs'!H96</f>
        <v>2030</v>
      </c>
      <c r="O134" s="331" t="s">
        <v>451</v>
      </c>
      <c r="P134" s="212" t="s">
        <v>409</v>
      </c>
      <c r="Q134" s="212"/>
      <c r="R134" s="224">
        <f>'Key Inputs_New Techs'!K96</f>
        <v>184.90546995479116</v>
      </c>
      <c r="S134" s="224">
        <f>'Key Inputs_New Techs'!L96</f>
        <v>191.8373576417172</v>
      </c>
      <c r="T134" s="224">
        <f>'Key Inputs_New Techs'!M96</f>
        <v>184.88615140428547</v>
      </c>
      <c r="U134" s="224">
        <f>'Key Inputs_New Techs'!N96</f>
        <v>187.84311862434575</v>
      </c>
      <c r="V134" s="224">
        <f>'Key Inputs_New Techs'!O96</f>
        <v>222.65852039620339</v>
      </c>
      <c r="W134" s="224">
        <f>'Key Inputs_New Techs'!P96</f>
        <v>190.57146672498538</v>
      </c>
      <c r="X134" s="224">
        <f>'Key Inputs_New Techs'!Q96</f>
        <v>194.79831422050381</v>
      </c>
      <c r="Y134" s="224">
        <f>'Key Inputs_New Techs'!R96</f>
        <v>187.33839461784493</v>
      </c>
      <c r="Z134" s="224">
        <f>'Key Inputs_New Techs'!S96</f>
        <v>194.81694157451449</v>
      </c>
      <c r="AA134" s="224">
        <f>'Key Inputs_New Techs'!T96</f>
        <v>223.28433161173984</v>
      </c>
      <c r="AB134" s="224">
        <f>'Key Inputs_New Techs'!U96</f>
        <v>203.17515911127279</v>
      </c>
      <c r="AC134" s="224">
        <f>'Key Inputs_New Techs'!V96</f>
        <v>196.0750487903812</v>
      </c>
      <c r="AD134" s="224">
        <f>'Key Inputs_New Techs'!W96</f>
        <v>195.28078781139092</v>
      </c>
      <c r="AE134" s="224">
        <f>'Key Inputs_New Techs'!X96</f>
        <v>224.40972494614482</v>
      </c>
      <c r="AF134" s="224">
        <f>'Key Inputs_New Techs'!Y96</f>
        <v>209.68832189618894</v>
      </c>
      <c r="AG134" s="224">
        <f>'Key Inputs_New Techs'!Z96</f>
        <v>217.51239253491016</v>
      </c>
      <c r="AH134" s="224">
        <f>'Key Inputs_New Techs'!AA96</f>
        <v>228.36750677496943</v>
      </c>
      <c r="AI134" s="224">
        <f>'Key Inputs_New Techs'!AB96</f>
        <v>191.61729654331273</v>
      </c>
      <c r="AJ134" s="224">
        <f>'Key Inputs_New Techs'!AC96</f>
        <v>188.15660973005407</v>
      </c>
      <c r="AK134" s="224">
        <f>'Key Inputs_New Techs'!AD96</f>
        <v>217.08068331473618</v>
      </c>
      <c r="AL134" s="224">
        <f>'Key Inputs_New Techs'!AE96</f>
        <v>193.05992588786583</v>
      </c>
      <c r="AM134" s="224">
        <f>'Key Inputs_New Techs'!AF96</f>
        <v>201.53078072256005</v>
      </c>
      <c r="AN134" s="224">
        <f>'Key Inputs_New Techs'!AG96</f>
        <v>200.44254433777601</v>
      </c>
      <c r="AO134" s="224">
        <f>'Key Inputs_New Techs'!AH96</f>
        <v>199.66180300373145</v>
      </c>
      <c r="AP134" s="224">
        <f>'Key Inputs_New Techs'!AI96</f>
        <v>186.88467295322531</v>
      </c>
      <c r="AQ134" s="224">
        <f>'Key Inputs_New Techs'!AJ96</f>
        <v>205.56078206661124</v>
      </c>
      <c r="AR134" s="224">
        <f>'Key Inputs_New Techs'!AK96</f>
        <v>217.99227777182472</v>
      </c>
      <c r="AS134" s="224">
        <f>'Key Inputs_New Techs'!AL96</f>
        <v>234.26530261220699</v>
      </c>
    </row>
    <row r="135" spans="1:45" x14ac:dyDescent="0.3">
      <c r="K135" s="328" t="str">
        <f>IF('Key Inputs_New Techs'!B97="","",'Key Inputs_New Techs'!B97)</f>
        <v/>
      </c>
      <c r="L135" s="201" t="str">
        <f>IF(K135="","",VLOOKUP(K135,'Commodities &amp; Processes'!$L$48:$M$87,2,FALSE))</f>
        <v/>
      </c>
      <c r="N135" s="222">
        <f>'Key Inputs_New Techs'!H97</f>
        <v>2050</v>
      </c>
      <c r="O135" s="331" t="s">
        <v>451</v>
      </c>
      <c r="P135" s="212" t="s">
        <v>409</v>
      </c>
      <c r="Q135" s="212"/>
      <c r="R135" s="224">
        <f>'Key Inputs_New Techs'!K97</f>
        <v>172.107882538317</v>
      </c>
      <c r="S135" s="224">
        <f>'Key Inputs_New Techs'!L97</f>
        <v>178.56000378752594</v>
      </c>
      <c r="T135" s="224">
        <f>'Key Inputs_New Techs'!M97</f>
        <v>172.08990105392903</v>
      </c>
      <c r="U135" s="224">
        <f>'Key Inputs_New Techs'!N97</f>
        <v>174.84221209753534</v>
      </c>
      <c r="V135" s="224">
        <f>'Key Inputs_New Techs'!O97</f>
        <v>207.24798722219884</v>
      </c>
      <c r="W135" s="224">
        <f>'Key Inputs_New Techs'!P97</f>
        <v>177.38172709697443</v>
      </c>
      <c r="X135" s="224">
        <f>'Key Inputs_New Techs'!Q97</f>
        <v>181.31602808030354</v>
      </c>
      <c r="Y135" s="224">
        <f>'Key Inputs_New Techs'!R97</f>
        <v>174.37242080338731</v>
      </c>
      <c r="Z135" s="224">
        <f>'Key Inputs_New Techs'!S97</f>
        <v>181.33336620695198</v>
      </c>
      <c r="AA135" s="224">
        <f>'Key Inputs_New Techs'!T97</f>
        <v>207.83048509638854</v>
      </c>
      <c r="AB135" s="224">
        <f>'Key Inputs_New Techs'!U97</f>
        <v>189.1130988584404</v>
      </c>
      <c r="AC135" s="224">
        <f>'Key Inputs_New Techs'!V97</f>
        <v>182.50439791835532</v>
      </c>
      <c r="AD135" s="224">
        <f>'Key Inputs_New Techs'!W97</f>
        <v>181.76510894377685</v>
      </c>
      <c r="AE135" s="224">
        <f>'Key Inputs_New Techs'!X97</f>
        <v>208.87798825491885</v>
      </c>
      <c r="AF135" s="224">
        <f>'Key Inputs_New Techs'!Y97</f>
        <v>195.17547578981709</v>
      </c>
      <c r="AG135" s="224">
        <f>'Key Inputs_New Techs'!Z97</f>
        <v>202.4580306584738</v>
      </c>
      <c r="AH135" s="224">
        <f>'Key Inputs_New Techs'!AA97</f>
        <v>212.56184601355721</v>
      </c>
      <c r="AI135" s="224">
        <f>'Key Inputs_New Techs'!AB97</f>
        <v>178.35517345078841</v>
      </c>
      <c r="AJ135" s="224">
        <f>'Key Inputs_New Techs'!AC97</f>
        <v>175.13400600937172</v>
      </c>
      <c r="AK135" s="224">
        <f>'Key Inputs_New Techs'!AD97</f>
        <v>202.0562006867884</v>
      </c>
      <c r="AL135" s="224">
        <f>'Key Inputs_New Techs'!AE97</f>
        <v>179.697956235091</v>
      </c>
      <c r="AM135" s="224">
        <f>'Key Inputs_New Techs'!AF97</f>
        <v>187.58253038665688</v>
      </c>
      <c r="AN135" s="224">
        <f>'Key Inputs_New Techs'!AG97</f>
        <v>186.56961248902994</v>
      </c>
      <c r="AO135" s="224">
        <f>'Key Inputs_New Techs'!AH97</f>
        <v>185.84290744430947</v>
      </c>
      <c r="AP135" s="224">
        <f>'Key Inputs_New Techs'!AI97</f>
        <v>173.95010190185056</v>
      </c>
      <c r="AQ135" s="224">
        <f>'Key Inputs_New Techs'!AJ97</f>
        <v>191.33360923857404</v>
      </c>
      <c r="AR135" s="224">
        <f>'Key Inputs_New Techs'!AK97</f>
        <v>202.9047023118703</v>
      </c>
      <c r="AS135" s="224">
        <f>'Key Inputs_New Techs'!AL97</f>
        <v>218.051446475017</v>
      </c>
    </row>
    <row r="136" spans="1:45" x14ac:dyDescent="0.3">
      <c r="K136" s="328" t="str">
        <f>IF('Key Inputs_New Techs'!B98="","",'Key Inputs_New Techs'!B98)</f>
        <v>S-TH-HPG_ELC01</v>
      </c>
      <c r="L136" s="201" t="str">
        <f>IF(K136="","",VLOOKUP(K136,'Commodities &amp; Processes'!$L$48:$M$87,2,FALSE))</f>
        <v>SRV Thermal uses technology: Electricity Ground Heat Pump (Ord.) -New</v>
      </c>
      <c r="N136" s="222">
        <f>'Key Inputs_New Techs'!H98</f>
        <v>2020</v>
      </c>
      <c r="O136" s="331" t="s">
        <v>451</v>
      </c>
      <c r="P136" s="212" t="s">
        <v>409</v>
      </c>
      <c r="Q136" s="212"/>
      <c r="R136" s="224">
        <f>'Key Inputs_New Techs'!K98</f>
        <v>1224.9154565741126</v>
      </c>
      <c r="S136" s="224">
        <f>'Key Inputs_New Techs'!L98</f>
        <v>1270.836090360812</v>
      </c>
      <c r="T136" s="224">
        <f>'Key Inputs_New Techs'!M98</f>
        <v>1224.7874798781349</v>
      </c>
      <c r="U136" s="224">
        <f>'Key Inputs_New Techs'!N98</f>
        <v>1244.3760558857589</v>
      </c>
      <c r="V136" s="224">
        <f>'Key Inputs_New Techs'!O98</f>
        <v>1475.0124116821178</v>
      </c>
      <c r="W136" s="224">
        <f>'Key Inputs_New Techs'!P98</f>
        <v>1262.4501331978317</v>
      </c>
      <c r="X136" s="224">
        <f>'Key Inputs_New Techs'!Q98</f>
        <v>1290.4510940731807</v>
      </c>
      <c r="Y136" s="224">
        <f>'Key Inputs_New Techs'!R98</f>
        <v>1241.0324866716192</v>
      </c>
      <c r="Z136" s="224">
        <f>'Key Inputs_New Techs'!S98</f>
        <v>1290.5744919036956</v>
      </c>
      <c r="AA136" s="224">
        <f>'Key Inputs_New Techs'!T98</f>
        <v>1479.1581291181431</v>
      </c>
      <c r="AB136" s="224">
        <f>'Key Inputs_New Techs'!U98</f>
        <v>1345.9439185230769</v>
      </c>
      <c r="AC136" s="224">
        <f>'Key Inputs_New Techs'!V98</f>
        <v>1298.9088855542423</v>
      </c>
      <c r="AD136" s="224">
        <f>'Key Inputs_New Techs'!W98</f>
        <v>1293.647264305521</v>
      </c>
      <c r="AE136" s="224">
        <f>'Key Inputs_New Techs'!X98</f>
        <v>1486.6133530786628</v>
      </c>
      <c r="AF136" s="224">
        <f>'Key Inputs_New Techs'!Y98</f>
        <v>1389.0906884286819</v>
      </c>
      <c r="AG136" s="224">
        <f>'Key Inputs_New Techs'!Z98</f>
        <v>1440.9216324296383</v>
      </c>
      <c r="AH136" s="224">
        <f>'Key Inputs_New Techs'!AA98</f>
        <v>1512.8318751000002</v>
      </c>
      <c r="AI136" s="224">
        <f>'Key Inputs_New Techs'!AB98</f>
        <v>1269.3782846999397</v>
      </c>
      <c r="AJ136" s="224">
        <f>'Key Inputs_New Techs'!AC98</f>
        <v>1246.4527932639148</v>
      </c>
      <c r="AK136" s="224">
        <f>'Key Inputs_New Techs'!AD98</f>
        <v>1438.0617532888753</v>
      </c>
      <c r="AL136" s="224">
        <f>'Key Inputs_New Techs'!AE98</f>
        <v>1278.9350543438152</v>
      </c>
      <c r="AM136" s="224">
        <f>'Key Inputs_New Techs'!AF98</f>
        <v>1335.0506523299075</v>
      </c>
      <c r="AN136" s="224">
        <f>'Key Inputs_New Techs'!AG98</f>
        <v>1327.8415764250453</v>
      </c>
      <c r="AO136" s="224">
        <f>'Key Inputs_New Techs'!AH98</f>
        <v>1322.6695167348084</v>
      </c>
      <c r="AP136" s="224">
        <f>'Key Inputs_New Techs'!AI98</f>
        <v>1238.0267850008627</v>
      </c>
      <c r="AQ136" s="224">
        <f>'Key Inputs_New Techs'!AJ98</f>
        <v>1361.7475961117743</v>
      </c>
      <c r="AR136" s="224">
        <f>'Key Inputs_New Techs'!AK98</f>
        <v>1444.1006559827115</v>
      </c>
      <c r="AS136" s="224">
        <f>'Key Inputs_New Techs'!AL98</f>
        <v>1551.9021161400142</v>
      </c>
    </row>
    <row r="137" spans="1:45" x14ac:dyDescent="0.3">
      <c r="K137" s="328" t="str">
        <f>IF('Key Inputs_New Techs'!B99="","",'Key Inputs_New Techs'!B99)</f>
        <v>S-TH-HPG_ELC02</v>
      </c>
      <c r="L137" s="201" t="str">
        <f>IF(K137="","",VLOOKUP(K137,'Commodities &amp; Processes'!$L$48:$M$87,2,FALSE))</f>
        <v>SRV Thermal uses technology: Electricity Ground Heat Pump (Imp.) -New</v>
      </c>
      <c r="N137" s="222">
        <f>'Key Inputs_New Techs'!H99</f>
        <v>2030</v>
      </c>
      <c r="O137" s="331" t="s">
        <v>451</v>
      </c>
      <c r="P137" s="212" t="s">
        <v>409</v>
      </c>
      <c r="Q137" s="212"/>
      <c r="R137" s="224">
        <f>'Key Inputs_New Techs'!K99</f>
        <v>1304.7638809023908</v>
      </c>
      <c r="S137" s="224">
        <f>'Key Inputs_New Techs'!L99</f>
        <v>1353.6779378125757</v>
      </c>
      <c r="T137" s="224">
        <f>'Key Inputs_New Techs'!M99</f>
        <v>1304.6275618041113</v>
      </c>
      <c r="U137" s="224">
        <f>'Key Inputs_New Techs'!N99</f>
        <v>1325.4930560844607</v>
      </c>
      <c r="V137" s="224">
        <f>'Key Inputs_New Techs'!O99</f>
        <v>1571.1638777325788</v>
      </c>
      <c r="W137" s="224">
        <f>'Key Inputs_New Techs'!P99</f>
        <v>1344.7453262153206</v>
      </c>
      <c r="X137" s="224">
        <f>'Key Inputs_New Techs'!Q99</f>
        <v>1374.5715825374489</v>
      </c>
      <c r="Y137" s="224">
        <f>'Key Inputs_New Techs'!R99</f>
        <v>1321.9315300048502</v>
      </c>
      <c r="Z137" s="224">
        <f>'Key Inputs_New Techs'!S99</f>
        <v>1374.7030242882843</v>
      </c>
      <c r="AA137" s="224">
        <f>'Key Inputs_New Techs'!T99</f>
        <v>1575.5798415788361</v>
      </c>
      <c r="AB137" s="224">
        <f>'Key Inputs_New Techs'!U99</f>
        <v>1433.6818114131515</v>
      </c>
      <c r="AC137" s="224">
        <f>'Key Inputs_New Techs'!V99</f>
        <v>1383.580711108295</v>
      </c>
      <c r="AD137" s="224">
        <f>'Key Inputs_New Techs'!W99</f>
        <v>1377.9761011546248</v>
      </c>
      <c r="AE137" s="224">
        <f>'Key Inputs_New Techs'!X99</f>
        <v>1583.5210483743892</v>
      </c>
      <c r="AF137" s="224">
        <f>'Key Inputs_New Techs'!Y99</f>
        <v>1479.6411848934169</v>
      </c>
      <c r="AG137" s="224">
        <f>'Key Inputs_New Techs'!Z99</f>
        <v>1534.8508267365073</v>
      </c>
      <c r="AH137" s="224">
        <f>'Key Inputs_New Techs'!AA99</f>
        <v>1611.4486742039805</v>
      </c>
      <c r="AI137" s="224">
        <f>'Key Inputs_New Techs'!AB99</f>
        <v>1352.125102340158</v>
      </c>
      <c r="AJ137" s="224">
        <f>'Key Inputs_New Techs'!AC99</f>
        <v>1327.7051695055097</v>
      </c>
      <c r="AK137" s="224">
        <f>'Key Inputs_New Techs'!AD99</f>
        <v>1531.8045209799861</v>
      </c>
      <c r="AL137" s="224">
        <f>'Key Inputs_New Techs'!AE99</f>
        <v>1362.3048480381246</v>
      </c>
      <c r="AM137" s="224">
        <f>'Key Inputs_New Techs'!AF99</f>
        <v>1422.0784471175825</v>
      </c>
      <c r="AN137" s="224">
        <f>'Key Inputs_New Techs'!AG99</f>
        <v>1414.3994340029506</v>
      </c>
      <c r="AO137" s="224">
        <f>'Key Inputs_New Techs'!AH99</f>
        <v>1408.890223846875</v>
      </c>
      <c r="AP137" s="224">
        <f>'Key Inputs_New Techs'!AI99</f>
        <v>1318.7298960016844</v>
      </c>
      <c r="AQ137" s="224">
        <f>'Key Inputs_New Techs'!AJ99</f>
        <v>1450.5156815325065</v>
      </c>
      <c r="AR137" s="224">
        <f>'Key Inputs_New Techs'!AK99</f>
        <v>1538.2370809357881</v>
      </c>
      <c r="AS137" s="224">
        <f>'Key Inputs_New Techs'!AL99</f>
        <v>1653.0657825958822</v>
      </c>
    </row>
    <row r="138" spans="1:45" x14ac:dyDescent="0.3">
      <c r="A138" s="543"/>
      <c r="B138" s="543"/>
      <c r="C138" s="543"/>
      <c r="D138" s="543"/>
      <c r="E138" s="543"/>
      <c r="F138" s="543"/>
      <c r="K138" s="328" t="str">
        <f>IF('Key Inputs_New Techs'!B100="","",'Key Inputs_New Techs'!B100)</f>
        <v/>
      </c>
      <c r="L138" s="201" t="str">
        <f>IF(K138="","",VLOOKUP(K138,'Commodities &amp; Processes'!$L$48:$M$87,2,FALSE))</f>
        <v/>
      </c>
      <c r="N138" s="222">
        <f>'Key Inputs_New Techs'!H100</f>
        <v>2050</v>
      </c>
      <c r="O138" s="331" t="s">
        <v>451</v>
      </c>
      <c r="P138" s="212" t="s">
        <v>409</v>
      </c>
      <c r="Q138" s="212"/>
      <c r="R138" s="224">
        <f>'Key Inputs_New Techs'!K100</f>
        <v>1134.4601613194091</v>
      </c>
      <c r="S138" s="224">
        <f>'Key Inputs_New Techs'!L100</f>
        <v>1176.9897329187829</v>
      </c>
      <c r="T138" s="224">
        <f>'Key Inputs_New Techs'!M100</f>
        <v>1134.3416352102113</v>
      </c>
      <c r="U138" s="224">
        <f>'Key Inputs_New Techs'!N100</f>
        <v>1152.483670220349</v>
      </c>
      <c r="V138" s="224">
        <f>'Key Inputs_New Techs'!O100</f>
        <v>1366.0884182040536</v>
      </c>
      <c r="W138" s="224">
        <f>'Key Inputs_New Techs'!P100</f>
        <v>1169.2230464386073</v>
      </c>
      <c r="X138" s="224">
        <f>'Key Inputs_New Techs'!Q100</f>
        <v>1195.1562440493151</v>
      </c>
      <c r="Y138" s="224">
        <f>'Key Inputs_New Techs'!R100</f>
        <v>1149.3870107327919</v>
      </c>
      <c r="Z138" s="224">
        <f>'Key Inputs_New Techs'!S100</f>
        <v>1195.2705294246534</v>
      </c>
      <c r="AA138" s="224">
        <f>'Key Inputs_New Techs'!T100</f>
        <v>1369.9279903524957</v>
      </c>
      <c r="AB138" s="224">
        <f>'Key Inputs_New Techs'!U100</f>
        <v>1246.5511368475268</v>
      </c>
      <c r="AC138" s="224">
        <f>'Key Inputs_New Techs'!V100</f>
        <v>1202.9894601594676</v>
      </c>
      <c r="AD138" s="224">
        <f>'Key Inputs_New Techs'!W100</f>
        <v>1198.1163894029596</v>
      </c>
      <c r="AE138" s="224">
        <f>'Key Inputs_New Techs'!X100</f>
        <v>1376.8326746974692</v>
      </c>
      <c r="AF138" s="224">
        <f>'Key Inputs_New Techs'!Y100</f>
        <v>1286.5116837447176</v>
      </c>
      <c r="AG138" s="224">
        <f>'Key Inputs_New Techs'!Z100</f>
        <v>1334.5151118809881</v>
      </c>
      <c r="AH138" s="224">
        <f>'Key Inputs_New Techs'!AA100</f>
        <v>1401.1150597080002</v>
      </c>
      <c r="AI138" s="224">
        <f>'Key Inputs_New Techs'!AB100</f>
        <v>1175.6395805990212</v>
      </c>
      <c r="AJ138" s="224">
        <f>'Key Inputs_New Techs'!AC100</f>
        <v>1154.4070485305797</v>
      </c>
      <c r="AK138" s="224">
        <f>'Key Inputs_New Techs'!AD100</f>
        <v>1331.8664238152353</v>
      </c>
      <c r="AL138" s="224">
        <f>'Key Inputs_New Techs'!AE100</f>
        <v>1184.4906195615029</v>
      </c>
      <c r="AM138" s="224">
        <f>'Key Inputs_New Techs'!AF100</f>
        <v>1236.462296465545</v>
      </c>
      <c r="AN138" s="224">
        <f>'Key Inputs_New Techs'!AG100</f>
        <v>1229.7855830890421</v>
      </c>
      <c r="AO138" s="224">
        <f>'Key Inputs_New Techs'!AH100</f>
        <v>1224.9954601143918</v>
      </c>
      <c r="AP138" s="224">
        <f>'Key Inputs_New Techs'!AI100</f>
        <v>1146.6032685700297</v>
      </c>
      <c r="AQ138" s="224">
        <f>'Key Inputs_New Techs'!AJ100</f>
        <v>1261.1877736296742</v>
      </c>
      <c r="AR138" s="224">
        <f>'Key Inputs_New Techs'!AK100</f>
        <v>1337.4593767716806</v>
      </c>
      <c r="AS138" s="224">
        <f>'Key Inputs_New Techs'!AL100</f>
        <v>1437.3001137173671</v>
      </c>
    </row>
    <row r="139" spans="1:45" x14ac:dyDescent="0.3">
      <c r="K139" s="328" t="str">
        <f>IF('Key Inputs_New Techs'!B101="","",'Key Inputs_New Techs'!B101)</f>
        <v>S-TH-HPG_ELC03</v>
      </c>
      <c r="L139" s="201" t="str">
        <f>IF(K139="","",VLOOKUP(K139,'Commodities &amp; Processes'!$L$48:$M$87,2,FALSE))</f>
        <v>SRV Thermal uses technology: Electricity Ground Heat Pump (Adv.) -New</v>
      </c>
      <c r="N139" s="222">
        <f>'Key Inputs_New Techs'!H101</f>
        <v>2030</v>
      </c>
      <c r="O139" s="331" t="s">
        <v>451</v>
      </c>
      <c r="P139" s="212" t="s">
        <v>409</v>
      </c>
      <c r="Q139" s="212"/>
      <c r="R139" s="224">
        <f>'Key Inputs_New Techs'!K101</f>
        <v>1687.5987920653681</v>
      </c>
      <c r="S139" s="224">
        <f>'Key Inputs_New Techs'!L101</f>
        <v>1750.8648776497989</v>
      </c>
      <c r="T139" s="224">
        <f>'Key Inputs_New Techs'!M101</f>
        <v>1687.4224751478328</v>
      </c>
      <c r="U139" s="224">
        <f>'Key Inputs_New Techs'!N101</f>
        <v>1714.4101803248118</v>
      </c>
      <c r="V139" s="224">
        <f>'Key Inputs_New Techs'!O101</f>
        <v>2032.1640574265691</v>
      </c>
      <c r="W139" s="224">
        <f>'Key Inputs_New Techs'!P101</f>
        <v>1739.311320134786</v>
      </c>
      <c r="X139" s="224">
        <f>'Key Inputs_New Techs'!Q101</f>
        <v>1777.8889929825687</v>
      </c>
      <c r="Y139" s="224">
        <f>'Key Inputs_New Techs'!R101</f>
        <v>1709.8036555751357</v>
      </c>
      <c r="Z139" s="224">
        <f>'Key Inputs_New Techs'!S101</f>
        <v>1778.0590014746672</v>
      </c>
      <c r="AA139" s="224">
        <f>'Key Inputs_New Techs'!T101</f>
        <v>2037.8757232396924</v>
      </c>
      <c r="AB139" s="224">
        <f>'Key Inputs_New Techs'!U101</f>
        <v>1854.3429417080285</v>
      </c>
      <c r="AC139" s="224">
        <f>'Key Inputs_New Techs'!V101</f>
        <v>1789.5415185592321</v>
      </c>
      <c r="AD139" s="224">
        <f>'Key Inputs_New Techs'!W101</f>
        <v>1782.29244221197</v>
      </c>
      <c r="AE139" s="224">
        <f>'Key Inputs_New Techs'!X101</f>
        <v>2048.1469847237609</v>
      </c>
      <c r="AF139" s="224">
        <f>'Key Inputs_New Techs'!Y101</f>
        <v>1913.7874008202282</v>
      </c>
      <c r="AG139" s="224">
        <f>'Key Inputs_New Techs'!Z101</f>
        <v>1985.1962788927283</v>
      </c>
      <c r="AH139" s="224">
        <f>'Key Inputs_New Techs'!AA101</f>
        <v>2084.2689438805978</v>
      </c>
      <c r="AI139" s="224">
        <f>'Key Inputs_New Techs'!AB101</f>
        <v>1748.8564197932585</v>
      </c>
      <c r="AJ139" s="224">
        <f>'Key Inputs_New Techs'!AC101</f>
        <v>1717.2713569652103</v>
      </c>
      <c r="AK139" s="224">
        <f>'Key Inputs_New Techs'!AD101</f>
        <v>1981.2561468962697</v>
      </c>
      <c r="AL139" s="224">
        <f>'Key Inputs_New Techs'!AE101</f>
        <v>1762.0230369834428</v>
      </c>
      <c r="AM139" s="224">
        <f>'Key Inputs_New Techs'!AF101</f>
        <v>1839.3349974694481</v>
      </c>
      <c r="AN139" s="224">
        <f>'Key Inputs_New Techs'!AG101</f>
        <v>1829.4028607463315</v>
      </c>
      <c r="AO139" s="224">
        <f>'Key Inputs_New Techs'!AH101</f>
        <v>1822.277175754042</v>
      </c>
      <c r="AP139" s="224">
        <f>'Key Inputs_New Techs'!AI101</f>
        <v>1705.6626199782268</v>
      </c>
      <c r="AQ139" s="224">
        <f>'Key Inputs_New Techs'!AJ101</f>
        <v>1876.1160910839606</v>
      </c>
      <c r="AR139" s="224">
        <f>'Key Inputs_New Techs'!AK101</f>
        <v>1989.5761046834148</v>
      </c>
      <c r="AS139" s="224">
        <f>'Key Inputs_New Techs'!AL101</f>
        <v>2138.0970601240156</v>
      </c>
    </row>
    <row r="140" spans="1:45" x14ac:dyDescent="0.3">
      <c r="K140" s="328" t="str">
        <f>IF('Key Inputs_New Techs'!B102="","",'Key Inputs_New Techs'!B102)</f>
        <v/>
      </c>
      <c r="L140" s="201" t="str">
        <f>IF(K140="","",VLOOKUP(K140,'Commodities &amp; Processes'!$L$48:$M$87,2,FALSE))</f>
        <v/>
      </c>
      <c r="N140" s="222">
        <f>'Key Inputs_New Techs'!H102</f>
        <v>2050</v>
      </c>
      <c r="O140" s="331" t="s">
        <v>451</v>
      </c>
      <c r="P140" s="212" t="s">
        <v>409</v>
      </c>
      <c r="Q140" s="212"/>
      <c r="R140" s="224">
        <f>'Key Inputs_New Techs'!K102</f>
        <v>1190.1300269741444</v>
      </c>
      <c r="S140" s="224">
        <f>'Key Inputs_New Techs'!L102</f>
        <v>1234.7465960882982</v>
      </c>
      <c r="T140" s="224">
        <f>'Key Inputs_New Techs'!M102</f>
        <v>1190.0056845896813</v>
      </c>
      <c r="U140" s="224">
        <f>'Key Inputs_New Techs'!N102</f>
        <v>1209.0379797307198</v>
      </c>
      <c r="V140" s="224">
        <f>'Key Inputs_New Techs'!O102</f>
        <v>1433.1246714872552</v>
      </c>
      <c r="W140" s="224">
        <f>'Key Inputs_New Techs'!P102</f>
        <v>1226.5987852569328</v>
      </c>
      <c r="X140" s="224">
        <f>'Key Inputs_New Techs'!Q102</f>
        <v>1253.8045684340714</v>
      </c>
      <c r="Y140" s="224">
        <f>'Key Inputs_New Techs'!R102</f>
        <v>1205.7893619606875</v>
      </c>
      <c r="Z140" s="224">
        <f>'Key Inputs_New Techs'!S102</f>
        <v>1253.9244619847414</v>
      </c>
      <c r="AA140" s="224">
        <f>'Key Inputs_New Techs'!T102</f>
        <v>1437.1526578903035</v>
      </c>
      <c r="AB140" s="224">
        <f>'Key Inputs_New Techs'!U102</f>
        <v>1307.7214949492611</v>
      </c>
      <c r="AC140" s="224">
        <f>'Key Inputs_New Techs'!V102</f>
        <v>1262.0221736161056</v>
      </c>
      <c r="AD140" s="224">
        <f>'Key Inputs_New Techs'!W102</f>
        <v>1256.909973092339</v>
      </c>
      <c r="AE140" s="224">
        <f>'Key Inputs_New Techs'!X102</f>
        <v>1444.3961666937985</v>
      </c>
      <c r="AF140" s="224">
        <f>'Key Inputs_New Techs'!Y102</f>
        <v>1349.6429730039367</v>
      </c>
      <c r="AG140" s="224">
        <f>'Key Inputs_New Techs'!Z102</f>
        <v>1400.0020099896224</v>
      </c>
      <c r="AH140" s="224">
        <f>'Key Inputs_New Techs'!AA102</f>
        <v>1469.8701291236198</v>
      </c>
      <c r="AI140" s="224">
        <f>'Key Inputs_New Techs'!AB102</f>
        <v>1233.3301895263717</v>
      </c>
      <c r="AJ140" s="224">
        <f>'Key Inputs_New Techs'!AC102</f>
        <v>1211.0557414453085</v>
      </c>
      <c r="AK140" s="224">
        <f>'Key Inputs_New Techs'!AD102</f>
        <v>1397.2233463515142</v>
      </c>
      <c r="AL140" s="224">
        <f>'Key Inputs_New Techs'!AE102</f>
        <v>1242.6155638377236</v>
      </c>
      <c r="AM140" s="224">
        <f>'Key Inputs_New Techs'!AF102</f>
        <v>1297.1375782236344</v>
      </c>
      <c r="AN140" s="224">
        <f>'Key Inputs_New Techs'!AG102</f>
        <v>1290.1332273069529</v>
      </c>
      <c r="AO140" s="224">
        <f>'Key Inputs_New Techs'!AH102</f>
        <v>1285.1080449520259</v>
      </c>
      <c r="AP140" s="224">
        <f>'Key Inputs_New Techs'!AI102</f>
        <v>1202.8690168941812</v>
      </c>
      <c r="AQ140" s="224">
        <f>'Key Inputs_New Techs'!AJ102</f>
        <v>1323.0763760832874</v>
      </c>
      <c r="AR140" s="224">
        <f>'Key Inputs_New Techs'!AK102</f>
        <v>1403.0907549039466</v>
      </c>
      <c r="AS140" s="224">
        <f>'Key Inputs_New Techs'!AL102</f>
        <v>1507.8308445128168</v>
      </c>
    </row>
    <row r="141" spans="1:45" x14ac:dyDescent="0.3">
      <c r="K141" s="328" t="str">
        <f>IF('Key Inputs_New Techs'!B103="","",'Key Inputs_New Techs'!B103)</f>
        <v>S-TH-STV_COA01</v>
      </c>
      <c r="L141" s="201" t="str">
        <f>IF(K141="","",VLOOKUP(K141,'Commodities &amp; Processes'!$L$48:$M$87,2,FALSE))</f>
        <v>SRV Thermal uses technology: Coal Thermal uses technology: Coal -New</v>
      </c>
      <c r="N141" s="222">
        <f>'Key Inputs_New Techs'!H103</f>
        <v>2020</v>
      </c>
      <c r="O141" s="331" t="s">
        <v>451</v>
      </c>
      <c r="P141" s="212" t="s">
        <v>409</v>
      </c>
      <c r="Q141" s="212"/>
      <c r="R141" s="224">
        <f>'Key Inputs_New Techs'!K103</f>
        <v>121.56240624660916</v>
      </c>
      <c r="S141" s="224">
        <f>'Key Inputs_New Techs'!L103</f>
        <v>126.11963728612356</v>
      </c>
      <c r="T141" s="224">
        <f>'Key Inputs_New Techs'!M103</f>
        <v>121.54970565162274</v>
      </c>
      <c r="U141" s="224">
        <f>'Key Inputs_New Techs'!N103</f>
        <v>123.4937046612289</v>
      </c>
      <c r="V141" s="224">
        <f>'Key Inputs_New Techs'!O103</f>
        <v>146.38239483823799</v>
      </c>
      <c r="W141" s="224">
        <f>'Key Inputs_New Techs'!P103</f>
        <v>125.28740259927913</v>
      </c>
      <c r="X141" s="224">
        <f>'Key Inputs_New Techs'!Q103</f>
        <v>128.06625901990478</v>
      </c>
      <c r="Y141" s="224">
        <f>'Key Inputs_New Techs'!R103</f>
        <v>123.16188394907977</v>
      </c>
      <c r="Z141" s="224">
        <f>'Key Inputs_New Techs'!S103</f>
        <v>128.07850520156776</v>
      </c>
      <c r="AA141" s="224">
        <f>'Key Inputs_New Techs'!T103</f>
        <v>146.7938219162759</v>
      </c>
      <c r="AB141" s="224">
        <f>'Key Inputs_New Techs'!U103</f>
        <v>133.57344829843433</v>
      </c>
      <c r="AC141" s="224">
        <f>'Key Inputs_New Techs'!V103</f>
        <v>128.90562264982049</v>
      </c>
      <c r="AD141" s="224">
        <f>'Key Inputs_New Techs'!W103</f>
        <v>128.38345164093982</v>
      </c>
      <c r="AE141" s="224">
        <f>'Key Inputs_New Techs'!X103</f>
        <v>147.53368927518966</v>
      </c>
      <c r="AF141" s="224">
        <f>'Key Inputs_New Techs'!Y103</f>
        <v>137.85539701852278</v>
      </c>
      <c r="AG141" s="224">
        <f>'Key Inputs_New Techs'!Z103</f>
        <v>142.99917591115877</v>
      </c>
      <c r="AH141" s="224">
        <f>'Key Inputs_New Techs'!AA103</f>
        <v>150.13565385000001</v>
      </c>
      <c r="AI141" s="224">
        <f>'Key Inputs_New Techs'!AB103</f>
        <v>125.97496251446937</v>
      </c>
      <c r="AJ141" s="224">
        <f>'Key Inputs_New Techs'!AC103</f>
        <v>123.69980312416853</v>
      </c>
      <c r="AK141" s="224">
        <f>'Key Inputs_New Techs'!AD103</f>
        <v>142.71535731122214</v>
      </c>
      <c r="AL141" s="224">
        <f>'Key Inputs_New Techs'!AE103</f>
        <v>126.92339034891212</v>
      </c>
      <c r="AM141" s="224">
        <f>'Key Inputs_New Techs'!AF103</f>
        <v>132.49238458646994</v>
      </c>
      <c r="AN141" s="224">
        <f>'Key Inputs_New Techs'!AG103</f>
        <v>131.77694532157528</v>
      </c>
      <c r="AO141" s="224">
        <f>'Key Inputs_New Techs'!AH103</f>
        <v>131.26366253310044</v>
      </c>
      <c r="AP141" s="224">
        <f>'Key Inputs_New Techs'!AI103</f>
        <v>122.8635937074181</v>
      </c>
      <c r="AQ141" s="224">
        <f>'Key Inputs_New Techs'!AJ103</f>
        <v>135.14182843839984</v>
      </c>
      <c r="AR141" s="224">
        <f>'Key Inputs_New Techs'!AK103</f>
        <v>143.31466687059779</v>
      </c>
      <c r="AS141" s="224">
        <f>'Key Inputs_New Techs'!AL103</f>
        <v>154.01304186724539</v>
      </c>
    </row>
    <row r="142" spans="1:45" x14ac:dyDescent="0.3">
      <c r="K142" s="328" t="str">
        <f>IF('Key Inputs_New Techs'!B104="","",'Key Inputs_New Techs'!B104)</f>
        <v>S-TH-STV_OIL01</v>
      </c>
      <c r="L142" s="201" t="str">
        <f>IF(K142="","",VLOOKUP(K142,'Commodities &amp; Processes'!$L$48:$M$87,2,FALSE))</f>
        <v>SRV Thermal uses technology: Oil Thermal uses technology: Oil -New</v>
      </c>
      <c r="N142" s="222">
        <f>'Key Inputs_New Techs'!H104</f>
        <v>2020</v>
      </c>
      <c r="O142" s="331" t="s">
        <v>451</v>
      </c>
      <c r="P142" s="212" t="s">
        <v>409</v>
      </c>
      <c r="Q142" s="212"/>
      <c r="R142" s="224">
        <f>'Key Inputs_New Techs'!K104</f>
        <v>121.56240624660916</v>
      </c>
      <c r="S142" s="224">
        <f>'Key Inputs_New Techs'!L104</f>
        <v>126.11963728612356</v>
      </c>
      <c r="T142" s="224">
        <f>'Key Inputs_New Techs'!M104</f>
        <v>121.54970565162274</v>
      </c>
      <c r="U142" s="224">
        <f>'Key Inputs_New Techs'!N104</f>
        <v>123.4937046612289</v>
      </c>
      <c r="V142" s="224">
        <f>'Key Inputs_New Techs'!O104</f>
        <v>146.38239483823799</v>
      </c>
      <c r="W142" s="224">
        <f>'Key Inputs_New Techs'!P104</f>
        <v>125.28740259927913</v>
      </c>
      <c r="X142" s="224">
        <f>'Key Inputs_New Techs'!Q104</f>
        <v>128.06625901990478</v>
      </c>
      <c r="Y142" s="224">
        <f>'Key Inputs_New Techs'!R104</f>
        <v>123.16188394907977</v>
      </c>
      <c r="Z142" s="224">
        <f>'Key Inputs_New Techs'!S104</f>
        <v>128.07850520156776</v>
      </c>
      <c r="AA142" s="224">
        <f>'Key Inputs_New Techs'!T104</f>
        <v>146.7938219162759</v>
      </c>
      <c r="AB142" s="224">
        <f>'Key Inputs_New Techs'!U104</f>
        <v>133.57344829843433</v>
      </c>
      <c r="AC142" s="224">
        <f>'Key Inputs_New Techs'!V104</f>
        <v>128.90562264982049</v>
      </c>
      <c r="AD142" s="224">
        <f>'Key Inputs_New Techs'!W104</f>
        <v>128.38345164093982</v>
      </c>
      <c r="AE142" s="224">
        <f>'Key Inputs_New Techs'!X104</f>
        <v>147.53368927518966</v>
      </c>
      <c r="AF142" s="224">
        <f>'Key Inputs_New Techs'!Y104</f>
        <v>137.85539701852278</v>
      </c>
      <c r="AG142" s="224">
        <f>'Key Inputs_New Techs'!Z104</f>
        <v>142.99917591115877</v>
      </c>
      <c r="AH142" s="224">
        <f>'Key Inputs_New Techs'!AA104</f>
        <v>150.13565385000001</v>
      </c>
      <c r="AI142" s="224">
        <f>'Key Inputs_New Techs'!AB104</f>
        <v>125.97496251446937</v>
      </c>
      <c r="AJ142" s="224">
        <f>'Key Inputs_New Techs'!AC104</f>
        <v>123.69980312416853</v>
      </c>
      <c r="AK142" s="224">
        <f>'Key Inputs_New Techs'!AD104</f>
        <v>142.71535731122214</v>
      </c>
      <c r="AL142" s="224">
        <f>'Key Inputs_New Techs'!AE104</f>
        <v>126.92339034891212</v>
      </c>
      <c r="AM142" s="224">
        <f>'Key Inputs_New Techs'!AF104</f>
        <v>132.49238458646994</v>
      </c>
      <c r="AN142" s="224">
        <f>'Key Inputs_New Techs'!AG104</f>
        <v>131.77694532157528</v>
      </c>
      <c r="AO142" s="224">
        <f>'Key Inputs_New Techs'!AH104</f>
        <v>131.26366253310044</v>
      </c>
      <c r="AP142" s="224">
        <f>'Key Inputs_New Techs'!AI104</f>
        <v>122.8635937074181</v>
      </c>
      <c r="AQ142" s="224">
        <f>'Key Inputs_New Techs'!AJ104</f>
        <v>135.14182843839984</v>
      </c>
      <c r="AR142" s="224">
        <f>'Key Inputs_New Techs'!AK104</f>
        <v>143.31466687059779</v>
      </c>
      <c r="AS142" s="224">
        <f>'Key Inputs_New Techs'!AL104</f>
        <v>154.01304186724539</v>
      </c>
    </row>
    <row r="143" spans="1:45" x14ac:dyDescent="0.3">
      <c r="K143" s="328" t="str">
        <f>IF('Key Inputs_New Techs'!B105="","",'Key Inputs_New Techs'!B105)</f>
        <v>S-TH-STV_LPG01</v>
      </c>
      <c r="L143" s="201" t="str">
        <f>IF(K143="","",VLOOKUP(K143,'Commodities &amp; Processes'!$L$48:$M$87,2,FALSE))</f>
        <v>SRV Thermal uses technology: LPG Thermal uses technology: LPG -New</v>
      </c>
      <c r="N143" s="222">
        <f>'Key Inputs_New Techs'!H105</f>
        <v>2020</v>
      </c>
      <c r="O143" s="331" t="s">
        <v>451</v>
      </c>
      <c r="P143" s="212" t="s">
        <v>409</v>
      </c>
      <c r="Q143" s="212"/>
      <c r="R143" s="224">
        <f>'Key Inputs_New Techs'!K105</f>
        <v>121.56240624660916</v>
      </c>
      <c r="S143" s="224">
        <f>'Key Inputs_New Techs'!L105</f>
        <v>126.11963728612356</v>
      </c>
      <c r="T143" s="224">
        <f>'Key Inputs_New Techs'!M105</f>
        <v>121.54970565162274</v>
      </c>
      <c r="U143" s="224">
        <f>'Key Inputs_New Techs'!N105</f>
        <v>123.4937046612289</v>
      </c>
      <c r="V143" s="224">
        <f>'Key Inputs_New Techs'!O105</f>
        <v>146.38239483823799</v>
      </c>
      <c r="W143" s="224">
        <f>'Key Inputs_New Techs'!P105</f>
        <v>125.28740259927913</v>
      </c>
      <c r="X143" s="224">
        <f>'Key Inputs_New Techs'!Q105</f>
        <v>128.06625901990478</v>
      </c>
      <c r="Y143" s="224">
        <f>'Key Inputs_New Techs'!R105</f>
        <v>123.16188394907977</v>
      </c>
      <c r="Z143" s="224">
        <f>'Key Inputs_New Techs'!S105</f>
        <v>128.07850520156776</v>
      </c>
      <c r="AA143" s="224">
        <f>'Key Inputs_New Techs'!T105</f>
        <v>146.7938219162759</v>
      </c>
      <c r="AB143" s="224">
        <f>'Key Inputs_New Techs'!U105</f>
        <v>133.57344829843433</v>
      </c>
      <c r="AC143" s="224">
        <f>'Key Inputs_New Techs'!V105</f>
        <v>128.90562264982049</v>
      </c>
      <c r="AD143" s="224">
        <f>'Key Inputs_New Techs'!W105</f>
        <v>128.38345164093982</v>
      </c>
      <c r="AE143" s="224">
        <f>'Key Inputs_New Techs'!X105</f>
        <v>147.53368927518966</v>
      </c>
      <c r="AF143" s="224">
        <f>'Key Inputs_New Techs'!Y105</f>
        <v>137.85539701852278</v>
      </c>
      <c r="AG143" s="224">
        <f>'Key Inputs_New Techs'!Z105</f>
        <v>142.99917591115877</v>
      </c>
      <c r="AH143" s="224">
        <f>'Key Inputs_New Techs'!AA105</f>
        <v>150.13565385000001</v>
      </c>
      <c r="AI143" s="224">
        <f>'Key Inputs_New Techs'!AB105</f>
        <v>125.97496251446937</v>
      </c>
      <c r="AJ143" s="224">
        <f>'Key Inputs_New Techs'!AC105</f>
        <v>123.69980312416853</v>
      </c>
      <c r="AK143" s="224">
        <f>'Key Inputs_New Techs'!AD105</f>
        <v>142.71535731122214</v>
      </c>
      <c r="AL143" s="224">
        <f>'Key Inputs_New Techs'!AE105</f>
        <v>126.92339034891212</v>
      </c>
      <c r="AM143" s="224">
        <f>'Key Inputs_New Techs'!AF105</f>
        <v>132.49238458646994</v>
      </c>
      <c r="AN143" s="224">
        <f>'Key Inputs_New Techs'!AG105</f>
        <v>131.77694532157528</v>
      </c>
      <c r="AO143" s="224">
        <f>'Key Inputs_New Techs'!AH105</f>
        <v>131.26366253310044</v>
      </c>
      <c r="AP143" s="224">
        <f>'Key Inputs_New Techs'!AI105</f>
        <v>122.8635937074181</v>
      </c>
      <c r="AQ143" s="224">
        <f>'Key Inputs_New Techs'!AJ105</f>
        <v>135.14182843839984</v>
      </c>
      <c r="AR143" s="224">
        <f>'Key Inputs_New Techs'!AK105</f>
        <v>143.31466687059779</v>
      </c>
      <c r="AS143" s="224">
        <f>'Key Inputs_New Techs'!AL105</f>
        <v>154.01304186724539</v>
      </c>
    </row>
    <row r="144" spans="1:45" x14ac:dyDescent="0.3">
      <c r="K144" s="328" t="str">
        <f>IF('Key Inputs_New Techs'!B106="","",'Key Inputs_New Techs'!B106)</f>
        <v>S-TH-STV_BIO01</v>
      </c>
      <c r="L144" s="201" t="str">
        <f>IF(K144="","",VLOOKUP(K144,'Commodities &amp; Processes'!$L$48:$M$87,2,FALSE))</f>
        <v>SRV Thermal uses technology: Biomass Thermal uses technology: Biomass -New</v>
      </c>
      <c r="N144" s="222">
        <f>'Key Inputs_New Techs'!H106</f>
        <v>2020</v>
      </c>
      <c r="O144" s="331" t="s">
        <v>451</v>
      </c>
      <c r="P144" s="212" t="s">
        <v>409</v>
      </c>
      <c r="Q144" s="212"/>
      <c r="R144" s="224">
        <f>'Key Inputs_New Techs'!K106</f>
        <v>121.56240624660916</v>
      </c>
      <c r="S144" s="224">
        <f>'Key Inputs_New Techs'!L106</f>
        <v>126.11963728612356</v>
      </c>
      <c r="T144" s="224">
        <f>'Key Inputs_New Techs'!M106</f>
        <v>121.54970565162274</v>
      </c>
      <c r="U144" s="224">
        <f>'Key Inputs_New Techs'!N106</f>
        <v>123.4937046612289</v>
      </c>
      <c r="V144" s="224">
        <f>'Key Inputs_New Techs'!O106</f>
        <v>146.38239483823799</v>
      </c>
      <c r="W144" s="224">
        <f>'Key Inputs_New Techs'!P106</f>
        <v>125.28740259927913</v>
      </c>
      <c r="X144" s="224">
        <f>'Key Inputs_New Techs'!Q106</f>
        <v>128.06625901990478</v>
      </c>
      <c r="Y144" s="224">
        <f>'Key Inputs_New Techs'!R106</f>
        <v>123.16188394907977</v>
      </c>
      <c r="Z144" s="224">
        <f>'Key Inputs_New Techs'!S106</f>
        <v>128.07850520156776</v>
      </c>
      <c r="AA144" s="224">
        <f>'Key Inputs_New Techs'!T106</f>
        <v>146.7938219162759</v>
      </c>
      <c r="AB144" s="224">
        <f>'Key Inputs_New Techs'!U106</f>
        <v>133.57344829843433</v>
      </c>
      <c r="AC144" s="224">
        <f>'Key Inputs_New Techs'!V106</f>
        <v>128.90562264982049</v>
      </c>
      <c r="AD144" s="224">
        <f>'Key Inputs_New Techs'!W106</f>
        <v>128.38345164093982</v>
      </c>
      <c r="AE144" s="224">
        <f>'Key Inputs_New Techs'!X106</f>
        <v>147.53368927518966</v>
      </c>
      <c r="AF144" s="224">
        <f>'Key Inputs_New Techs'!Y106</f>
        <v>137.85539701852278</v>
      </c>
      <c r="AG144" s="224">
        <f>'Key Inputs_New Techs'!Z106</f>
        <v>142.99917591115877</v>
      </c>
      <c r="AH144" s="224">
        <f>'Key Inputs_New Techs'!AA106</f>
        <v>150.13565385000001</v>
      </c>
      <c r="AI144" s="224">
        <f>'Key Inputs_New Techs'!AB106</f>
        <v>125.97496251446937</v>
      </c>
      <c r="AJ144" s="224">
        <f>'Key Inputs_New Techs'!AC106</f>
        <v>123.69980312416853</v>
      </c>
      <c r="AK144" s="224">
        <f>'Key Inputs_New Techs'!AD106</f>
        <v>142.71535731122214</v>
      </c>
      <c r="AL144" s="224">
        <f>'Key Inputs_New Techs'!AE106</f>
        <v>126.92339034891212</v>
      </c>
      <c r="AM144" s="224">
        <f>'Key Inputs_New Techs'!AF106</f>
        <v>132.49238458646994</v>
      </c>
      <c r="AN144" s="224">
        <f>'Key Inputs_New Techs'!AG106</f>
        <v>131.77694532157528</v>
      </c>
      <c r="AO144" s="224">
        <f>'Key Inputs_New Techs'!AH106</f>
        <v>131.26366253310044</v>
      </c>
      <c r="AP144" s="224">
        <f>'Key Inputs_New Techs'!AI106</f>
        <v>122.8635937074181</v>
      </c>
      <c r="AQ144" s="224">
        <f>'Key Inputs_New Techs'!AJ106</f>
        <v>135.14182843839984</v>
      </c>
      <c r="AR144" s="224">
        <f>'Key Inputs_New Techs'!AK106</f>
        <v>143.31466687059779</v>
      </c>
      <c r="AS144" s="224">
        <f>'Key Inputs_New Techs'!AL106</f>
        <v>154.01304186724539</v>
      </c>
    </row>
    <row r="145" spans="1:45" x14ac:dyDescent="0.3">
      <c r="K145" s="328" t="str">
        <f>IF('Key Inputs_New Techs'!B107="","",'Key Inputs_New Techs'!B107)</f>
        <v>S-TH-HEX_HET01</v>
      </c>
      <c r="L145" s="201" t="str">
        <f>IF(K145="","",VLOOKUP(K145,'Commodities &amp; Processes'!$L$48:$M$87,2,FALSE))</f>
        <v>SRV Thermal uses technology: Heat District Heat (Ord.) -New</v>
      </c>
      <c r="N145" s="222">
        <f>'Key Inputs_New Techs'!H107</f>
        <v>2020</v>
      </c>
      <c r="O145" s="331" t="s">
        <v>451</v>
      </c>
      <c r="P145" s="212" t="s">
        <v>409</v>
      </c>
      <c r="Q145" s="212"/>
      <c r="R145" s="224">
        <f>'Key Inputs_New Techs'!K107</f>
        <v>75.477717520260114</v>
      </c>
      <c r="S145" s="224">
        <f>'Key Inputs_New Techs'!L107</f>
        <v>78.307288007514472</v>
      </c>
      <c r="T145" s="224">
        <f>'Key Inputs_New Techs'!M107</f>
        <v>75.469831760588832</v>
      </c>
      <c r="U145" s="224">
        <f>'Key Inputs_New Techs'!N107</f>
        <v>76.676854660489781</v>
      </c>
      <c r="V145" s="224">
        <f>'Key Inputs_New Techs'!O107</f>
        <v>90.888370744535962</v>
      </c>
      <c r="W145" s="224">
        <f>'Key Inputs_New Techs'!P107</f>
        <v>77.790556095538534</v>
      </c>
      <c r="X145" s="224">
        <f>'Key Inputs_New Techs'!Q107</f>
        <v>79.515939348645986</v>
      </c>
      <c r="Y145" s="224">
        <f>'Key Inputs_New Techs'!R107</f>
        <v>76.470828218991443</v>
      </c>
      <c r="Z145" s="224">
        <f>'Key Inputs_New Techs'!S107</f>
        <v>79.523542964507172</v>
      </c>
      <c r="AA145" s="224">
        <f>'Key Inputs_New Techs'!T107</f>
        <v>91.143824529428429</v>
      </c>
      <c r="AB145" s="224">
        <f>'Key Inputs_New Techs'!U107</f>
        <v>82.935335932917297</v>
      </c>
      <c r="AC145" s="224">
        <f>'Key Inputs_New Techs'!V107</f>
        <v>80.037097599059649</v>
      </c>
      <c r="AD145" s="224">
        <f>'Key Inputs_New Techs'!W107</f>
        <v>79.712883254160872</v>
      </c>
      <c r="AE145" s="224">
        <f>'Key Inputs_New Techs'!X107</f>
        <v>91.603205856623191</v>
      </c>
      <c r="AF145" s="224">
        <f>'Key Inputs_New Techs'!Y107</f>
        <v>85.593984489736982</v>
      </c>
      <c r="AG145" s="224">
        <f>'Key Inputs_New Techs'!Z107</f>
        <v>88.78774070296501</v>
      </c>
      <c r="AH145" s="224">
        <f>'Key Inputs_New Techs'!AA107</f>
        <v>93.21875751637603</v>
      </c>
      <c r="AI145" s="224">
        <f>'Key Inputs_New Techs'!AB107</f>
        <v>78.217459894659655</v>
      </c>
      <c r="AJ145" s="224">
        <f>'Key Inputs_New Techs'!AC107</f>
        <v>76.804820550993455</v>
      </c>
      <c r="AK145" s="224">
        <f>'Key Inputs_New Techs'!AD107</f>
        <v>88.611518622681771</v>
      </c>
      <c r="AL145" s="224">
        <f>'Key Inputs_New Techs'!AE107</f>
        <v>78.806335768268141</v>
      </c>
      <c r="AM145" s="224">
        <f>'Key Inputs_New Techs'!AF107</f>
        <v>82.264106858136401</v>
      </c>
      <c r="AN145" s="224">
        <f>'Key Inputs_New Techs'!AG107</f>
        <v>81.819892858052569</v>
      </c>
      <c r="AO145" s="224">
        <f>'Key Inputs_New Techs'!AH107</f>
        <v>81.501197181381599</v>
      </c>
      <c r="AP145" s="224">
        <f>'Key Inputs_New Techs'!AI107</f>
        <v>76.285620741660694</v>
      </c>
      <c r="AQ145" s="224">
        <f>'Key Inputs_New Techs'!AJ107</f>
        <v>83.909138252431731</v>
      </c>
      <c r="AR145" s="224">
        <f>'Key Inputs_New Techs'!AK107</f>
        <v>88.983628052121503</v>
      </c>
      <c r="AS145" s="224">
        <f>'Key Inputs_New Techs'!AL107</f>
        <v>95.626215599168404</v>
      </c>
    </row>
    <row r="146" spans="1:45" x14ac:dyDescent="0.3">
      <c r="K146" s="328" t="str">
        <f>IF('Key Inputs_New Techs'!B108="","",'Key Inputs_New Techs'!B108)</f>
        <v>S-TH-HEX_HET02</v>
      </c>
      <c r="L146" s="201" t="str">
        <f>IF(K146="","",VLOOKUP(K146,'Commodities &amp; Processes'!$L$48:$M$87,2,FALSE))</f>
        <v>SRV Thermal uses technology: Heat District Heat (Imp.) -New</v>
      </c>
      <c r="N146" s="222">
        <f>'Key Inputs_New Techs'!H108</f>
        <v>2030</v>
      </c>
      <c r="O146" s="331" t="s">
        <v>451</v>
      </c>
      <c r="P146" s="212" t="s">
        <v>409</v>
      </c>
      <c r="Q146" s="212"/>
      <c r="R146" s="224">
        <f>'Key Inputs_New Techs'!K108</f>
        <v>80.39787489401354</v>
      </c>
      <c r="S146" s="224">
        <f>'Key Inputs_New Techs'!L108</f>
        <v>83.411896270282682</v>
      </c>
      <c r="T146" s="224">
        <f>'Key Inputs_New Techs'!M108</f>
        <v>80.389475086224891</v>
      </c>
      <c r="U146" s="224">
        <f>'Key Inputs_New Techs'!N108</f>
        <v>81.675180050400542</v>
      </c>
      <c r="V146" s="224">
        <f>'Key Inputs_New Techs'!O108</f>
        <v>96.813100614475758</v>
      </c>
      <c r="W146" s="224">
        <f>'Key Inputs_New Techs'!P108</f>
        <v>82.861480214025633</v>
      </c>
      <c r="X146" s="224">
        <f>'Key Inputs_New Techs'!Q108</f>
        <v>84.699335828701891</v>
      </c>
      <c r="Y146" s="224">
        <f>'Key Inputs_New Techs'!R108</f>
        <v>81.455723386730284</v>
      </c>
      <c r="Z146" s="224">
        <f>'Key Inputs_New Techs'!S108</f>
        <v>84.70743510060403</v>
      </c>
      <c r="AA146" s="224">
        <f>'Key Inputs_New Techs'!T108</f>
        <v>97.08520663614334</v>
      </c>
      <c r="AB146" s="224">
        <f>'Key Inputs_New Techs'!U108</f>
        <v>88.341632228582668</v>
      </c>
      <c r="AC146" s="224">
        <f>'Key Inputs_New Techs'!V108</f>
        <v>85.25446676261619</v>
      </c>
      <c r="AD146" s="224">
        <f>'Key Inputs_New Techs'!W108</f>
        <v>84.909117894150199</v>
      </c>
      <c r="AE146" s="224">
        <f>'Key Inputs_New Techs'!X108</f>
        <v>97.574533601582317</v>
      </c>
      <c r="AF146" s="224">
        <f>'Key Inputs_New Techs'!Y108</f>
        <v>91.173589806008934</v>
      </c>
      <c r="AG146" s="224">
        <f>'Key Inputs_New Techs'!Z108</f>
        <v>94.575537041683631</v>
      </c>
      <c r="AH146" s="224">
        <f>'Key Inputs_New Techs'!AA108</f>
        <v>99.295398043339716</v>
      </c>
      <c r="AI146" s="224">
        <f>'Key Inputs_New Techs'!AB108</f>
        <v>83.316212542468207</v>
      </c>
      <c r="AJ146" s="224">
        <f>'Key Inputs_New Techs'!AC108</f>
        <v>81.811487638830911</v>
      </c>
      <c r="AK146" s="224">
        <f>'Key Inputs_New Techs'!AD108</f>
        <v>94.38782759272776</v>
      </c>
      <c r="AL146" s="224">
        <f>'Key Inputs_New Techs'!AE108</f>
        <v>83.9434754005663</v>
      </c>
      <c r="AM146" s="224">
        <f>'Key Inputs_New Techs'!AF108</f>
        <v>87.626647820568834</v>
      </c>
      <c r="AN146" s="224">
        <f>'Key Inputs_New Techs'!AG108</f>
        <v>87.153476893065331</v>
      </c>
      <c r="AO146" s="224">
        <f>'Key Inputs_New Techs'!AH108</f>
        <v>86.814006437624258</v>
      </c>
      <c r="AP146" s="224">
        <f>'Key Inputs_New Techs'!AI108</f>
        <v>81.258442810673174</v>
      </c>
      <c r="AQ146" s="224">
        <f>'Key Inputs_New Techs'!AJ108</f>
        <v>89.378913688966094</v>
      </c>
      <c r="AR146" s="224">
        <f>'Key Inputs_New Techs'!AK108</f>
        <v>94.784193677154576</v>
      </c>
      <c r="AS146" s="224">
        <f>'Key Inputs_New Techs'!AL108</f>
        <v>101.85979082192324</v>
      </c>
    </row>
    <row r="147" spans="1:45" x14ac:dyDescent="0.3">
      <c r="K147" s="330" t="str">
        <f>IF('Key Inputs_New Techs'!B109="","",'Key Inputs_New Techs'!B109)</f>
        <v/>
      </c>
      <c r="L147" s="234" t="str">
        <f>IF(K147="","",VLOOKUP(K147,'Commodities &amp; Processes'!$L$48:$M$87,2,FALSE))</f>
        <v/>
      </c>
      <c r="M147" s="234"/>
      <c r="N147" s="308">
        <f>'Key Inputs_New Techs'!H109</f>
        <v>2050</v>
      </c>
      <c r="O147" s="432" t="s">
        <v>451</v>
      </c>
      <c r="P147" s="299" t="s">
        <v>409</v>
      </c>
      <c r="Q147" s="299"/>
      <c r="R147" s="433">
        <f>'Key Inputs_New Techs'!K109</f>
        <v>95.303538956274849</v>
      </c>
      <c r="S147" s="433">
        <f>'Key Inputs_New Techs'!L109</f>
        <v>98.8763560739783</v>
      </c>
      <c r="T147" s="433">
        <f>'Key Inputs_New Techs'!M109</f>
        <v>95.293581834772993</v>
      </c>
      <c r="U147" s="433">
        <f>'Key Inputs_New Techs'!N109</f>
        <v>96.817654869055573</v>
      </c>
      <c r="V147" s="433">
        <f>'Key Inputs_New Techs'!O109</f>
        <v>114.76212671109379</v>
      </c>
      <c r="W147" s="433">
        <f>'Key Inputs_New Techs'!P109</f>
        <v>98.22389357880904</v>
      </c>
      <c r="X147" s="433">
        <f>'Key Inputs_New Techs'!Q109</f>
        <v>100.40248529407775</v>
      </c>
      <c r="Y147" s="433">
        <f>'Key Inputs_New Techs'!R109</f>
        <v>96.557511218208035</v>
      </c>
      <c r="Z147" s="433">
        <f>'Key Inputs_New Techs'!S109</f>
        <v>100.41208616072082</v>
      </c>
      <c r="AA147" s="433">
        <f>'Key Inputs_New Techs'!T109</f>
        <v>115.08468084415289</v>
      </c>
      <c r="AB147" s="433">
        <f>'Key Inputs_New Techs'!U109</f>
        <v>104.72005882812877</v>
      </c>
      <c r="AC147" s="433">
        <f>'Key Inputs_New Techs'!V109</f>
        <v>101.06053679924351</v>
      </c>
      <c r="AD147" s="433">
        <f>'Key Inputs_New Techs'!W109</f>
        <v>100.65116068846021</v>
      </c>
      <c r="AE147" s="433">
        <f>'Key Inputs_New Techs'!X109</f>
        <v>115.66472840852629</v>
      </c>
      <c r="AF147" s="433">
        <f>'Key Inputs_New Techs'!Y109</f>
        <v>108.07705774953754</v>
      </c>
      <c r="AG147" s="433">
        <f>'Key Inputs_New Techs'!Z109</f>
        <v>112.10972168909719</v>
      </c>
      <c r="AH147" s="433">
        <f>'Key Inputs_New Techs'!AA109</f>
        <v>117.70463893575972</v>
      </c>
      <c r="AI147" s="433">
        <f>'Key Inputs_New Techs'!AB109</f>
        <v>98.762932704352295</v>
      </c>
      <c r="AJ147" s="433">
        <f>'Key Inputs_New Techs'!AC109</f>
        <v>96.979233711545305</v>
      </c>
      <c r="AK147" s="433">
        <f>'Key Inputs_New Techs'!AD109</f>
        <v>111.88721114631717</v>
      </c>
      <c r="AL147" s="433">
        <f>'Key Inputs_New Techs'!AE109</f>
        <v>99.506489300983517</v>
      </c>
      <c r="AM147" s="433">
        <f>'Key Inputs_New Techs'!AF109</f>
        <v>103.8725172174568</v>
      </c>
      <c r="AN147" s="433">
        <f>'Key Inputs_New Techs'!AG109</f>
        <v>103.31162099996655</v>
      </c>
      <c r="AO147" s="433">
        <f>'Key Inputs_New Techs'!AH109</f>
        <v>102.90921315252925</v>
      </c>
      <c r="AP147" s="433">
        <f>'Key Inputs_New Techs'!AI109</f>
        <v>96.32365507349823</v>
      </c>
      <c r="AQ147" s="433">
        <f>'Key Inputs_New Techs'!AJ109</f>
        <v>105.94965095601266</v>
      </c>
      <c r="AR147" s="433">
        <f>'Key Inputs_New Techs'!AK109</f>
        <v>112.3570630002115</v>
      </c>
      <c r="AS147" s="433">
        <f>'Key Inputs_New Techs'!AL109</f>
        <v>120.74446688388777</v>
      </c>
    </row>
    <row r="148" spans="1:45" x14ac:dyDescent="0.3">
      <c r="K148" s="329" t="str">
        <f>IF('Key Inputs_New Techs'!B110="","",'Key Inputs_New Techs'!B110)</f>
        <v>S-AC_ELC01</v>
      </c>
      <c r="L148" s="208" t="str">
        <f>IF(K148="","",VLOOKUP(K148,'Commodities &amp; Processes'!$L$48:$M$87,2,FALSE))</f>
        <v>SRV Air conditioning tech: Electricity - Air conditioning (Ord.)</v>
      </c>
      <c r="M148" s="208"/>
      <c r="N148" s="242">
        <f>'Key Inputs_New Techs'!H110</f>
        <v>2020</v>
      </c>
      <c r="O148" s="437" t="s">
        <v>451</v>
      </c>
      <c r="P148" s="229" t="s">
        <v>409</v>
      </c>
      <c r="Q148" s="229"/>
      <c r="R148" s="438">
        <f>'Key Inputs_New Techs'!K110</f>
        <v>140.91947730498643</v>
      </c>
      <c r="S148" s="438">
        <f>'Key Inputs_New Techs'!L110</f>
        <v>146.20238207690758</v>
      </c>
      <c r="T148" s="438">
        <f>'Key Inputs_New Techs'!M110</f>
        <v>140.90475432226333</v>
      </c>
      <c r="U148" s="438">
        <f>'Key Inputs_New Techs'!N110</f>
        <v>143.15830731429085</v>
      </c>
      <c r="V148" s="438">
        <f>'Key Inputs_New Techs'!O110</f>
        <v>169.6916933793587</v>
      </c>
      <c r="W148" s="438">
        <f>'Key Inputs_New Techs'!P110</f>
        <v>145.23762594311341</v>
      </c>
      <c r="X148" s="438">
        <f>'Key Inputs_New Techs'!Q110</f>
        <v>148.45897542434824</v>
      </c>
      <c r="Y148" s="438">
        <f>'Key Inputs_New Techs'!R110</f>
        <v>142.77364890912432</v>
      </c>
      <c r="Z148" s="438">
        <f>'Key Inputs_New Techs'!S110</f>
        <v>148.47317163493844</v>
      </c>
      <c r="AA148" s="438">
        <f>'Key Inputs_New Techs'!T110</f>
        <v>170.16863432332622</v>
      </c>
      <c r="AB148" s="438">
        <f>'Key Inputs_New Techs'!U110</f>
        <v>154.84310567079649</v>
      </c>
      <c r="AC148" s="438">
        <f>'Key Inputs_New Techs'!V110</f>
        <v>149.43199568323143</v>
      </c>
      <c r="AD148" s="438">
        <f>'Key Inputs_New Techs'!W110</f>
        <v>148.82667642452898</v>
      </c>
      <c r="AE148" s="438">
        <f>'Key Inputs_New Techs'!X110</f>
        <v>171.02631495595236</v>
      </c>
      <c r="AF148" s="438">
        <f>'Key Inputs_New Techs'!Y110</f>
        <v>159.80689335905191</v>
      </c>
      <c r="AG148" s="438">
        <f>'Key Inputs_New Techs'!Z110</f>
        <v>165.76974532376371</v>
      </c>
      <c r="AH148" s="438">
        <f>'Key Inputs_New Techs'!AA110</f>
        <v>174.04260510000003</v>
      </c>
      <c r="AI148" s="438">
        <f>'Key Inputs_New Techs'!AB110</f>
        <v>146.03466992123202</v>
      </c>
      <c r="AJ148" s="438">
        <f>'Key Inputs_New Techs'!AC110</f>
        <v>143.39722400381322</v>
      </c>
      <c r="AK148" s="438">
        <f>'Key Inputs_New Techs'!AD110</f>
        <v>165.44073267925117</v>
      </c>
      <c r="AL148" s="438">
        <f>'Key Inputs_New Techs'!AE110</f>
        <v>147.13412129619115</v>
      </c>
      <c r="AM148" s="438">
        <f>'Key Inputs_New Techs'!AF110</f>
        <v>153.58989805565307</v>
      </c>
      <c r="AN148" s="438">
        <f>'Key Inputs_New Techs'!AG110</f>
        <v>152.76053534093444</v>
      </c>
      <c r="AO148" s="438">
        <f>'Key Inputs_New Techs'!AH110</f>
        <v>152.1655196243585</v>
      </c>
      <c r="AP148" s="438">
        <f>'Key Inputs_New Techs'!AI110</f>
        <v>142.42786022133819</v>
      </c>
      <c r="AQ148" s="438">
        <f>'Key Inputs_New Techs'!AJ110</f>
        <v>156.66122787126608</v>
      </c>
      <c r="AR148" s="438">
        <f>'Key Inputs_New Techs'!AK110</f>
        <v>166.13547369712612</v>
      </c>
      <c r="AS148" s="438">
        <f>'Key Inputs_New Techs'!AL110</f>
        <v>178.53741159132909</v>
      </c>
    </row>
    <row r="149" spans="1:45" x14ac:dyDescent="0.3">
      <c r="K149" s="328" t="str">
        <f>IF('Key Inputs_New Techs'!B111="","",'Key Inputs_New Techs'!B111)</f>
        <v>S-AC_ELC02</v>
      </c>
      <c r="L149" s="201" t="str">
        <f>IF(K149="","",VLOOKUP(K149,'Commodities &amp; Processes'!$L$48:$M$87,2,FALSE))</f>
        <v>SRV Air conditioning tech: Electricity - Air conditioning (Imp.)</v>
      </c>
      <c r="N149" s="222">
        <f>'Key Inputs_New Techs'!H111</f>
        <v>2030</v>
      </c>
      <c r="O149" s="331" t="s">
        <v>451</v>
      </c>
      <c r="P149" s="212" t="s">
        <v>409</v>
      </c>
      <c r="Q149" s="212"/>
      <c r="R149" s="224">
        <f>'Key Inputs_New Techs'!K111</f>
        <v>182.64469068701294</v>
      </c>
      <c r="S149" s="224">
        <f>'Key Inputs_New Techs'!L111</f>
        <v>189.49182442927201</v>
      </c>
      <c r="T149" s="224">
        <f>'Key Inputs_New Techs'!M111</f>
        <v>182.62560833816465</v>
      </c>
      <c r="U149" s="224">
        <f>'Key Inputs_New Techs'!N111</f>
        <v>185.5464216781464</v>
      </c>
      <c r="V149" s="224">
        <f>'Key Inputs_New Techs'!O111</f>
        <v>219.93614681348038</v>
      </c>
      <c r="W149" s="224">
        <f>'Key Inputs_New Techs'!P111</f>
        <v>188.24141115060311</v>
      </c>
      <c r="X149" s="224">
        <f>'Key Inputs_New Techs'!Q111</f>
        <v>192.41657835138358</v>
      </c>
      <c r="Y149" s="224">
        <f>'Key Inputs_New Techs'!R111</f>
        <v>185.0478687685316</v>
      </c>
      <c r="Z149" s="224">
        <f>'Key Inputs_New Techs'!S111</f>
        <v>192.43497795477242</v>
      </c>
      <c r="AA149" s="224">
        <f>'Key Inputs_New Techs'!T111</f>
        <v>220.55430643806079</v>
      </c>
      <c r="AB149" s="224">
        <f>'Key Inputs_New Techs'!U111</f>
        <v>200.69100227395148</v>
      </c>
      <c r="AC149" s="224">
        <f>'Key Inputs_New Techs'!V111</f>
        <v>193.67770270136461</v>
      </c>
      <c r="AD149" s="224">
        <f>'Key Inputs_New Techs'!W111</f>
        <v>192.89315289400673</v>
      </c>
      <c r="AE149" s="224">
        <f>'Key Inputs_New Techs'!X111</f>
        <v>221.66593995281769</v>
      </c>
      <c r="AF149" s="224">
        <f>'Key Inputs_New Techs'!Y111</f>
        <v>207.12453072790163</v>
      </c>
      <c r="AG149" s="224">
        <f>'Key Inputs_New Techs'!Z111</f>
        <v>214.85293899009079</v>
      </c>
      <c r="AH149" s="224">
        <f>'Key Inputs_New Techs'!AA111</f>
        <v>225.57533126562791</v>
      </c>
      <c r="AI149" s="224">
        <f>'Key Inputs_New Techs'!AB111</f>
        <v>189.27445394661319</v>
      </c>
      <c r="AJ149" s="224">
        <f>'Key Inputs_New Techs'!AC111</f>
        <v>185.8560798296831</v>
      </c>
      <c r="AK149" s="224">
        <f>'Key Inputs_New Techs'!AD111</f>
        <v>214.42650813866877</v>
      </c>
      <c r="AL149" s="224">
        <f>'Key Inputs_New Techs'!AE111</f>
        <v>190.69944472961345</v>
      </c>
      <c r="AM149" s="224">
        <f>'Key Inputs_New Techs'!AF111</f>
        <v>199.06672916698346</v>
      </c>
      <c r="AN149" s="224">
        <f>'Key Inputs_New Techs'!AG111</f>
        <v>197.99179829586416</v>
      </c>
      <c r="AO149" s="224">
        <f>'Key Inputs_New Techs'!AH111</f>
        <v>197.22060283313391</v>
      </c>
      <c r="AP149" s="224">
        <f>'Key Inputs_New Techs'!AI111</f>
        <v>184.59969461168967</v>
      </c>
      <c r="AQ149" s="224">
        <f>'Key Inputs_New Techs'!AJ111</f>
        <v>203.04745699040828</v>
      </c>
      <c r="AR149" s="224">
        <f>'Key Inputs_New Techs'!AK111</f>
        <v>215.32695682570673</v>
      </c>
      <c r="AS149" s="224">
        <f>'Key Inputs_New Techs'!AL111</f>
        <v>231.40101666417658</v>
      </c>
    </row>
    <row r="150" spans="1:45" x14ac:dyDescent="0.3">
      <c r="K150" s="328" t="str">
        <f>IF('Key Inputs_New Techs'!B112="","",'Key Inputs_New Techs'!B112)</f>
        <v/>
      </c>
      <c r="L150" s="201" t="str">
        <f>IF(K150="","",VLOOKUP(K150,'Commodities &amp; Processes'!$L$48:$M$87,2,FALSE))</f>
        <v/>
      </c>
      <c r="N150" s="222">
        <f>'Key Inputs_New Techs'!H112</f>
        <v>2050</v>
      </c>
      <c r="O150" s="331" t="s">
        <v>451</v>
      </c>
      <c r="P150" s="212" t="s">
        <v>409</v>
      </c>
      <c r="Q150" s="212"/>
      <c r="R150" s="224">
        <f>'Key Inputs_New Techs'!K112</f>
        <v>165.18033969815258</v>
      </c>
      <c r="S150" s="224">
        <f>'Key Inputs_New Techs'!L112</f>
        <v>171.37275554802355</v>
      </c>
      <c r="T150" s="224">
        <f>'Key Inputs_New Techs'!M112</f>
        <v>165.16308198946618</v>
      </c>
      <c r="U150" s="224">
        <f>'Key Inputs_New Techs'!N112</f>
        <v>167.80460930612847</v>
      </c>
      <c r="V150" s="224">
        <f>'Key Inputs_New Techs'!O112</f>
        <v>198.9060142175633</v>
      </c>
      <c r="W150" s="224">
        <f>'Key Inputs_New Techs'!P112</f>
        <v>170.24190586738567</v>
      </c>
      <c r="X150" s="224">
        <f>'Key Inputs_New Techs'!Q112</f>
        <v>174.01784665125069</v>
      </c>
      <c r="Y150" s="224">
        <f>'Key Inputs_New Techs'!R112</f>
        <v>167.35372765904683</v>
      </c>
      <c r="Z150" s="224">
        <f>'Key Inputs_New Techs'!S112</f>
        <v>174.03448689809633</v>
      </c>
      <c r="AA150" s="224">
        <f>'Key Inputs_New Techs'!T112</f>
        <v>199.46506587349592</v>
      </c>
      <c r="AB150" s="224">
        <f>'Key Inputs_New Techs'!U112</f>
        <v>181.50107624415705</v>
      </c>
      <c r="AC150" s="224">
        <f>'Key Inputs_New Techs'!V112</f>
        <v>175.15838321843978</v>
      </c>
      <c r="AD150" s="224">
        <f>'Key Inputs_New Techs'!W112</f>
        <v>174.4488514866274</v>
      </c>
      <c r="AE150" s="224">
        <f>'Key Inputs_New Techs'!X112</f>
        <v>200.47040580917493</v>
      </c>
      <c r="AF150" s="224">
        <f>'Key Inputs_New Techs'!Y112</f>
        <v>187.31943543918172</v>
      </c>
      <c r="AG150" s="224">
        <f>'Key Inputs_New Techs'!Z112</f>
        <v>194.30885898756185</v>
      </c>
      <c r="AH150" s="224">
        <f>'Key Inputs_New Techs'!AA112</f>
        <v>204.00598400000004</v>
      </c>
      <c r="AI150" s="224">
        <f>'Key Inputs_New Techs'!AB112</f>
        <v>171.1761698710412</v>
      </c>
      <c r="AJ150" s="224">
        <f>'Key Inputs_New Techs'!AC112</f>
        <v>168.08465817296786</v>
      </c>
      <c r="AK150" s="224">
        <f>'Key Inputs_New Techs'!AD112</f>
        <v>193.92320314051418</v>
      </c>
      <c r="AL150" s="224">
        <f>'Key Inputs_New Techs'!AE112</f>
        <v>172.46490408344749</v>
      </c>
      <c r="AM150" s="224">
        <f>'Key Inputs_New Techs'!AF112</f>
        <v>180.03211493702926</v>
      </c>
      <c r="AN150" s="224">
        <f>'Key Inputs_New Techs'!AG112</f>
        <v>179.05996816519786</v>
      </c>
      <c r="AO150" s="224">
        <f>'Key Inputs_New Techs'!AH112</f>
        <v>178.36251384540191</v>
      </c>
      <c r="AP150" s="224">
        <f>'Key Inputs_New Techs'!AI112</f>
        <v>166.94840758545138</v>
      </c>
      <c r="AQ150" s="224">
        <f>'Key Inputs_New Techs'!AJ112</f>
        <v>183.63220849379175</v>
      </c>
      <c r="AR150" s="224">
        <f>'Key Inputs_New Techs'!AK112</f>
        <v>194.73755158637493</v>
      </c>
      <c r="AS150" s="224">
        <f>'Key Inputs_New Techs'!AL112</f>
        <v>209.27462164551395</v>
      </c>
    </row>
    <row r="151" spans="1:45" x14ac:dyDescent="0.3">
      <c r="K151" s="328" t="str">
        <f>IF('Key Inputs_New Techs'!B113="","",'Key Inputs_New Techs'!B113)</f>
        <v>S-AC_ELC03</v>
      </c>
      <c r="L151" s="201" t="str">
        <f>IF(K151="","",VLOOKUP(K151,'Commodities &amp; Processes'!$L$48:$M$87,2,FALSE))</f>
        <v>SRV Air conditioning tech: Electricity - Air conditioning (Adv.)</v>
      </c>
      <c r="N151" s="222">
        <f>'Key Inputs_New Techs'!H113</f>
        <v>2030</v>
      </c>
      <c r="O151" s="331" t="s">
        <v>451</v>
      </c>
      <c r="P151" s="212" t="s">
        <v>409</v>
      </c>
      <c r="Q151" s="212"/>
      <c r="R151" s="224">
        <f>'Key Inputs_New Techs'!K113</f>
        <v>236.79084057569307</v>
      </c>
      <c r="S151" s="224">
        <f>'Key Inputs_New Techs'!L113</f>
        <v>245.66784952823966</v>
      </c>
      <c r="T151" s="224">
        <f>'Key Inputs_New Techs'!M113</f>
        <v>236.76610114632916</v>
      </c>
      <c r="U151" s="224">
        <f>'Key Inputs_New Techs'!N113</f>
        <v>240.55280769299887</v>
      </c>
      <c r="V151" s="224">
        <f>'Key Inputs_New Techs'!O113</f>
        <v>285.13757986093026</v>
      </c>
      <c r="W151" s="224">
        <f>'Key Inputs_New Techs'!P113</f>
        <v>244.04674348782152</v>
      </c>
      <c r="X151" s="224">
        <f>'Key Inputs_New Techs'!Q113</f>
        <v>249.45966486702025</v>
      </c>
      <c r="Y151" s="224">
        <f>'Key Inputs_New Techs'!R113</f>
        <v>239.90645568520114</v>
      </c>
      <c r="Z151" s="224">
        <f>'Key Inputs_New Techs'!S113</f>
        <v>249.48351914680421</v>
      </c>
      <c r="AA151" s="224">
        <f>'Key Inputs_New Techs'!T113</f>
        <v>285.93899673521094</v>
      </c>
      <c r="AB151" s="224">
        <f>'Key Inputs_New Techs'!U113</f>
        <v>260.18709301472381</v>
      </c>
      <c r="AC151" s="224">
        <f>'Key Inputs_New Techs'!V113</f>
        <v>251.0946573421873</v>
      </c>
      <c r="AD151" s="224">
        <f>'Key Inputs_New Techs'!W113</f>
        <v>250.07752288479364</v>
      </c>
      <c r="AE151" s="224">
        <f>'Key Inputs_New Techs'!X113</f>
        <v>287.38018089107823</v>
      </c>
      <c r="AF151" s="224">
        <f>'Key Inputs_New Techs'!Y113</f>
        <v>268.52788082929573</v>
      </c>
      <c r="AG151" s="224">
        <f>'Key Inputs_New Techs'!Z113</f>
        <v>278.54742359198076</v>
      </c>
      <c r="AH151" s="224">
        <f>'Key Inputs_New Techs'!AA113</f>
        <v>292.44853547405359</v>
      </c>
      <c r="AI151" s="224">
        <f>'Key Inputs_New Techs'!AB113</f>
        <v>245.3860382195642</v>
      </c>
      <c r="AJ151" s="224">
        <f>'Key Inputs_New Techs'!AC113</f>
        <v>240.95426592163764</v>
      </c>
      <c r="AK151" s="224">
        <f>'Key Inputs_New Techs'!AD113</f>
        <v>277.99457467326425</v>
      </c>
      <c r="AL151" s="224">
        <f>'Key Inputs_New Techs'!AE113</f>
        <v>247.23347634683762</v>
      </c>
      <c r="AM151" s="224">
        <f>'Key Inputs_New Techs'!AF113</f>
        <v>258.08129408415135</v>
      </c>
      <c r="AN151" s="224">
        <f>'Key Inputs_New Techs'!AG113</f>
        <v>256.68769329797095</v>
      </c>
      <c r="AO151" s="224">
        <f>'Key Inputs_New Techs'!AH113</f>
        <v>255.68787216338902</v>
      </c>
      <c r="AP151" s="224">
        <f>'Key Inputs_New Techs'!AI113</f>
        <v>239.32541752349098</v>
      </c>
      <c r="AQ151" s="224">
        <f>'Key Inputs_New Techs'!AJ113</f>
        <v>263.24213332818437</v>
      </c>
      <c r="AR151" s="224">
        <f>'Key Inputs_New Techs'!AK113</f>
        <v>279.16196695111796</v>
      </c>
      <c r="AS151" s="224">
        <f>'Key Inputs_New Techs'!AL113</f>
        <v>300.00128139435958</v>
      </c>
    </row>
    <row r="152" spans="1:45" x14ac:dyDescent="0.3">
      <c r="K152" s="328" t="str">
        <f>IF('Key Inputs_New Techs'!B114="","",'Key Inputs_New Techs'!B114)</f>
        <v/>
      </c>
      <c r="L152" s="201" t="str">
        <f>IF(K152="","",VLOOKUP(K152,'Commodities &amp; Processes'!$L$48:$M$87,2,FALSE))</f>
        <v/>
      </c>
      <c r="N152" s="222">
        <f>'Key Inputs_New Techs'!H114</f>
        <v>2050</v>
      </c>
      <c r="O152" s="331" t="s">
        <v>451</v>
      </c>
      <c r="P152" s="212" t="s">
        <v>409</v>
      </c>
      <c r="Q152" s="212"/>
      <c r="R152" s="224">
        <f>'Key Inputs_New Techs'!K114</f>
        <v>233.29146854748089</v>
      </c>
      <c r="S152" s="224">
        <f>'Key Inputs_New Techs'!L114</f>
        <v>242.03729017560562</v>
      </c>
      <c r="T152" s="224">
        <f>'Key Inputs_New Techs'!M114</f>
        <v>233.26709472544749</v>
      </c>
      <c r="U152" s="224">
        <f>'Key Inputs_New Techs'!N114</f>
        <v>236.99784009162454</v>
      </c>
      <c r="V152" s="224">
        <f>'Key Inputs_New Techs'!O114</f>
        <v>280.92372400091654</v>
      </c>
      <c r="W152" s="224">
        <f>'Key Inputs_New Techs'!P114</f>
        <v>240.4401413673119</v>
      </c>
      <c r="X152" s="224">
        <f>'Key Inputs_New Techs'!Q114</f>
        <v>245.77306883450274</v>
      </c>
      <c r="Y152" s="224">
        <f>'Key Inputs_New Techs'!R114</f>
        <v>236.36104008394204</v>
      </c>
      <c r="Z152" s="224">
        <f>'Key Inputs_New Techs'!S114</f>
        <v>245.79657058798449</v>
      </c>
      <c r="AA152" s="224">
        <f>'Key Inputs_New Techs'!T114</f>
        <v>281.71329727606997</v>
      </c>
      <c r="AB152" s="224">
        <f>'Key Inputs_New Techs'!U114</f>
        <v>256.34196356130428</v>
      </c>
      <c r="AC152" s="224">
        <f>'Key Inputs_New Techs'!V114</f>
        <v>247.38389885929789</v>
      </c>
      <c r="AD152" s="224">
        <f>'Key Inputs_New Techs'!W114</f>
        <v>246.38179594560955</v>
      </c>
      <c r="AE152" s="224">
        <f>'Key Inputs_New Techs'!X114</f>
        <v>283.13318314391944</v>
      </c>
      <c r="AF152" s="224">
        <f>'Key Inputs_New Techs'!Y114</f>
        <v>264.55948850176924</v>
      </c>
      <c r="AG152" s="224">
        <f>'Key Inputs_New Techs'!Z114</f>
        <v>274.43095920392199</v>
      </c>
      <c r="AH152" s="224">
        <f>'Key Inputs_New Techs'!AA114</f>
        <v>288.12663593502822</v>
      </c>
      <c r="AI152" s="224">
        <f>'Key Inputs_New Techs'!AB114</f>
        <v>241.75964356607315</v>
      </c>
      <c r="AJ152" s="224">
        <f>'Key Inputs_New Techs'!AC114</f>
        <v>237.39336544003714</v>
      </c>
      <c r="AK152" s="224">
        <f>'Key Inputs_New Techs'!AD114</f>
        <v>273.88628046627025</v>
      </c>
      <c r="AL152" s="224">
        <f>'Key Inputs_New Techs'!AE114</f>
        <v>243.57977965205683</v>
      </c>
      <c r="AM152" s="224">
        <f>'Key Inputs_New Techs'!AF114</f>
        <v>254.26728481197185</v>
      </c>
      <c r="AN152" s="224">
        <f>'Key Inputs_New Techs'!AG114</f>
        <v>252.89427911130144</v>
      </c>
      <c r="AO152" s="224">
        <f>'Key Inputs_New Techs'!AH114</f>
        <v>251.9092336585114</v>
      </c>
      <c r="AP152" s="224">
        <f>'Key Inputs_New Techs'!AI114</f>
        <v>235.7885886930946</v>
      </c>
      <c r="AQ152" s="224">
        <f>'Key Inputs_New Techs'!AJ114</f>
        <v>259.35185549574823</v>
      </c>
      <c r="AR152" s="224">
        <f>'Key Inputs_New Techs'!AK114</f>
        <v>275.03642064149557</v>
      </c>
      <c r="AS152" s="224">
        <f>'Key Inputs_New Techs'!AL114</f>
        <v>295.56776492055133</v>
      </c>
    </row>
    <row r="153" spans="1:45" x14ac:dyDescent="0.3">
      <c r="K153" s="328" t="str">
        <f>IF('Key Inputs_New Techs'!B115="","",'Key Inputs_New Techs'!B115)</f>
        <v>S-AC_GAS01</v>
      </c>
      <c r="L153" s="201" t="str">
        <f>IF(K153="","",VLOOKUP(K153,'Commodities &amp; Processes'!$L$48:$M$87,2,FALSE))</f>
        <v>SRV Air conditioning tech: Natural gas, Biogas - Air conditioning (Ord.)</v>
      </c>
      <c r="N153" s="222">
        <f>'Key Inputs_New Techs'!H115</f>
        <v>2020</v>
      </c>
      <c r="O153" s="331" t="s">
        <v>451</v>
      </c>
      <c r="P153" s="212" t="s">
        <v>409</v>
      </c>
      <c r="Q153" s="212"/>
      <c r="R153" s="224">
        <f>'Key Inputs_New Techs'!K115</f>
        <v>596.19778859801943</v>
      </c>
      <c r="S153" s="224">
        <f>'Key Inputs_New Techs'!L115</f>
        <v>618.54853955614738</v>
      </c>
      <c r="T153" s="224">
        <f>'Key Inputs_New Techs'!M115</f>
        <v>596.13549905572938</v>
      </c>
      <c r="U153" s="224">
        <f>'Key Inputs_New Techs'!N115</f>
        <v>605.66976171430736</v>
      </c>
      <c r="V153" s="224">
        <f>'Key Inputs_New Techs'!O115</f>
        <v>717.92639506651744</v>
      </c>
      <c r="W153" s="224">
        <f>'Key Inputs_New Techs'!P115</f>
        <v>614.4668789900951</v>
      </c>
      <c r="X153" s="224">
        <f>'Key Inputs_New Techs'!Q115</f>
        <v>628.09566525685796</v>
      </c>
      <c r="Y153" s="224">
        <f>'Key Inputs_New Techs'!R115</f>
        <v>604.04236076937207</v>
      </c>
      <c r="Z153" s="224">
        <f>'Key Inputs_New Techs'!S115</f>
        <v>628.15572614781649</v>
      </c>
      <c r="AA153" s="224">
        <f>'Key Inputs_New Techs'!T115</f>
        <v>719.94422213714927</v>
      </c>
      <c r="AB153" s="224">
        <f>'Key Inputs_New Techs'!U115</f>
        <v>655.1054470687543</v>
      </c>
      <c r="AC153" s="224">
        <f>'Key Inputs_New Techs'!V115</f>
        <v>632.212289429056</v>
      </c>
      <c r="AD153" s="224">
        <f>'Key Inputs_New Techs'!W115</f>
        <v>629.65132333454574</v>
      </c>
      <c r="AE153" s="224">
        <f>'Key Inputs_New Techs'!X115</f>
        <v>723.57287096749076</v>
      </c>
      <c r="AF153" s="224">
        <f>'Key Inputs_New Techs'!Y115</f>
        <v>676.10608728829652</v>
      </c>
      <c r="AG153" s="224">
        <f>'Key Inputs_New Techs'!Z115</f>
        <v>701.33353790823105</v>
      </c>
      <c r="AH153" s="224">
        <f>'Key Inputs_New Techs'!AA115</f>
        <v>736.3340985000001</v>
      </c>
      <c r="AI153" s="224">
        <f>'Key Inputs_New Techs'!AB115</f>
        <v>617.83898812828932</v>
      </c>
      <c r="AJ153" s="224">
        <f>'Key Inputs_New Techs'!AC115</f>
        <v>606.68056309305587</v>
      </c>
      <c r="AK153" s="224">
        <f>'Key Inputs_New Techs'!AD115</f>
        <v>699.94156133529327</v>
      </c>
      <c r="AL153" s="224">
        <f>'Key Inputs_New Techs'!AE115</f>
        <v>622.4905131761933</v>
      </c>
      <c r="AM153" s="224">
        <f>'Key Inputs_New Techs'!AF115</f>
        <v>649.80341485083989</v>
      </c>
      <c r="AN153" s="224">
        <f>'Key Inputs_New Techs'!AG115</f>
        <v>646.29457259626099</v>
      </c>
      <c r="AO153" s="224">
        <f>'Key Inputs_New Techs'!AH115</f>
        <v>643.77719841074747</v>
      </c>
      <c r="AP153" s="224">
        <f>'Key Inputs_New Techs'!AI115</f>
        <v>602.57940862873852</v>
      </c>
      <c r="AQ153" s="224">
        <f>'Key Inputs_New Techs'!AJ115</f>
        <v>662.79750253227951</v>
      </c>
      <c r="AR153" s="224">
        <f>'Key Inputs_New Techs'!AK115</f>
        <v>702.88085025707198</v>
      </c>
      <c r="AS153" s="224">
        <f>'Key Inputs_New Techs'!AL115</f>
        <v>755.35058750177677</v>
      </c>
    </row>
    <row r="154" spans="1:45" x14ac:dyDescent="0.3">
      <c r="K154" s="328" t="str">
        <f>IF('Key Inputs_New Techs'!B116="","",'Key Inputs_New Techs'!B116)</f>
        <v>S-AC_GAS02</v>
      </c>
      <c r="L154" s="201" t="str">
        <f>IF(K154="","",VLOOKUP(K154,'Commodities &amp; Processes'!$L$48:$M$87,2,FALSE))</f>
        <v>SRV Air conditioning tech: Natural gas, Biogas - Air conditioning (Imp.)</v>
      </c>
      <c r="N154" s="222">
        <f>'Key Inputs_New Techs'!H116</f>
        <v>2030</v>
      </c>
      <c r="O154" s="331" t="s">
        <v>451</v>
      </c>
      <c r="P154" s="212" t="s">
        <v>409</v>
      </c>
      <c r="Q154" s="212"/>
      <c r="R154" s="224">
        <f>'Key Inputs_New Techs'!K116</f>
        <v>540.96561251144976</v>
      </c>
      <c r="S154" s="224">
        <f>'Key Inputs_New Techs'!L116</f>
        <v>561.24577441977715</v>
      </c>
      <c r="T154" s="224">
        <f>'Key Inputs_New Techs'!M116</f>
        <v>540.9090935155017</v>
      </c>
      <c r="U154" s="224">
        <f>'Key Inputs_New Techs'!N116</f>
        <v>549.56009547757071</v>
      </c>
      <c r="V154" s="224">
        <f>'Key Inputs_New Techs'!O116</f>
        <v>651.41719656251985</v>
      </c>
      <c r="W154" s="224">
        <f>'Key Inputs_New Techs'!P116</f>
        <v>557.54224171568808</v>
      </c>
      <c r="X154" s="224">
        <f>'Key Inputs_New Techs'!Q116</f>
        <v>569.908447782846</v>
      </c>
      <c r="Y154" s="224">
        <f>'Key Inputs_New Techs'!R116</f>
        <v>548.08345808337833</v>
      </c>
      <c r="Z154" s="224">
        <f>'Key Inputs_New Techs'!S116</f>
        <v>569.96294459126557</v>
      </c>
      <c r="AA154" s="224">
        <f>'Key Inputs_New Techs'!T116</f>
        <v>653.24809073569918</v>
      </c>
      <c r="AB154" s="224">
        <f>'Key Inputs_New Techs'!U116</f>
        <v>594.41602469961435</v>
      </c>
      <c r="AC154" s="224">
        <f>'Key Inputs_New Techs'!V116</f>
        <v>573.64370504039027</v>
      </c>
      <c r="AD154" s="224">
        <f>'Key Inputs_New Techs'!W116</f>
        <v>571.31998861870477</v>
      </c>
      <c r="AE154" s="224">
        <f>'Key Inputs_New Techs'!X116</f>
        <v>656.54057902504792</v>
      </c>
      <c r="AF154" s="224">
        <f>'Key Inputs_New Techs'!Y116</f>
        <v>613.47115106332012</v>
      </c>
      <c r="AG154" s="224">
        <f>'Key Inputs_New Techs'!Z116</f>
        <v>636.36151318426505</v>
      </c>
      <c r="AH154" s="224">
        <f>'Key Inputs_New Techs'!AA116</f>
        <v>668.11959760000013</v>
      </c>
      <c r="AI154" s="224">
        <f>'Key Inputs_New Techs'!AB116</f>
        <v>560.60195632765988</v>
      </c>
      <c r="AJ154" s="224">
        <f>'Key Inputs_New Techs'!AC116</f>
        <v>550.47725551646977</v>
      </c>
      <c r="AK154" s="224">
        <f>'Key Inputs_New Techs'!AD116</f>
        <v>635.09849028518397</v>
      </c>
      <c r="AL154" s="224">
        <f>'Key Inputs_New Techs'!AE116</f>
        <v>564.82256087329051</v>
      </c>
      <c r="AM154" s="224">
        <f>'Key Inputs_New Techs'!AF116</f>
        <v>589.60517641877084</v>
      </c>
      <c r="AN154" s="224">
        <f>'Key Inputs_New Techs'!AG116</f>
        <v>586.42139574102305</v>
      </c>
      <c r="AO154" s="224">
        <f>'Key Inputs_New Techs'!AH116</f>
        <v>584.13723284369132</v>
      </c>
      <c r="AP154" s="224">
        <f>'Key Inputs_New Techs'!AI116</f>
        <v>546.75603484235319</v>
      </c>
      <c r="AQ154" s="224">
        <f>'Key Inputs_New Techs'!AJ116</f>
        <v>601.39548281716793</v>
      </c>
      <c r="AR154" s="224">
        <f>'Key Inputs_New Techs'!AK116</f>
        <v>637.76548144537787</v>
      </c>
      <c r="AS154" s="224">
        <f>'Key Inputs_New Techs'!AL116</f>
        <v>685.3743858890582</v>
      </c>
    </row>
    <row r="155" spans="1:45" x14ac:dyDescent="0.3">
      <c r="K155" s="328" t="str">
        <f>IF('Key Inputs_New Techs'!B117="","",'Key Inputs_New Techs'!B117)</f>
        <v/>
      </c>
      <c r="L155" s="201" t="str">
        <f>IF(K155="","",VLOOKUP(K155,'Commodities &amp; Processes'!$L$48:$M$87,2,FALSE))</f>
        <v/>
      </c>
      <c r="N155" s="222">
        <f>'Key Inputs_New Techs'!H117</f>
        <v>2050</v>
      </c>
      <c r="O155" s="331" t="s">
        <v>451</v>
      </c>
      <c r="P155" s="212" t="s">
        <v>409</v>
      </c>
      <c r="Q155" s="212"/>
      <c r="R155" s="224">
        <f>'Key Inputs_New Techs'!K117</f>
        <v>362.48825546759588</v>
      </c>
      <c r="S155" s="224">
        <f>'Key Inputs_New Techs'!L117</f>
        <v>376.07751205013767</v>
      </c>
      <c r="T155" s="224">
        <f>'Key Inputs_New Techs'!M117</f>
        <v>362.4503834258835</v>
      </c>
      <c r="U155" s="224">
        <f>'Key Inputs_New Techs'!N117</f>
        <v>368.24721512229894</v>
      </c>
      <c r="V155" s="224">
        <f>'Key Inputs_New Techs'!O117</f>
        <v>436.49924820044265</v>
      </c>
      <c r="W155" s="224">
        <f>'Key Inputs_New Techs'!P117</f>
        <v>373.59586242597788</v>
      </c>
      <c r="X155" s="224">
        <f>'Key Inputs_New Techs'!Q117</f>
        <v>381.88216447616963</v>
      </c>
      <c r="Y155" s="224">
        <f>'Key Inputs_New Techs'!R117</f>
        <v>367.2577553477783</v>
      </c>
      <c r="Z155" s="224">
        <f>'Key Inputs_New Techs'!S117</f>
        <v>381.91868149787246</v>
      </c>
      <c r="AA155" s="224">
        <f>'Key Inputs_New Techs'!T117</f>
        <v>437.72608705938683</v>
      </c>
      <c r="AB155" s="224">
        <f>'Key Inputs_New Techs'!U117</f>
        <v>398.30411181780266</v>
      </c>
      <c r="AC155" s="224">
        <f>'Key Inputs_New Techs'!V117</f>
        <v>384.38507197286606</v>
      </c>
      <c r="AD155" s="224">
        <f>'Key Inputs_New Techs'!W117</f>
        <v>382.82800458740383</v>
      </c>
      <c r="AE155" s="224">
        <f>'Key Inputs_New Techs'!X117</f>
        <v>439.93230554823441</v>
      </c>
      <c r="AF155" s="224">
        <f>'Key Inputs_New Techs'!Y117</f>
        <v>411.07250107128431</v>
      </c>
      <c r="AG155" s="224">
        <f>'Key Inputs_New Techs'!Z117</f>
        <v>426.41079104820449</v>
      </c>
      <c r="AH155" s="224">
        <f>'Key Inputs_New Techs'!AA117</f>
        <v>447.69113188800009</v>
      </c>
      <c r="AI155" s="224">
        <f>'Key Inputs_New Techs'!AB117</f>
        <v>375.6461047819999</v>
      </c>
      <c r="AJ155" s="224">
        <f>'Key Inputs_New Techs'!AC117</f>
        <v>368.86178236057799</v>
      </c>
      <c r="AK155" s="224">
        <f>'Key Inputs_New Techs'!AD117</f>
        <v>425.56446929185836</v>
      </c>
      <c r="AL155" s="224">
        <f>'Key Inputs_New Techs'!AE117</f>
        <v>378.47423201112554</v>
      </c>
      <c r="AM155" s="224">
        <f>'Key Inputs_New Techs'!AF117</f>
        <v>395.0804762293107</v>
      </c>
      <c r="AN155" s="224">
        <f>'Key Inputs_New Techs'!AG117</f>
        <v>392.94710013852671</v>
      </c>
      <c r="AO155" s="224">
        <f>'Key Inputs_New Techs'!AH117</f>
        <v>391.41653663373449</v>
      </c>
      <c r="AP155" s="224">
        <f>'Key Inputs_New Techs'!AI117</f>
        <v>366.36828044627299</v>
      </c>
      <c r="AQ155" s="224">
        <f>'Key Inputs_New Techs'!AJ117</f>
        <v>402.98088153962601</v>
      </c>
      <c r="AR155" s="224">
        <f>'Key Inputs_New Techs'!AK117</f>
        <v>427.35155695629976</v>
      </c>
      <c r="AS155" s="224">
        <f>'Key Inputs_New Techs'!AL117</f>
        <v>459.25315720108034</v>
      </c>
    </row>
    <row r="156" spans="1:45" x14ac:dyDescent="0.3">
      <c r="K156" s="328" t="str">
        <f>IF('Key Inputs_New Techs'!B118="","",'Key Inputs_New Techs'!B118)</f>
        <v>S-AC_GAS03</v>
      </c>
      <c r="L156" s="201" t="str">
        <f>IF(K156="","",VLOOKUP(K156,'Commodities &amp; Processes'!$L$48:$M$87,2,FALSE))</f>
        <v>SRV Air conditioning tech: Natural gas, Biogas - Air conditioning (Adv.)</v>
      </c>
      <c r="N156" s="222">
        <f>'Key Inputs_New Techs'!H118</f>
        <v>2030</v>
      </c>
      <c r="O156" s="331" t="s">
        <v>451</v>
      </c>
      <c r="P156" s="212" t="s">
        <v>409</v>
      </c>
      <c r="Q156" s="212"/>
      <c r="R156" s="224">
        <f>'Key Inputs_New Techs'!K118</f>
        <v>593.09033345744797</v>
      </c>
      <c r="S156" s="224">
        <f>'Key Inputs_New Techs'!L118</f>
        <v>615.32458959240034</v>
      </c>
      <c r="T156" s="224">
        <f>'Key Inputs_New Techs'!M118</f>
        <v>593.02836857580269</v>
      </c>
      <c r="U156" s="224">
        <f>'Key Inputs_New Techs'!N118</f>
        <v>602.51293750173591</v>
      </c>
      <c r="V156" s="224">
        <f>'Key Inputs_New Techs'!O118</f>
        <v>714.18447567404962</v>
      </c>
      <c r="W156" s="224">
        <f>'Key Inputs_New Techs'!P118</f>
        <v>611.26420313596498</v>
      </c>
      <c r="X156" s="224">
        <f>'Key Inputs_New Techs'!Q118</f>
        <v>624.82195451673135</v>
      </c>
      <c r="Y156" s="224">
        <f>'Key Inputs_New Techs'!R118</f>
        <v>600.89401876778641</v>
      </c>
      <c r="Z156" s="224">
        <f>'Key Inputs_New Techs'!S118</f>
        <v>624.88170236304609</v>
      </c>
      <c r="AA156" s="224">
        <f>'Key Inputs_New Techs'!T118</f>
        <v>716.1917855854042</v>
      </c>
      <c r="AB156" s="224">
        <f>'Key Inputs_New Techs'!U118</f>
        <v>651.69095807191115</v>
      </c>
      <c r="AC156" s="224">
        <f>'Key Inputs_New Techs'!V118</f>
        <v>628.91712234475915</v>
      </c>
      <c r="AD156" s="224">
        <f>'Key Inputs_New Techs'!W118</f>
        <v>626.36950431595358</v>
      </c>
      <c r="AE156" s="224">
        <f>'Key Inputs_New Techs'!X118</f>
        <v>719.80152145820568</v>
      </c>
      <c r="AF156" s="224">
        <f>'Key Inputs_New Techs'!Y118</f>
        <v>672.58214040909695</v>
      </c>
      <c r="AG156" s="224">
        <f>'Key Inputs_New Techs'!Z118</f>
        <v>697.67810249852755</v>
      </c>
      <c r="AH156" s="224">
        <f>'Key Inputs_New Techs'!AA118</f>
        <v>732.49623592600017</v>
      </c>
      <c r="AI156" s="224">
        <f>'Key Inputs_New Techs'!AB118</f>
        <v>614.61873643259037</v>
      </c>
      <c r="AJ156" s="224">
        <f>'Key Inputs_New Techs'!AC118</f>
        <v>603.518470461177</v>
      </c>
      <c r="AK156" s="224">
        <f>'Key Inputs_New Techs'!AD118</f>
        <v>696.29338107621243</v>
      </c>
      <c r="AL156" s="224">
        <f>'Key Inputs_New Techs'!AE118</f>
        <v>619.24601716812344</v>
      </c>
      <c r="AM156" s="224">
        <f>'Key Inputs_New Techs'!AF118</f>
        <v>646.41656068858708</v>
      </c>
      <c r="AN156" s="224">
        <f>'Key Inputs_New Techs'!AG118</f>
        <v>642.92600694515329</v>
      </c>
      <c r="AO156" s="224">
        <f>'Key Inputs_New Techs'!AH118</f>
        <v>640.42175361903094</v>
      </c>
      <c r="AP156" s="224">
        <f>'Key Inputs_New Techs'!AI118</f>
        <v>599.43869171103722</v>
      </c>
      <c r="AQ156" s="224">
        <f>'Key Inputs_New Techs'!AJ118</f>
        <v>659.34292160999019</v>
      </c>
      <c r="AR156" s="224">
        <f>'Key Inputs_New Techs'!AK118</f>
        <v>699.21735006785332</v>
      </c>
      <c r="AS156" s="224">
        <f>'Key Inputs_New Techs'!AL118</f>
        <v>751.41360868207062</v>
      </c>
    </row>
    <row r="157" spans="1:45" x14ac:dyDescent="0.3">
      <c r="K157" s="328" t="str">
        <f>IF('Key Inputs_New Techs'!B119="","",'Key Inputs_New Techs'!B119)</f>
        <v/>
      </c>
      <c r="L157" s="201" t="str">
        <f>IF(K157="","",VLOOKUP(K157,'Commodities &amp; Processes'!$L$48:$M$87,2,FALSE))</f>
        <v/>
      </c>
      <c r="N157" s="222">
        <f>'Key Inputs_New Techs'!H119</f>
        <v>2050</v>
      </c>
      <c r="O157" s="331" t="s">
        <v>451</v>
      </c>
      <c r="P157" s="212" t="s">
        <v>409</v>
      </c>
      <c r="Q157" s="212"/>
      <c r="R157" s="224">
        <f>'Key Inputs_New Techs'!K119</f>
        <v>400.05026471495552</v>
      </c>
      <c r="S157" s="224">
        <f>'Key Inputs_New Techs'!L119</f>
        <v>415.04767666175798</v>
      </c>
      <c r="T157" s="224">
        <f>'Key Inputs_New Techs'!M119</f>
        <v>400.00846827028789</v>
      </c>
      <c r="U157" s="224">
        <f>'Key Inputs_New Techs'!N119</f>
        <v>406.40598327851228</v>
      </c>
      <c r="V157" s="224">
        <f>'Key Inputs_New Techs'!O119</f>
        <v>481.73047583351627</v>
      </c>
      <c r="W157" s="224">
        <f>'Key Inputs_New Techs'!P119</f>
        <v>412.30887182022116</v>
      </c>
      <c r="X157" s="224">
        <f>'Key Inputs_New Techs'!Q119</f>
        <v>421.45382280466379</v>
      </c>
      <c r="Y157" s="224">
        <f>'Key Inputs_New Techs'!R119</f>
        <v>405.31399301744528</v>
      </c>
      <c r="Z157" s="224">
        <f>'Key Inputs_New Techs'!S119</f>
        <v>421.4941238184993</v>
      </c>
      <c r="AA157" s="224">
        <f>'Key Inputs_New Techs'!T119</f>
        <v>483.0844430390195</v>
      </c>
      <c r="AB157" s="224">
        <f>'Key Inputs_New Techs'!U119</f>
        <v>439.5774565557237</v>
      </c>
      <c r="AC157" s="224">
        <f>'Key Inputs_New Techs'!V119</f>
        <v>424.21608831673905</v>
      </c>
      <c r="AD157" s="224">
        <f>'Key Inputs_New Techs'!W119</f>
        <v>422.49767341546266</v>
      </c>
      <c r="AE157" s="224">
        <f>'Key Inputs_New Techs'!X119</f>
        <v>485.51927582924054</v>
      </c>
      <c r="AF157" s="224">
        <f>'Key Inputs_New Techs'!Y119</f>
        <v>453.66894069015393</v>
      </c>
      <c r="AG157" s="224">
        <f>'Key Inputs_New Techs'!Z119</f>
        <v>470.59662558197579</v>
      </c>
      <c r="AH157" s="224">
        <f>'Key Inputs_New Techs'!AA119</f>
        <v>494.08209264959982</v>
      </c>
      <c r="AI157" s="224">
        <f>'Key Inputs_New Techs'!AB119</f>
        <v>414.57156581067443</v>
      </c>
      <c r="AJ157" s="224">
        <f>'Key Inputs_New Techs'!AC119</f>
        <v>407.08423362911066</v>
      </c>
      <c r="AK157" s="224">
        <f>'Key Inputs_New Techs'!AD119</f>
        <v>469.66260568601103</v>
      </c>
      <c r="AL157" s="224">
        <f>'Key Inputs_New Techs'!AE119</f>
        <v>417.69275119970126</v>
      </c>
      <c r="AM157" s="224">
        <f>'Key Inputs_New Techs'!AF119</f>
        <v>436.01977916599088</v>
      </c>
      <c r="AN157" s="224">
        <f>'Key Inputs_New Techs'!AG119</f>
        <v>433.66533689929247</v>
      </c>
      <c r="AO157" s="224">
        <f>'Key Inputs_New Techs'!AH119</f>
        <v>431.97617228217865</v>
      </c>
      <c r="AP157" s="224">
        <f>'Key Inputs_New Techs'!AI119</f>
        <v>404.3323483312044</v>
      </c>
      <c r="AQ157" s="224">
        <f>'Key Inputs_New Techs'!AJ119</f>
        <v>444.73884575111401</v>
      </c>
      <c r="AR157" s="224">
        <f>'Key Inputs_New Techs'!AK119</f>
        <v>471.63487618704119</v>
      </c>
      <c r="AS157" s="224">
        <f>'Key Inputs_New Techs'!AL119</f>
        <v>506.84220616326991</v>
      </c>
    </row>
    <row r="158" spans="1:45" x14ac:dyDescent="0.3">
      <c r="K158" s="328" t="str">
        <f>IF('Key Inputs_New Techs'!B120="","",'Key Inputs_New Techs'!B120)</f>
        <v>S-AC_HET01</v>
      </c>
      <c r="L158" s="201" t="str">
        <f>IF(K158="","",VLOOKUP(K158,'Commodities &amp; Processes'!$L$48:$M$87,2,FALSE))</f>
        <v>SRV Air conditioning tech: Heat - Air conditioning (Ord.)</v>
      </c>
      <c r="N158" s="222">
        <f>'Key Inputs_New Techs'!H120</f>
        <v>2020</v>
      </c>
      <c r="O158" s="331" t="s">
        <v>451</v>
      </c>
      <c r="P158" s="212" t="s">
        <v>409</v>
      </c>
      <c r="Q158" s="212"/>
      <c r="R158" s="224">
        <f>'Key Inputs_New Techs'!K120</f>
        <v>159.9893210335519</v>
      </c>
      <c r="S158" s="224">
        <f>'Key Inputs_New Techs'!L120</f>
        <v>165.98713172451357</v>
      </c>
      <c r="T158" s="224">
        <f>'Key Inputs_New Techs'!M120</f>
        <v>159.97260567202412</v>
      </c>
      <c r="U158" s="224">
        <f>'Key Inputs_New Techs'!N120</f>
        <v>162.53111937078913</v>
      </c>
      <c r="V158" s="224">
        <f>'Key Inputs_New Techs'!O120</f>
        <v>192.6551199877081</v>
      </c>
      <c r="W158" s="224">
        <f>'Key Inputs_New Techs'!P120</f>
        <v>164.89182054567183</v>
      </c>
      <c r="X158" s="224">
        <f>'Key Inputs_New Techs'!Q120</f>
        <v>168.54909721296409</v>
      </c>
      <c r="Y158" s="224">
        <f>'Key Inputs_New Techs'!R120</f>
        <v>162.0944072977004</v>
      </c>
      <c r="Z158" s="224">
        <f>'Key Inputs_New Techs'!S120</f>
        <v>168.56521451723609</v>
      </c>
      <c r="AA158" s="224">
        <f>'Key Inputs_New Techs'!T120</f>
        <v>193.1966026788007</v>
      </c>
      <c r="AB158" s="224">
        <f>'Key Inputs_New Techs'!U120</f>
        <v>175.79715605516697</v>
      </c>
      <c r="AC158" s="224">
        <f>'Key Inputs_New Techs'!V120</f>
        <v>169.65379085466483</v>
      </c>
      <c r="AD158" s="224">
        <f>'Key Inputs_New Techs'!W120</f>
        <v>168.96655713041011</v>
      </c>
      <c r="AE158" s="224">
        <f>'Key Inputs_New Techs'!X120</f>
        <v>194.17034842851356</v>
      </c>
      <c r="AF158" s="224">
        <f>'Key Inputs_New Techs'!Y120</f>
        <v>181.43266533455449</v>
      </c>
      <c r="AG158" s="224">
        <f>'Key Inputs_New Techs'!Z120</f>
        <v>188.20243666427021</v>
      </c>
      <c r="AH158" s="224">
        <f>'Key Inputs_New Techs'!AA120</f>
        <v>197.59481622682907</v>
      </c>
      <c r="AI158" s="224">
        <f>'Key Inputs_New Techs'!AB120</f>
        <v>165.7967240219819</v>
      </c>
      <c r="AJ158" s="224">
        <f>'Key Inputs_New Techs'!AC120</f>
        <v>162.80236731799477</v>
      </c>
      <c r="AK158" s="224">
        <f>'Key Inputs_New Techs'!AD120</f>
        <v>187.82890058101401</v>
      </c>
      <c r="AL158" s="224">
        <f>'Key Inputs_New Techs'!AE120</f>
        <v>167.04495799469541</v>
      </c>
      <c r="AM158" s="224">
        <f>'Key Inputs_New Techs'!AF120</f>
        <v>174.37435887130476</v>
      </c>
      <c r="AN158" s="224">
        <f>'Key Inputs_New Techs'!AG120</f>
        <v>173.4327631447523</v>
      </c>
      <c r="AO158" s="224">
        <f>'Key Inputs_New Techs'!AH120</f>
        <v>172.75722728328125</v>
      </c>
      <c r="AP158" s="224">
        <f>'Key Inputs_New Techs'!AI120</f>
        <v>161.70182496317858</v>
      </c>
      <c r="AQ158" s="224">
        <f>'Key Inputs_New Techs'!AJ120</f>
        <v>177.86131455172185</v>
      </c>
      <c r="AR158" s="224">
        <f>'Key Inputs_New Techs'!AK120</f>
        <v>188.61765701035708</v>
      </c>
      <c r="AS158" s="224">
        <f>'Key Inputs_New Techs'!AL120</f>
        <v>202.69787971015842</v>
      </c>
    </row>
    <row r="159" spans="1:45" x14ac:dyDescent="0.3">
      <c r="A159" s="543"/>
      <c r="B159" s="543"/>
      <c r="C159" s="543"/>
      <c r="D159" s="543"/>
      <c r="E159" s="543"/>
      <c r="F159" s="543"/>
      <c r="G159" s="543"/>
      <c r="H159" s="543"/>
      <c r="I159" s="543"/>
      <c r="K159" s="328" t="str">
        <f>IF('Key Inputs_New Techs'!B121="","",'Key Inputs_New Techs'!B121)</f>
        <v>S-AC_HET02</v>
      </c>
      <c r="L159" s="201" t="str">
        <f>IF(K159="","",VLOOKUP(K159,'Commodities &amp; Processes'!$L$48:$M$87,2,FALSE))</f>
        <v>SRV Air conditioning tech: Heat - Air conditioning (Imp.)</v>
      </c>
      <c r="N159" s="222">
        <f>'Key Inputs_New Techs'!H121</f>
        <v>2030</v>
      </c>
      <c r="O159" s="331" t="s">
        <v>451</v>
      </c>
      <c r="P159" s="212" t="s">
        <v>409</v>
      </c>
      <c r="Q159" s="212"/>
      <c r="R159" s="224">
        <f>'Key Inputs_New Techs'!K121</f>
        <v>168.742040772894</v>
      </c>
      <c r="S159" s="224">
        <f>'Key Inputs_New Techs'!L121</f>
        <v>175.06798058952779</v>
      </c>
      <c r="T159" s="224">
        <f>'Key Inputs_New Techs'!M121</f>
        <v>168.72441094486402</v>
      </c>
      <c r="U159" s="224">
        <f>'Key Inputs_New Techs'!N121</f>
        <v>171.42289619429187</v>
      </c>
      <c r="V159" s="224">
        <f>'Key Inputs_New Techs'!O121</f>
        <v>203.19492514912949</v>
      </c>
      <c r="W159" s="224">
        <f>'Key Inputs_New Techs'!P121</f>
        <v>173.91274696265117</v>
      </c>
      <c r="X159" s="224">
        <f>'Key Inputs_New Techs'!Q121</f>
        <v>177.77010646966826</v>
      </c>
      <c r="Y159" s="224">
        <f>'Key Inputs_New Techs'!R121</f>
        <v>170.96229241169502</v>
      </c>
      <c r="Z159" s="224">
        <f>'Key Inputs_New Techs'!S121</f>
        <v>177.78710552183654</v>
      </c>
      <c r="AA159" s="224">
        <f>'Key Inputs_New Techs'!T121</f>
        <v>203.76603135639317</v>
      </c>
      <c r="AB159" s="224">
        <f>'Key Inputs_New Techs'!U121</f>
        <v>185.41469320067168</v>
      </c>
      <c r="AC159" s="224">
        <f>'Key Inputs_New Techs'!V121</f>
        <v>178.93523585658735</v>
      </c>
      <c r="AD159" s="224">
        <f>'Key Inputs_New Techs'!W121</f>
        <v>178.21040484680779</v>
      </c>
      <c r="AE159" s="224">
        <f>'Key Inputs_New Techs'!X121</f>
        <v>204.79304893443526</v>
      </c>
      <c r="AF159" s="224">
        <f>'Key Inputs_New Techs'!Y121</f>
        <v>191.35851076583907</v>
      </c>
      <c r="AG159" s="224">
        <f>'Key Inputs_New Techs'!Z121</f>
        <v>198.49864375948115</v>
      </c>
      <c r="AH159" s="224">
        <f>'Key Inputs_New Techs'!AA121</f>
        <v>208.40486303000003</v>
      </c>
      <c r="AI159" s="224">
        <f>'Key Inputs_New Techs'!AB121</f>
        <v>174.86715603388552</v>
      </c>
      <c r="AJ159" s="224">
        <f>'Key Inputs_New Techs'!AC121</f>
        <v>171.70898361482247</v>
      </c>
      <c r="AK159" s="224">
        <f>'Key Inputs_New Techs'!AD121</f>
        <v>198.10467220823151</v>
      </c>
      <c r="AL159" s="224">
        <f>'Key Inputs_New Techs'!AE121</f>
        <v>176.18367857774683</v>
      </c>
      <c r="AM159" s="224">
        <f>'Key Inputs_New Techs'!AF121</f>
        <v>183.91405741535894</v>
      </c>
      <c r="AN159" s="224">
        <f>'Key Inputs_New Techs'!AG121</f>
        <v>182.92094872875992</v>
      </c>
      <c r="AO159" s="224">
        <f>'Key Inputs_New Techs'!AH121</f>
        <v>182.20845555019338</v>
      </c>
      <c r="AP159" s="224">
        <f>'Key Inputs_New Techs'!AI121</f>
        <v>170.54823262401266</v>
      </c>
      <c r="AQ159" s="224">
        <f>'Key Inputs_New Techs'!AJ121</f>
        <v>187.59177798943912</v>
      </c>
      <c r="AR159" s="224">
        <f>'Key Inputs_New Techs'!AK121</f>
        <v>198.93658004245614</v>
      </c>
      <c r="AS159" s="224">
        <f>'Key Inputs_New Techs'!AL121</f>
        <v>213.78710567474533</v>
      </c>
    </row>
    <row r="160" spans="1:45" x14ac:dyDescent="0.3">
      <c r="A160" s="543"/>
      <c r="B160" s="543"/>
      <c r="C160" s="543"/>
      <c r="D160" s="543"/>
      <c r="E160" s="543"/>
      <c r="F160" s="543"/>
      <c r="G160" s="543"/>
      <c r="H160" s="543"/>
      <c r="I160" s="543"/>
      <c r="K160" s="328" t="str">
        <f>IF('Key Inputs_New Techs'!B122="","",'Key Inputs_New Techs'!B122)</f>
        <v/>
      </c>
      <c r="L160" s="201" t="str">
        <f>IF(K160="","",VLOOKUP(K160,'Commodities &amp; Processes'!$L$48:$M$87,2,FALSE))</f>
        <v/>
      </c>
      <c r="N160" s="222">
        <f>'Key Inputs_New Techs'!H122</f>
        <v>2050</v>
      </c>
      <c r="O160" s="331" t="s">
        <v>451</v>
      </c>
      <c r="P160" s="212" t="s">
        <v>409</v>
      </c>
      <c r="Q160" s="212"/>
      <c r="R160" s="224">
        <f>'Key Inputs_New Techs'!K122</f>
        <v>155.8889455901315</v>
      </c>
      <c r="S160" s="224">
        <f>'Key Inputs_New Techs'!L122</f>
        <v>161.73303804844721</v>
      </c>
      <c r="T160" s="224">
        <f>'Key Inputs_New Techs'!M122</f>
        <v>155.87265862755868</v>
      </c>
      <c r="U160" s="224">
        <f>'Key Inputs_New Techs'!N122</f>
        <v>158.36560003265873</v>
      </c>
      <c r="V160" s="224">
        <f>'Key Inputs_New Techs'!O122</f>
        <v>187.71755091782535</v>
      </c>
      <c r="W160" s="224">
        <f>'Key Inputs_New Techs'!P122</f>
        <v>160.66579866234522</v>
      </c>
      <c r="X160" s="224">
        <f>'Key Inputs_New Techs'!Q122</f>
        <v>164.22934277711781</v>
      </c>
      <c r="Y160" s="224">
        <f>'Key Inputs_New Techs'!R122</f>
        <v>157.94008047822544</v>
      </c>
      <c r="Z160" s="224">
        <f>'Key Inputs_New Techs'!S122</f>
        <v>164.24504701007842</v>
      </c>
      <c r="AA160" s="224">
        <f>'Key Inputs_New Techs'!T122</f>
        <v>188.24515591811175</v>
      </c>
      <c r="AB160" s="224">
        <f>'Key Inputs_New Techs'!U122</f>
        <v>171.29164070542319</v>
      </c>
      <c r="AC160" s="224">
        <f>'Key Inputs_New Techs'!V122</f>
        <v>165.30572416240253</v>
      </c>
      <c r="AD160" s="224">
        <f>'Key Inputs_New Techs'!W122</f>
        <v>164.63610359050458</v>
      </c>
      <c r="AE160" s="224">
        <f>'Key Inputs_New Techs'!X122</f>
        <v>189.19394548240882</v>
      </c>
      <c r="AF160" s="224">
        <f>'Key Inputs_New Techs'!Y122</f>
        <v>176.78271719572774</v>
      </c>
      <c r="AG160" s="224">
        <f>'Key Inputs_New Techs'!Z122</f>
        <v>183.37898566951148</v>
      </c>
      <c r="AH160" s="224">
        <f>'Key Inputs_New Techs'!AA122</f>
        <v>192.53064740000002</v>
      </c>
      <c r="AI160" s="224">
        <f>'Key Inputs_New Techs'!AB122</f>
        <v>161.54751031579511</v>
      </c>
      <c r="AJ160" s="224">
        <f>'Key Inputs_New Techs'!AC122</f>
        <v>158.6298961507384</v>
      </c>
      <c r="AK160" s="224">
        <f>'Key Inputs_New Techs'!AD122</f>
        <v>183.01502296386025</v>
      </c>
      <c r="AL160" s="224">
        <f>'Key Inputs_New Techs'!AE122</f>
        <v>162.76375322875356</v>
      </c>
      <c r="AM160" s="224">
        <f>'Key Inputs_New Techs'!AF122</f>
        <v>169.90530847182134</v>
      </c>
      <c r="AN160" s="224">
        <f>'Key Inputs_New Techs'!AG122</f>
        <v>168.98784495590547</v>
      </c>
      <c r="AO160" s="224">
        <f>'Key Inputs_New Techs'!AH122</f>
        <v>168.32962244159805</v>
      </c>
      <c r="AP160" s="224">
        <f>'Key Inputs_New Techs'!AI122</f>
        <v>157.55755965876972</v>
      </c>
      <c r="AQ160" s="224">
        <f>'Key Inputs_New Techs'!AJ122</f>
        <v>173.30289676601595</v>
      </c>
      <c r="AR160" s="224">
        <f>'Key Inputs_New Techs'!AK122</f>
        <v>183.78356430964132</v>
      </c>
      <c r="AS160" s="224">
        <f>'Key Inputs_New Techs'!AL122</f>
        <v>197.50292417795376</v>
      </c>
    </row>
    <row r="161" spans="11:45" x14ac:dyDescent="0.3">
      <c r="K161" s="328" t="str">
        <f>IF('Key Inputs_New Techs'!B123="","",'Key Inputs_New Techs'!B123)</f>
        <v>S-AC_HET03</v>
      </c>
      <c r="L161" s="201" t="str">
        <f>IF(K161="","",VLOOKUP(K161,'Commodities &amp; Processes'!$L$48:$M$87,2,FALSE))</f>
        <v>SRV Air conditioning tech: Heat - Air conditioning (Adv.)</v>
      </c>
      <c r="N161" s="222">
        <f>'Key Inputs_New Techs'!H123</f>
        <v>2030</v>
      </c>
      <c r="O161" s="331" t="s">
        <v>451</v>
      </c>
      <c r="P161" s="212" t="s">
        <v>409</v>
      </c>
      <c r="Q161" s="212"/>
      <c r="R161" s="224">
        <f>'Key Inputs_New Techs'!K123</f>
        <v>192.79642774143747</v>
      </c>
      <c r="S161" s="224">
        <f>'Key Inputs_New Techs'!L123</f>
        <v>200.02413811620872</v>
      </c>
      <c r="T161" s="224">
        <f>'Key Inputs_New Techs'!M123</f>
        <v>192.77628475958005</v>
      </c>
      <c r="U161" s="224">
        <f>'Key Inputs_New Techs'!N123</f>
        <v>195.85944242449682</v>
      </c>
      <c r="V161" s="224">
        <f>'Key Inputs_New Techs'!O123</f>
        <v>232.16061346956218</v>
      </c>
      <c r="W161" s="224">
        <f>'Key Inputs_New Techs'!P123</f>
        <v>198.70422450458923</v>
      </c>
      <c r="X161" s="224">
        <f>'Key Inputs_New Techs'!Q123</f>
        <v>203.11145538825667</v>
      </c>
      <c r="Y161" s="224">
        <f>'Key Inputs_New Techs'!R123</f>
        <v>195.33317900204372</v>
      </c>
      <c r="Z161" s="224">
        <f>'Key Inputs_New Techs'!S123</f>
        <v>203.13087767637182</v>
      </c>
      <c r="AA161" s="224">
        <f>'Key Inputs_New Techs'!T123</f>
        <v>232.81313157422102</v>
      </c>
      <c r="AB161" s="224">
        <f>'Key Inputs_New Techs'!U123</f>
        <v>211.84578742872708</v>
      </c>
      <c r="AC161" s="224">
        <f>'Key Inputs_New Techs'!V123</f>
        <v>204.44267541277267</v>
      </c>
      <c r="AD161" s="224">
        <f>'Key Inputs_New Techs'!W123</f>
        <v>203.61451884454792</v>
      </c>
      <c r="AE161" s="224">
        <f>'Key Inputs_New Techs'!X123</f>
        <v>233.98655178039638</v>
      </c>
      <c r="AF161" s="224">
        <f>'Key Inputs_New Techs'!Y123</f>
        <v>218.63690355166992</v>
      </c>
      <c r="AG161" s="224">
        <f>'Key Inputs_New Techs'!Z123</f>
        <v>226.79487134954485</v>
      </c>
      <c r="AH161" s="224">
        <f>'Key Inputs_New Techs'!AA123</f>
        <v>238.11323445000005</v>
      </c>
      <c r="AI161" s="224">
        <f>'Key Inputs_New Techs'!AB123</f>
        <v>199.79468577135589</v>
      </c>
      <c r="AJ161" s="224">
        <f>'Key Inputs_New Techs'!AC123</f>
        <v>196.18631196126094</v>
      </c>
      <c r="AK161" s="224">
        <f>'Key Inputs_New Techs'!AD123</f>
        <v>226.34473866556891</v>
      </c>
      <c r="AL161" s="224">
        <f>'Key Inputs_New Techs'!AE123</f>
        <v>201.29888023489889</v>
      </c>
      <c r="AM161" s="224">
        <f>'Key Inputs_New Techs'!AF123</f>
        <v>210.13123415306384</v>
      </c>
      <c r="AN161" s="224">
        <f>'Key Inputs_New Techs'!AG123</f>
        <v>208.99655659281689</v>
      </c>
      <c r="AO161" s="224">
        <f>'Key Inputs_New Techs'!AH123</f>
        <v>208.18249662893004</v>
      </c>
      <c r="AP161" s="224">
        <f>'Key Inputs_New Techs'!AI123</f>
        <v>194.86009447864402</v>
      </c>
      <c r="AQ161" s="224">
        <f>'Key Inputs_New Techs'!AJ123</f>
        <v>214.33321835134757</v>
      </c>
      <c r="AR161" s="224">
        <f>'Key Inputs_New Techs'!AK123</f>
        <v>227.29523599222199</v>
      </c>
      <c r="AS161" s="224">
        <f>'Key Inputs_New Techs'!AL123</f>
        <v>244.26272245187332</v>
      </c>
    </row>
    <row r="162" spans="11:45" x14ac:dyDescent="0.3">
      <c r="K162" s="330" t="str">
        <f>IF('Key Inputs_New Techs'!B124="","",'Key Inputs_New Techs'!B124)</f>
        <v/>
      </c>
      <c r="L162" s="234" t="str">
        <f>IF(K162="","",VLOOKUP(K162,'Commodities &amp; Processes'!$L$48:$M$87,2,FALSE))</f>
        <v/>
      </c>
      <c r="M162" s="234"/>
      <c r="N162" s="308">
        <f>'Key Inputs_New Techs'!H124</f>
        <v>2050</v>
      </c>
      <c r="O162" s="432" t="s">
        <v>451</v>
      </c>
      <c r="P162" s="299" t="s">
        <v>409</v>
      </c>
      <c r="Q162" s="299"/>
      <c r="R162" s="433">
        <f>'Key Inputs_New Techs'!K124</f>
        <v>158.60658566825782</v>
      </c>
      <c r="S162" s="433">
        <f>'Key Inputs_New Techs'!L124</f>
        <v>164.55255924344729</v>
      </c>
      <c r="T162" s="433">
        <f>'Key Inputs_New Techs'!M124</f>
        <v>158.59001477213172</v>
      </c>
      <c r="U162" s="433">
        <f>'Key Inputs_New Techs'!N124</f>
        <v>161.1264160739504</v>
      </c>
      <c r="V162" s="433">
        <f>'Key Inputs_New Techs'!O124</f>
        <v>190.99006480783075</v>
      </c>
      <c r="W162" s="433">
        <f>'Key Inputs_New Techs'!P124</f>
        <v>163.46671448082137</v>
      </c>
      <c r="X162" s="433">
        <f>'Key Inputs_New Techs'!Q124</f>
        <v>167.09238250226235</v>
      </c>
      <c r="Y162" s="433">
        <f>'Key Inputs_New Techs'!R124</f>
        <v>160.69347836045023</v>
      </c>
      <c r="Z162" s="433">
        <f>'Key Inputs_New Techs'!S124</f>
        <v>167.1083605099459</v>
      </c>
      <c r="AA162" s="433">
        <f>'Key Inputs_New Techs'!T124</f>
        <v>191.5268676411564</v>
      </c>
      <c r="AB162" s="433">
        <f>'Key Inputs_New Techs'!U124</f>
        <v>174.27779874290846</v>
      </c>
      <c r="AC162" s="433">
        <f>'Key Inputs_New Techs'!V124</f>
        <v>168.18752863819006</v>
      </c>
      <c r="AD162" s="433">
        <f>'Key Inputs_New Techs'!W124</f>
        <v>167.50623445020318</v>
      </c>
      <c r="AE162" s="433">
        <f>'Key Inputs_New Techs'!X124</f>
        <v>192.49219762489039</v>
      </c>
      <c r="AF162" s="433">
        <f>'Key Inputs_New Techs'!Y124</f>
        <v>179.8646021591064</v>
      </c>
      <c r="AG162" s="433">
        <f>'Key Inputs_New Techs'!Z124</f>
        <v>186.57586456977629</v>
      </c>
      <c r="AH162" s="433">
        <f>'Key Inputs_New Techs'!AA124</f>
        <v>195.88706886825179</v>
      </c>
      <c r="AI162" s="433">
        <f>'Key Inputs_New Techs'!AB124</f>
        <v>164.3637971724016</v>
      </c>
      <c r="AJ162" s="433">
        <f>'Key Inputs_New Techs'!AC124</f>
        <v>161.39531971388013</v>
      </c>
      <c r="AK162" s="433">
        <f>'Key Inputs_New Techs'!AD124</f>
        <v>186.20555683669494</v>
      </c>
      <c r="AL162" s="433">
        <f>'Key Inputs_New Techs'!AE124</f>
        <v>165.60124306721664</v>
      </c>
      <c r="AM162" s="433">
        <f>'Key Inputs_New Techs'!AF124</f>
        <v>172.86729832967481</v>
      </c>
      <c r="AN162" s="433">
        <f>'Key Inputs_New Techs'!AG124</f>
        <v>171.93384050696807</v>
      </c>
      <c r="AO162" s="433">
        <f>'Key Inputs_New Techs'!AH124</f>
        <v>171.26414308096349</v>
      </c>
      <c r="AP162" s="433">
        <f>'Key Inputs_New Techs'!AI124</f>
        <v>160.30428898662245</v>
      </c>
      <c r="AQ162" s="433">
        <f>'Key Inputs_New Techs'!AJ124</f>
        <v>176.32411739281406</v>
      </c>
      <c r="AR162" s="433">
        <f>'Key Inputs_New Techs'!AK124</f>
        <v>186.9874963022406</v>
      </c>
      <c r="AS162" s="433">
        <f>'Key Inputs_New Techs'!AL124</f>
        <v>200.94602824323093</v>
      </c>
    </row>
    <row r="163" spans="11:45" x14ac:dyDescent="0.3">
      <c r="K163" s="329" t="str">
        <f>IF('Key Inputs_New Techs'!B125="","",'Key Inputs_New Techs'!B125)</f>
        <v>S-SLIG_ELC01</v>
      </c>
      <c r="L163" s="208" t="str">
        <f>IF(K163="","",VLOOKUP(K163,'Commodities &amp; Processes'!$L$48:$M$87,2,FALSE))</f>
        <v>SRV Street lighting tech: Electricity - Street lights (Ord.)</v>
      </c>
      <c r="M163" s="208"/>
      <c r="N163" s="242">
        <f>'Key Inputs_New Techs'!H125</f>
        <v>2020</v>
      </c>
      <c r="O163" s="437" t="s">
        <v>451</v>
      </c>
      <c r="P163" s="229" t="s">
        <v>409</v>
      </c>
      <c r="Q163" s="229"/>
      <c r="R163" s="438">
        <f>'Key Inputs_New Techs'!K125</f>
        <v>46.456970540105416</v>
      </c>
      <c r="S163" s="438">
        <f>'Key Inputs_New Techs'!L125</f>
        <v>48.198587497881626</v>
      </c>
      <c r="T163" s="438">
        <f>'Key Inputs_New Techs'!M125</f>
        <v>46.452116809537365</v>
      </c>
      <c r="U163" s="438">
        <f>'Key Inputs_New Techs'!N125</f>
        <v>47.195046367348631</v>
      </c>
      <c r="V163" s="438">
        <f>'Key Inputs_New Techs'!O125</f>
        <v>55.942316498689678</v>
      </c>
      <c r="W163" s="438">
        <f>'Key Inputs_New Techs'!P125</f>
        <v>47.880536025202225</v>
      </c>
      <c r="X163" s="438">
        <f>'Key Inputs_New Techs'!Q125</f>
        <v>48.942519370664257</v>
      </c>
      <c r="Y163" s="438">
        <f>'Key Inputs_New Techs'!R125</f>
        <v>47.068235904106928</v>
      </c>
      <c r="Z163" s="438">
        <f>'Key Inputs_New Techs'!S125</f>
        <v>48.947199440089598</v>
      </c>
      <c r="AA163" s="438">
        <f>'Key Inputs_New Techs'!T125</f>
        <v>56.099549776920732</v>
      </c>
      <c r="AB163" s="438">
        <f>'Key Inputs_New Techs'!U125</f>
        <v>51.047177693669177</v>
      </c>
      <c r="AC163" s="438">
        <f>'Key Inputs_New Techs'!V125</f>
        <v>49.263295280186185</v>
      </c>
      <c r="AD163" s="438">
        <f>'Key Inputs_New Techs'!W125</f>
        <v>49.063739480613954</v>
      </c>
      <c r="AE163" s="438">
        <f>'Key Inputs_New Techs'!X125</f>
        <v>56.382301633830458</v>
      </c>
      <c r="AF163" s="438">
        <f>'Key Inputs_New Techs'!Y125</f>
        <v>52.683591217269864</v>
      </c>
      <c r="AG163" s="438">
        <f>'Key Inputs_New Techs'!Z125</f>
        <v>54.649366590251773</v>
      </c>
      <c r="AH163" s="438">
        <f>'Key Inputs_New Techs'!AA125</f>
        <v>57.376683000000014</v>
      </c>
      <c r="AI163" s="438">
        <f>'Key Inputs_New Techs'!AB125</f>
        <v>48.143297776230341</v>
      </c>
      <c r="AJ163" s="438">
        <f>'Key Inputs_New Techs'!AC125</f>
        <v>47.273810111147213</v>
      </c>
      <c r="AK163" s="438">
        <f>'Key Inputs_New Techs'!AD125</f>
        <v>54.540900883269614</v>
      </c>
      <c r="AL163" s="438">
        <f>'Key Inputs_New Techs'!AE125</f>
        <v>48.505754273469613</v>
      </c>
      <c r="AM163" s="438">
        <f>'Key Inputs_New Techs'!AF125</f>
        <v>50.634032326039481</v>
      </c>
      <c r="AN163" s="438">
        <f>'Key Inputs_New Techs'!AG125</f>
        <v>50.360616046461899</v>
      </c>
      <c r="AO163" s="438">
        <f>'Key Inputs_New Techs'!AH125</f>
        <v>50.164457019019288</v>
      </c>
      <c r="AP163" s="438">
        <f>'Key Inputs_New Techs'!AI125</f>
        <v>46.9542396334082</v>
      </c>
      <c r="AQ163" s="438">
        <f>'Key Inputs_New Techs'!AJ125</f>
        <v>51.646558638878929</v>
      </c>
      <c r="AR163" s="438">
        <f>'Key Inputs_New Techs'!AK125</f>
        <v>54.769936383667954</v>
      </c>
      <c r="AS163" s="438">
        <f>'Key Inputs_New Techs'!AL125</f>
        <v>58.858487337800796</v>
      </c>
    </row>
    <row r="164" spans="11:45" x14ac:dyDescent="0.3">
      <c r="K164" s="328" t="str">
        <f>IF('Key Inputs_New Techs'!B126="","",'Key Inputs_New Techs'!B126)</f>
        <v>S-SLIG_ELC02</v>
      </c>
      <c r="L164" s="201" t="str">
        <f>IF(K164="","",VLOOKUP(K164,'Commodities &amp; Processes'!$L$48:$M$87,2,FALSE))</f>
        <v>SRV Street lighting tech: Electricity - Street lights (Imp.)</v>
      </c>
      <c r="N164" s="222">
        <f>'Key Inputs_New Techs'!H126</f>
        <v>2030</v>
      </c>
      <c r="O164" s="331" t="s">
        <v>451</v>
      </c>
      <c r="P164" s="212" t="s">
        <v>409</v>
      </c>
      <c r="Q164" s="212"/>
      <c r="R164" s="224">
        <f>'Key Inputs_New Techs'!K126</f>
        <v>64.007381633034129</v>
      </c>
      <c r="S164" s="224">
        <f>'Key Inputs_New Techs'!L126</f>
        <v>66.406942774859118</v>
      </c>
      <c r="T164" s="224">
        <f>'Key Inputs_New Techs'!M126</f>
        <v>64.000694270918132</v>
      </c>
      <c r="U164" s="224">
        <f>'Key Inputs_New Techs'!N126</f>
        <v>65.024286106124777</v>
      </c>
      <c r="V164" s="224">
        <f>'Key Inputs_New Techs'!O126</f>
        <v>77.076080509305768</v>
      </c>
      <c r="W164" s="224">
        <f>'Key Inputs_New Techs'!P126</f>
        <v>65.968738523611947</v>
      </c>
      <c r="X164" s="224">
        <f>'Key Inputs_New Techs'!Q126</f>
        <v>67.431915577359632</v>
      </c>
      <c r="Y164" s="224">
        <f>'Key Inputs_New Techs'!R126</f>
        <v>64.849569467880642</v>
      </c>
      <c r="Z164" s="224">
        <f>'Key Inputs_New Techs'!S126</f>
        <v>67.438363673012333</v>
      </c>
      <c r="AA164" s="224">
        <f>'Key Inputs_New Techs'!T126</f>
        <v>77.292713025979666</v>
      </c>
      <c r="AB164" s="224">
        <f>'Key Inputs_New Techs'!U126</f>
        <v>70.331667044610853</v>
      </c>
      <c r="AC164" s="224">
        <f>'Key Inputs_New Techs'!V126</f>
        <v>67.873873497145411</v>
      </c>
      <c r="AD164" s="224">
        <f>'Key Inputs_New Techs'!W126</f>
        <v>67.598929951068115</v>
      </c>
      <c r="AE164" s="224">
        <f>'Key Inputs_New Techs'!X126</f>
        <v>77.682282251055284</v>
      </c>
      <c r="AF164" s="224">
        <f>'Key Inputs_New Techs'!Y126</f>
        <v>72.586281232682907</v>
      </c>
      <c r="AG164" s="224">
        <f>'Key Inputs_New Techs'!Z126</f>
        <v>75.294682857680215</v>
      </c>
      <c r="AH164" s="224">
        <f>'Key Inputs_New Techs'!AA126</f>
        <v>79.052318800000009</v>
      </c>
      <c r="AI164" s="224">
        <f>'Key Inputs_New Techs'!AB126</f>
        <v>66.330765825028465</v>
      </c>
      <c r="AJ164" s="224">
        <f>'Key Inputs_New Techs'!AC126</f>
        <v>65.132805042025041</v>
      </c>
      <c r="AK164" s="224">
        <f>'Key Inputs_New Techs'!AD126</f>
        <v>75.145241216949245</v>
      </c>
      <c r="AL164" s="224">
        <f>'Key Inputs_New Techs'!AE126</f>
        <v>66.830150332335904</v>
      </c>
      <c r="AM164" s="224">
        <f>'Key Inputs_New Techs'!AF126</f>
        <v>69.762444538098833</v>
      </c>
      <c r="AN164" s="224">
        <f>'Key Inputs_New Techs'!AG126</f>
        <v>69.385737664014172</v>
      </c>
      <c r="AO164" s="224">
        <f>'Key Inputs_New Techs'!AH126</f>
        <v>69.115474115093235</v>
      </c>
      <c r="AP164" s="224">
        <f>'Key Inputs_New Techs'!AI126</f>
        <v>64.6925079393624</v>
      </c>
      <c r="AQ164" s="224">
        <f>'Key Inputs_New Techs'!AJ126</f>
        <v>71.157480791344298</v>
      </c>
      <c r="AR164" s="224">
        <f>'Key Inputs_New Techs'!AK126</f>
        <v>75.460801239720283</v>
      </c>
      <c r="AS164" s="224">
        <f>'Key Inputs_New Techs'!AL126</f>
        <v>81.093915887636641</v>
      </c>
    </row>
    <row r="165" spans="11:45" x14ac:dyDescent="0.3">
      <c r="K165" s="328" t="str">
        <f>IF('Key Inputs_New Techs'!B127="","",'Key Inputs_New Techs'!B127)</f>
        <v/>
      </c>
      <c r="L165" s="201" t="str">
        <f>IF(K165="","",VLOOKUP(K165,'Commodities &amp; Processes'!$L$48:$M$87,2,FALSE))</f>
        <v/>
      </c>
      <c r="N165" s="222">
        <f>'Key Inputs_New Techs'!H127</f>
        <v>2050</v>
      </c>
      <c r="O165" s="331" t="s">
        <v>451</v>
      </c>
      <c r="P165" s="212" t="s">
        <v>409</v>
      </c>
      <c r="Q165" s="212"/>
      <c r="R165" s="224">
        <f>'Key Inputs_New Techs'!K127</f>
        <v>63.562530330684538</v>
      </c>
      <c r="S165" s="224">
        <f>'Key Inputs_New Techs'!L127</f>
        <v>65.945414522573842</v>
      </c>
      <c r="T165" s="224">
        <f>'Key Inputs_New Techs'!M127</f>
        <v>63.555889445735254</v>
      </c>
      <c r="U165" s="224">
        <f>'Key Inputs_New Techs'!N127</f>
        <v>64.57236731768721</v>
      </c>
      <c r="V165" s="224">
        <f>'Key Inputs_New Techs'!O127</f>
        <v>76.54040174976609</v>
      </c>
      <c r="W165" s="224">
        <f>'Key Inputs_New Techs'!P127</f>
        <v>65.510255790872847</v>
      </c>
      <c r="X165" s="224">
        <f>'Key Inputs_New Techs'!Q127</f>
        <v>66.963263764096979</v>
      </c>
      <c r="Y165" s="224">
        <f>'Key Inputs_New Techs'!R127</f>
        <v>64.398864960078868</v>
      </c>
      <c r="Z165" s="224">
        <f>'Key Inputs_New Techs'!S127</f>
        <v>66.969667045484897</v>
      </c>
      <c r="AA165" s="224">
        <f>'Key Inputs_New Techs'!T127</f>
        <v>76.75552867044911</v>
      </c>
      <c r="AB165" s="224">
        <f>'Key Inputs_New Techs'!U127</f>
        <v>69.842861958650801</v>
      </c>
      <c r="AC165" s="224">
        <f>'Key Inputs_New Techs'!V127</f>
        <v>67.402150076340249</v>
      </c>
      <c r="AD165" s="224">
        <f>'Key Inputs_New Techs'!W127</f>
        <v>67.129117387908181</v>
      </c>
      <c r="AE165" s="224">
        <f>'Key Inputs_New Techs'!X127</f>
        <v>77.142390389410451</v>
      </c>
      <c r="AF165" s="224">
        <f>'Key Inputs_New Techs'!Y127</f>
        <v>72.08180657811576</v>
      </c>
      <c r="AG165" s="224">
        <f>'Key Inputs_New Techs'!Z127</f>
        <v>74.771384811819331</v>
      </c>
      <c r="AH165" s="224">
        <f>'Key Inputs_New Techs'!AA127</f>
        <v>78.502905184340008</v>
      </c>
      <c r="AI165" s="224">
        <f>'Key Inputs_New Techs'!AB127</f>
        <v>65.869767002544506</v>
      </c>
      <c r="AJ165" s="224">
        <f>'Key Inputs_New Techs'!AC127</f>
        <v>64.680132046982976</v>
      </c>
      <c r="AK165" s="224">
        <f>'Key Inputs_New Techs'!AD127</f>
        <v>74.622981790491437</v>
      </c>
      <c r="AL165" s="224">
        <f>'Key Inputs_New Techs'!AE127</f>
        <v>66.365680787526159</v>
      </c>
      <c r="AM165" s="224">
        <f>'Key Inputs_New Techs'!AF127</f>
        <v>69.277595548559049</v>
      </c>
      <c r="AN165" s="224">
        <f>'Key Inputs_New Techs'!AG127</f>
        <v>68.90350678724927</v>
      </c>
      <c r="AO165" s="224">
        <f>'Key Inputs_New Techs'!AH127</f>
        <v>68.635121569993345</v>
      </c>
      <c r="AP165" s="224">
        <f>'Key Inputs_New Techs'!AI127</f>
        <v>64.242895009183826</v>
      </c>
      <c r="AQ165" s="224">
        <f>'Key Inputs_New Techs'!AJ127</f>
        <v>70.662936299844461</v>
      </c>
      <c r="AR165" s="224">
        <f>'Key Inputs_New Techs'!AK127</f>
        <v>74.936348671104227</v>
      </c>
      <c r="AS165" s="224">
        <f>'Key Inputs_New Techs'!AL127</f>
        <v>80.530313172217575</v>
      </c>
    </row>
    <row r="166" spans="11:45" x14ac:dyDescent="0.3">
      <c r="K166" s="328" t="str">
        <f>IF('Key Inputs_New Techs'!B128="","",'Key Inputs_New Techs'!B128)</f>
        <v>S-SLIG_ELC03</v>
      </c>
      <c r="L166" s="201" t="str">
        <f>IF(K166="","",VLOOKUP(K166,'Commodities &amp; Processes'!$L$48:$M$87,2,FALSE))</f>
        <v>SRV Street lighting tech: Electricity - Street lights (Adv.)</v>
      </c>
      <c r="N166" s="222">
        <f>'Key Inputs_New Techs'!H128</f>
        <v>2030</v>
      </c>
      <c r="O166" s="331" t="s">
        <v>451</v>
      </c>
      <c r="P166" s="212" t="s">
        <v>409</v>
      </c>
      <c r="Q166" s="212"/>
      <c r="R166" s="224">
        <f>'Key Inputs_New Techs'!K128</f>
        <v>117.23855574557993</v>
      </c>
      <c r="S166" s="224">
        <f>'Key Inputs_New Techs'!L128</f>
        <v>121.63369073647273</v>
      </c>
      <c r="T166" s="224">
        <f>'Key Inputs_New Techs'!M128</f>
        <v>117.22630689777171</v>
      </c>
      <c r="U166" s="224">
        <f>'Key Inputs_New Techs'!N128</f>
        <v>119.10115985021086</v>
      </c>
      <c r="V166" s="224">
        <f>'Key Inputs_New Techs'!O128</f>
        <v>141.17572271972824</v>
      </c>
      <c r="W166" s="224">
        <f>'Key Inputs_New Techs'!P128</f>
        <v>120.83105778653687</v>
      </c>
      <c r="X166" s="224">
        <f>'Key Inputs_New Techs'!Q128</f>
        <v>123.51107312546959</v>
      </c>
      <c r="Y166" s="224">
        <f>'Key Inputs_New Techs'!R128</f>
        <v>118.78114166152912</v>
      </c>
      <c r="Z166" s="224">
        <f>'Key Inputs_New Techs'!S128</f>
        <v>123.5228837229717</v>
      </c>
      <c r="AA166" s="224">
        <f>'Key Inputs_New Techs'!T128</f>
        <v>141.57251575725613</v>
      </c>
      <c r="AB166" s="224">
        <f>'Key Inputs_New Techs'!U128</f>
        <v>128.82237731208244</v>
      </c>
      <c r="AC166" s="224">
        <f>'Key Inputs_New Techs'!V128</f>
        <v>124.32058144926054</v>
      </c>
      <c r="AD166" s="224">
        <f>'Key Inputs_New Techs'!W128</f>
        <v>123.81698352928197</v>
      </c>
      <c r="AE166" s="224">
        <f>'Key Inputs_New Techs'!X128</f>
        <v>142.28606679067659</v>
      </c>
      <c r="AF166" s="224">
        <f>'Key Inputs_New Techs'!Y128</f>
        <v>132.9520214941941</v>
      </c>
      <c r="AG166" s="224">
        <f>'Key Inputs_New Techs'!Z128</f>
        <v>137.91284143077763</v>
      </c>
      <c r="AH166" s="224">
        <f>'Key Inputs_New Techs'!AA128</f>
        <v>144.79548214588996</v>
      </c>
      <c r="AI166" s="224">
        <f>'Key Inputs_New Techs'!AB128</f>
        <v>121.49416189852631</v>
      </c>
      <c r="AJ166" s="224">
        <f>'Key Inputs_New Techs'!AC128</f>
        <v>119.29992760154516</v>
      </c>
      <c r="AK166" s="224">
        <f>'Key Inputs_New Techs'!AD128</f>
        <v>137.63911796825582</v>
      </c>
      <c r="AL166" s="224">
        <f>'Key Inputs_New Techs'!AE128</f>
        <v>122.40885512459988</v>
      </c>
      <c r="AM166" s="224">
        <f>'Key Inputs_New Techs'!AF128</f>
        <v>127.77976593103966</v>
      </c>
      <c r="AN166" s="224">
        <f>'Key Inputs_New Techs'!AG128</f>
        <v>127.08977410931008</v>
      </c>
      <c r="AO166" s="224">
        <f>'Key Inputs_New Techs'!AH128</f>
        <v>126.59474826482511</v>
      </c>
      <c r="AP166" s="224">
        <f>'Key Inputs_New Techs'!AI128</f>
        <v>118.49346129878219</v>
      </c>
      <c r="AQ166" s="224">
        <f>'Key Inputs_New Techs'!AJ128</f>
        <v>130.33497177402973</v>
      </c>
      <c r="AR166" s="224">
        <f>'Key Inputs_New Techs'!AK128</f>
        <v>138.21711069935708</v>
      </c>
      <c r="AS166" s="224">
        <f>'Key Inputs_New Techs'!AL128</f>
        <v>148.53495543572333</v>
      </c>
    </row>
    <row r="167" spans="11:45" x14ac:dyDescent="0.3">
      <c r="K167" s="330" t="str">
        <f>IF('Key Inputs_New Techs'!B129="","",'Key Inputs_New Techs'!B129)</f>
        <v/>
      </c>
      <c r="L167" s="234" t="str">
        <f>IF(K167="","",VLOOKUP(K167,'Commodities &amp; Processes'!$L$48:$M$87,2,FALSE))</f>
        <v/>
      </c>
      <c r="M167" s="234"/>
      <c r="N167" s="308">
        <f>'Key Inputs_New Techs'!H129</f>
        <v>2050</v>
      </c>
      <c r="O167" s="432" t="s">
        <v>451</v>
      </c>
      <c r="P167" s="299" t="s">
        <v>409</v>
      </c>
      <c r="Q167" s="299"/>
      <c r="R167" s="433">
        <f>'Key Inputs_New Techs'!K129</f>
        <v>115.5059662518029</v>
      </c>
      <c r="S167" s="433">
        <f>'Key Inputs_New Techs'!L129</f>
        <v>119.83614850884014</v>
      </c>
      <c r="T167" s="433">
        <f>'Key Inputs_New Techs'!M129</f>
        <v>115.49389842144998</v>
      </c>
      <c r="U167" s="433">
        <f>'Key Inputs_New Techs'!N129</f>
        <v>117.34104418739989</v>
      </c>
      <c r="V167" s="433">
        <f>'Key Inputs_New Techs'!O129</f>
        <v>139.08938198988005</v>
      </c>
      <c r="W167" s="433">
        <f>'Key Inputs_New Techs'!P129</f>
        <v>119.04537712959301</v>
      </c>
      <c r="X167" s="433">
        <f>'Key Inputs_New Techs'!Q129</f>
        <v>121.68578633051195</v>
      </c>
      <c r="Y167" s="433">
        <f>'Key Inputs_New Techs'!R129</f>
        <v>117.0257553315558</v>
      </c>
      <c r="Z167" s="433">
        <f>'Key Inputs_New Techs'!S129</f>
        <v>121.69742238716425</v>
      </c>
      <c r="AA167" s="433">
        <f>'Key Inputs_New Techs'!T129</f>
        <v>139.48031109089274</v>
      </c>
      <c r="AB167" s="433">
        <f>'Key Inputs_New Techs'!U129</f>
        <v>126.91859833702705</v>
      </c>
      <c r="AC167" s="433">
        <f>'Key Inputs_New Techs'!V129</f>
        <v>122.483331477104</v>
      </c>
      <c r="AD167" s="433">
        <f>'Key Inputs_New Techs'!W129</f>
        <v>121.98717589091822</v>
      </c>
      <c r="AE167" s="433">
        <f>'Key Inputs_New Techs'!X129</f>
        <v>140.18331703514937</v>
      </c>
      <c r="AF167" s="433">
        <f>'Key Inputs_New Techs'!Y129</f>
        <v>130.98721329477254</v>
      </c>
      <c r="AG167" s="433">
        <f>'Key Inputs_New Techs'!Z129</f>
        <v>135.87472062145582</v>
      </c>
      <c r="AH167" s="433">
        <f>'Key Inputs_New Techs'!AA129</f>
        <v>142.65564743437437</v>
      </c>
      <c r="AI167" s="433">
        <f>'Key Inputs_New Techs'!AB129</f>
        <v>119.69868167342496</v>
      </c>
      <c r="AJ167" s="433">
        <f>'Key Inputs_New Techs'!AC129</f>
        <v>117.53687448428097</v>
      </c>
      <c r="AK167" s="433">
        <f>'Key Inputs_New Techs'!AD129</f>
        <v>135.60504233325699</v>
      </c>
      <c r="AL167" s="433">
        <f>'Key Inputs_New Techs'!AE129</f>
        <v>120.59985726561567</v>
      </c>
      <c r="AM167" s="433">
        <f>'Key Inputs_New Techs'!AF129</f>
        <v>125.89139500595043</v>
      </c>
      <c r="AN167" s="433">
        <f>'Key Inputs_New Techs'!AG129</f>
        <v>125.21160010769469</v>
      </c>
      <c r="AO167" s="433">
        <f>'Key Inputs_New Techs'!AH129</f>
        <v>124.72388991608388</v>
      </c>
      <c r="AP167" s="433">
        <f>'Key Inputs_New Techs'!AI129</f>
        <v>116.7423264027411</v>
      </c>
      <c r="AQ167" s="433">
        <f>'Key Inputs_New Techs'!AJ129</f>
        <v>128.40883918623621</v>
      </c>
      <c r="AR167" s="433">
        <f>'Key Inputs_New Techs'!AK129</f>
        <v>136.17449329985922</v>
      </c>
      <c r="AS167" s="433">
        <f>'Key Inputs_New Techs'!AL129</f>
        <v>146.33985757214123</v>
      </c>
    </row>
    <row r="168" spans="11:45" x14ac:dyDescent="0.3">
      <c r="K168" s="328" t="str">
        <f>IF('Key Inputs_New Techs'!B130="","",'Key Inputs_New Techs'!B130)</f>
        <v>S-LIG_ELC01</v>
      </c>
      <c r="L168" s="201" t="str">
        <f>IF(K168="","",VLOOKUP(K168,'Commodities &amp; Processes'!$L$48:$M$87,2,FALSE))</f>
        <v>SRV Lighting tech: Electricity - Office lighting (Ord.)</v>
      </c>
      <c r="N168" s="222">
        <f>'Key Inputs_New Techs'!H130</f>
        <v>2020</v>
      </c>
      <c r="O168" s="331" t="s">
        <v>451</v>
      </c>
      <c r="P168" s="212" t="s">
        <v>409</v>
      </c>
      <c r="Q168" s="212"/>
      <c r="R168" s="224">
        <f>'Key Inputs_New Techs'!K130</f>
        <v>9.2913941080210822</v>
      </c>
      <c r="S168" s="224">
        <f>'Key Inputs_New Techs'!L130</f>
        <v>9.6397174995763244</v>
      </c>
      <c r="T168" s="224">
        <f>'Key Inputs_New Techs'!M130</f>
        <v>9.2904233619074716</v>
      </c>
      <c r="U168" s="224">
        <f>'Key Inputs_New Techs'!N130</f>
        <v>9.4390092734697255</v>
      </c>
      <c r="V168" s="224">
        <f>'Key Inputs_New Techs'!O130</f>
        <v>11.188463299737936</v>
      </c>
      <c r="W168" s="224">
        <f>'Key Inputs_New Techs'!P130</f>
        <v>9.5761072050404437</v>
      </c>
      <c r="X168" s="224">
        <f>'Key Inputs_New Techs'!Q130</f>
        <v>9.7885038741328518</v>
      </c>
      <c r="Y168" s="224">
        <f>'Key Inputs_New Techs'!R130</f>
        <v>9.4136471808213837</v>
      </c>
      <c r="Z168" s="224">
        <f>'Key Inputs_New Techs'!S130</f>
        <v>9.7894398880179185</v>
      </c>
      <c r="AA168" s="224">
        <f>'Key Inputs_New Techs'!T130</f>
        <v>11.219909955384146</v>
      </c>
      <c r="AB168" s="224">
        <f>'Key Inputs_New Techs'!U130</f>
        <v>10.209435538733834</v>
      </c>
      <c r="AC168" s="224">
        <f>'Key Inputs_New Techs'!V130</f>
        <v>9.8526590560372362</v>
      </c>
      <c r="AD168" s="224">
        <f>'Key Inputs_New Techs'!W130</f>
        <v>9.8127478961227901</v>
      </c>
      <c r="AE168" s="224">
        <f>'Key Inputs_New Techs'!X130</f>
        <v>11.27646032676609</v>
      </c>
      <c r="AF168" s="224">
        <f>'Key Inputs_New Techs'!Y130</f>
        <v>10.536718243453972</v>
      </c>
      <c r="AG168" s="224">
        <f>'Key Inputs_New Techs'!Z130</f>
        <v>10.929873318050355</v>
      </c>
      <c r="AH168" s="224">
        <f>'Key Inputs_New Techs'!AA130</f>
        <v>11.475336600000002</v>
      </c>
      <c r="AI168" s="224">
        <f>'Key Inputs_New Techs'!AB130</f>
        <v>9.6286595552460668</v>
      </c>
      <c r="AJ168" s="224">
        <f>'Key Inputs_New Techs'!AC130</f>
        <v>9.454762022229442</v>
      </c>
      <c r="AK168" s="224">
        <f>'Key Inputs_New Techs'!AD130</f>
        <v>10.908180176653923</v>
      </c>
      <c r="AL168" s="224">
        <f>'Key Inputs_New Techs'!AE130</f>
        <v>9.7011508546939211</v>
      </c>
      <c r="AM168" s="224">
        <f>'Key Inputs_New Techs'!AF130</f>
        <v>10.126806465207896</v>
      </c>
      <c r="AN168" s="224">
        <f>'Key Inputs_New Techs'!AG130</f>
        <v>10.07212320929238</v>
      </c>
      <c r="AO168" s="224">
        <f>'Key Inputs_New Techs'!AH130</f>
        <v>10.032891403803857</v>
      </c>
      <c r="AP168" s="224">
        <f>'Key Inputs_New Techs'!AI130</f>
        <v>9.3908479266816389</v>
      </c>
      <c r="AQ168" s="224">
        <f>'Key Inputs_New Techs'!AJ130</f>
        <v>10.329311727775785</v>
      </c>
      <c r="AR168" s="224">
        <f>'Key Inputs_New Techs'!AK130</f>
        <v>10.95398727673359</v>
      </c>
      <c r="AS168" s="224">
        <f>'Key Inputs_New Techs'!AL130</f>
        <v>11.771697467560159</v>
      </c>
    </row>
    <row r="169" spans="11:45" x14ac:dyDescent="0.3">
      <c r="K169" s="328" t="str">
        <f>IF('Key Inputs_New Techs'!B131="","",'Key Inputs_New Techs'!B131)</f>
        <v>S-LIG_ELC02</v>
      </c>
      <c r="L169" s="201" t="str">
        <f>IF(K169="","",VLOOKUP(K169,'Commodities &amp; Processes'!$L$48:$M$87,2,FALSE))</f>
        <v>SRV Lighting tech: Electricity - Office lighting (Imp.)</v>
      </c>
      <c r="N169" s="222">
        <f>'Key Inputs_New Techs'!H131</f>
        <v>2030</v>
      </c>
      <c r="O169" s="331" t="s">
        <v>451</v>
      </c>
      <c r="P169" s="212" t="s">
        <v>409</v>
      </c>
      <c r="Q169" s="212"/>
      <c r="R169" s="224">
        <f>'Key Inputs_New Techs'!K131</f>
        <v>12.801476326606826</v>
      </c>
      <c r="S169" s="224">
        <f>'Key Inputs_New Techs'!L131</f>
        <v>13.281388554971825</v>
      </c>
      <c r="T169" s="224">
        <f>'Key Inputs_New Techs'!M131</f>
        <v>12.800138854183627</v>
      </c>
      <c r="U169" s="224">
        <f>'Key Inputs_New Techs'!N131</f>
        <v>13.004857221224956</v>
      </c>
      <c r="V169" s="224">
        <f>'Key Inputs_New Techs'!O131</f>
        <v>15.415216101861155</v>
      </c>
      <c r="W169" s="224">
        <f>'Key Inputs_New Techs'!P131</f>
        <v>13.193747704722389</v>
      </c>
      <c r="X169" s="224">
        <f>'Key Inputs_New Techs'!Q131</f>
        <v>13.486383115471927</v>
      </c>
      <c r="Y169" s="224">
        <f>'Key Inputs_New Techs'!R131</f>
        <v>12.969913893576129</v>
      </c>
      <c r="Z169" s="224">
        <f>'Key Inputs_New Techs'!S131</f>
        <v>13.487672734602466</v>
      </c>
      <c r="AA169" s="224">
        <f>'Key Inputs_New Techs'!T131</f>
        <v>15.458542605195934</v>
      </c>
      <c r="AB169" s="224">
        <f>'Key Inputs_New Techs'!U131</f>
        <v>14.066333408922171</v>
      </c>
      <c r="AC169" s="224">
        <f>'Key Inputs_New Techs'!V131</f>
        <v>13.574774699429081</v>
      </c>
      <c r="AD169" s="224">
        <f>'Key Inputs_New Techs'!W131</f>
        <v>13.519785990213622</v>
      </c>
      <c r="AE169" s="224">
        <f>'Key Inputs_New Techs'!X131</f>
        <v>15.536456450211057</v>
      </c>
      <c r="AF169" s="224">
        <f>'Key Inputs_New Techs'!Y131</f>
        <v>14.517256246536583</v>
      </c>
      <c r="AG169" s="224">
        <f>'Key Inputs_New Techs'!Z131</f>
        <v>15.058936571536044</v>
      </c>
      <c r="AH169" s="224">
        <f>'Key Inputs_New Techs'!AA131</f>
        <v>15.810463760000003</v>
      </c>
      <c r="AI169" s="224">
        <f>'Key Inputs_New Techs'!AB131</f>
        <v>13.266153165005692</v>
      </c>
      <c r="AJ169" s="224">
        <f>'Key Inputs_New Techs'!AC131</f>
        <v>13.026561008405009</v>
      </c>
      <c r="AK169" s="224">
        <f>'Key Inputs_New Techs'!AD131</f>
        <v>15.029048243389848</v>
      </c>
      <c r="AL169" s="224">
        <f>'Key Inputs_New Techs'!AE131</f>
        <v>13.366030066467181</v>
      </c>
      <c r="AM169" s="224">
        <f>'Key Inputs_New Techs'!AF131</f>
        <v>13.952488907619767</v>
      </c>
      <c r="AN169" s="224">
        <f>'Key Inputs_New Techs'!AG131</f>
        <v>13.877147532802834</v>
      </c>
      <c r="AO169" s="224">
        <f>'Key Inputs_New Techs'!AH131</f>
        <v>13.823094823018648</v>
      </c>
      <c r="AP169" s="224">
        <f>'Key Inputs_New Techs'!AI131</f>
        <v>12.93850158787248</v>
      </c>
      <c r="AQ169" s="224">
        <f>'Key Inputs_New Techs'!AJ131</f>
        <v>14.231496158268861</v>
      </c>
      <c r="AR169" s="224">
        <f>'Key Inputs_New Techs'!AK131</f>
        <v>15.092160247944056</v>
      </c>
      <c r="AS169" s="224">
        <f>'Key Inputs_New Techs'!AL131</f>
        <v>16.218783177527332</v>
      </c>
    </row>
    <row r="170" spans="11:45" x14ac:dyDescent="0.3">
      <c r="K170" s="328" t="str">
        <f>IF('Key Inputs_New Techs'!B132="","",'Key Inputs_New Techs'!B132)</f>
        <v/>
      </c>
      <c r="L170" s="201" t="str">
        <f>IF(K170="","",VLOOKUP(K170,'Commodities &amp; Processes'!$L$48:$M$87,2,FALSE))</f>
        <v/>
      </c>
      <c r="N170" s="222">
        <f>'Key Inputs_New Techs'!H132</f>
        <v>2050</v>
      </c>
      <c r="O170" s="331" t="s">
        <v>451</v>
      </c>
      <c r="P170" s="212" t="s">
        <v>409</v>
      </c>
      <c r="Q170" s="212"/>
      <c r="R170" s="224">
        <f>'Key Inputs_New Techs'!K132</f>
        <v>12.712506066136907</v>
      </c>
      <c r="S170" s="224">
        <f>'Key Inputs_New Techs'!L132</f>
        <v>13.18908290451477</v>
      </c>
      <c r="T170" s="224">
        <f>'Key Inputs_New Techs'!M132</f>
        <v>12.71117788914705</v>
      </c>
      <c r="U170" s="224">
        <f>'Key Inputs_New Techs'!N132</f>
        <v>12.914473463537442</v>
      </c>
      <c r="V170" s="224">
        <f>'Key Inputs_New Techs'!O132</f>
        <v>15.308080349953219</v>
      </c>
      <c r="W170" s="224">
        <f>'Key Inputs_New Techs'!P132</f>
        <v>13.102051158174568</v>
      </c>
      <c r="X170" s="224">
        <f>'Key Inputs_New Techs'!Q132</f>
        <v>13.392652752819398</v>
      </c>
      <c r="Y170" s="224">
        <f>'Key Inputs_New Techs'!R132</f>
        <v>12.879772992015774</v>
      </c>
      <c r="Z170" s="224">
        <f>'Key Inputs_New Techs'!S132</f>
        <v>13.393933409096979</v>
      </c>
      <c r="AA170" s="224">
        <f>'Key Inputs_New Techs'!T132</f>
        <v>15.35110573408982</v>
      </c>
      <c r="AB170" s="224">
        <f>'Key Inputs_New Techs'!U132</f>
        <v>13.968572391730161</v>
      </c>
      <c r="AC170" s="224">
        <f>'Key Inputs_New Techs'!V132</f>
        <v>13.480430015268048</v>
      </c>
      <c r="AD170" s="224">
        <f>'Key Inputs_New Techs'!W132</f>
        <v>13.425823477581638</v>
      </c>
      <c r="AE170" s="224">
        <f>'Key Inputs_New Techs'!X132</f>
        <v>15.42847807788209</v>
      </c>
      <c r="AF170" s="224">
        <f>'Key Inputs_New Techs'!Y132</f>
        <v>14.416361315623153</v>
      </c>
      <c r="AG170" s="224">
        <f>'Key Inputs_New Techs'!Z132</f>
        <v>14.954276962363867</v>
      </c>
      <c r="AH170" s="224">
        <f>'Key Inputs_New Techs'!AA132</f>
        <v>15.700581036868002</v>
      </c>
      <c r="AI170" s="224">
        <f>'Key Inputs_New Techs'!AB132</f>
        <v>13.173953400508902</v>
      </c>
      <c r="AJ170" s="224">
        <f>'Key Inputs_New Techs'!AC132</f>
        <v>12.936026409396595</v>
      </c>
      <c r="AK170" s="224">
        <f>'Key Inputs_New Techs'!AD132</f>
        <v>14.924596358098288</v>
      </c>
      <c r="AL170" s="224">
        <f>'Key Inputs_New Techs'!AE132</f>
        <v>13.273136157505233</v>
      </c>
      <c r="AM170" s="224">
        <f>'Key Inputs_New Techs'!AF132</f>
        <v>13.855519109711809</v>
      </c>
      <c r="AN170" s="224">
        <f>'Key Inputs_New Techs'!AG132</f>
        <v>13.780701357449853</v>
      </c>
      <c r="AO170" s="224">
        <f>'Key Inputs_New Techs'!AH132</f>
        <v>13.727024313998667</v>
      </c>
      <c r="AP170" s="224">
        <f>'Key Inputs_New Techs'!AI132</f>
        <v>12.848579001836766</v>
      </c>
      <c r="AQ170" s="224">
        <f>'Key Inputs_New Techs'!AJ132</f>
        <v>14.13258725996889</v>
      </c>
      <c r="AR170" s="224">
        <f>'Key Inputs_New Techs'!AK132</f>
        <v>14.987269734220845</v>
      </c>
      <c r="AS170" s="224">
        <f>'Key Inputs_New Techs'!AL132</f>
        <v>16.106062634443514</v>
      </c>
    </row>
    <row r="171" spans="11:45" x14ac:dyDescent="0.3">
      <c r="K171" s="328" t="str">
        <f>IF('Key Inputs_New Techs'!B133="","",'Key Inputs_New Techs'!B133)</f>
        <v>S-LIG_ELC03</v>
      </c>
      <c r="L171" s="201" t="str">
        <f>IF(K171="","",VLOOKUP(K171,'Commodities &amp; Processes'!$L$48:$M$87,2,FALSE))</f>
        <v>SRV Lighting tech: Electricity - Office lighting (Adv.)</v>
      </c>
      <c r="N171" s="222">
        <f>'Key Inputs_New Techs'!H133</f>
        <v>2030</v>
      </c>
      <c r="O171" s="331" t="s">
        <v>451</v>
      </c>
      <c r="P171" s="212" t="s">
        <v>409</v>
      </c>
      <c r="Q171" s="212"/>
      <c r="R171" s="224">
        <f>'Key Inputs_New Techs'!K133</f>
        <v>23.447711149115985</v>
      </c>
      <c r="S171" s="224">
        <f>'Key Inputs_New Techs'!L133</f>
        <v>24.326738147294545</v>
      </c>
      <c r="T171" s="224">
        <f>'Key Inputs_New Techs'!M133</f>
        <v>23.445261379554342</v>
      </c>
      <c r="U171" s="224">
        <f>'Key Inputs_New Techs'!N133</f>
        <v>23.820231970042173</v>
      </c>
      <c r="V171" s="224">
        <f>'Key Inputs_New Techs'!O133</f>
        <v>28.235144543945648</v>
      </c>
      <c r="W171" s="224">
        <f>'Key Inputs_New Techs'!P133</f>
        <v>24.166211557307378</v>
      </c>
      <c r="X171" s="224">
        <f>'Key Inputs_New Techs'!Q133</f>
        <v>24.702214625093919</v>
      </c>
      <c r="Y171" s="224">
        <f>'Key Inputs_New Techs'!R133</f>
        <v>23.756228332305824</v>
      </c>
      <c r="Z171" s="224">
        <f>'Key Inputs_New Techs'!S133</f>
        <v>24.704576744594341</v>
      </c>
      <c r="AA171" s="224">
        <f>'Key Inputs_New Techs'!T133</f>
        <v>28.314503151451223</v>
      </c>
      <c r="AB171" s="224">
        <f>'Key Inputs_New Techs'!U133</f>
        <v>25.764475462416485</v>
      </c>
      <c r="AC171" s="224">
        <f>'Key Inputs_New Techs'!V133</f>
        <v>24.86411628985211</v>
      </c>
      <c r="AD171" s="224">
        <f>'Key Inputs_New Techs'!W133</f>
        <v>24.763396705856394</v>
      </c>
      <c r="AE171" s="224">
        <f>'Key Inputs_New Techs'!X133</f>
        <v>28.45721335813532</v>
      </c>
      <c r="AF171" s="224">
        <f>'Key Inputs_New Techs'!Y133</f>
        <v>26.590404298838823</v>
      </c>
      <c r="AG171" s="224">
        <f>'Key Inputs_New Techs'!Z133</f>
        <v>27.582568286155524</v>
      </c>
      <c r="AH171" s="224">
        <f>'Key Inputs_New Techs'!AA133</f>
        <v>28.959096429177993</v>
      </c>
      <c r="AI171" s="224">
        <f>'Key Inputs_New Techs'!AB133</f>
        <v>24.298832379705264</v>
      </c>
      <c r="AJ171" s="224">
        <f>'Key Inputs_New Techs'!AC133</f>
        <v>23.859985520309035</v>
      </c>
      <c r="AK171" s="224">
        <f>'Key Inputs_New Techs'!AD133</f>
        <v>27.527823593651163</v>
      </c>
      <c r="AL171" s="224">
        <f>'Key Inputs_New Techs'!AE133</f>
        <v>24.481771024919979</v>
      </c>
      <c r="AM171" s="224">
        <f>'Key Inputs_New Techs'!AF133</f>
        <v>25.555953186207933</v>
      </c>
      <c r="AN171" s="224">
        <f>'Key Inputs_New Techs'!AG133</f>
        <v>25.417954821862018</v>
      </c>
      <c r="AO171" s="224">
        <f>'Key Inputs_New Techs'!AH133</f>
        <v>25.318949652965024</v>
      </c>
      <c r="AP171" s="224">
        <f>'Key Inputs_New Techs'!AI133</f>
        <v>23.698692259756438</v>
      </c>
      <c r="AQ171" s="224">
        <f>'Key Inputs_New Techs'!AJ133</f>
        <v>26.066994354805946</v>
      </c>
      <c r="AR171" s="224">
        <f>'Key Inputs_New Techs'!AK133</f>
        <v>27.643422139871419</v>
      </c>
      <c r="AS171" s="224">
        <f>'Key Inputs_New Techs'!AL133</f>
        <v>29.706991087144665</v>
      </c>
    </row>
    <row r="172" spans="11:45" x14ac:dyDescent="0.3">
      <c r="K172" s="330" t="str">
        <f>IF('Key Inputs_New Techs'!B134="","",'Key Inputs_New Techs'!B134)</f>
        <v/>
      </c>
      <c r="L172" s="234" t="str">
        <f>IF(K172="","",VLOOKUP(K172,'Commodities &amp; Processes'!$L$48:$M$87,2,FALSE))</f>
        <v/>
      </c>
      <c r="M172" s="234"/>
      <c r="N172" s="308">
        <f>'Key Inputs_New Techs'!H134</f>
        <v>2050</v>
      </c>
      <c r="O172" s="432" t="s">
        <v>451</v>
      </c>
      <c r="P172" s="299" t="s">
        <v>409</v>
      </c>
      <c r="Q172" s="299"/>
      <c r="R172" s="433">
        <f>'Key Inputs_New Techs'!K134</f>
        <v>23.101193250360581</v>
      </c>
      <c r="S172" s="433">
        <f>'Key Inputs_New Techs'!L134</f>
        <v>23.96722970176803</v>
      </c>
      <c r="T172" s="433">
        <f>'Key Inputs_New Techs'!M134</f>
        <v>23.098779684289994</v>
      </c>
      <c r="U172" s="433">
        <f>'Key Inputs_New Techs'!N134</f>
        <v>23.468208837479978</v>
      </c>
      <c r="V172" s="433">
        <f>'Key Inputs_New Techs'!O134</f>
        <v>27.817876397976015</v>
      </c>
      <c r="W172" s="433">
        <f>'Key Inputs_New Techs'!P134</f>
        <v>23.8090754259186</v>
      </c>
      <c r="X172" s="433">
        <f>'Key Inputs_New Techs'!Q134</f>
        <v>24.337157266102388</v>
      </c>
      <c r="Y172" s="433">
        <f>'Key Inputs_New Techs'!R134</f>
        <v>23.405151066311159</v>
      </c>
      <c r="Z172" s="433">
        <f>'Key Inputs_New Techs'!S134</f>
        <v>24.339484477432851</v>
      </c>
      <c r="AA172" s="433">
        <f>'Key Inputs_New Techs'!T134</f>
        <v>27.89606221817855</v>
      </c>
      <c r="AB172" s="433">
        <f>'Key Inputs_New Techs'!U134</f>
        <v>25.383719667405408</v>
      </c>
      <c r="AC172" s="433">
        <f>'Key Inputs_New Techs'!V134</f>
        <v>24.496666295420802</v>
      </c>
      <c r="AD172" s="433">
        <f>'Key Inputs_New Techs'!W134</f>
        <v>24.397435178183645</v>
      </c>
      <c r="AE172" s="433">
        <f>'Key Inputs_New Techs'!X134</f>
        <v>28.036663407029874</v>
      </c>
      <c r="AF172" s="433">
        <f>'Key Inputs_New Techs'!Y134</f>
        <v>26.197442658954508</v>
      </c>
      <c r="AG172" s="433">
        <f>'Key Inputs_New Techs'!Z134</f>
        <v>27.174944124291162</v>
      </c>
      <c r="AH172" s="433">
        <f>'Key Inputs_New Techs'!AA134</f>
        <v>28.531129486874875</v>
      </c>
      <c r="AI172" s="433">
        <f>'Key Inputs_New Techs'!AB134</f>
        <v>23.939736334684991</v>
      </c>
      <c r="AJ172" s="433">
        <f>'Key Inputs_New Techs'!AC134</f>
        <v>23.507374896856195</v>
      </c>
      <c r="AK172" s="433">
        <f>'Key Inputs_New Techs'!AD134</f>
        <v>27.121008466651396</v>
      </c>
      <c r="AL172" s="433">
        <f>'Key Inputs_New Techs'!AE134</f>
        <v>24.119971453123135</v>
      </c>
      <c r="AM172" s="433">
        <f>'Key Inputs_New Techs'!AF134</f>
        <v>25.178279001190088</v>
      </c>
      <c r="AN172" s="433">
        <f>'Key Inputs_New Techs'!AG134</f>
        <v>25.042320021538938</v>
      </c>
      <c r="AO172" s="433">
        <f>'Key Inputs_New Techs'!AH134</f>
        <v>24.944777983216774</v>
      </c>
      <c r="AP172" s="433">
        <f>'Key Inputs_New Techs'!AI134</f>
        <v>23.348465280548218</v>
      </c>
      <c r="AQ172" s="433">
        <f>'Key Inputs_New Techs'!AJ134</f>
        <v>25.681767837247243</v>
      </c>
      <c r="AR172" s="433">
        <f>'Key Inputs_New Techs'!AK134</f>
        <v>27.234898659971844</v>
      </c>
      <c r="AS172" s="433">
        <f>'Key Inputs_New Techs'!AL134</f>
        <v>29.267971514428247</v>
      </c>
    </row>
    <row r="173" spans="11:45" x14ac:dyDescent="0.3">
      <c r="K173" s="329" t="str">
        <f>IF('Key Inputs_New Techs'!B135="","",'Key Inputs_New Techs'!B135)</f>
        <v>S-EAP_ELC01</v>
      </c>
      <c r="L173" s="208" t="str">
        <f>IF(K173="","",VLOOKUP(K173,'Commodities &amp; Processes'!$L$48:$M$87,2,FALSE))</f>
        <v>SRV Electric Appliances tech: Electricity - Appl.(Ord.)</v>
      </c>
      <c r="M173" s="208"/>
      <c r="N173" s="242">
        <f>'Key Inputs_New Techs'!H135</f>
        <v>2020</v>
      </c>
      <c r="O173" s="437" t="s">
        <v>451</v>
      </c>
      <c r="P173" s="229" t="s">
        <v>409</v>
      </c>
      <c r="Q173" s="229"/>
      <c r="R173" s="438">
        <f>'Key Inputs_New Techs'!K135</f>
        <v>26.261071037834576</v>
      </c>
      <c r="S173" s="438">
        <f>'Key Inputs_New Techs'!L135</f>
        <v>27.24556757553659</v>
      </c>
      <c r="T173" s="438">
        <f>'Key Inputs_New Techs'!M135</f>
        <v>26.258327334106927</v>
      </c>
      <c r="U173" s="438">
        <f>'Key Inputs_New Techs'!N135</f>
        <v>26.67828855127123</v>
      </c>
      <c r="V173" s="438">
        <f>'Key Inputs_New Techs'!O135</f>
        <v>31.622921824505635</v>
      </c>
      <c r="W173" s="438">
        <f>'Key Inputs_New Techs'!P135</f>
        <v>27.065780296671491</v>
      </c>
      <c r="X173" s="438">
        <f>'Key Inputs_New Techs'!Q135</f>
        <v>27.66609537860521</v>
      </c>
      <c r="Y173" s="438">
        <f>'Key Inputs_New Techs'!R135</f>
        <v>26.606605474548516</v>
      </c>
      <c r="Z173" s="438">
        <f>'Key Inputs_New Techs'!S135</f>
        <v>27.668740915630377</v>
      </c>
      <c r="AA173" s="438">
        <f>'Key Inputs_New Techs'!T135</f>
        <v>31.711802228051809</v>
      </c>
      <c r="AB173" s="438">
        <f>'Key Inputs_New Techs'!U135</f>
        <v>28.855810960319431</v>
      </c>
      <c r="AC173" s="438">
        <f>'Key Inputs_New Techs'!V135</f>
        <v>27.847422719782337</v>
      </c>
      <c r="AD173" s="438">
        <f>'Key Inputs_New Techs'!W135</f>
        <v>27.734618355493147</v>
      </c>
      <c r="AE173" s="438">
        <f>'Key Inputs_New Techs'!X135</f>
        <v>31.871635435298408</v>
      </c>
      <c r="AF173" s="438">
        <f>'Key Inputs_New Techs'!Y135</f>
        <v>29.780838384426911</v>
      </c>
      <c r="AG173" s="438">
        <f>'Key Inputs_New Techs'!Z135</f>
        <v>30.892046586643591</v>
      </c>
      <c r="AH173" s="438">
        <f>'Key Inputs_New Techs'!AA135</f>
        <v>32.433736652663292</v>
      </c>
      <c r="AI173" s="438">
        <f>'Key Inputs_New Techs'!AB135</f>
        <v>27.214313550767734</v>
      </c>
      <c r="AJ173" s="438">
        <f>'Key Inputs_New Techs'!AC135</f>
        <v>26.722811907982894</v>
      </c>
      <c r="AK173" s="438">
        <f>'Key Inputs_New Techs'!AD135</f>
        <v>30.830733384273486</v>
      </c>
      <c r="AL173" s="438">
        <f>'Key Inputs_New Techs'!AE135</f>
        <v>27.419201982179938</v>
      </c>
      <c r="AM173" s="438">
        <f>'Key Inputs_New Techs'!AF135</f>
        <v>28.622269260933127</v>
      </c>
      <c r="AN173" s="438">
        <f>'Key Inputs_New Techs'!AG135</f>
        <v>28.467713243667887</v>
      </c>
      <c r="AO173" s="438">
        <f>'Key Inputs_New Techs'!AH135</f>
        <v>28.35682899756889</v>
      </c>
      <c r="AP173" s="438">
        <f>'Key Inputs_New Techs'!AI135</f>
        <v>26.542165970033619</v>
      </c>
      <c r="AQ173" s="438">
        <f>'Key Inputs_New Techs'!AJ135</f>
        <v>29.194627404824555</v>
      </c>
      <c r="AR173" s="438">
        <f>'Key Inputs_New Techs'!AK135</f>
        <v>30.960201954355007</v>
      </c>
      <c r="AS173" s="438">
        <f>'Key Inputs_New Techs'!AL135</f>
        <v>33.271367013118336</v>
      </c>
    </row>
    <row r="174" spans="11:45" x14ac:dyDescent="0.3">
      <c r="K174" s="328" t="str">
        <f>IF('Key Inputs_New Techs'!B136="","",'Key Inputs_New Techs'!B136)</f>
        <v>S-EAP_ELC02</v>
      </c>
      <c r="L174" s="201" t="str">
        <f>IF(K174="","",VLOOKUP(K174,'Commodities &amp; Processes'!$L$48:$M$87,2,FALSE))</f>
        <v>SRV Electric Appliances tech: Electricity - Appl.(Imp.)</v>
      </c>
      <c r="N174" s="222">
        <f>'Key Inputs_New Techs'!H136</f>
        <v>2030</v>
      </c>
      <c r="O174" s="331" t="s">
        <v>451</v>
      </c>
      <c r="P174" s="212" t="s">
        <v>409</v>
      </c>
      <c r="Q174" s="212"/>
      <c r="R174" s="224">
        <f>'Key Inputs_New Techs'!K136</f>
        <v>26.908604296301718</v>
      </c>
      <c r="S174" s="224">
        <f>'Key Inputs_New Techs'!L136</f>
        <v>27.917376091097754</v>
      </c>
      <c r="T174" s="224">
        <f>'Key Inputs_New Techs'!M136</f>
        <v>26.905792939605444</v>
      </c>
      <c r="U174" s="224">
        <f>'Key Inputs_New Techs'!N136</f>
        <v>27.336109364864207</v>
      </c>
      <c r="V174" s="224">
        <f>'Key Inputs_New Techs'!O136</f>
        <v>32.402665102370143</v>
      </c>
      <c r="W174" s="224">
        <f>'Key Inputs_New Techs'!P136</f>
        <v>27.733155701246943</v>
      </c>
      <c r="X174" s="224">
        <f>'Key Inputs_New Techs'!Q136</f>
        <v>28.348273072872175</v>
      </c>
      <c r="Y174" s="224">
        <f>'Key Inputs_New Techs'!R136</f>
        <v>27.262658760222301</v>
      </c>
      <c r="Z174" s="224">
        <f>'Key Inputs_New Techs'!S136</f>
        <v>28.350983842317142</v>
      </c>
      <c r="AA174" s="224">
        <f>'Key Inputs_New Techs'!T136</f>
        <v>32.493737077510609</v>
      </c>
      <c r="AB174" s="224">
        <f>'Key Inputs_New Techs'!U136</f>
        <v>29.567324107286197</v>
      </c>
      <c r="AC174" s="224">
        <f>'Key Inputs_New Techs'!V136</f>
        <v>28.534071499174217</v>
      </c>
      <c r="AD174" s="224">
        <f>'Key Inputs_New Techs'!W136</f>
        <v>28.418485657409402</v>
      </c>
      <c r="AE174" s="224">
        <f>'Key Inputs_New Techs'!X136</f>
        <v>32.657511377538633</v>
      </c>
      <c r="AF174" s="224">
        <f>'Key Inputs_New Techs'!Y136</f>
        <v>30.515160426782632</v>
      </c>
      <c r="AG174" s="224">
        <f>'Key Inputs_New Techs'!Z136</f>
        <v>31.653768283300543</v>
      </c>
      <c r="AH174" s="224">
        <f>'Key Inputs_New Techs'!AA136</f>
        <v>33.233472624920729</v>
      </c>
      <c r="AI174" s="224">
        <f>'Key Inputs_New Techs'!AB136</f>
        <v>27.885351419142818</v>
      </c>
      <c r="AJ174" s="224">
        <f>'Key Inputs_New Techs'!AC136</f>
        <v>27.381730557768762</v>
      </c>
      <c r="AK174" s="224">
        <f>'Key Inputs_New Techs'!AD136</f>
        <v>31.59094324854323</v>
      </c>
      <c r="AL174" s="224">
        <f>'Key Inputs_New Techs'!AE136</f>
        <v>28.095291894069295</v>
      </c>
      <c r="AM174" s="224">
        <f>'Key Inputs_New Techs'!AF136</f>
        <v>29.328023845449273</v>
      </c>
      <c r="AN174" s="224">
        <f>'Key Inputs_New Techs'!AG136</f>
        <v>29.169656857895301</v>
      </c>
      <c r="AO174" s="224">
        <f>'Key Inputs_New Techs'!AH136</f>
        <v>29.056038479700714</v>
      </c>
      <c r="AP174" s="224">
        <f>'Key Inputs_New Techs'!AI136</f>
        <v>27.196630336418</v>
      </c>
      <c r="AQ174" s="224">
        <f>'Key Inputs_New Techs'!AJ136</f>
        <v>29.914494929875012</v>
      </c>
      <c r="AR174" s="224">
        <f>'Key Inputs_New Techs'!AK136</f>
        <v>31.723604194325389</v>
      </c>
      <c r="AS174" s="224">
        <f>'Key Inputs_New Techs'!AL136</f>
        <v>34.091756884674666</v>
      </c>
    </row>
    <row r="175" spans="11:45" x14ac:dyDescent="0.3">
      <c r="K175" s="328" t="str">
        <f>IF('Key Inputs_New Techs'!B137="","",'Key Inputs_New Techs'!B137)</f>
        <v/>
      </c>
      <c r="L175" s="201" t="str">
        <f>IF(K175="","",VLOOKUP(K175,'Commodities &amp; Processes'!$L$48:$M$87,2,FALSE))</f>
        <v/>
      </c>
      <c r="N175" s="222">
        <f>'Key Inputs_New Techs'!H137</f>
        <v>2050</v>
      </c>
      <c r="O175" s="331" t="s">
        <v>451</v>
      </c>
      <c r="P175" s="212" t="s">
        <v>409</v>
      </c>
      <c r="Q175" s="212"/>
      <c r="R175" s="224">
        <f>'Key Inputs_New Techs'!K137</f>
        <v>25.901330338686151</v>
      </c>
      <c r="S175" s="224">
        <f>'Key Inputs_New Techs'!L137</f>
        <v>26.872340622447041</v>
      </c>
      <c r="T175" s="224">
        <f>'Key Inputs_New Techs'!M137</f>
        <v>25.89862421994107</v>
      </c>
      <c r="U175" s="224">
        <f>'Key Inputs_New Techs'!N137</f>
        <v>26.312832543719562</v>
      </c>
      <c r="V175" s="224">
        <f>'Key Inputs_New Techs'!O137</f>
        <v>31.189731114580891</v>
      </c>
      <c r="W175" s="224">
        <f>'Key Inputs_New Techs'!P137</f>
        <v>26.695016183018449</v>
      </c>
      <c r="X175" s="224">
        <f>'Key Inputs_New Techs'!Q137</f>
        <v>27.287107770679103</v>
      </c>
      <c r="Y175" s="224">
        <f>'Key Inputs_New Techs'!R137</f>
        <v>26.242131426951953</v>
      </c>
      <c r="Z175" s="224">
        <f>'Key Inputs_New Techs'!S137</f>
        <v>27.289717067471049</v>
      </c>
      <c r="AA175" s="224">
        <f>'Key Inputs_New Techs'!T137</f>
        <v>31.27739397835246</v>
      </c>
      <c r="AB175" s="224">
        <f>'Key Inputs_New Techs'!U137</f>
        <v>28.460525878671209</v>
      </c>
      <c r="AC175" s="224">
        <f>'Key Inputs_New Techs'!V137</f>
        <v>27.46595117567572</v>
      </c>
      <c r="AD175" s="224">
        <f>'Key Inputs_New Techs'!W137</f>
        <v>27.354692076650768</v>
      </c>
      <c r="AE175" s="224">
        <f>'Key Inputs_New Techs'!X137</f>
        <v>31.435037689609381</v>
      </c>
      <c r="AF175" s="224">
        <f>'Key Inputs_New Techs'!Y137</f>
        <v>29.372881694229275</v>
      </c>
      <c r="AG175" s="224">
        <f>'Key Inputs_New Techs'!Z137</f>
        <v>30.4688678662786</v>
      </c>
      <c r="AH175" s="224">
        <f>'Key Inputs_New Techs'!AA137</f>
        <v>31.989438890298032</v>
      </c>
      <c r="AI175" s="224">
        <f>'Key Inputs_New Techs'!AB137</f>
        <v>26.841514735003784</v>
      </c>
      <c r="AJ175" s="224">
        <f>'Key Inputs_New Techs'!AC137</f>
        <v>26.356745991435176</v>
      </c>
      <c r="AK175" s="224">
        <f>'Key Inputs_New Techs'!AD137</f>
        <v>30.408394570790279</v>
      </c>
      <c r="AL175" s="224">
        <f>'Key Inputs_New Techs'!AE137</f>
        <v>27.043596475574727</v>
      </c>
      <c r="AM175" s="224">
        <f>'Key Inputs_New Techs'!AF137</f>
        <v>28.230183380646363</v>
      </c>
      <c r="AN175" s="224">
        <f>'Key Inputs_New Techs'!AG137</f>
        <v>28.077744569097085</v>
      </c>
      <c r="AO175" s="224">
        <f>'Key Inputs_New Techs'!AH137</f>
        <v>27.968379285273418</v>
      </c>
      <c r="AP175" s="224">
        <f>'Key Inputs_New Techs'!AI137</f>
        <v>26.178574655375616</v>
      </c>
      <c r="AQ175" s="224">
        <f>'Key Inputs_New Techs'!AJ137</f>
        <v>28.794701002018734</v>
      </c>
      <c r="AR175" s="224">
        <f>'Key Inputs_New Techs'!AK137</f>
        <v>30.536089598815888</v>
      </c>
      <c r="AS175" s="224">
        <f>'Key Inputs_New Techs'!AL137</f>
        <v>32.81559486225369</v>
      </c>
    </row>
    <row r="176" spans="11:45" x14ac:dyDescent="0.3">
      <c r="K176" s="328" t="str">
        <f>IF('Key Inputs_New Techs'!B138="","",'Key Inputs_New Techs'!B138)</f>
        <v>S-EAP_ELC03</v>
      </c>
      <c r="L176" s="201" t="str">
        <f>IF(K176="","",VLOOKUP(K176,'Commodities &amp; Processes'!$L$48:$M$87,2,FALSE))</f>
        <v>SRV Electric Appliances tech: Electricity - Appl.(Adv.)</v>
      </c>
      <c r="N176" s="222">
        <f>'Key Inputs_New Techs'!H138</f>
        <v>2030</v>
      </c>
      <c r="O176" s="331" t="s">
        <v>451</v>
      </c>
      <c r="P176" s="212" t="s">
        <v>409</v>
      </c>
      <c r="Q176" s="212"/>
      <c r="R176" s="224">
        <f>'Key Inputs_New Techs'!K138</f>
        <v>35.566174948878327</v>
      </c>
      <c r="S176" s="224">
        <f>'Key Inputs_New Techs'!L138</f>
        <v>36.899508842459007</v>
      </c>
      <c r="T176" s="224">
        <f>'Key Inputs_New Techs'!M138</f>
        <v>35.562459066664502</v>
      </c>
      <c r="U176" s="224">
        <f>'Key Inputs_New Techs'!N138</f>
        <v>36.131225439516946</v>
      </c>
      <c r="V176" s="224">
        <f>'Key Inputs_New Techs'!O138</f>
        <v>42.827894124527319</v>
      </c>
      <c r="W176" s="224">
        <f>'Key Inputs_New Techs'!P138</f>
        <v>36.656017409665331</v>
      </c>
      <c r="X176" s="224">
        <f>'Key Inputs_New Techs'!Q138</f>
        <v>37.469042560000759</v>
      </c>
      <c r="Y176" s="224">
        <f>'Key Inputs_New Techs'!R138</f>
        <v>36.034142847420036</v>
      </c>
      <c r="Z176" s="224">
        <f>'Key Inputs_New Techs'!S138</f>
        <v>37.472625492034844</v>
      </c>
      <c r="AA176" s="224">
        <f>'Key Inputs_New Techs'!T138</f>
        <v>42.948267584448118</v>
      </c>
      <c r="AB176" s="224">
        <f>'Key Inputs_New Techs'!U138</f>
        <v>39.080310906889309</v>
      </c>
      <c r="AC176" s="224">
        <f>'Key Inputs_New Techs'!V138</f>
        <v>37.71461974647687</v>
      </c>
      <c r="AD176" s="224">
        <f>'Key Inputs_New Techs'!W138</f>
        <v>37.561845331848986</v>
      </c>
      <c r="AE176" s="224">
        <f>'Key Inputs_New Techs'!X138</f>
        <v>43.164734605286036</v>
      </c>
      <c r="AF176" s="224">
        <f>'Key Inputs_New Techs'!Y138</f>
        <v>40.33310395371204</v>
      </c>
      <c r="AG176" s="224">
        <f>'Key Inputs_New Techs'!Z138</f>
        <v>41.838047345690534</v>
      </c>
      <c r="AH176" s="224">
        <f>'Key Inputs_New Techs'!AA138</f>
        <v>43.926005545339265</v>
      </c>
      <c r="AI176" s="224">
        <f>'Key Inputs_New Techs'!AB138</f>
        <v>36.857180556945281</v>
      </c>
      <c r="AJ176" s="224">
        <f>'Key Inputs_New Techs'!AC138</f>
        <v>36.191524788764234</v>
      </c>
      <c r="AK176" s="224">
        <f>'Key Inputs_New Techs'!AD138</f>
        <v>41.75500899287433</v>
      </c>
      <c r="AL176" s="224">
        <f>'Key Inputs_New Techs'!AE138</f>
        <v>37.1346672514563</v>
      </c>
      <c r="AM176" s="224">
        <f>'Key Inputs_New Techs'!AF138</f>
        <v>38.764018211657465</v>
      </c>
      <c r="AN176" s="224">
        <f>'Key Inputs_New Techs'!AG138</f>
        <v>38.55469825126675</v>
      </c>
      <c r="AO176" s="224">
        <f>'Key Inputs_New Techs'!AH138</f>
        <v>38.404524311668105</v>
      </c>
      <c r="AP176" s="224">
        <f>'Key Inputs_New Techs'!AI138</f>
        <v>35.946870447604589</v>
      </c>
      <c r="AQ176" s="224">
        <f>'Key Inputs_New Techs'!AJ138</f>
        <v>39.53918042228208</v>
      </c>
      <c r="AR176" s="224">
        <f>'Key Inputs_New Techs'!AK138</f>
        <v>41.930352253142217</v>
      </c>
      <c r="AS176" s="224">
        <f>'Key Inputs_New Techs'!AL138</f>
        <v>45.060434065010661</v>
      </c>
    </row>
    <row r="177" spans="1:61" x14ac:dyDescent="0.3">
      <c r="K177" s="330" t="str">
        <f>IF('Key Inputs_New Techs'!B139="","",'Key Inputs_New Techs'!B139)</f>
        <v/>
      </c>
      <c r="L177" s="234" t="str">
        <f>IF(K177="","",VLOOKUP(K177,'Commodities &amp; Processes'!$L$48:$M$87,2,FALSE))</f>
        <v/>
      </c>
      <c r="M177" s="234"/>
      <c r="N177" s="308">
        <f>'Key Inputs_New Techs'!H139</f>
        <v>2050</v>
      </c>
      <c r="O177" s="432" t="s">
        <v>451</v>
      </c>
      <c r="P177" s="299" t="s">
        <v>409</v>
      </c>
      <c r="Q177" s="299"/>
      <c r="R177" s="433">
        <f>'Key Inputs_New Techs'!K139</f>
        <v>33.089675342840188</v>
      </c>
      <c r="S177" s="433">
        <f>'Key Inputs_New Techs'!L139</f>
        <v>34.330168191047953</v>
      </c>
      <c r="T177" s="433">
        <f>'Key Inputs_New Techs'!M139</f>
        <v>33.086218200309553</v>
      </c>
      <c r="U177" s="433">
        <f>'Key Inputs_New Techs'!N139</f>
        <v>33.615380941331431</v>
      </c>
      <c r="V177" s="433">
        <f>'Key Inputs_New Techs'!O139</f>
        <v>39.845755531347507</v>
      </c>
      <c r="W177" s="433">
        <f>'Key Inputs_New Techs'!P139</f>
        <v>34.103631250500179</v>
      </c>
      <c r="X177" s="433">
        <f>'Key Inputs_New Techs'!Q139</f>
        <v>34.860044845969256</v>
      </c>
      <c r="Y177" s="433">
        <f>'Key Inputs_New Techs'!R139</f>
        <v>33.525058283397442</v>
      </c>
      <c r="Z177" s="433">
        <f>'Key Inputs_New Techs'!S139</f>
        <v>34.863378295741505</v>
      </c>
      <c r="AA177" s="433">
        <f>'Key Inputs_New Techs'!T139</f>
        <v>39.957747296399525</v>
      </c>
      <c r="AB177" s="433">
        <f>'Key Inputs_New Techs'!U139</f>
        <v>36.359119361723955</v>
      </c>
      <c r="AC177" s="433">
        <f>'Key Inputs_New Techs'!V139</f>
        <v>35.088522307596278</v>
      </c>
      <c r="AD177" s="433">
        <f>'Key Inputs_New Techs'!W139</f>
        <v>34.946385690768771</v>
      </c>
      <c r="AE177" s="433">
        <f>'Key Inputs_New Techs'!X139</f>
        <v>40.15914155519328</v>
      </c>
      <c r="AF177" s="433">
        <f>'Key Inputs_New Techs'!Y139</f>
        <v>37.524679483123492</v>
      </c>
      <c r="AG177" s="433">
        <f>'Key Inputs_New Techs'!Z139</f>
        <v>38.924832530829612</v>
      </c>
      <c r="AH177" s="433">
        <f>'Key Inputs_New Techs'!AA139</f>
        <v>40.867404625104726</v>
      </c>
      <c r="AI177" s="433">
        <f>'Key Inputs_New Techs'!AB139</f>
        <v>34.290787256002744</v>
      </c>
      <c r="AJ177" s="433">
        <f>'Key Inputs_New Techs'!AC139</f>
        <v>33.671481601378382</v>
      </c>
      <c r="AK177" s="433">
        <f>'Key Inputs_New Techs'!AD139</f>
        <v>38.847576201195018</v>
      </c>
      <c r="AL177" s="433">
        <f>'Key Inputs_New Techs'!AE139</f>
        <v>34.548952342535813</v>
      </c>
      <c r="AM177" s="433">
        <f>'Key Inputs_New Techs'!AF139</f>
        <v>36.064850365589933</v>
      </c>
      <c r="AN177" s="433">
        <f>'Key Inputs_New Techs'!AG139</f>
        <v>35.870105512030037</v>
      </c>
      <c r="AO177" s="433">
        <f>'Key Inputs_New Techs'!AH139</f>
        <v>35.730388297192704</v>
      </c>
      <c r="AP177" s="433">
        <f>'Key Inputs_New Techs'!AI139</f>
        <v>33.443862726651894</v>
      </c>
      <c r="AQ177" s="433">
        <f>'Key Inputs_New Techs'!AJ139</f>
        <v>36.786037446418135</v>
      </c>
      <c r="AR177" s="433">
        <f>'Key Inputs_New Techs'!AK139</f>
        <v>39.01071017790629</v>
      </c>
      <c r="AS177" s="433">
        <f>'Key Inputs_New Techs'!AL139</f>
        <v>41.922842030716687</v>
      </c>
    </row>
    <row r="178" spans="1:61" x14ac:dyDescent="0.3">
      <c r="K178" s="329" t="str">
        <f>IF('Key Inputs_New Techs'!B140="","",'Key Inputs_New Techs'!B140)</f>
        <v>S-CK_ELC01</v>
      </c>
      <c r="L178" s="208" t="str">
        <f>IF(K178="","",VLOOKUP(K178,'Commodities &amp; Processes'!$L$48:$M$87,2,FALSE))</f>
        <v>SRV Cooking tech: Electricity - Cooking system (Ord.)</v>
      </c>
      <c r="M178" s="208"/>
      <c r="N178" s="242">
        <f>'Key Inputs_New Techs'!H140</f>
        <v>2020</v>
      </c>
      <c r="O178" s="437" t="s">
        <v>451</v>
      </c>
      <c r="P178" s="229" t="s">
        <v>409</v>
      </c>
      <c r="Q178" s="229"/>
      <c r="R178" s="438">
        <f>'Key Inputs_New Techs'!K140</f>
        <v>193.05452202221585</v>
      </c>
      <c r="S178" s="438">
        <f>'Key Inputs_New Techs'!L140</f>
        <v>200.29190804675252</v>
      </c>
      <c r="T178" s="438">
        <f>'Key Inputs_New Techs'!M140</f>
        <v>193.03435207518859</v>
      </c>
      <c r="U178" s="438">
        <f>'Key Inputs_New Techs'!N140</f>
        <v>196.12163712653765</v>
      </c>
      <c r="V178" s="438">
        <f>'Key Inputs_New Techs'!O140</f>
        <v>232.47140411677711</v>
      </c>
      <c r="W178" s="438">
        <f>'Key Inputs_New Techs'!P140</f>
        <v>198.970227482507</v>
      </c>
      <c r="X178" s="438">
        <f>'Key Inputs_New Techs'!Q140</f>
        <v>203.38335827364924</v>
      </c>
      <c r="Y178" s="438">
        <f>'Key Inputs_New Techs'!R140</f>
        <v>195.59466920151098</v>
      </c>
      <c r="Z178" s="438">
        <f>'Key Inputs_New Techs'!S140</f>
        <v>203.40280656215009</v>
      </c>
      <c r="AA178" s="438">
        <f>'Key Inputs_New Techs'!T140</f>
        <v>233.12479573964836</v>
      </c>
      <c r="AB178" s="438">
        <f>'Key Inputs_New Techs'!U140</f>
        <v>212.12938286035856</v>
      </c>
      <c r="AC178" s="438">
        <f>'Key Inputs_New Techs'!V140</f>
        <v>204.71636038655149</v>
      </c>
      <c r="AD178" s="438">
        <f>'Key Inputs_New Techs'!W140</f>
        <v>203.88709517499575</v>
      </c>
      <c r="AE178" s="438">
        <f>'Key Inputs_New Techs'!X140</f>
        <v>234.29978678947322</v>
      </c>
      <c r="AF178" s="438">
        <f>'Key Inputs_New Techs'!Y140</f>
        <v>218.92959016954364</v>
      </c>
      <c r="AG178" s="438">
        <f>'Key Inputs_New Techs'!Z140</f>
        <v>227.09847894171293</v>
      </c>
      <c r="AH178" s="438">
        <f>'Key Inputs_New Techs'!AA140</f>
        <v>238.43199380000004</v>
      </c>
      <c r="AI178" s="438">
        <f>'Key Inputs_New Techs'!AB140</f>
        <v>200.0621485367794</v>
      </c>
      <c r="AJ178" s="438">
        <f>'Key Inputs_New Techs'!AC140</f>
        <v>196.44894423965619</v>
      </c>
      <c r="AK178" s="438">
        <f>'Key Inputs_New Techs'!AD140</f>
        <v>226.64774367047593</v>
      </c>
      <c r="AL178" s="438">
        <f>'Key Inputs_New Techs'!AE140</f>
        <v>201.56835664752927</v>
      </c>
      <c r="AM178" s="438">
        <f>'Key Inputs_New Techs'!AF140</f>
        <v>210.41253433265294</v>
      </c>
      <c r="AN178" s="438">
        <f>'Key Inputs_New Techs'!AG140</f>
        <v>209.27633779307502</v>
      </c>
      <c r="AO178" s="438">
        <f>'Key Inputs_New Techs'!AH140</f>
        <v>208.46118805681348</v>
      </c>
      <c r="AP178" s="438">
        <f>'Key Inputs_New Techs'!AI140</f>
        <v>195.12095136549627</v>
      </c>
      <c r="AQ178" s="438">
        <f>'Key Inputs_New Techs'!AJ140</f>
        <v>214.6201436771191</v>
      </c>
      <c r="AR178" s="438">
        <f>'Key Inputs_New Techs'!AK140</f>
        <v>227.59951341657569</v>
      </c>
      <c r="AS178" s="438">
        <f>'Key Inputs_New Techs'!AL140</f>
        <v>244.58971404819442</v>
      </c>
    </row>
    <row r="179" spans="1:61" x14ac:dyDescent="0.3">
      <c r="K179" s="328" t="str">
        <f>IF('Key Inputs_New Techs'!B141="","",'Key Inputs_New Techs'!B141)</f>
        <v>S-CK_GAS01</v>
      </c>
      <c r="L179" s="201" t="str">
        <f>IF(K179="","",VLOOKUP(K179,'Commodities &amp; Processes'!$L$48:$M$87,2,FALSE))</f>
        <v>SRV Cooking tech: Natural gas,Biogas - Cooking system (Ord.)</v>
      </c>
      <c r="N179" s="222">
        <f>'Key Inputs_New Techs'!H141</f>
        <v>2020</v>
      </c>
      <c r="O179" s="331" t="s">
        <v>451</v>
      </c>
      <c r="P179" s="212" t="s">
        <v>409</v>
      </c>
      <c r="Q179" s="212"/>
      <c r="R179" s="224">
        <f>'Key Inputs_New Techs'!K141</f>
        <v>201.5171860012718</v>
      </c>
      <c r="S179" s="224">
        <f>'Key Inputs_New Techs'!L141</f>
        <v>209.07182730359636</v>
      </c>
      <c r="T179" s="224">
        <f>'Key Inputs_New Techs'!M141</f>
        <v>201.49613189218306</v>
      </c>
      <c r="U179" s="224">
        <f>'Key Inputs_New Techs'!N141</f>
        <v>204.71874998687895</v>
      </c>
      <c r="V179" s="224">
        <f>'Key Inputs_New Techs'!O141</f>
        <v>242.66193142052614</v>
      </c>
      <c r="W179" s="224">
        <f>'Key Inputs_New Techs'!P141</f>
        <v>207.69221005708258</v>
      </c>
      <c r="X179" s="224">
        <f>'Key Inputs_New Techs'!Q141</f>
        <v>212.29879315687762</v>
      </c>
      <c r="Y179" s="224">
        <f>'Key Inputs_New Techs'!R141</f>
        <v>204.16868209801549</v>
      </c>
      <c r="Z179" s="224">
        <f>'Key Inputs_New Techs'!S141</f>
        <v>212.31909397309357</v>
      </c>
      <c r="AA179" s="224">
        <f>'Key Inputs_New Techs'!T141</f>
        <v>243.3439648679616</v>
      </c>
      <c r="AB179" s="224">
        <f>'Key Inputs_New Techs'!U141</f>
        <v>221.42820512273033</v>
      </c>
      <c r="AC179" s="224">
        <f>'Key Inputs_New Techs'!V141</f>
        <v>213.69022823911254</v>
      </c>
      <c r="AD179" s="224">
        <f>'Key Inputs_New Techs'!W141</f>
        <v>212.82461167581741</v>
      </c>
      <c r="AE179" s="224">
        <f>'Key Inputs_New Techs'!X141</f>
        <v>244.57046237476507</v>
      </c>
      <c r="AF179" s="224">
        <f>'Key Inputs_New Techs'!Y141</f>
        <v>228.52650371122218</v>
      </c>
      <c r="AG179" s="224">
        <f>'Key Inputs_New Techs'!Z141</f>
        <v>237.05348075833584</v>
      </c>
      <c r="AH179" s="224">
        <f>'Key Inputs_New Techs'!AA141</f>
        <v>248.88380722684926</v>
      </c>
      <c r="AI179" s="224">
        <f>'Key Inputs_New Techs'!AB141</f>
        <v>208.83199614387101</v>
      </c>
      <c r="AJ179" s="224">
        <f>'Key Inputs_New Techs'!AC141</f>
        <v>205.06040480906569</v>
      </c>
      <c r="AK179" s="224">
        <f>'Key Inputs_New Techs'!AD141</f>
        <v>236.5829872286337</v>
      </c>
      <c r="AL179" s="224">
        <f>'Key Inputs_New Techs'!AE141</f>
        <v>210.40422981564004</v>
      </c>
      <c r="AM179" s="224">
        <f>'Key Inputs_New Techs'!AF141</f>
        <v>219.63609748148147</v>
      </c>
      <c r="AN179" s="224">
        <f>'Key Inputs_New Techs'!AG141</f>
        <v>218.45009506619601</v>
      </c>
      <c r="AO179" s="224">
        <f>'Key Inputs_New Techs'!AH141</f>
        <v>217.59921273875591</v>
      </c>
      <c r="AP179" s="224">
        <f>'Key Inputs_New Techs'!AI141</f>
        <v>203.67419854864124</v>
      </c>
      <c r="AQ179" s="224">
        <f>'Key Inputs_New Techs'!AJ141</f>
        <v>224.0281499752941</v>
      </c>
      <c r="AR179" s="224">
        <f>'Key Inputs_New Techs'!AK141</f>
        <v>237.57647838826111</v>
      </c>
      <c r="AS179" s="224">
        <f>'Key Inputs_New Techs'!AL141</f>
        <v>255.31145493797817</v>
      </c>
    </row>
    <row r="180" spans="1:61" x14ac:dyDescent="0.3">
      <c r="K180" s="328" t="str">
        <f>IF('Key Inputs_New Techs'!B142="","",'Key Inputs_New Techs'!B142)</f>
        <v>S-CK_LPG01</v>
      </c>
      <c r="L180" s="201" t="str">
        <f>IF(K180="","",VLOOKUP(K180,'Commodities &amp; Processes'!$L$48:$M$87,2,FALSE))</f>
        <v>SRV Cooking tech: LPG - Cooking system (Ord.)</v>
      </c>
      <c r="N180" s="222">
        <f>'Key Inputs_New Techs'!H142</f>
        <v>2020</v>
      </c>
      <c r="O180" s="331" t="s">
        <v>451</v>
      </c>
      <c r="P180" s="212" t="s">
        <v>409</v>
      </c>
      <c r="Q180" s="212"/>
      <c r="R180" s="224">
        <f>'Key Inputs_New Techs'!K142</f>
        <v>201.5171860012718</v>
      </c>
      <c r="S180" s="224">
        <f>'Key Inputs_New Techs'!L142</f>
        <v>209.07182730359636</v>
      </c>
      <c r="T180" s="224">
        <f>'Key Inputs_New Techs'!M142</f>
        <v>201.49613189218306</v>
      </c>
      <c r="U180" s="224">
        <f>'Key Inputs_New Techs'!N142</f>
        <v>204.71874998687895</v>
      </c>
      <c r="V180" s="224">
        <f>'Key Inputs_New Techs'!O142</f>
        <v>242.66193142052614</v>
      </c>
      <c r="W180" s="224">
        <f>'Key Inputs_New Techs'!P142</f>
        <v>207.69221005708258</v>
      </c>
      <c r="X180" s="224">
        <f>'Key Inputs_New Techs'!Q142</f>
        <v>212.29879315687762</v>
      </c>
      <c r="Y180" s="224">
        <f>'Key Inputs_New Techs'!R142</f>
        <v>204.16868209801549</v>
      </c>
      <c r="Z180" s="224">
        <f>'Key Inputs_New Techs'!S142</f>
        <v>212.31909397309357</v>
      </c>
      <c r="AA180" s="224">
        <f>'Key Inputs_New Techs'!T142</f>
        <v>243.3439648679616</v>
      </c>
      <c r="AB180" s="224">
        <f>'Key Inputs_New Techs'!U142</f>
        <v>221.42820512273033</v>
      </c>
      <c r="AC180" s="224">
        <f>'Key Inputs_New Techs'!V142</f>
        <v>213.69022823911254</v>
      </c>
      <c r="AD180" s="224">
        <f>'Key Inputs_New Techs'!W142</f>
        <v>212.82461167581741</v>
      </c>
      <c r="AE180" s="224">
        <f>'Key Inputs_New Techs'!X142</f>
        <v>244.57046237476507</v>
      </c>
      <c r="AF180" s="224">
        <f>'Key Inputs_New Techs'!Y142</f>
        <v>228.52650371122218</v>
      </c>
      <c r="AG180" s="224">
        <f>'Key Inputs_New Techs'!Z142</f>
        <v>237.05348075833584</v>
      </c>
      <c r="AH180" s="224">
        <f>'Key Inputs_New Techs'!AA142</f>
        <v>248.88380722684926</v>
      </c>
      <c r="AI180" s="224">
        <f>'Key Inputs_New Techs'!AB142</f>
        <v>208.83199614387101</v>
      </c>
      <c r="AJ180" s="224">
        <f>'Key Inputs_New Techs'!AC142</f>
        <v>205.06040480906569</v>
      </c>
      <c r="AK180" s="224">
        <f>'Key Inputs_New Techs'!AD142</f>
        <v>236.5829872286337</v>
      </c>
      <c r="AL180" s="224">
        <f>'Key Inputs_New Techs'!AE142</f>
        <v>210.40422981564004</v>
      </c>
      <c r="AM180" s="224">
        <f>'Key Inputs_New Techs'!AF142</f>
        <v>219.63609748148147</v>
      </c>
      <c r="AN180" s="224">
        <f>'Key Inputs_New Techs'!AG142</f>
        <v>218.45009506619601</v>
      </c>
      <c r="AO180" s="224">
        <f>'Key Inputs_New Techs'!AH142</f>
        <v>217.59921273875591</v>
      </c>
      <c r="AP180" s="224">
        <f>'Key Inputs_New Techs'!AI142</f>
        <v>203.67419854864124</v>
      </c>
      <c r="AQ180" s="224">
        <f>'Key Inputs_New Techs'!AJ142</f>
        <v>224.0281499752941</v>
      </c>
      <c r="AR180" s="224">
        <f>'Key Inputs_New Techs'!AK142</f>
        <v>237.57647838826111</v>
      </c>
      <c r="AS180" s="224">
        <f>'Key Inputs_New Techs'!AL142</f>
        <v>255.31145493797817</v>
      </c>
    </row>
    <row r="181" spans="1:61" x14ac:dyDescent="0.3">
      <c r="K181" s="328" t="str">
        <f>IF('Key Inputs_New Techs'!B143="","",'Key Inputs_New Techs'!B143)</f>
        <v>S-CK_BIO01</v>
      </c>
      <c r="L181" s="201" t="str">
        <f>IF(K181="","",VLOOKUP(K181,'Commodities &amp; Processes'!$L$48:$M$87,2,FALSE))</f>
        <v>SRV Cooking tech: Biomass - Cooking system (Ord.)</v>
      </c>
      <c r="N181" s="222">
        <v>2020</v>
      </c>
      <c r="O181" s="331" t="s">
        <v>451</v>
      </c>
      <c r="P181" s="212" t="s">
        <v>409</v>
      </c>
      <c r="Q181" s="212"/>
      <c r="R181" s="224">
        <f>'Key Inputs_New Techs'!K143</f>
        <v>201.5171860012718</v>
      </c>
      <c r="S181" s="224">
        <f>'Key Inputs_New Techs'!L143</f>
        <v>209.07182730359636</v>
      </c>
      <c r="T181" s="224">
        <f>'Key Inputs_New Techs'!M143</f>
        <v>201.49613189218306</v>
      </c>
      <c r="U181" s="224">
        <f>'Key Inputs_New Techs'!N143</f>
        <v>204.71874998687895</v>
      </c>
      <c r="V181" s="224">
        <f>'Key Inputs_New Techs'!O143</f>
        <v>242.66193142052614</v>
      </c>
      <c r="W181" s="224">
        <f>'Key Inputs_New Techs'!P143</f>
        <v>207.69221005708258</v>
      </c>
      <c r="X181" s="224">
        <f>'Key Inputs_New Techs'!Q143</f>
        <v>212.29879315687762</v>
      </c>
      <c r="Y181" s="224">
        <f>'Key Inputs_New Techs'!R143</f>
        <v>204.16868209801549</v>
      </c>
      <c r="Z181" s="224">
        <f>'Key Inputs_New Techs'!S143</f>
        <v>212.31909397309357</v>
      </c>
      <c r="AA181" s="224">
        <f>'Key Inputs_New Techs'!T143</f>
        <v>243.3439648679616</v>
      </c>
      <c r="AB181" s="224">
        <f>'Key Inputs_New Techs'!U143</f>
        <v>221.42820512273033</v>
      </c>
      <c r="AC181" s="224">
        <f>'Key Inputs_New Techs'!V143</f>
        <v>213.69022823911254</v>
      </c>
      <c r="AD181" s="224">
        <f>'Key Inputs_New Techs'!W143</f>
        <v>212.82461167581741</v>
      </c>
      <c r="AE181" s="224">
        <f>'Key Inputs_New Techs'!X143</f>
        <v>244.57046237476507</v>
      </c>
      <c r="AF181" s="224">
        <f>'Key Inputs_New Techs'!Y143</f>
        <v>228.52650371122218</v>
      </c>
      <c r="AG181" s="224">
        <f>'Key Inputs_New Techs'!Z143</f>
        <v>237.05348075833584</v>
      </c>
      <c r="AH181" s="224">
        <f>'Key Inputs_New Techs'!AA143</f>
        <v>248.88380722684926</v>
      </c>
      <c r="AI181" s="224">
        <f>'Key Inputs_New Techs'!AB143</f>
        <v>208.83199614387101</v>
      </c>
      <c r="AJ181" s="224">
        <f>'Key Inputs_New Techs'!AC143</f>
        <v>205.06040480906569</v>
      </c>
      <c r="AK181" s="224">
        <f>'Key Inputs_New Techs'!AD143</f>
        <v>236.5829872286337</v>
      </c>
      <c r="AL181" s="224">
        <f>'Key Inputs_New Techs'!AE143</f>
        <v>210.40422981564004</v>
      </c>
      <c r="AM181" s="224">
        <f>'Key Inputs_New Techs'!AF143</f>
        <v>219.63609748148147</v>
      </c>
      <c r="AN181" s="224">
        <f>'Key Inputs_New Techs'!AG143</f>
        <v>218.45009506619601</v>
      </c>
      <c r="AO181" s="224">
        <f>'Key Inputs_New Techs'!AH143</f>
        <v>217.59921273875591</v>
      </c>
      <c r="AP181" s="224">
        <f>'Key Inputs_New Techs'!AI143</f>
        <v>203.67419854864124</v>
      </c>
      <c r="AQ181" s="224">
        <f>'Key Inputs_New Techs'!AJ143</f>
        <v>224.0281499752941</v>
      </c>
      <c r="AR181" s="224">
        <f>'Key Inputs_New Techs'!AK143</f>
        <v>237.57647838826111</v>
      </c>
      <c r="AS181" s="224">
        <f>'Key Inputs_New Techs'!AL143</f>
        <v>255.31145493797817</v>
      </c>
    </row>
    <row r="182" spans="1:61" x14ac:dyDescent="0.3">
      <c r="K182" s="330" t="str">
        <f>IF('Key Inputs_New Techs'!B144="","",'Key Inputs_New Techs'!B144)</f>
        <v>S-CK_COA01</v>
      </c>
      <c r="L182" s="234" t="str">
        <f>IF(K182="","",VLOOKUP(K182,'Commodities &amp; Processes'!$L$48:$M$87,2,FALSE))</f>
        <v>SRV Cooking tech: Coal - Cooking system (Ord.)</v>
      </c>
      <c r="M182" s="234"/>
      <c r="N182" s="308">
        <f>'Key Inputs_New Techs'!H144</f>
        <v>2020</v>
      </c>
      <c r="O182" s="432" t="s">
        <v>451</v>
      </c>
      <c r="P182" s="299" t="s">
        <v>409</v>
      </c>
      <c r="Q182" s="299"/>
      <c r="R182" s="433">
        <f>'Key Inputs_New Techs'!K144</f>
        <v>201.5171860012718</v>
      </c>
      <c r="S182" s="433">
        <f>'Key Inputs_New Techs'!L144</f>
        <v>209.07182730359636</v>
      </c>
      <c r="T182" s="433">
        <f>'Key Inputs_New Techs'!M144</f>
        <v>201.49613189218306</v>
      </c>
      <c r="U182" s="433">
        <f>'Key Inputs_New Techs'!N144</f>
        <v>204.71874998687895</v>
      </c>
      <c r="V182" s="433">
        <f>'Key Inputs_New Techs'!O144</f>
        <v>242.66193142052614</v>
      </c>
      <c r="W182" s="433">
        <f>'Key Inputs_New Techs'!P144</f>
        <v>207.69221005708258</v>
      </c>
      <c r="X182" s="433">
        <f>'Key Inputs_New Techs'!Q144</f>
        <v>212.29879315687762</v>
      </c>
      <c r="Y182" s="433">
        <f>'Key Inputs_New Techs'!R144</f>
        <v>204.16868209801549</v>
      </c>
      <c r="Z182" s="433">
        <f>'Key Inputs_New Techs'!S144</f>
        <v>212.31909397309357</v>
      </c>
      <c r="AA182" s="433">
        <f>'Key Inputs_New Techs'!T144</f>
        <v>243.3439648679616</v>
      </c>
      <c r="AB182" s="433">
        <f>'Key Inputs_New Techs'!U144</f>
        <v>221.42820512273033</v>
      </c>
      <c r="AC182" s="433">
        <f>'Key Inputs_New Techs'!V144</f>
        <v>213.69022823911254</v>
      </c>
      <c r="AD182" s="433">
        <f>'Key Inputs_New Techs'!W144</f>
        <v>212.82461167581741</v>
      </c>
      <c r="AE182" s="433">
        <f>'Key Inputs_New Techs'!X144</f>
        <v>244.57046237476507</v>
      </c>
      <c r="AF182" s="433">
        <f>'Key Inputs_New Techs'!Y144</f>
        <v>228.52650371122218</v>
      </c>
      <c r="AG182" s="433">
        <f>'Key Inputs_New Techs'!Z144</f>
        <v>237.05348075833584</v>
      </c>
      <c r="AH182" s="433">
        <f>'Key Inputs_New Techs'!AA144</f>
        <v>248.88380722684926</v>
      </c>
      <c r="AI182" s="433">
        <f>'Key Inputs_New Techs'!AB144</f>
        <v>208.83199614387101</v>
      </c>
      <c r="AJ182" s="433">
        <f>'Key Inputs_New Techs'!AC144</f>
        <v>205.06040480906569</v>
      </c>
      <c r="AK182" s="433">
        <f>'Key Inputs_New Techs'!AD144</f>
        <v>236.5829872286337</v>
      </c>
      <c r="AL182" s="433">
        <f>'Key Inputs_New Techs'!AE144</f>
        <v>210.40422981564004</v>
      </c>
      <c r="AM182" s="433">
        <f>'Key Inputs_New Techs'!AF144</f>
        <v>219.63609748148147</v>
      </c>
      <c r="AN182" s="433">
        <f>'Key Inputs_New Techs'!AG144</f>
        <v>218.45009506619601</v>
      </c>
      <c r="AO182" s="433">
        <f>'Key Inputs_New Techs'!AH144</f>
        <v>217.59921273875591</v>
      </c>
      <c r="AP182" s="433">
        <f>'Key Inputs_New Techs'!AI144</f>
        <v>203.67419854864124</v>
      </c>
      <c r="AQ182" s="433">
        <f>'Key Inputs_New Techs'!AJ144</f>
        <v>224.0281499752941</v>
      </c>
      <c r="AR182" s="433">
        <f>'Key Inputs_New Techs'!AK144</f>
        <v>237.57647838826111</v>
      </c>
      <c r="AS182" s="433">
        <f>'Key Inputs_New Techs'!AL144</f>
        <v>255.31145493797817</v>
      </c>
    </row>
    <row r="183" spans="1:61" x14ac:dyDescent="0.3">
      <c r="A183" s="543" t="str">
        <f t="shared" ref="A183:G194" si="19">A5</f>
        <v>Long Name</v>
      </c>
      <c r="B183" s="543" t="str">
        <f t="shared" si="19"/>
        <v>Short Name</v>
      </c>
      <c r="C183" s="543" t="str">
        <f t="shared" si="19"/>
        <v>Description</v>
      </c>
      <c r="D183" s="543" t="str">
        <f t="shared" si="19"/>
        <v>Code</v>
      </c>
      <c r="E183" s="544" t="str">
        <f t="shared" si="19"/>
        <v>Main fuel</v>
      </c>
      <c r="F183" s="543" t="str">
        <f t="shared" si="19"/>
        <v>Description</v>
      </c>
      <c r="G183" s="545" t="str">
        <f t="shared" si="19"/>
        <v>Code</v>
      </c>
      <c r="H183" s="545"/>
      <c r="I183" s="545"/>
      <c r="K183" s="515" t="s">
        <v>666</v>
      </c>
      <c r="L183" s="516"/>
      <c r="M183" s="516"/>
      <c r="N183" s="516"/>
      <c r="O183" s="517"/>
      <c r="P183" s="517"/>
      <c r="Q183" s="517"/>
      <c r="R183" s="522">
        <f>7</f>
        <v>7</v>
      </c>
      <c r="S183" s="522">
        <f t="shared" ref="S183:AG183" si="20">R183+1</f>
        <v>8</v>
      </c>
      <c r="T183" s="522">
        <f t="shared" si="20"/>
        <v>9</v>
      </c>
      <c r="U183" s="522">
        <f t="shared" si="20"/>
        <v>10</v>
      </c>
      <c r="V183" s="522">
        <f t="shared" si="20"/>
        <v>11</v>
      </c>
      <c r="W183" s="522">
        <f t="shared" si="20"/>
        <v>12</v>
      </c>
      <c r="X183" s="522">
        <f t="shared" si="20"/>
        <v>13</v>
      </c>
      <c r="Y183" s="522">
        <f t="shared" si="20"/>
        <v>14</v>
      </c>
      <c r="Z183" s="522">
        <f t="shared" si="20"/>
        <v>15</v>
      </c>
      <c r="AA183" s="522">
        <f t="shared" si="20"/>
        <v>16</v>
      </c>
      <c r="AB183" s="522">
        <f t="shared" si="20"/>
        <v>17</v>
      </c>
      <c r="AC183" s="522">
        <f t="shared" si="20"/>
        <v>18</v>
      </c>
      <c r="AD183" s="522">
        <f t="shared" si="20"/>
        <v>19</v>
      </c>
      <c r="AE183" s="522">
        <f t="shared" si="20"/>
        <v>20</v>
      </c>
      <c r="AF183" s="522">
        <f t="shared" si="20"/>
        <v>21</v>
      </c>
      <c r="AG183" s="522">
        <f t="shared" si="20"/>
        <v>22</v>
      </c>
      <c r="AH183" s="522">
        <f t="shared" ref="AH183" si="21">AG183+1</f>
        <v>23</v>
      </c>
      <c r="AI183" s="522">
        <f t="shared" ref="AI183" si="22">AH183+1</f>
        <v>24</v>
      </c>
      <c r="AJ183" s="522">
        <f t="shared" ref="AJ183" si="23">AI183+1</f>
        <v>25</v>
      </c>
      <c r="AK183" s="522">
        <f t="shared" ref="AK183" si="24">AJ183+1</f>
        <v>26</v>
      </c>
      <c r="AL183" s="522">
        <f t="shared" ref="AL183" si="25">AK183+1</f>
        <v>27</v>
      </c>
      <c r="AM183" s="522">
        <f t="shared" ref="AM183" si="26">AL183+1</f>
        <v>28</v>
      </c>
      <c r="AN183" s="522">
        <f t="shared" ref="AN183" si="27">AM183+1</f>
        <v>29</v>
      </c>
      <c r="AO183" s="523">
        <f t="shared" ref="AO183" si="28">AN183+1</f>
        <v>30</v>
      </c>
      <c r="AP183" s="523">
        <f t="shared" ref="AP183" si="29">AO183+1</f>
        <v>31</v>
      </c>
      <c r="AQ183" s="523">
        <f t="shared" ref="AQ183" si="30">AP183+1</f>
        <v>32</v>
      </c>
      <c r="AR183" s="523">
        <f t="shared" ref="AR183" si="31">AQ183+1</f>
        <v>33</v>
      </c>
      <c r="AS183" s="523">
        <f t="shared" ref="AS183" si="32">AR183+1</f>
        <v>34</v>
      </c>
    </row>
    <row r="184" spans="1:61" x14ac:dyDescent="0.3">
      <c r="A184" s="535" t="str">
        <f t="shared" si="19"/>
        <v>Thermal uses</v>
      </c>
      <c r="B184" s="535" t="str">
        <f t="shared" si="19"/>
        <v>S-TH</v>
      </c>
      <c r="C184" s="535" t="str">
        <f t="shared" si="19"/>
        <v>Electricity</v>
      </c>
      <c r="D184" s="535" t="str">
        <f t="shared" si="19"/>
        <v>SRVELC</v>
      </c>
      <c r="E184" s="538" t="str">
        <f t="shared" si="19"/>
        <v>SRVELC</v>
      </c>
      <c r="F184" s="535" t="str">
        <f t="shared" si="19"/>
        <v>Heat Pump Air (Ord.)</v>
      </c>
      <c r="G184" s="541" t="str">
        <f t="shared" si="19"/>
        <v>01</v>
      </c>
      <c r="H184" s="541"/>
      <c r="I184" s="541"/>
      <c r="K184" s="405" t="str">
        <f t="shared" ref="K184:L194" si="33">K6</f>
        <v>S-TH-HPA_ELC01</v>
      </c>
      <c r="L184" s="203" t="str">
        <f t="shared" si="33"/>
        <v>SRV Thermal uses technology: Electricity Heat Pump Air (Ord.) -New</v>
      </c>
      <c r="M184" s="405"/>
      <c r="N184" s="203"/>
      <c r="O184" s="405" t="s">
        <v>452</v>
      </c>
      <c r="P184" s="203" t="s">
        <v>154</v>
      </c>
      <c r="Q184" s="203"/>
      <c r="R184" s="518">
        <f>VLOOKUP($A184,'Key Inputs_BY Techs'!$B$132:$AJ$135,R$183,FALSE)/8760</f>
        <v>5.7077625570776253E-2</v>
      </c>
      <c r="S184" s="518">
        <f>VLOOKUP($A184,'Key Inputs_BY Techs'!$B$132:$AJ$135,S$183,FALSE)/8760</f>
        <v>1.9669020954812956E-3</v>
      </c>
      <c r="T184" s="518">
        <f>VLOOKUP($A184,'Key Inputs_BY Techs'!$B$132:$AJ$135,T$183,FALSE)/8760</f>
        <v>1.938803494117277E-2</v>
      </c>
      <c r="U184" s="518">
        <f>VLOOKUP($A184,'Key Inputs_BY Techs'!$B$132:$AJ$135,U$183,FALSE)/8760</f>
        <v>8.0549323910186386E-4</v>
      </c>
      <c r="V184" s="518">
        <f>VLOOKUP($A184,'Key Inputs_BY Techs'!$B$132:$AJ$135,V$183,FALSE)/8760</f>
        <v>7.2681715528261194E-3</v>
      </c>
      <c r="W184" s="518">
        <f>VLOOKUP($A184,'Key Inputs_BY Techs'!$B$132:$AJ$135,W$183,FALSE)/8760</f>
        <v>1.3618455461094301E-2</v>
      </c>
      <c r="X184" s="518">
        <f>VLOOKUP($A184,'Key Inputs_BY Techs'!$B$132:$AJ$135,X$183,FALSE)/8760</f>
        <v>5.200114492434358E-2</v>
      </c>
      <c r="Y184" s="518">
        <f>VLOOKUP($A184,'Key Inputs_BY Techs'!$B$132:$AJ$135,Y$183,FALSE)/8760</f>
        <v>1.198873658198123E-3</v>
      </c>
      <c r="Z184" s="518">
        <f>VLOOKUP($A184,'Key Inputs_BY Techs'!$B$132:$AJ$135,Z$183,FALSE)/8760</f>
        <v>1.0995919333785908E-2</v>
      </c>
      <c r="AA184" s="518">
        <f>VLOOKUP($A184,'Key Inputs_BY Techs'!$B$132:$AJ$135,AA$183,FALSE)/8760</f>
        <v>1.6484512800224189E-3</v>
      </c>
      <c r="AB184" s="518">
        <f>VLOOKUP($A184,'Key Inputs_BY Techs'!$B$132:$AJ$135,AB$183,FALSE)/8760</f>
        <v>8.4745381713879811E-2</v>
      </c>
      <c r="AC184" s="518">
        <f>VLOOKUP($A184,'Key Inputs_BY Techs'!$B$132:$AJ$135,AC$183,FALSE)/8760</f>
        <v>4.8479453553386592E-2</v>
      </c>
      <c r="AD184" s="518">
        <f>VLOOKUP($A184,'Key Inputs_BY Techs'!$B$132:$AJ$135,AD$183,FALSE)/8760</f>
        <v>4.0668042374189445E-2</v>
      </c>
      <c r="AE184" s="518">
        <f>VLOOKUP($A184,'Key Inputs_BY Techs'!$B$132:$AJ$135,AE$183,FALSE)/8760</f>
        <v>5.8520020440795871E-2</v>
      </c>
      <c r="AF184" s="518">
        <f>VLOOKUP($A184,'Key Inputs_BY Techs'!$B$132:$AJ$135,AF$183,FALSE)/8760</f>
        <v>4.9153819986123039E-2</v>
      </c>
      <c r="AG184" s="518">
        <f>VLOOKUP($A184,'Key Inputs_BY Techs'!$B$132:$AJ$135,AG$183,FALSE)/8760</f>
        <v>0.10237257096957408</v>
      </c>
      <c r="AH184" s="518">
        <f>VLOOKUP($A184,'Key Inputs_BY Techs'!$B$132:$AJ$135,AH$183,FALSE)/8760</f>
        <v>3.8457619066886661E-2</v>
      </c>
      <c r="AI184" s="518">
        <f>VLOOKUP($A184,'Key Inputs_BY Techs'!$B$132:$AJ$135,AI$183,FALSE)/8760</f>
        <v>5.7077625570776253E-2</v>
      </c>
      <c r="AJ184" s="518">
        <f>VLOOKUP($A184,'Key Inputs_BY Techs'!$B$132:$AJ$135,AJ$183,FALSE)/8760</f>
        <v>4.3084522091495041E-4</v>
      </c>
      <c r="AK184" s="518">
        <f>VLOOKUP($A184,'Key Inputs_BY Techs'!$B$132:$AJ$135,AK$183,FALSE)/8760</f>
        <v>5.6946498764410833E-3</v>
      </c>
      <c r="AL184" s="518">
        <f>VLOOKUP($A184,'Key Inputs_BY Techs'!$B$132:$AJ$135,AL$183,FALSE)/8760</f>
        <v>3.0964658703148393E-2</v>
      </c>
      <c r="AM184" s="518">
        <f>VLOOKUP($A184,'Key Inputs_BY Techs'!$B$132:$AJ$135,AM$183,FALSE)/8760</f>
        <v>7.6990167737410707E-3</v>
      </c>
      <c r="AN184" s="518">
        <f>VLOOKUP($A184,'Key Inputs_BY Techs'!$B$132:$AJ$135,AN$183,FALSE)/8760</f>
        <v>3.6846632588682933E-2</v>
      </c>
      <c r="AO184" s="518">
        <f>VLOOKUP($A184,'Key Inputs_BY Techs'!$B$132:$AJ$135,AO$183,FALSE)/8760</f>
        <v>2.339676873577274E-2</v>
      </c>
      <c r="AP184" s="518">
        <f>VLOOKUP($A184,'Key Inputs_BY Techs'!$B$132:$AJ$135,AP$183,FALSE)/8760</f>
        <v>7.5866223682849966E-3</v>
      </c>
      <c r="AQ184" s="518">
        <f>VLOOKUP($A184,'Key Inputs_BY Techs'!$B$132:$AJ$135,AQ$183,FALSE)/8760</f>
        <v>9.7408484728597484E-4</v>
      </c>
      <c r="AR184" s="518">
        <f>VLOOKUP($A184,'Key Inputs_BY Techs'!$B$132:$AJ$135,AR$183,FALSE)/8760</f>
        <v>8.9859327162131172E-2</v>
      </c>
      <c r="AS184" s="518">
        <f>VLOOKUP($A184,'Key Inputs_BY Techs'!$B$132:$AJ$135,AS$183,FALSE)/8760</f>
        <v>3.9225647504169833E-2</v>
      </c>
    </row>
    <row r="185" spans="1:61" x14ac:dyDescent="0.3">
      <c r="A185" s="535" t="str">
        <f t="shared" si="19"/>
        <v>Thermal uses</v>
      </c>
      <c r="B185" s="535" t="str">
        <f t="shared" si="19"/>
        <v>S-TH</v>
      </c>
      <c r="C185" s="535" t="str">
        <f t="shared" si="19"/>
        <v>Electricity</v>
      </c>
      <c r="D185" s="535" t="str">
        <f t="shared" si="19"/>
        <v>SRVELC</v>
      </c>
      <c r="E185" s="538" t="str">
        <f t="shared" si="19"/>
        <v>SRVELC</v>
      </c>
      <c r="F185" s="535" t="str">
        <f t="shared" si="19"/>
        <v>Heat Pump Air (Imp.)</v>
      </c>
      <c r="G185" s="541" t="str">
        <f t="shared" si="19"/>
        <v>02</v>
      </c>
      <c r="H185" s="541"/>
      <c r="I185" s="541"/>
      <c r="K185" s="405" t="str">
        <f t="shared" si="33"/>
        <v>S-TH-HPA_ELC02</v>
      </c>
      <c r="L185" s="203" t="str">
        <f t="shared" si="33"/>
        <v>SRV Thermal uses technology: Electricity Heat Pump Air (Imp.) -New</v>
      </c>
      <c r="M185" s="405"/>
      <c r="N185" s="203"/>
      <c r="O185" s="405" t="s">
        <v>452</v>
      </c>
      <c r="P185" s="203" t="s">
        <v>154</v>
      </c>
      <c r="Q185" s="203"/>
      <c r="R185" s="518">
        <f>VLOOKUP($A185,'Key Inputs_BY Techs'!$B$132:$AJ$135,R$183,FALSE)/8760</f>
        <v>5.7077625570776253E-2</v>
      </c>
      <c r="S185" s="518">
        <f>VLOOKUP($A185,'Key Inputs_BY Techs'!$B$132:$AJ$135,S$183,FALSE)/8760</f>
        <v>1.9669020954812956E-3</v>
      </c>
      <c r="T185" s="518">
        <f>VLOOKUP($A185,'Key Inputs_BY Techs'!$B$132:$AJ$135,T$183,FALSE)/8760</f>
        <v>1.938803494117277E-2</v>
      </c>
      <c r="U185" s="518">
        <f>VLOOKUP($A185,'Key Inputs_BY Techs'!$B$132:$AJ$135,U$183,FALSE)/8760</f>
        <v>8.0549323910186386E-4</v>
      </c>
      <c r="V185" s="518">
        <f>VLOOKUP($A185,'Key Inputs_BY Techs'!$B$132:$AJ$135,V$183,FALSE)/8760</f>
        <v>7.2681715528261194E-3</v>
      </c>
      <c r="W185" s="518">
        <f>VLOOKUP($A185,'Key Inputs_BY Techs'!$B$132:$AJ$135,W$183,FALSE)/8760</f>
        <v>1.3618455461094301E-2</v>
      </c>
      <c r="X185" s="518">
        <f>VLOOKUP($A185,'Key Inputs_BY Techs'!$B$132:$AJ$135,X$183,FALSE)/8760</f>
        <v>5.200114492434358E-2</v>
      </c>
      <c r="Y185" s="518">
        <f>VLOOKUP($A185,'Key Inputs_BY Techs'!$B$132:$AJ$135,Y$183,FALSE)/8760</f>
        <v>1.198873658198123E-3</v>
      </c>
      <c r="Z185" s="518">
        <f>VLOOKUP($A185,'Key Inputs_BY Techs'!$B$132:$AJ$135,Z$183,FALSE)/8760</f>
        <v>1.0995919333785908E-2</v>
      </c>
      <c r="AA185" s="518">
        <f>VLOOKUP($A185,'Key Inputs_BY Techs'!$B$132:$AJ$135,AA$183,FALSE)/8760</f>
        <v>1.6484512800224189E-3</v>
      </c>
      <c r="AB185" s="518">
        <f>VLOOKUP($A185,'Key Inputs_BY Techs'!$B$132:$AJ$135,AB$183,FALSE)/8760</f>
        <v>8.4745381713879811E-2</v>
      </c>
      <c r="AC185" s="518">
        <f>VLOOKUP($A185,'Key Inputs_BY Techs'!$B$132:$AJ$135,AC$183,FALSE)/8760</f>
        <v>4.8479453553386592E-2</v>
      </c>
      <c r="AD185" s="518">
        <f>VLOOKUP($A185,'Key Inputs_BY Techs'!$B$132:$AJ$135,AD$183,FALSE)/8760</f>
        <v>4.0668042374189445E-2</v>
      </c>
      <c r="AE185" s="518">
        <f>VLOOKUP($A185,'Key Inputs_BY Techs'!$B$132:$AJ$135,AE$183,FALSE)/8760</f>
        <v>5.8520020440795871E-2</v>
      </c>
      <c r="AF185" s="518">
        <f>VLOOKUP($A185,'Key Inputs_BY Techs'!$B$132:$AJ$135,AF$183,FALSE)/8760</f>
        <v>4.9153819986123039E-2</v>
      </c>
      <c r="AG185" s="518">
        <f>VLOOKUP($A185,'Key Inputs_BY Techs'!$B$132:$AJ$135,AG$183,FALSE)/8760</f>
        <v>0.10237257096957408</v>
      </c>
      <c r="AH185" s="518">
        <f>VLOOKUP($A185,'Key Inputs_BY Techs'!$B$132:$AJ$135,AH$183,FALSE)/8760</f>
        <v>3.8457619066886661E-2</v>
      </c>
      <c r="AI185" s="518">
        <f>VLOOKUP($A185,'Key Inputs_BY Techs'!$B$132:$AJ$135,AI$183,FALSE)/8760</f>
        <v>5.7077625570776253E-2</v>
      </c>
      <c r="AJ185" s="518">
        <f>VLOOKUP($A185,'Key Inputs_BY Techs'!$B$132:$AJ$135,AJ$183,FALSE)/8760</f>
        <v>4.3084522091495041E-4</v>
      </c>
      <c r="AK185" s="518">
        <f>VLOOKUP($A185,'Key Inputs_BY Techs'!$B$132:$AJ$135,AK$183,FALSE)/8760</f>
        <v>5.6946498764410833E-3</v>
      </c>
      <c r="AL185" s="518">
        <f>VLOOKUP($A185,'Key Inputs_BY Techs'!$B$132:$AJ$135,AL$183,FALSE)/8760</f>
        <v>3.0964658703148393E-2</v>
      </c>
      <c r="AM185" s="518">
        <f>VLOOKUP($A185,'Key Inputs_BY Techs'!$B$132:$AJ$135,AM$183,FALSE)/8760</f>
        <v>7.6990167737410707E-3</v>
      </c>
      <c r="AN185" s="518">
        <f>VLOOKUP($A185,'Key Inputs_BY Techs'!$B$132:$AJ$135,AN$183,FALSE)/8760</f>
        <v>3.6846632588682933E-2</v>
      </c>
      <c r="AO185" s="518">
        <f>VLOOKUP($A185,'Key Inputs_BY Techs'!$B$132:$AJ$135,AO$183,FALSE)/8760</f>
        <v>2.339676873577274E-2</v>
      </c>
      <c r="AP185" s="518">
        <f>VLOOKUP($A185,'Key Inputs_BY Techs'!$B$132:$AJ$135,AP$183,FALSE)/8760</f>
        <v>7.5866223682849966E-3</v>
      </c>
      <c r="AQ185" s="518">
        <f>VLOOKUP($A185,'Key Inputs_BY Techs'!$B$132:$AJ$135,AQ$183,FALSE)/8760</f>
        <v>9.7408484728597484E-4</v>
      </c>
      <c r="AR185" s="518">
        <f>VLOOKUP($A185,'Key Inputs_BY Techs'!$B$132:$AJ$135,AR$183,FALSE)/8760</f>
        <v>8.9859327162131172E-2</v>
      </c>
      <c r="AS185" s="518">
        <f>VLOOKUP($A185,'Key Inputs_BY Techs'!$B$132:$AJ$135,AS$183,FALSE)/8760</f>
        <v>3.9225647504169833E-2</v>
      </c>
    </row>
    <row r="186" spans="1:61" x14ac:dyDescent="0.3">
      <c r="A186" s="535" t="str">
        <f t="shared" si="19"/>
        <v>Thermal uses</v>
      </c>
      <c r="B186" s="535" t="str">
        <f t="shared" si="19"/>
        <v>S-TH</v>
      </c>
      <c r="C186" s="535" t="str">
        <f t="shared" si="19"/>
        <v>Electricity</v>
      </c>
      <c r="D186" s="535" t="str">
        <f t="shared" si="19"/>
        <v>SRVELC</v>
      </c>
      <c r="E186" s="538" t="str">
        <f t="shared" si="19"/>
        <v>SRVELC</v>
      </c>
      <c r="F186" s="540" t="str">
        <f t="shared" si="19"/>
        <v>Heat Pump Air (Adv.)</v>
      </c>
      <c r="G186" s="541" t="str">
        <f t="shared" si="19"/>
        <v>03</v>
      </c>
      <c r="H186" s="541"/>
      <c r="I186" s="541"/>
      <c r="K186" s="405" t="str">
        <f t="shared" si="33"/>
        <v>S-TH-HPA_ELC03</v>
      </c>
      <c r="L186" s="203" t="str">
        <f t="shared" si="33"/>
        <v>SRV Thermal uses technology: Electricity Heat Pump Air (Adv.) -New</v>
      </c>
      <c r="M186" s="405"/>
      <c r="N186" s="203"/>
      <c r="O186" s="405" t="s">
        <v>452</v>
      </c>
      <c r="P186" s="203" t="s">
        <v>154</v>
      </c>
      <c r="Q186" s="203"/>
      <c r="R186" s="518">
        <f>VLOOKUP($A186,'Key Inputs_BY Techs'!$B$132:$AJ$135,R$183,FALSE)/8760</f>
        <v>5.7077625570776253E-2</v>
      </c>
      <c r="S186" s="518">
        <f>VLOOKUP($A186,'Key Inputs_BY Techs'!$B$132:$AJ$135,S$183,FALSE)/8760</f>
        <v>1.9669020954812956E-3</v>
      </c>
      <c r="T186" s="518">
        <f>VLOOKUP($A186,'Key Inputs_BY Techs'!$B$132:$AJ$135,T$183,FALSE)/8760</f>
        <v>1.938803494117277E-2</v>
      </c>
      <c r="U186" s="518">
        <f>VLOOKUP($A186,'Key Inputs_BY Techs'!$B$132:$AJ$135,U$183,FALSE)/8760</f>
        <v>8.0549323910186386E-4</v>
      </c>
      <c r="V186" s="518">
        <f>VLOOKUP($A186,'Key Inputs_BY Techs'!$B$132:$AJ$135,V$183,FALSE)/8760</f>
        <v>7.2681715528261194E-3</v>
      </c>
      <c r="W186" s="518">
        <f>VLOOKUP($A186,'Key Inputs_BY Techs'!$B$132:$AJ$135,W$183,FALSE)/8760</f>
        <v>1.3618455461094301E-2</v>
      </c>
      <c r="X186" s="518">
        <f>VLOOKUP($A186,'Key Inputs_BY Techs'!$B$132:$AJ$135,X$183,FALSE)/8760</f>
        <v>5.200114492434358E-2</v>
      </c>
      <c r="Y186" s="518">
        <f>VLOOKUP($A186,'Key Inputs_BY Techs'!$B$132:$AJ$135,Y$183,FALSE)/8760</f>
        <v>1.198873658198123E-3</v>
      </c>
      <c r="Z186" s="518">
        <f>VLOOKUP($A186,'Key Inputs_BY Techs'!$B$132:$AJ$135,Z$183,FALSE)/8760</f>
        <v>1.0995919333785908E-2</v>
      </c>
      <c r="AA186" s="518">
        <f>VLOOKUP($A186,'Key Inputs_BY Techs'!$B$132:$AJ$135,AA$183,FALSE)/8760</f>
        <v>1.6484512800224189E-3</v>
      </c>
      <c r="AB186" s="518">
        <f>VLOOKUP($A186,'Key Inputs_BY Techs'!$B$132:$AJ$135,AB$183,FALSE)/8760</f>
        <v>8.4745381713879811E-2</v>
      </c>
      <c r="AC186" s="518">
        <f>VLOOKUP($A186,'Key Inputs_BY Techs'!$B$132:$AJ$135,AC$183,FALSE)/8760</f>
        <v>4.8479453553386592E-2</v>
      </c>
      <c r="AD186" s="518">
        <f>VLOOKUP($A186,'Key Inputs_BY Techs'!$B$132:$AJ$135,AD$183,FALSE)/8760</f>
        <v>4.0668042374189445E-2</v>
      </c>
      <c r="AE186" s="518">
        <f>VLOOKUP($A186,'Key Inputs_BY Techs'!$B$132:$AJ$135,AE$183,FALSE)/8760</f>
        <v>5.8520020440795871E-2</v>
      </c>
      <c r="AF186" s="518">
        <f>VLOOKUP($A186,'Key Inputs_BY Techs'!$B$132:$AJ$135,AF$183,FALSE)/8760</f>
        <v>4.9153819986123039E-2</v>
      </c>
      <c r="AG186" s="518">
        <f>VLOOKUP($A186,'Key Inputs_BY Techs'!$B$132:$AJ$135,AG$183,FALSE)/8760</f>
        <v>0.10237257096957408</v>
      </c>
      <c r="AH186" s="518">
        <f>VLOOKUP($A186,'Key Inputs_BY Techs'!$B$132:$AJ$135,AH$183,FALSE)/8760</f>
        <v>3.8457619066886661E-2</v>
      </c>
      <c r="AI186" s="518">
        <f>VLOOKUP($A186,'Key Inputs_BY Techs'!$B$132:$AJ$135,AI$183,FALSE)/8760</f>
        <v>5.7077625570776253E-2</v>
      </c>
      <c r="AJ186" s="518">
        <f>VLOOKUP($A186,'Key Inputs_BY Techs'!$B$132:$AJ$135,AJ$183,FALSE)/8760</f>
        <v>4.3084522091495041E-4</v>
      </c>
      <c r="AK186" s="518">
        <f>VLOOKUP($A186,'Key Inputs_BY Techs'!$B$132:$AJ$135,AK$183,FALSE)/8760</f>
        <v>5.6946498764410833E-3</v>
      </c>
      <c r="AL186" s="518">
        <f>VLOOKUP($A186,'Key Inputs_BY Techs'!$B$132:$AJ$135,AL$183,FALSE)/8760</f>
        <v>3.0964658703148393E-2</v>
      </c>
      <c r="AM186" s="518">
        <f>VLOOKUP($A186,'Key Inputs_BY Techs'!$B$132:$AJ$135,AM$183,FALSE)/8760</f>
        <v>7.6990167737410707E-3</v>
      </c>
      <c r="AN186" s="518">
        <f>VLOOKUP($A186,'Key Inputs_BY Techs'!$B$132:$AJ$135,AN$183,FALSE)/8760</f>
        <v>3.6846632588682933E-2</v>
      </c>
      <c r="AO186" s="518">
        <f>VLOOKUP($A186,'Key Inputs_BY Techs'!$B$132:$AJ$135,AO$183,FALSE)/8760</f>
        <v>2.339676873577274E-2</v>
      </c>
      <c r="AP186" s="518">
        <f>VLOOKUP($A186,'Key Inputs_BY Techs'!$B$132:$AJ$135,AP$183,FALSE)/8760</f>
        <v>7.5866223682849966E-3</v>
      </c>
      <c r="AQ186" s="518">
        <f>VLOOKUP($A186,'Key Inputs_BY Techs'!$B$132:$AJ$135,AQ$183,FALSE)/8760</f>
        <v>9.7408484728597484E-4</v>
      </c>
      <c r="AR186" s="518">
        <f>VLOOKUP($A186,'Key Inputs_BY Techs'!$B$132:$AJ$135,AR$183,FALSE)/8760</f>
        <v>8.9859327162131172E-2</v>
      </c>
      <c r="AS186" s="518">
        <f>VLOOKUP($A186,'Key Inputs_BY Techs'!$B$132:$AJ$135,AS$183,FALSE)/8760</f>
        <v>3.9225647504169833E-2</v>
      </c>
      <c r="AT186" s="222"/>
      <c r="AU186" s="212"/>
      <c r="AW186" s="232"/>
      <c r="BG186" s="212"/>
      <c r="BH186" s="225"/>
      <c r="BI186" s="225"/>
    </row>
    <row r="187" spans="1:61" x14ac:dyDescent="0.3">
      <c r="A187" s="535" t="str">
        <f t="shared" si="19"/>
        <v>Thermal uses</v>
      </c>
      <c r="B187" s="535" t="str">
        <f t="shared" si="19"/>
        <v>S-TH</v>
      </c>
      <c r="C187" s="535" t="str">
        <f t="shared" si="19"/>
        <v>Electricity</v>
      </c>
      <c r="D187" s="535" t="str">
        <f t="shared" si="19"/>
        <v>SRVELC</v>
      </c>
      <c r="E187" s="538" t="str">
        <f t="shared" si="19"/>
        <v>SRVELC</v>
      </c>
      <c r="F187" s="535" t="str">
        <f t="shared" si="19"/>
        <v>Heat Pump Wat. (Ord.)</v>
      </c>
      <c r="G187" s="541" t="str">
        <f t="shared" si="19"/>
        <v>04</v>
      </c>
      <c r="H187" s="541"/>
      <c r="I187" s="541"/>
      <c r="K187" s="405" t="str">
        <f t="shared" si="33"/>
        <v>S-TH-HPA_ELC04</v>
      </c>
      <c r="L187" s="203" t="str">
        <f t="shared" si="33"/>
        <v>SRV Thermal uses technology: Electricity Heat Pump Wat. (Ord.) -New</v>
      </c>
      <c r="M187" s="405"/>
      <c r="N187" s="203"/>
      <c r="O187" s="405" t="s">
        <v>452</v>
      </c>
      <c r="P187" s="203" t="s">
        <v>154</v>
      </c>
      <c r="Q187" s="203"/>
      <c r="R187" s="518">
        <f>VLOOKUP($A187,'Key Inputs_BY Techs'!$B$132:$AJ$135,R$183,FALSE)/8760</f>
        <v>5.7077625570776253E-2</v>
      </c>
      <c r="S187" s="518">
        <f>VLOOKUP($A187,'Key Inputs_BY Techs'!$B$132:$AJ$135,S$183,FALSE)/8760</f>
        <v>1.9669020954812956E-3</v>
      </c>
      <c r="T187" s="518">
        <f>VLOOKUP($A187,'Key Inputs_BY Techs'!$B$132:$AJ$135,T$183,FALSE)/8760</f>
        <v>1.938803494117277E-2</v>
      </c>
      <c r="U187" s="518">
        <f>VLOOKUP($A187,'Key Inputs_BY Techs'!$B$132:$AJ$135,U$183,FALSE)/8760</f>
        <v>8.0549323910186386E-4</v>
      </c>
      <c r="V187" s="518">
        <f>VLOOKUP($A187,'Key Inputs_BY Techs'!$B$132:$AJ$135,V$183,FALSE)/8760</f>
        <v>7.2681715528261194E-3</v>
      </c>
      <c r="W187" s="518">
        <f>VLOOKUP($A187,'Key Inputs_BY Techs'!$B$132:$AJ$135,W$183,FALSE)/8760</f>
        <v>1.3618455461094301E-2</v>
      </c>
      <c r="X187" s="518">
        <f>VLOOKUP($A187,'Key Inputs_BY Techs'!$B$132:$AJ$135,X$183,FALSE)/8760</f>
        <v>5.200114492434358E-2</v>
      </c>
      <c r="Y187" s="518">
        <f>VLOOKUP($A187,'Key Inputs_BY Techs'!$B$132:$AJ$135,Y$183,FALSE)/8760</f>
        <v>1.198873658198123E-3</v>
      </c>
      <c r="Z187" s="518">
        <f>VLOOKUP($A187,'Key Inputs_BY Techs'!$B$132:$AJ$135,Z$183,FALSE)/8760</f>
        <v>1.0995919333785908E-2</v>
      </c>
      <c r="AA187" s="518">
        <f>VLOOKUP($A187,'Key Inputs_BY Techs'!$B$132:$AJ$135,AA$183,FALSE)/8760</f>
        <v>1.6484512800224189E-3</v>
      </c>
      <c r="AB187" s="518">
        <f>VLOOKUP($A187,'Key Inputs_BY Techs'!$B$132:$AJ$135,AB$183,FALSE)/8760</f>
        <v>8.4745381713879811E-2</v>
      </c>
      <c r="AC187" s="518">
        <f>VLOOKUP($A187,'Key Inputs_BY Techs'!$B$132:$AJ$135,AC$183,FALSE)/8760</f>
        <v>4.8479453553386592E-2</v>
      </c>
      <c r="AD187" s="518">
        <f>VLOOKUP($A187,'Key Inputs_BY Techs'!$B$132:$AJ$135,AD$183,FALSE)/8760</f>
        <v>4.0668042374189445E-2</v>
      </c>
      <c r="AE187" s="518">
        <f>VLOOKUP($A187,'Key Inputs_BY Techs'!$B$132:$AJ$135,AE$183,FALSE)/8760</f>
        <v>5.8520020440795871E-2</v>
      </c>
      <c r="AF187" s="518">
        <f>VLOOKUP($A187,'Key Inputs_BY Techs'!$B$132:$AJ$135,AF$183,FALSE)/8760</f>
        <v>4.9153819986123039E-2</v>
      </c>
      <c r="AG187" s="518">
        <f>VLOOKUP($A187,'Key Inputs_BY Techs'!$B$132:$AJ$135,AG$183,FALSE)/8760</f>
        <v>0.10237257096957408</v>
      </c>
      <c r="AH187" s="518">
        <f>VLOOKUP($A187,'Key Inputs_BY Techs'!$B$132:$AJ$135,AH$183,FALSE)/8760</f>
        <v>3.8457619066886661E-2</v>
      </c>
      <c r="AI187" s="518">
        <f>VLOOKUP($A187,'Key Inputs_BY Techs'!$B$132:$AJ$135,AI$183,FALSE)/8760</f>
        <v>5.7077625570776253E-2</v>
      </c>
      <c r="AJ187" s="518">
        <f>VLOOKUP($A187,'Key Inputs_BY Techs'!$B$132:$AJ$135,AJ$183,FALSE)/8760</f>
        <v>4.3084522091495041E-4</v>
      </c>
      <c r="AK187" s="518">
        <f>VLOOKUP($A187,'Key Inputs_BY Techs'!$B$132:$AJ$135,AK$183,FALSE)/8760</f>
        <v>5.6946498764410833E-3</v>
      </c>
      <c r="AL187" s="518">
        <f>VLOOKUP($A187,'Key Inputs_BY Techs'!$B$132:$AJ$135,AL$183,FALSE)/8760</f>
        <v>3.0964658703148393E-2</v>
      </c>
      <c r="AM187" s="518">
        <f>VLOOKUP($A187,'Key Inputs_BY Techs'!$B$132:$AJ$135,AM$183,FALSE)/8760</f>
        <v>7.6990167737410707E-3</v>
      </c>
      <c r="AN187" s="518">
        <f>VLOOKUP($A187,'Key Inputs_BY Techs'!$B$132:$AJ$135,AN$183,FALSE)/8760</f>
        <v>3.6846632588682933E-2</v>
      </c>
      <c r="AO187" s="518">
        <f>VLOOKUP($A187,'Key Inputs_BY Techs'!$B$132:$AJ$135,AO$183,FALSE)/8760</f>
        <v>2.339676873577274E-2</v>
      </c>
      <c r="AP187" s="518">
        <f>VLOOKUP($A187,'Key Inputs_BY Techs'!$B$132:$AJ$135,AP$183,FALSE)/8760</f>
        <v>7.5866223682849966E-3</v>
      </c>
      <c r="AQ187" s="518">
        <f>VLOOKUP($A187,'Key Inputs_BY Techs'!$B$132:$AJ$135,AQ$183,FALSE)/8760</f>
        <v>9.7408484728597484E-4</v>
      </c>
      <c r="AR187" s="518">
        <f>VLOOKUP($A187,'Key Inputs_BY Techs'!$B$132:$AJ$135,AR$183,FALSE)/8760</f>
        <v>8.9859327162131172E-2</v>
      </c>
      <c r="AS187" s="518">
        <f>VLOOKUP($A187,'Key Inputs_BY Techs'!$B$132:$AJ$135,AS$183,FALSE)/8760</f>
        <v>3.9225647504169833E-2</v>
      </c>
      <c r="AT187" s="222"/>
      <c r="AU187" s="212"/>
      <c r="AW187" s="232"/>
      <c r="BG187" s="212"/>
      <c r="BH187" s="225"/>
      <c r="BI187" s="225"/>
    </row>
    <row r="188" spans="1:61" x14ac:dyDescent="0.3">
      <c r="A188" s="535" t="str">
        <f t="shared" si="19"/>
        <v>Thermal uses</v>
      </c>
      <c r="B188" s="535" t="str">
        <f t="shared" si="19"/>
        <v>S-TH</v>
      </c>
      <c r="C188" s="535" t="str">
        <f t="shared" si="19"/>
        <v>Electricity</v>
      </c>
      <c r="D188" s="535" t="str">
        <f t="shared" si="19"/>
        <v>SRVELC</v>
      </c>
      <c r="E188" s="538" t="str">
        <f t="shared" si="19"/>
        <v>SRVELC</v>
      </c>
      <c r="F188" s="535" t="str">
        <f t="shared" si="19"/>
        <v>Heat Pump Wat. (Imp.)</v>
      </c>
      <c r="G188" s="541" t="str">
        <f t="shared" si="19"/>
        <v>05</v>
      </c>
      <c r="H188" s="541"/>
      <c r="I188" s="541"/>
      <c r="K188" s="405" t="str">
        <f t="shared" si="33"/>
        <v>S-TH-HPA_ELC05</v>
      </c>
      <c r="L188" s="203" t="str">
        <f t="shared" si="33"/>
        <v>SRV Thermal uses technology: Electricity Heat Pump Wat. (Imp.) -New</v>
      </c>
      <c r="M188" s="405"/>
      <c r="N188" s="203"/>
      <c r="O188" s="405" t="s">
        <v>452</v>
      </c>
      <c r="P188" s="203" t="s">
        <v>154</v>
      </c>
      <c r="Q188" s="203"/>
      <c r="R188" s="518">
        <f>VLOOKUP($A188,'Key Inputs_BY Techs'!$B$132:$AJ$135,R$183,FALSE)/8760</f>
        <v>5.7077625570776253E-2</v>
      </c>
      <c r="S188" s="518">
        <f>VLOOKUP($A188,'Key Inputs_BY Techs'!$B$132:$AJ$135,S$183,FALSE)/8760</f>
        <v>1.9669020954812956E-3</v>
      </c>
      <c r="T188" s="518">
        <f>VLOOKUP($A188,'Key Inputs_BY Techs'!$B$132:$AJ$135,T$183,FALSE)/8760</f>
        <v>1.938803494117277E-2</v>
      </c>
      <c r="U188" s="518">
        <f>VLOOKUP($A188,'Key Inputs_BY Techs'!$B$132:$AJ$135,U$183,FALSE)/8760</f>
        <v>8.0549323910186386E-4</v>
      </c>
      <c r="V188" s="518">
        <f>VLOOKUP($A188,'Key Inputs_BY Techs'!$B$132:$AJ$135,V$183,FALSE)/8760</f>
        <v>7.2681715528261194E-3</v>
      </c>
      <c r="W188" s="518">
        <f>VLOOKUP($A188,'Key Inputs_BY Techs'!$B$132:$AJ$135,W$183,FALSE)/8760</f>
        <v>1.3618455461094301E-2</v>
      </c>
      <c r="X188" s="518">
        <f>VLOOKUP($A188,'Key Inputs_BY Techs'!$B$132:$AJ$135,X$183,FALSE)/8760</f>
        <v>5.200114492434358E-2</v>
      </c>
      <c r="Y188" s="518">
        <f>VLOOKUP($A188,'Key Inputs_BY Techs'!$B$132:$AJ$135,Y$183,FALSE)/8760</f>
        <v>1.198873658198123E-3</v>
      </c>
      <c r="Z188" s="518">
        <f>VLOOKUP($A188,'Key Inputs_BY Techs'!$B$132:$AJ$135,Z$183,FALSE)/8760</f>
        <v>1.0995919333785908E-2</v>
      </c>
      <c r="AA188" s="518">
        <f>VLOOKUP($A188,'Key Inputs_BY Techs'!$B$132:$AJ$135,AA$183,FALSE)/8760</f>
        <v>1.6484512800224189E-3</v>
      </c>
      <c r="AB188" s="518">
        <f>VLOOKUP($A188,'Key Inputs_BY Techs'!$B$132:$AJ$135,AB$183,FALSE)/8760</f>
        <v>8.4745381713879811E-2</v>
      </c>
      <c r="AC188" s="518">
        <f>VLOOKUP($A188,'Key Inputs_BY Techs'!$B$132:$AJ$135,AC$183,FALSE)/8760</f>
        <v>4.8479453553386592E-2</v>
      </c>
      <c r="AD188" s="518">
        <f>VLOOKUP($A188,'Key Inputs_BY Techs'!$B$132:$AJ$135,AD$183,FALSE)/8760</f>
        <v>4.0668042374189445E-2</v>
      </c>
      <c r="AE188" s="518">
        <f>VLOOKUP($A188,'Key Inputs_BY Techs'!$B$132:$AJ$135,AE$183,FALSE)/8760</f>
        <v>5.8520020440795871E-2</v>
      </c>
      <c r="AF188" s="518">
        <f>VLOOKUP($A188,'Key Inputs_BY Techs'!$B$132:$AJ$135,AF$183,FALSE)/8760</f>
        <v>4.9153819986123039E-2</v>
      </c>
      <c r="AG188" s="518">
        <f>VLOOKUP($A188,'Key Inputs_BY Techs'!$B$132:$AJ$135,AG$183,FALSE)/8760</f>
        <v>0.10237257096957408</v>
      </c>
      <c r="AH188" s="518">
        <f>VLOOKUP($A188,'Key Inputs_BY Techs'!$B$132:$AJ$135,AH$183,FALSE)/8760</f>
        <v>3.8457619066886661E-2</v>
      </c>
      <c r="AI188" s="518">
        <f>VLOOKUP($A188,'Key Inputs_BY Techs'!$B$132:$AJ$135,AI$183,FALSE)/8760</f>
        <v>5.7077625570776253E-2</v>
      </c>
      <c r="AJ188" s="518">
        <f>VLOOKUP($A188,'Key Inputs_BY Techs'!$B$132:$AJ$135,AJ$183,FALSE)/8760</f>
        <v>4.3084522091495041E-4</v>
      </c>
      <c r="AK188" s="518">
        <f>VLOOKUP($A188,'Key Inputs_BY Techs'!$B$132:$AJ$135,AK$183,FALSE)/8760</f>
        <v>5.6946498764410833E-3</v>
      </c>
      <c r="AL188" s="518">
        <f>VLOOKUP($A188,'Key Inputs_BY Techs'!$B$132:$AJ$135,AL$183,FALSE)/8760</f>
        <v>3.0964658703148393E-2</v>
      </c>
      <c r="AM188" s="518">
        <f>VLOOKUP($A188,'Key Inputs_BY Techs'!$B$132:$AJ$135,AM$183,FALSE)/8760</f>
        <v>7.6990167737410707E-3</v>
      </c>
      <c r="AN188" s="518">
        <f>VLOOKUP($A188,'Key Inputs_BY Techs'!$B$132:$AJ$135,AN$183,FALSE)/8760</f>
        <v>3.6846632588682933E-2</v>
      </c>
      <c r="AO188" s="518">
        <f>VLOOKUP($A188,'Key Inputs_BY Techs'!$B$132:$AJ$135,AO$183,FALSE)/8760</f>
        <v>2.339676873577274E-2</v>
      </c>
      <c r="AP188" s="518">
        <f>VLOOKUP($A188,'Key Inputs_BY Techs'!$B$132:$AJ$135,AP$183,FALSE)/8760</f>
        <v>7.5866223682849966E-3</v>
      </c>
      <c r="AQ188" s="518">
        <f>VLOOKUP($A188,'Key Inputs_BY Techs'!$B$132:$AJ$135,AQ$183,FALSE)/8760</f>
        <v>9.7408484728597484E-4</v>
      </c>
      <c r="AR188" s="518">
        <f>VLOOKUP($A188,'Key Inputs_BY Techs'!$B$132:$AJ$135,AR$183,FALSE)/8760</f>
        <v>8.9859327162131172E-2</v>
      </c>
      <c r="AS188" s="518">
        <f>VLOOKUP($A188,'Key Inputs_BY Techs'!$B$132:$AJ$135,AS$183,FALSE)/8760</f>
        <v>3.9225647504169833E-2</v>
      </c>
      <c r="AT188" s="222"/>
      <c r="AU188" s="212"/>
      <c r="AW188" s="232"/>
      <c r="BG188" s="212"/>
      <c r="BH188" s="225"/>
      <c r="BI188" s="225"/>
    </row>
    <row r="189" spans="1:61" x14ac:dyDescent="0.3">
      <c r="A189" s="535" t="str">
        <f t="shared" si="19"/>
        <v>Thermal uses</v>
      </c>
      <c r="B189" s="535" t="str">
        <f t="shared" si="19"/>
        <v>S-TH</v>
      </c>
      <c r="C189" s="535" t="str">
        <f t="shared" si="19"/>
        <v>Electricity</v>
      </c>
      <c r="D189" s="535" t="str">
        <f t="shared" si="19"/>
        <v>SRVELC</v>
      </c>
      <c r="E189" s="538" t="str">
        <f t="shared" si="19"/>
        <v>SRVELC</v>
      </c>
      <c r="F189" s="535" t="str">
        <f t="shared" si="19"/>
        <v>Heat Pump Wat. (Adv.)</v>
      </c>
      <c r="G189" s="541" t="str">
        <f t="shared" si="19"/>
        <v>06</v>
      </c>
      <c r="H189" s="541"/>
      <c r="I189" s="541"/>
      <c r="K189" s="405" t="str">
        <f t="shared" si="33"/>
        <v>S-TH-HPA_ELC06</v>
      </c>
      <c r="L189" s="203" t="str">
        <f t="shared" si="33"/>
        <v>SRV Thermal uses technology: Electricity Heat Pump Wat. (Adv.) -New</v>
      </c>
      <c r="M189" s="405"/>
      <c r="N189" s="203"/>
      <c r="O189" s="405" t="s">
        <v>452</v>
      </c>
      <c r="P189" s="203" t="s">
        <v>154</v>
      </c>
      <c r="Q189" s="203"/>
      <c r="R189" s="518">
        <f>VLOOKUP($A189,'Key Inputs_BY Techs'!$B$132:$AJ$135,R$183,FALSE)/8760</f>
        <v>5.7077625570776253E-2</v>
      </c>
      <c r="S189" s="518">
        <f>VLOOKUP($A189,'Key Inputs_BY Techs'!$B$132:$AJ$135,S$183,FALSE)/8760</f>
        <v>1.9669020954812956E-3</v>
      </c>
      <c r="T189" s="518">
        <f>VLOOKUP($A189,'Key Inputs_BY Techs'!$B$132:$AJ$135,T$183,FALSE)/8760</f>
        <v>1.938803494117277E-2</v>
      </c>
      <c r="U189" s="518">
        <f>VLOOKUP($A189,'Key Inputs_BY Techs'!$B$132:$AJ$135,U$183,FALSE)/8760</f>
        <v>8.0549323910186386E-4</v>
      </c>
      <c r="V189" s="518">
        <f>VLOOKUP($A189,'Key Inputs_BY Techs'!$B$132:$AJ$135,V$183,FALSE)/8760</f>
        <v>7.2681715528261194E-3</v>
      </c>
      <c r="W189" s="518">
        <f>VLOOKUP($A189,'Key Inputs_BY Techs'!$B$132:$AJ$135,W$183,FALSE)/8760</f>
        <v>1.3618455461094301E-2</v>
      </c>
      <c r="X189" s="518">
        <f>VLOOKUP($A189,'Key Inputs_BY Techs'!$B$132:$AJ$135,X$183,FALSE)/8760</f>
        <v>5.200114492434358E-2</v>
      </c>
      <c r="Y189" s="518">
        <f>VLOOKUP($A189,'Key Inputs_BY Techs'!$B$132:$AJ$135,Y$183,FALSE)/8760</f>
        <v>1.198873658198123E-3</v>
      </c>
      <c r="Z189" s="518">
        <f>VLOOKUP($A189,'Key Inputs_BY Techs'!$B$132:$AJ$135,Z$183,FALSE)/8760</f>
        <v>1.0995919333785908E-2</v>
      </c>
      <c r="AA189" s="518">
        <f>VLOOKUP($A189,'Key Inputs_BY Techs'!$B$132:$AJ$135,AA$183,FALSE)/8760</f>
        <v>1.6484512800224189E-3</v>
      </c>
      <c r="AB189" s="518">
        <f>VLOOKUP($A189,'Key Inputs_BY Techs'!$B$132:$AJ$135,AB$183,FALSE)/8760</f>
        <v>8.4745381713879811E-2</v>
      </c>
      <c r="AC189" s="518">
        <f>VLOOKUP($A189,'Key Inputs_BY Techs'!$B$132:$AJ$135,AC$183,FALSE)/8760</f>
        <v>4.8479453553386592E-2</v>
      </c>
      <c r="AD189" s="518">
        <f>VLOOKUP($A189,'Key Inputs_BY Techs'!$B$132:$AJ$135,AD$183,FALSE)/8760</f>
        <v>4.0668042374189445E-2</v>
      </c>
      <c r="AE189" s="518">
        <f>VLOOKUP($A189,'Key Inputs_BY Techs'!$B$132:$AJ$135,AE$183,FALSE)/8760</f>
        <v>5.8520020440795871E-2</v>
      </c>
      <c r="AF189" s="518">
        <f>VLOOKUP($A189,'Key Inputs_BY Techs'!$B$132:$AJ$135,AF$183,FALSE)/8760</f>
        <v>4.9153819986123039E-2</v>
      </c>
      <c r="AG189" s="518">
        <f>VLOOKUP($A189,'Key Inputs_BY Techs'!$B$132:$AJ$135,AG$183,FALSE)/8760</f>
        <v>0.10237257096957408</v>
      </c>
      <c r="AH189" s="518">
        <f>VLOOKUP($A189,'Key Inputs_BY Techs'!$B$132:$AJ$135,AH$183,FALSE)/8760</f>
        <v>3.8457619066886661E-2</v>
      </c>
      <c r="AI189" s="518">
        <f>VLOOKUP($A189,'Key Inputs_BY Techs'!$B$132:$AJ$135,AI$183,FALSE)/8760</f>
        <v>5.7077625570776253E-2</v>
      </c>
      <c r="AJ189" s="518">
        <f>VLOOKUP($A189,'Key Inputs_BY Techs'!$B$132:$AJ$135,AJ$183,FALSE)/8760</f>
        <v>4.3084522091495041E-4</v>
      </c>
      <c r="AK189" s="518">
        <f>VLOOKUP($A189,'Key Inputs_BY Techs'!$B$132:$AJ$135,AK$183,FALSE)/8760</f>
        <v>5.6946498764410833E-3</v>
      </c>
      <c r="AL189" s="518">
        <f>VLOOKUP($A189,'Key Inputs_BY Techs'!$B$132:$AJ$135,AL$183,FALSE)/8760</f>
        <v>3.0964658703148393E-2</v>
      </c>
      <c r="AM189" s="518">
        <f>VLOOKUP($A189,'Key Inputs_BY Techs'!$B$132:$AJ$135,AM$183,FALSE)/8760</f>
        <v>7.6990167737410707E-3</v>
      </c>
      <c r="AN189" s="518">
        <f>VLOOKUP($A189,'Key Inputs_BY Techs'!$B$132:$AJ$135,AN$183,FALSE)/8760</f>
        <v>3.6846632588682933E-2</v>
      </c>
      <c r="AO189" s="518">
        <f>VLOOKUP($A189,'Key Inputs_BY Techs'!$B$132:$AJ$135,AO$183,FALSE)/8760</f>
        <v>2.339676873577274E-2</v>
      </c>
      <c r="AP189" s="518">
        <f>VLOOKUP($A189,'Key Inputs_BY Techs'!$B$132:$AJ$135,AP$183,FALSE)/8760</f>
        <v>7.5866223682849966E-3</v>
      </c>
      <c r="AQ189" s="518">
        <f>VLOOKUP($A189,'Key Inputs_BY Techs'!$B$132:$AJ$135,AQ$183,FALSE)/8760</f>
        <v>9.7408484728597484E-4</v>
      </c>
      <c r="AR189" s="518">
        <f>VLOOKUP($A189,'Key Inputs_BY Techs'!$B$132:$AJ$135,AR$183,FALSE)/8760</f>
        <v>8.9859327162131172E-2</v>
      </c>
      <c r="AS189" s="518">
        <f>VLOOKUP($A189,'Key Inputs_BY Techs'!$B$132:$AJ$135,AS$183,FALSE)/8760</f>
        <v>3.9225647504169833E-2</v>
      </c>
      <c r="AT189" s="222"/>
      <c r="AU189" s="212"/>
      <c r="AW189" s="232"/>
      <c r="BG189" s="212"/>
      <c r="BH189" s="225"/>
      <c r="BI189" s="225"/>
    </row>
    <row r="190" spans="1:61" x14ac:dyDescent="0.3">
      <c r="A190" s="535" t="str">
        <f t="shared" si="19"/>
        <v>Thermal uses</v>
      </c>
      <c r="B190" s="535" t="str">
        <f t="shared" si="19"/>
        <v>S-TH</v>
      </c>
      <c r="C190" s="535" t="str">
        <f t="shared" si="19"/>
        <v>Natural gas, Biogas</v>
      </c>
      <c r="D190" s="535" t="str">
        <f t="shared" si="19"/>
        <v>SRVGAS, SRVBGS, SRVH2G, SRVH2B, SRVEFUM</v>
      </c>
      <c r="E190" s="538" t="str">
        <f t="shared" si="19"/>
        <v>SRVGAS</v>
      </c>
      <c r="F190" s="535" t="str">
        <f t="shared" si="19"/>
        <v>Boiler (Ord.)</v>
      </c>
      <c r="G190" s="541" t="str">
        <f t="shared" si="19"/>
        <v>01</v>
      </c>
      <c r="H190" s="541"/>
      <c r="I190" s="541"/>
      <c r="K190" s="405" t="str">
        <f t="shared" si="33"/>
        <v>S-TH-BLR_GAS01</v>
      </c>
      <c r="L190" s="203" t="str">
        <f t="shared" si="33"/>
        <v>SRV Thermal uses technology: Natural gas, Biogas Boiler (Ord.) -New</v>
      </c>
      <c r="M190" s="405"/>
      <c r="N190" s="203"/>
      <c r="O190" s="405" t="s">
        <v>452</v>
      </c>
      <c r="P190" s="203" t="s">
        <v>154</v>
      </c>
      <c r="Q190" s="203"/>
      <c r="R190" s="518">
        <f>VLOOKUP($A190,'Key Inputs_BY Techs'!$B$132:$AJ$135,R$183,FALSE)/8760</f>
        <v>5.7077625570776253E-2</v>
      </c>
      <c r="S190" s="518">
        <f>VLOOKUP($A190,'Key Inputs_BY Techs'!$B$132:$AJ$135,S$183,FALSE)/8760</f>
        <v>1.9669020954812956E-3</v>
      </c>
      <c r="T190" s="518">
        <f>VLOOKUP($A190,'Key Inputs_BY Techs'!$B$132:$AJ$135,T$183,FALSE)/8760</f>
        <v>1.938803494117277E-2</v>
      </c>
      <c r="U190" s="518">
        <f>VLOOKUP($A190,'Key Inputs_BY Techs'!$B$132:$AJ$135,U$183,FALSE)/8760</f>
        <v>8.0549323910186386E-4</v>
      </c>
      <c r="V190" s="518">
        <f>VLOOKUP($A190,'Key Inputs_BY Techs'!$B$132:$AJ$135,V$183,FALSE)/8760</f>
        <v>7.2681715528261194E-3</v>
      </c>
      <c r="W190" s="518">
        <f>VLOOKUP($A190,'Key Inputs_BY Techs'!$B$132:$AJ$135,W$183,FALSE)/8760</f>
        <v>1.3618455461094301E-2</v>
      </c>
      <c r="X190" s="518">
        <f>VLOOKUP($A190,'Key Inputs_BY Techs'!$B$132:$AJ$135,X$183,FALSE)/8760</f>
        <v>5.200114492434358E-2</v>
      </c>
      <c r="Y190" s="518">
        <f>VLOOKUP($A190,'Key Inputs_BY Techs'!$B$132:$AJ$135,Y$183,FALSE)/8760</f>
        <v>1.198873658198123E-3</v>
      </c>
      <c r="Z190" s="518">
        <f>VLOOKUP($A190,'Key Inputs_BY Techs'!$B$132:$AJ$135,Z$183,FALSE)/8760</f>
        <v>1.0995919333785908E-2</v>
      </c>
      <c r="AA190" s="518">
        <f>VLOOKUP($A190,'Key Inputs_BY Techs'!$B$132:$AJ$135,AA$183,FALSE)/8760</f>
        <v>1.6484512800224189E-3</v>
      </c>
      <c r="AB190" s="518">
        <f>VLOOKUP($A190,'Key Inputs_BY Techs'!$B$132:$AJ$135,AB$183,FALSE)/8760</f>
        <v>8.4745381713879811E-2</v>
      </c>
      <c r="AC190" s="518">
        <f>VLOOKUP($A190,'Key Inputs_BY Techs'!$B$132:$AJ$135,AC$183,FALSE)/8760</f>
        <v>4.8479453553386592E-2</v>
      </c>
      <c r="AD190" s="518">
        <f>VLOOKUP($A190,'Key Inputs_BY Techs'!$B$132:$AJ$135,AD$183,FALSE)/8760</f>
        <v>4.0668042374189445E-2</v>
      </c>
      <c r="AE190" s="518">
        <f>VLOOKUP($A190,'Key Inputs_BY Techs'!$B$132:$AJ$135,AE$183,FALSE)/8760</f>
        <v>5.8520020440795871E-2</v>
      </c>
      <c r="AF190" s="518">
        <f>VLOOKUP($A190,'Key Inputs_BY Techs'!$B$132:$AJ$135,AF$183,FALSE)/8760</f>
        <v>4.9153819986123039E-2</v>
      </c>
      <c r="AG190" s="518">
        <f>VLOOKUP($A190,'Key Inputs_BY Techs'!$B$132:$AJ$135,AG$183,FALSE)/8760</f>
        <v>0.10237257096957408</v>
      </c>
      <c r="AH190" s="518">
        <f>VLOOKUP($A190,'Key Inputs_BY Techs'!$B$132:$AJ$135,AH$183,FALSE)/8760</f>
        <v>3.8457619066886661E-2</v>
      </c>
      <c r="AI190" s="518">
        <f>VLOOKUP($A190,'Key Inputs_BY Techs'!$B$132:$AJ$135,AI$183,FALSE)/8760</f>
        <v>5.7077625570776253E-2</v>
      </c>
      <c r="AJ190" s="518">
        <f>VLOOKUP($A190,'Key Inputs_BY Techs'!$B$132:$AJ$135,AJ$183,FALSE)/8760</f>
        <v>4.3084522091495041E-4</v>
      </c>
      <c r="AK190" s="518">
        <f>VLOOKUP($A190,'Key Inputs_BY Techs'!$B$132:$AJ$135,AK$183,FALSE)/8760</f>
        <v>5.6946498764410833E-3</v>
      </c>
      <c r="AL190" s="518">
        <f>VLOOKUP($A190,'Key Inputs_BY Techs'!$B$132:$AJ$135,AL$183,FALSE)/8760</f>
        <v>3.0964658703148393E-2</v>
      </c>
      <c r="AM190" s="518">
        <f>VLOOKUP($A190,'Key Inputs_BY Techs'!$B$132:$AJ$135,AM$183,FALSE)/8760</f>
        <v>7.6990167737410707E-3</v>
      </c>
      <c r="AN190" s="518">
        <f>VLOOKUP($A190,'Key Inputs_BY Techs'!$B$132:$AJ$135,AN$183,FALSE)/8760</f>
        <v>3.6846632588682933E-2</v>
      </c>
      <c r="AO190" s="518">
        <f>VLOOKUP($A190,'Key Inputs_BY Techs'!$B$132:$AJ$135,AO$183,FALSE)/8760</f>
        <v>2.339676873577274E-2</v>
      </c>
      <c r="AP190" s="518">
        <f>VLOOKUP($A190,'Key Inputs_BY Techs'!$B$132:$AJ$135,AP$183,FALSE)/8760</f>
        <v>7.5866223682849966E-3</v>
      </c>
      <c r="AQ190" s="518">
        <f>VLOOKUP($A190,'Key Inputs_BY Techs'!$B$132:$AJ$135,AQ$183,FALSE)/8760</f>
        <v>9.7408484728597484E-4</v>
      </c>
      <c r="AR190" s="518">
        <f>VLOOKUP($A190,'Key Inputs_BY Techs'!$B$132:$AJ$135,AR$183,FALSE)/8760</f>
        <v>8.9859327162131172E-2</v>
      </c>
      <c r="AS190" s="518">
        <f>VLOOKUP($A190,'Key Inputs_BY Techs'!$B$132:$AJ$135,AS$183,FALSE)/8760</f>
        <v>3.9225647504169833E-2</v>
      </c>
      <c r="AT190" s="222"/>
      <c r="AU190" s="212"/>
      <c r="AW190" s="232"/>
      <c r="BG190" s="212"/>
      <c r="BH190" s="225"/>
      <c r="BI190" s="225"/>
    </row>
    <row r="191" spans="1:61" x14ac:dyDescent="0.3">
      <c r="A191" s="535" t="str">
        <f t="shared" si="19"/>
        <v>Thermal uses</v>
      </c>
      <c r="B191" s="535" t="str">
        <f t="shared" si="19"/>
        <v>S-TH</v>
      </c>
      <c r="C191" s="535" t="str">
        <f t="shared" si="19"/>
        <v>Natural gas, Biogas</v>
      </c>
      <c r="D191" s="535" t="str">
        <f t="shared" si="19"/>
        <v>SRVGAS, SRVBGS, SRVH2G, SRVH2B, SRVEFUM</v>
      </c>
      <c r="E191" s="538" t="str">
        <f t="shared" si="19"/>
        <v>SRVGAS</v>
      </c>
      <c r="F191" s="535" t="str">
        <f t="shared" si="19"/>
        <v>Boiler cond. (Ord.)</v>
      </c>
      <c r="G191" s="541" t="str">
        <f t="shared" si="19"/>
        <v>02</v>
      </c>
      <c r="H191" s="541"/>
      <c r="I191" s="541"/>
      <c r="K191" s="405" t="str">
        <f t="shared" si="33"/>
        <v>S-TH-BLR_GAS02</v>
      </c>
      <c r="L191" s="203" t="str">
        <f t="shared" si="33"/>
        <v>SRV Thermal uses technology: Natural gas, Biogas Boiler cond. (Ord.) -New</v>
      </c>
      <c r="M191" s="405"/>
      <c r="N191" s="203"/>
      <c r="O191" s="405" t="s">
        <v>452</v>
      </c>
      <c r="P191" s="203" t="s">
        <v>154</v>
      </c>
      <c r="Q191" s="203"/>
      <c r="R191" s="518">
        <f>VLOOKUP($A191,'Key Inputs_BY Techs'!$B$132:$AJ$135,R$183,FALSE)/8760</f>
        <v>5.7077625570776253E-2</v>
      </c>
      <c r="S191" s="518">
        <f>VLOOKUP($A191,'Key Inputs_BY Techs'!$B$132:$AJ$135,S$183,FALSE)/8760</f>
        <v>1.9669020954812956E-3</v>
      </c>
      <c r="T191" s="518">
        <f>VLOOKUP($A191,'Key Inputs_BY Techs'!$B$132:$AJ$135,T$183,FALSE)/8760</f>
        <v>1.938803494117277E-2</v>
      </c>
      <c r="U191" s="518">
        <f>VLOOKUP($A191,'Key Inputs_BY Techs'!$B$132:$AJ$135,U$183,FALSE)/8760</f>
        <v>8.0549323910186386E-4</v>
      </c>
      <c r="V191" s="518">
        <f>VLOOKUP($A191,'Key Inputs_BY Techs'!$B$132:$AJ$135,V$183,FALSE)/8760</f>
        <v>7.2681715528261194E-3</v>
      </c>
      <c r="W191" s="518">
        <f>VLOOKUP($A191,'Key Inputs_BY Techs'!$B$132:$AJ$135,W$183,FALSE)/8760</f>
        <v>1.3618455461094301E-2</v>
      </c>
      <c r="X191" s="518">
        <f>VLOOKUP($A191,'Key Inputs_BY Techs'!$B$132:$AJ$135,X$183,FALSE)/8760</f>
        <v>5.200114492434358E-2</v>
      </c>
      <c r="Y191" s="518">
        <f>VLOOKUP($A191,'Key Inputs_BY Techs'!$B$132:$AJ$135,Y$183,FALSE)/8760</f>
        <v>1.198873658198123E-3</v>
      </c>
      <c r="Z191" s="518">
        <f>VLOOKUP($A191,'Key Inputs_BY Techs'!$B$132:$AJ$135,Z$183,FALSE)/8760</f>
        <v>1.0995919333785908E-2</v>
      </c>
      <c r="AA191" s="518">
        <f>VLOOKUP($A191,'Key Inputs_BY Techs'!$B$132:$AJ$135,AA$183,FALSE)/8760</f>
        <v>1.6484512800224189E-3</v>
      </c>
      <c r="AB191" s="518">
        <f>VLOOKUP($A191,'Key Inputs_BY Techs'!$B$132:$AJ$135,AB$183,FALSE)/8760</f>
        <v>8.4745381713879811E-2</v>
      </c>
      <c r="AC191" s="518">
        <f>VLOOKUP($A191,'Key Inputs_BY Techs'!$B$132:$AJ$135,AC$183,FALSE)/8760</f>
        <v>4.8479453553386592E-2</v>
      </c>
      <c r="AD191" s="518">
        <f>VLOOKUP($A191,'Key Inputs_BY Techs'!$B$132:$AJ$135,AD$183,FALSE)/8760</f>
        <v>4.0668042374189445E-2</v>
      </c>
      <c r="AE191" s="518">
        <f>VLOOKUP($A191,'Key Inputs_BY Techs'!$B$132:$AJ$135,AE$183,FALSE)/8760</f>
        <v>5.8520020440795871E-2</v>
      </c>
      <c r="AF191" s="518">
        <f>VLOOKUP($A191,'Key Inputs_BY Techs'!$B$132:$AJ$135,AF$183,FALSE)/8760</f>
        <v>4.9153819986123039E-2</v>
      </c>
      <c r="AG191" s="518">
        <f>VLOOKUP($A191,'Key Inputs_BY Techs'!$B$132:$AJ$135,AG$183,FALSE)/8760</f>
        <v>0.10237257096957408</v>
      </c>
      <c r="AH191" s="518">
        <f>VLOOKUP($A191,'Key Inputs_BY Techs'!$B$132:$AJ$135,AH$183,FALSE)/8760</f>
        <v>3.8457619066886661E-2</v>
      </c>
      <c r="AI191" s="518">
        <f>VLOOKUP($A191,'Key Inputs_BY Techs'!$B$132:$AJ$135,AI$183,FALSE)/8760</f>
        <v>5.7077625570776253E-2</v>
      </c>
      <c r="AJ191" s="518">
        <f>VLOOKUP($A191,'Key Inputs_BY Techs'!$B$132:$AJ$135,AJ$183,FALSE)/8760</f>
        <v>4.3084522091495041E-4</v>
      </c>
      <c r="AK191" s="518">
        <f>VLOOKUP($A191,'Key Inputs_BY Techs'!$B$132:$AJ$135,AK$183,FALSE)/8760</f>
        <v>5.6946498764410833E-3</v>
      </c>
      <c r="AL191" s="518">
        <f>VLOOKUP($A191,'Key Inputs_BY Techs'!$B$132:$AJ$135,AL$183,FALSE)/8760</f>
        <v>3.0964658703148393E-2</v>
      </c>
      <c r="AM191" s="518">
        <f>VLOOKUP($A191,'Key Inputs_BY Techs'!$B$132:$AJ$135,AM$183,FALSE)/8760</f>
        <v>7.6990167737410707E-3</v>
      </c>
      <c r="AN191" s="518">
        <f>VLOOKUP($A191,'Key Inputs_BY Techs'!$B$132:$AJ$135,AN$183,FALSE)/8760</f>
        <v>3.6846632588682933E-2</v>
      </c>
      <c r="AO191" s="518">
        <f>VLOOKUP($A191,'Key Inputs_BY Techs'!$B$132:$AJ$135,AO$183,FALSE)/8760</f>
        <v>2.339676873577274E-2</v>
      </c>
      <c r="AP191" s="518">
        <f>VLOOKUP($A191,'Key Inputs_BY Techs'!$B$132:$AJ$135,AP$183,FALSE)/8760</f>
        <v>7.5866223682849966E-3</v>
      </c>
      <c r="AQ191" s="518">
        <f>VLOOKUP($A191,'Key Inputs_BY Techs'!$B$132:$AJ$135,AQ$183,FALSE)/8760</f>
        <v>9.7408484728597484E-4</v>
      </c>
      <c r="AR191" s="518">
        <f>VLOOKUP($A191,'Key Inputs_BY Techs'!$B$132:$AJ$135,AR$183,FALSE)/8760</f>
        <v>8.9859327162131172E-2</v>
      </c>
      <c r="AS191" s="518">
        <f>VLOOKUP($A191,'Key Inputs_BY Techs'!$B$132:$AJ$135,AS$183,FALSE)/8760</f>
        <v>3.9225647504169833E-2</v>
      </c>
      <c r="AT191" s="222"/>
      <c r="AU191" s="212"/>
      <c r="AW191" s="232"/>
      <c r="BG191" s="212"/>
      <c r="BH191" s="225"/>
      <c r="BI191" s="225"/>
    </row>
    <row r="192" spans="1:61" x14ac:dyDescent="0.3">
      <c r="A192" s="535" t="str">
        <f t="shared" si="19"/>
        <v>Thermal uses</v>
      </c>
      <c r="B192" s="535" t="str">
        <f t="shared" si="19"/>
        <v>S-TH</v>
      </c>
      <c r="C192" s="535" t="str">
        <f t="shared" si="19"/>
        <v>Electricity</v>
      </c>
      <c r="D192" s="535" t="str">
        <f t="shared" si="19"/>
        <v>SRVELC</v>
      </c>
      <c r="E192" s="538" t="str">
        <f t="shared" si="19"/>
        <v>SRVELC</v>
      </c>
      <c r="F192" s="540" t="str">
        <f t="shared" si="19"/>
        <v>Ground Heat Pump (Ord.)</v>
      </c>
      <c r="G192" s="541" t="str">
        <f t="shared" si="19"/>
        <v>01</v>
      </c>
      <c r="H192" s="541"/>
      <c r="I192" s="541"/>
      <c r="K192" s="405" t="str">
        <f t="shared" si="33"/>
        <v>S-TH-HPG_ELC01</v>
      </c>
      <c r="L192" s="203" t="str">
        <f t="shared" si="33"/>
        <v>SRV Thermal uses technology: Electricity Ground Heat Pump (Ord.) -New</v>
      </c>
      <c r="M192" s="405"/>
      <c r="N192" s="203"/>
      <c r="O192" s="405" t="s">
        <v>452</v>
      </c>
      <c r="P192" s="203" t="s">
        <v>154</v>
      </c>
      <c r="Q192" s="203"/>
      <c r="R192" s="518">
        <f>VLOOKUP($A192,'Key Inputs_BY Techs'!$B$132:$AJ$135,R$183,FALSE)/8760</f>
        <v>5.7077625570776253E-2</v>
      </c>
      <c r="S192" s="518">
        <f>VLOOKUP($A192,'Key Inputs_BY Techs'!$B$132:$AJ$135,S$183,FALSE)/8760</f>
        <v>1.9669020954812956E-3</v>
      </c>
      <c r="T192" s="518">
        <f>VLOOKUP($A192,'Key Inputs_BY Techs'!$B$132:$AJ$135,T$183,FALSE)/8760</f>
        <v>1.938803494117277E-2</v>
      </c>
      <c r="U192" s="518">
        <f>VLOOKUP($A192,'Key Inputs_BY Techs'!$B$132:$AJ$135,U$183,FALSE)/8760</f>
        <v>8.0549323910186386E-4</v>
      </c>
      <c r="V192" s="518">
        <f>VLOOKUP($A192,'Key Inputs_BY Techs'!$B$132:$AJ$135,V$183,FALSE)/8760</f>
        <v>7.2681715528261194E-3</v>
      </c>
      <c r="W192" s="518">
        <f>VLOOKUP($A192,'Key Inputs_BY Techs'!$B$132:$AJ$135,W$183,FALSE)/8760</f>
        <v>1.3618455461094301E-2</v>
      </c>
      <c r="X192" s="518">
        <f>VLOOKUP($A192,'Key Inputs_BY Techs'!$B$132:$AJ$135,X$183,FALSE)/8760</f>
        <v>5.200114492434358E-2</v>
      </c>
      <c r="Y192" s="518">
        <f>VLOOKUP($A192,'Key Inputs_BY Techs'!$B$132:$AJ$135,Y$183,FALSE)/8760</f>
        <v>1.198873658198123E-3</v>
      </c>
      <c r="Z192" s="518">
        <f>VLOOKUP($A192,'Key Inputs_BY Techs'!$B$132:$AJ$135,Z$183,FALSE)/8760</f>
        <v>1.0995919333785908E-2</v>
      </c>
      <c r="AA192" s="518">
        <f>VLOOKUP($A192,'Key Inputs_BY Techs'!$B$132:$AJ$135,AA$183,FALSE)/8760</f>
        <v>1.6484512800224189E-3</v>
      </c>
      <c r="AB192" s="518">
        <f>VLOOKUP($A192,'Key Inputs_BY Techs'!$B$132:$AJ$135,AB$183,FALSE)/8760</f>
        <v>8.4745381713879811E-2</v>
      </c>
      <c r="AC192" s="518">
        <f>VLOOKUP($A192,'Key Inputs_BY Techs'!$B$132:$AJ$135,AC$183,FALSE)/8760</f>
        <v>4.8479453553386592E-2</v>
      </c>
      <c r="AD192" s="518">
        <f>VLOOKUP($A192,'Key Inputs_BY Techs'!$B$132:$AJ$135,AD$183,FALSE)/8760</f>
        <v>4.0668042374189445E-2</v>
      </c>
      <c r="AE192" s="518">
        <f>VLOOKUP($A192,'Key Inputs_BY Techs'!$B$132:$AJ$135,AE$183,FALSE)/8760</f>
        <v>5.8520020440795871E-2</v>
      </c>
      <c r="AF192" s="518">
        <f>VLOOKUP($A192,'Key Inputs_BY Techs'!$B$132:$AJ$135,AF$183,FALSE)/8760</f>
        <v>4.9153819986123039E-2</v>
      </c>
      <c r="AG192" s="518">
        <f>VLOOKUP($A192,'Key Inputs_BY Techs'!$B$132:$AJ$135,AG$183,FALSE)/8760</f>
        <v>0.10237257096957408</v>
      </c>
      <c r="AH192" s="518">
        <f>VLOOKUP($A192,'Key Inputs_BY Techs'!$B$132:$AJ$135,AH$183,FALSE)/8760</f>
        <v>3.8457619066886661E-2</v>
      </c>
      <c r="AI192" s="518">
        <f>VLOOKUP($A192,'Key Inputs_BY Techs'!$B$132:$AJ$135,AI$183,FALSE)/8760</f>
        <v>5.7077625570776253E-2</v>
      </c>
      <c r="AJ192" s="518">
        <f>VLOOKUP($A192,'Key Inputs_BY Techs'!$B$132:$AJ$135,AJ$183,FALSE)/8760</f>
        <v>4.3084522091495041E-4</v>
      </c>
      <c r="AK192" s="518">
        <f>VLOOKUP($A192,'Key Inputs_BY Techs'!$B$132:$AJ$135,AK$183,FALSE)/8760</f>
        <v>5.6946498764410833E-3</v>
      </c>
      <c r="AL192" s="518">
        <f>VLOOKUP($A192,'Key Inputs_BY Techs'!$B$132:$AJ$135,AL$183,FALSE)/8760</f>
        <v>3.0964658703148393E-2</v>
      </c>
      <c r="AM192" s="518">
        <f>VLOOKUP($A192,'Key Inputs_BY Techs'!$B$132:$AJ$135,AM$183,FALSE)/8760</f>
        <v>7.6990167737410707E-3</v>
      </c>
      <c r="AN192" s="518">
        <f>VLOOKUP($A192,'Key Inputs_BY Techs'!$B$132:$AJ$135,AN$183,FALSE)/8760</f>
        <v>3.6846632588682933E-2</v>
      </c>
      <c r="AO192" s="518">
        <f>VLOOKUP($A192,'Key Inputs_BY Techs'!$B$132:$AJ$135,AO$183,FALSE)/8760</f>
        <v>2.339676873577274E-2</v>
      </c>
      <c r="AP192" s="518">
        <f>VLOOKUP($A192,'Key Inputs_BY Techs'!$B$132:$AJ$135,AP$183,FALSE)/8760</f>
        <v>7.5866223682849966E-3</v>
      </c>
      <c r="AQ192" s="518">
        <f>VLOOKUP($A192,'Key Inputs_BY Techs'!$B$132:$AJ$135,AQ$183,FALSE)/8760</f>
        <v>9.7408484728597484E-4</v>
      </c>
      <c r="AR192" s="518">
        <f>VLOOKUP($A192,'Key Inputs_BY Techs'!$B$132:$AJ$135,AR$183,FALSE)/8760</f>
        <v>8.9859327162131172E-2</v>
      </c>
      <c r="AS192" s="518">
        <f>VLOOKUP($A192,'Key Inputs_BY Techs'!$B$132:$AJ$135,AS$183,FALSE)/8760</f>
        <v>3.9225647504169833E-2</v>
      </c>
      <c r="AT192" s="222"/>
      <c r="AU192" s="212"/>
      <c r="AW192" s="232"/>
      <c r="BG192" s="212"/>
      <c r="BH192" s="225"/>
      <c r="BI192" s="225"/>
    </row>
    <row r="193" spans="1:61" x14ac:dyDescent="0.3">
      <c r="A193" s="535" t="str">
        <f t="shared" si="19"/>
        <v>Thermal uses</v>
      </c>
      <c r="B193" s="535" t="str">
        <f t="shared" si="19"/>
        <v>S-TH</v>
      </c>
      <c r="C193" s="535" t="str">
        <f t="shared" si="19"/>
        <v>Electricity</v>
      </c>
      <c r="D193" s="535" t="str">
        <f t="shared" si="19"/>
        <v>SRVELC</v>
      </c>
      <c r="E193" s="538" t="str">
        <f t="shared" si="19"/>
        <v>SRVELC</v>
      </c>
      <c r="F193" s="535" t="str">
        <f t="shared" si="19"/>
        <v>Ground Heat Pump (Imp.)</v>
      </c>
      <c r="G193" s="541" t="str">
        <f t="shared" si="19"/>
        <v>02</v>
      </c>
      <c r="H193" s="541"/>
      <c r="I193" s="541"/>
      <c r="K193" s="405" t="str">
        <f t="shared" si="33"/>
        <v>S-TH-HPG_ELC02</v>
      </c>
      <c r="L193" s="203" t="str">
        <f t="shared" si="33"/>
        <v>SRV Thermal uses technology: Electricity Ground Heat Pump (Imp.) -New</v>
      </c>
      <c r="M193" s="405"/>
      <c r="N193" s="203"/>
      <c r="O193" s="405" t="s">
        <v>452</v>
      </c>
      <c r="P193" s="203" t="s">
        <v>154</v>
      </c>
      <c r="Q193" s="203"/>
      <c r="R193" s="518">
        <f>VLOOKUP($A193,'Key Inputs_BY Techs'!$B$132:$AJ$135,R$183,FALSE)/8760</f>
        <v>5.7077625570776253E-2</v>
      </c>
      <c r="S193" s="518">
        <f>VLOOKUP($A193,'Key Inputs_BY Techs'!$B$132:$AJ$135,S$183,FALSE)/8760</f>
        <v>1.9669020954812956E-3</v>
      </c>
      <c r="T193" s="518">
        <f>VLOOKUP($A193,'Key Inputs_BY Techs'!$B$132:$AJ$135,T$183,FALSE)/8760</f>
        <v>1.938803494117277E-2</v>
      </c>
      <c r="U193" s="518">
        <f>VLOOKUP($A193,'Key Inputs_BY Techs'!$B$132:$AJ$135,U$183,FALSE)/8760</f>
        <v>8.0549323910186386E-4</v>
      </c>
      <c r="V193" s="518">
        <f>VLOOKUP($A193,'Key Inputs_BY Techs'!$B$132:$AJ$135,V$183,FALSE)/8760</f>
        <v>7.2681715528261194E-3</v>
      </c>
      <c r="W193" s="518">
        <f>VLOOKUP($A193,'Key Inputs_BY Techs'!$B$132:$AJ$135,W$183,FALSE)/8760</f>
        <v>1.3618455461094301E-2</v>
      </c>
      <c r="X193" s="518">
        <f>VLOOKUP($A193,'Key Inputs_BY Techs'!$B$132:$AJ$135,X$183,FALSE)/8760</f>
        <v>5.200114492434358E-2</v>
      </c>
      <c r="Y193" s="518">
        <f>VLOOKUP($A193,'Key Inputs_BY Techs'!$B$132:$AJ$135,Y$183,FALSE)/8760</f>
        <v>1.198873658198123E-3</v>
      </c>
      <c r="Z193" s="518">
        <f>VLOOKUP($A193,'Key Inputs_BY Techs'!$B$132:$AJ$135,Z$183,FALSE)/8760</f>
        <v>1.0995919333785908E-2</v>
      </c>
      <c r="AA193" s="518">
        <f>VLOOKUP($A193,'Key Inputs_BY Techs'!$B$132:$AJ$135,AA$183,FALSE)/8760</f>
        <v>1.6484512800224189E-3</v>
      </c>
      <c r="AB193" s="518">
        <f>VLOOKUP($A193,'Key Inputs_BY Techs'!$B$132:$AJ$135,AB$183,FALSE)/8760</f>
        <v>8.4745381713879811E-2</v>
      </c>
      <c r="AC193" s="518">
        <f>VLOOKUP($A193,'Key Inputs_BY Techs'!$B$132:$AJ$135,AC$183,FALSE)/8760</f>
        <v>4.8479453553386592E-2</v>
      </c>
      <c r="AD193" s="518">
        <f>VLOOKUP($A193,'Key Inputs_BY Techs'!$B$132:$AJ$135,AD$183,FALSE)/8760</f>
        <v>4.0668042374189445E-2</v>
      </c>
      <c r="AE193" s="518">
        <f>VLOOKUP($A193,'Key Inputs_BY Techs'!$B$132:$AJ$135,AE$183,FALSE)/8760</f>
        <v>5.8520020440795871E-2</v>
      </c>
      <c r="AF193" s="518">
        <f>VLOOKUP($A193,'Key Inputs_BY Techs'!$B$132:$AJ$135,AF$183,FALSE)/8760</f>
        <v>4.9153819986123039E-2</v>
      </c>
      <c r="AG193" s="518">
        <f>VLOOKUP($A193,'Key Inputs_BY Techs'!$B$132:$AJ$135,AG$183,FALSE)/8760</f>
        <v>0.10237257096957408</v>
      </c>
      <c r="AH193" s="518">
        <f>VLOOKUP($A193,'Key Inputs_BY Techs'!$B$132:$AJ$135,AH$183,FALSE)/8760</f>
        <v>3.8457619066886661E-2</v>
      </c>
      <c r="AI193" s="518">
        <f>VLOOKUP($A193,'Key Inputs_BY Techs'!$B$132:$AJ$135,AI$183,FALSE)/8760</f>
        <v>5.7077625570776253E-2</v>
      </c>
      <c r="AJ193" s="518">
        <f>VLOOKUP($A193,'Key Inputs_BY Techs'!$B$132:$AJ$135,AJ$183,FALSE)/8760</f>
        <v>4.3084522091495041E-4</v>
      </c>
      <c r="AK193" s="518">
        <f>VLOOKUP($A193,'Key Inputs_BY Techs'!$B$132:$AJ$135,AK$183,FALSE)/8760</f>
        <v>5.6946498764410833E-3</v>
      </c>
      <c r="AL193" s="518">
        <f>VLOOKUP($A193,'Key Inputs_BY Techs'!$B$132:$AJ$135,AL$183,FALSE)/8760</f>
        <v>3.0964658703148393E-2</v>
      </c>
      <c r="AM193" s="518">
        <f>VLOOKUP($A193,'Key Inputs_BY Techs'!$B$132:$AJ$135,AM$183,FALSE)/8760</f>
        <v>7.6990167737410707E-3</v>
      </c>
      <c r="AN193" s="518">
        <f>VLOOKUP($A193,'Key Inputs_BY Techs'!$B$132:$AJ$135,AN$183,FALSE)/8760</f>
        <v>3.6846632588682933E-2</v>
      </c>
      <c r="AO193" s="518">
        <f>VLOOKUP($A193,'Key Inputs_BY Techs'!$B$132:$AJ$135,AO$183,FALSE)/8760</f>
        <v>2.339676873577274E-2</v>
      </c>
      <c r="AP193" s="518">
        <f>VLOOKUP($A193,'Key Inputs_BY Techs'!$B$132:$AJ$135,AP$183,FALSE)/8760</f>
        <v>7.5866223682849966E-3</v>
      </c>
      <c r="AQ193" s="518">
        <f>VLOOKUP($A193,'Key Inputs_BY Techs'!$B$132:$AJ$135,AQ$183,FALSE)/8760</f>
        <v>9.7408484728597484E-4</v>
      </c>
      <c r="AR193" s="518">
        <f>VLOOKUP($A193,'Key Inputs_BY Techs'!$B$132:$AJ$135,AR$183,FALSE)/8760</f>
        <v>8.9859327162131172E-2</v>
      </c>
      <c r="AS193" s="518">
        <f>VLOOKUP($A193,'Key Inputs_BY Techs'!$B$132:$AJ$135,AS$183,FALSE)/8760</f>
        <v>3.9225647504169833E-2</v>
      </c>
      <c r="AT193" s="222"/>
      <c r="AU193" s="212"/>
      <c r="AW193" s="232"/>
      <c r="BG193" s="212"/>
      <c r="BH193" s="225"/>
      <c r="BI193" s="225"/>
    </row>
    <row r="194" spans="1:61" x14ac:dyDescent="0.3">
      <c r="A194" s="535" t="str">
        <f t="shared" si="19"/>
        <v>Thermal uses</v>
      </c>
      <c r="B194" s="535" t="str">
        <f t="shared" si="19"/>
        <v>S-TH</v>
      </c>
      <c r="C194" s="535" t="str">
        <f t="shared" si="19"/>
        <v>Electricity</v>
      </c>
      <c r="D194" s="535" t="str">
        <f t="shared" si="19"/>
        <v>SRVELC</v>
      </c>
      <c r="E194" s="538" t="str">
        <f t="shared" si="19"/>
        <v>SRVELC</v>
      </c>
      <c r="F194" s="540" t="str">
        <f t="shared" si="19"/>
        <v>Ground Heat Pump (Adv.)</v>
      </c>
      <c r="G194" s="541" t="str">
        <f t="shared" si="19"/>
        <v>03</v>
      </c>
      <c r="H194" s="541"/>
      <c r="I194" s="541"/>
      <c r="K194" s="405" t="str">
        <f t="shared" si="33"/>
        <v>S-TH-HPG_ELC03</v>
      </c>
      <c r="L194" s="203" t="str">
        <f t="shared" si="33"/>
        <v>SRV Thermal uses technology: Electricity Ground Heat Pump (Adv.) -New</v>
      </c>
      <c r="M194" s="405"/>
      <c r="N194" s="203"/>
      <c r="O194" s="405" t="s">
        <v>452</v>
      </c>
      <c r="P194" s="203" t="s">
        <v>154</v>
      </c>
      <c r="Q194" s="203"/>
      <c r="R194" s="518">
        <f>VLOOKUP($A194,'Key Inputs_BY Techs'!$B$132:$AJ$135,R$183,FALSE)/8760</f>
        <v>5.7077625570776253E-2</v>
      </c>
      <c r="S194" s="518">
        <f>VLOOKUP($A194,'Key Inputs_BY Techs'!$B$132:$AJ$135,S$183,FALSE)/8760</f>
        <v>1.9669020954812956E-3</v>
      </c>
      <c r="T194" s="518">
        <f>VLOOKUP($A194,'Key Inputs_BY Techs'!$B$132:$AJ$135,T$183,FALSE)/8760</f>
        <v>1.938803494117277E-2</v>
      </c>
      <c r="U194" s="518">
        <f>VLOOKUP($A194,'Key Inputs_BY Techs'!$B$132:$AJ$135,U$183,FALSE)/8760</f>
        <v>8.0549323910186386E-4</v>
      </c>
      <c r="V194" s="518">
        <f>VLOOKUP($A194,'Key Inputs_BY Techs'!$B$132:$AJ$135,V$183,FALSE)/8760</f>
        <v>7.2681715528261194E-3</v>
      </c>
      <c r="W194" s="518">
        <f>VLOOKUP($A194,'Key Inputs_BY Techs'!$B$132:$AJ$135,W$183,FALSE)/8760</f>
        <v>1.3618455461094301E-2</v>
      </c>
      <c r="X194" s="518">
        <f>VLOOKUP($A194,'Key Inputs_BY Techs'!$B$132:$AJ$135,X$183,FALSE)/8760</f>
        <v>5.200114492434358E-2</v>
      </c>
      <c r="Y194" s="518">
        <f>VLOOKUP($A194,'Key Inputs_BY Techs'!$B$132:$AJ$135,Y$183,FALSE)/8760</f>
        <v>1.198873658198123E-3</v>
      </c>
      <c r="Z194" s="518">
        <f>VLOOKUP($A194,'Key Inputs_BY Techs'!$B$132:$AJ$135,Z$183,FALSE)/8760</f>
        <v>1.0995919333785908E-2</v>
      </c>
      <c r="AA194" s="518">
        <f>VLOOKUP($A194,'Key Inputs_BY Techs'!$B$132:$AJ$135,AA$183,FALSE)/8760</f>
        <v>1.6484512800224189E-3</v>
      </c>
      <c r="AB194" s="518">
        <f>VLOOKUP($A194,'Key Inputs_BY Techs'!$B$132:$AJ$135,AB$183,FALSE)/8760</f>
        <v>8.4745381713879811E-2</v>
      </c>
      <c r="AC194" s="518">
        <f>VLOOKUP($A194,'Key Inputs_BY Techs'!$B$132:$AJ$135,AC$183,FALSE)/8760</f>
        <v>4.8479453553386592E-2</v>
      </c>
      <c r="AD194" s="518">
        <f>VLOOKUP($A194,'Key Inputs_BY Techs'!$B$132:$AJ$135,AD$183,FALSE)/8760</f>
        <v>4.0668042374189445E-2</v>
      </c>
      <c r="AE194" s="518">
        <f>VLOOKUP($A194,'Key Inputs_BY Techs'!$B$132:$AJ$135,AE$183,FALSE)/8760</f>
        <v>5.8520020440795871E-2</v>
      </c>
      <c r="AF194" s="518">
        <f>VLOOKUP($A194,'Key Inputs_BY Techs'!$B$132:$AJ$135,AF$183,FALSE)/8760</f>
        <v>4.9153819986123039E-2</v>
      </c>
      <c r="AG194" s="518">
        <f>VLOOKUP($A194,'Key Inputs_BY Techs'!$B$132:$AJ$135,AG$183,FALSE)/8760</f>
        <v>0.10237257096957408</v>
      </c>
      <c r="AH194" s="518">
        <f>VLOOKUP($A194,'Key Inputs_BY Techs'!$B$132:$AJ$135,AH$183,FALSE)/8760</f>
        <v>3.8457619066886661E-2</v>
      </c>
      <c r="AI194" s="518">
        <f>VLOOKUP($A194,'Key Inputs_BY Techs'!$B$132:$AJ$135,AI$183,FALSE)/8760</f>
        <v>5.7077625570776253E-2</v>
      </c>
      <c r="AJ194" s="518">
        <f>VLOOKUP($A194,'Key Inputs_BY Techs'!$B$132:$AJ$135,AJ$183,FALSE)/8760</f>
        <v>4.3084522091495041E-4</v>
      </c>
      <c r="AK194" s="518">
        <f>VLOOKUP($A194,'Key Inputs_BY Techs'!$B$132:$AJ$135,AK$183,FALSE)/8760</f>
        <v>5.6946498764410833E-3</v>
      </c>
      <c r="AL194" s="518">
        <f>VLOOKUP($A194,'Key Inputs_BY Techs'!$B$132:$AJ$135,AL$183,FALSE)/8760</f>
        <v>3.0964658703148393E-2</v>
      </c>
      <c r="AM194" s="518">
        <f>VLOOKUP($A194,'Key Inputs_BY Techs'!$B$132:$AJ$135,AM$183,FALSE)/8760</f>
        <v>7.6990167737410707E-3</v>
      </c>
      <c r="AN194" s="518">
        <f>VLOOKUP($A194,'Key Inputs_BY Techs'!$B$132:$AJ$135,AN$183,FALSE)/8760</f>
        <v>3.6846632588682933E-2</v>
      </c>
      <c r="AO194" s="518">
        <f>VLOOKUP($A194,'Key Inputs_BY Techs'!$B$132:$AJ$135,AO$183,FALSE)/8760</f>
        <v>2.339676873577274E-2</v>
      </c>
      <c r="AP194" s="518">
        <f>VLOOKUP($A194,'Key Inputs_BY Techs'!$B$132:$AJ$135,AP$183,FALSE)/8760</f>
        <v>7.5866223682849966E-3</v>
      </c>
      <c r="AQ194" s="518">
        <f>VLOOKUP($A194,'Key Inputs_BY Techs'!$B$132:$AJ$135,AQ$183,FALSE)/8760</f>
        <v>9.7408484728597484E-4</v>
      </c>
      <c r="AR194" s="518">
        <f>VLOOKUP($A194,'Key Inputs_BY Techs'!$B$132:$AJ$135,AR$183,FALSE)/8760</f>
        <v>8.9859327162131172E-2</v>
      </c>
      <c r="AS194" s="518">
        <f>VLOOKUP($A194,'Key Inputs_BY Techs'!$B$132:$AJ$135,AS$183,FALSE)/8760</f>
        <v>3.9225647504169833E-2</v>
      </c>
      <c r="AT194" s="222"/>
      <c r="AU194" s="212"/>
      <c r="AW194" s="232"/>
      <c r="BG194" s="212"/>
      <c r="BH194" s="225"/>
      <c r="BI194" s="225"/>
    </row>
    <row r="195" spans="1:61" x14ac:dyDescent="0.3">
      <c r="A195" s="535" t="str">
        <f t="shared" ref="A195:G195" si="34">A17</f>
        <v>Thermal uses</v>
      </c>
      <c r="B195" s="535" t="str">
        <f t="shared" si="34"/>
        <v>S-TH</v>
      </c>
      <c r="C195" s="535" t="str">
        <f t="shared" si="34"/>
        <v>Coal</v>
      </c>
      <c r="D195" s="535" t="str">
        <f t="shared" si="34"/>
        <v>SRVCOA</v>
      </c>
      <c r="E195" s="538" t="str">
        <f t="shared" si="34"/>
        <v>SRVCOA</v>
      </c>
      <c r="F195" s="540" t="str">
        <f t="shared" si="34"/>
        <v>Thermal uses technology: Coal</v>
      </c>
      <c r="G195" s="541" t="str">
        <f t="shared" si="34"/>
        <v>01</v>
      </c>
      <c r="H195" s="541"/>
      <c r="I195" s="541"/>
      <c r="K195" s="405" t="str">
        <f t="shared" ref="K195:L195" si="35">K17</f>
        <v>S-TH-STV_COA01</v>
      </c>
      <c r="L195" s="203" t="str">
        <f t="shared" si="35"/>
        <v>SRV Thermal uses technology: Coal Thermal uses technology: Coal -New</v>
      </c>
      <c r="M195" s="405"/>
      <c r="N195" s="203"/>
      <c r="O195" s="405" t="s">
        <v>452</v>
      </c>
      <c r="P195" s="203" t="s">
        <v>154</v>
      </c>
      <c r="Q195" s="203"/>
      <c r="R195" s="518">
        <f>VLOOKUP($A195,'Key Inputs_BY Techs'!$B$132:$AJ$135,R$183,FALSE)/8760</f>
        <v>5.7077625570776253E-2</v>
      </c>
      <c r="S195" s="518">
        <f>VLOOKUP($A195,'Key Inputs_BY Techs'!$B$132:$AJ$135,S$183,FALSE)/8760</f>
        <v>1.9669020954812956E-3</v>
      </c>
      <c r="T195" s="518">
        <f>VLOOKUP($A195,'Key Inputs_BY Techs'!$B$132:$AJ$135,T$183,FALSE)/8760</f>
        <v>1.938803494117277E-2</v>
      </c>
      <c r="U195" s="518">
        <f>VLOOKUP($A195,'Key Inputs_BY Techs'!$B$132:$AJ$135,U$183,FALSE)/8760</f>
        <v>8.0549323910186386E-4</v>
      </c>
      <c r="V195" s="518">
        <f>VLOOKUP($A195,'Key Inputs_BY Techs'!$B$132:$AJ$135,V$183,FALSE)/8760</f>
        <v>7.2681715528261194E-3</v>
      </c>
      <c r="W195" s="518">
        <f>VLOOKUP($A195,'Key Inputs_BY Techs'!$B$132:$AJ$135,W$183,FALSE)/8760</f>
        <v>1.3618455461094301E-2</v>
      </c>
      <c r="X195" s="518">
        <f>VLOOKUP($A195,'Key Inputs_BY Techs'!$B$132:$AJ$135,X$183,FALSE)/8760</f>
        <v>5.200114492434358E-2</v>
      </c>
      <c r="Y195" s="518">
        <f>VLOOKUP($A195,'Key Inputs_BY Techs'!$B$132:$AJ$135,Y$183,FALSE)/8760</f>
        <v>1.198873658198123E-3</v>
      </c>
      <c r="Z195" s="518">
        <f>VLOOKUP($A195,'Key Inputs_BY Techs'!$B$132:$AJ$135,Z$183,FALSE)/8760</f>
        <v>1.0995919333785908E-2</v>
      </c>
      <c r="AA195" s="518">
        <f>VLOOKUP($A195,'Key Inputs_BY Techs'!$B$132:$AJ$135,AA$183,FALSE)/8760</f>
        <v>1.6484512800224189E-3</v>
      </c>
      <c r="AB195" s="518">
        <f>VLOOKUP($A195,'Key Inputs_BY Techs'!$B$132:$AJ$135,AB$183,FALSE)/8760</f>
        <v>8.4745381713879811E-2</v>
      </c>
      <c r="AC195" s="518">
        <f>VLOOKUP($A195,'Key Inputs_BY Techs'!$B$132:$AJ$135,AC$183,FALSE)/8760</f>
        <v>4.8479453553386592E-2</v>
      </c>
      <c r="AD195" s="518">
        <f>VLOOKUP($A195,'Key Inputs_BY Techs'!$B$132:$AJ$135,AD$183,FALSE)/8760</f>
        <v>4.0668042374189445E-2</v>
      </c>
      <c r="AE195" s="518">
        <f>VLOOKUP($A195,'Key Inputs_BY Techs'!$B$132:$AJ$135,AE$183,FALSE)/8760</f>
        <v>5.8520020440795871E-2</v>
      </c>
      <c r="AF195" s="518">
        <f>VLOOKUP($A195,'Key Inputs_BY Techs'!$B$132:$AJ$135,AF$183,FALSE)/8760</f>
        <v>4.9153819986123039E-2</v>
      </c>
      <c r="AG195" s="518">
        <f>VLOOKUP($A195,'Key Inputs_BY Techs'!$B$132:$AJ$135,AG$183,FALSE)/8760</f>
        <v>0.10237257096957408</v>
      </c>
      <c r="AH195" s="518">
        <f>VLOOKUP($A195,'Key Inputs_BY Techs'!$B$132:$AJ$135,AH$183,FALSE)/8760</f>
        <v>3.8457619066886661E-2</v>
      </c>
      <c r="AI195" s="518">
        <f>VLOOKUP($A195,'Key Inputs_BY Techs'!$B$132:$AJ$135,AI$183,FALSE)/8760</f>
        <v>5.7077625570776253E-2</v>
      </c>
      <c r="AJ195" s="518">
        <f>VLOOKUP($A195,'Key Inputs_BY Techs'!$B$132:$AJ$135,AJ$183,FALSE)/8760</f>
        <v>4.3084522091495041E-4</v>
      </c>
      <c r="AK195" s="518">
        <f>VLOOKUP($A195,'Key Inputs_BY Techs'!$B$132:$AJ$135,AK$183,FALSE)/8760</f>
        <v>5.6946498764410833E-3</v>
      </c>
      <c r="AL195" s="518">
        <f>VLOOKUP($A195,'Key Inputs_BY Techs'!$B$132:$AJ$135,AL$183,FALSE)/8760</f>
        <v>3.0964658703148393E-2</v>
      </c>
      <c r="AM195" s="518">
        <f>VLOOKUP($A195,'Key Inputs_BY Techs'!$B$132:$AJ$135,AM$183,FALSE)/8760</f>
        <v>7.6990167737410707E-3</v>
      </c>
      <c r="AN195" s="518">
        <f>VLOOKUP($A195,'Key Inputs_BY Techs'!$B$132:$AJ$135,AN$183,FALSE)/8760</f>
        <v>3.6846632588682933E-2</v>
      </c>
      <c r="AO195" s="518">
        <f>VLOOKUP($A195,'Key Inputs_BY Techs'!$B$132:$AJ$135,AO$183,FALSE)/8760</f>
        <v>2.339676873577274E-2</v>
      </c>
      <c r="AP195" s="518">
        <f>VLOOKUP($A195,'Key Inputs_BY Techs'!$B$132:$AJ$135,AP$183,FALSE)/8760</f>
        <v>7.5866223682849966E-3</v>
      </c>
      <c r="AQ195" s="518">
        <f>VLOOKUP($A195,'Key Inputs_BY Techs'!$B$132:$AJ$135,AQ$183,FALSE)/8760</f>
        <v>9.7408484728597484E-4</v>
      </c>
      <c r="AR195" s="518">
        <f>VLOOKUP($A195,'Key Inputs_BY Techs'!$B$132:$AJ$135,AR$183,FALSE)/8760</f>
        <v>8.9859327162131172E-2</v>
      </c>
      <c r="AS195" s="518">
        <f>VLOOKUP($A195,'Key Inputs_BY Techs'!$B$132:$AJ$135,AS$183,FALSE)/8760</f>
        <v>3.9225647504169833E-2</v>
      </c>
      <c r="AT195" s="222"/>
      <c r="AU195" s="212"/>
      <c r="AW195" s="232"/>
      <c r="BG195" s="212"/>
      <c r="BH195" s="225"/>
      <c r="BI195" s="225"/>
    </row>
    <row r="196" spans="1:61" x14ac:dyDescent="0.3">
      <c r="A196" s="535" t="str">
        <f t="shared" ref="A196:G196" si="36">A18</f>
        <v>Thermal uses</v>
      </c>
      <c r="B196" s="535" t="str">
        <f t="shared" si="36"/>
        <v>S-TH</v>
      </c>
      <c r="C196" s="535" t="str">
        <f t="shared" si="36"/>
        <v>Oil</v>
      </c>
      <c r="D196" s="535" t="str">
        <f t="shared" si="36"/>
        <v>SRVOIL</v>
      </c>
      <c r="E196" s="538" t="str">
        <f t="shared" si="36"/>
        <v>SRVOIL</v>
      </c>
      <c r="F196" s="540" t="str">
        <f t="shared" si="36"/>
        <v>Thermal uses technology: Oil</v>
      </c>
      <c r="G196" s="541" t="str">
        <f t="shared" si="36"/>
        <v>01</v>
      </c>
      <c r="H196" s="541"/>
      <c r="I196" s="541"/>
      <c r="K196" s="405" t="str">
        <f t="shared" ref="K196:L196" si="37">K18</f>
        <v>S-TH-STV_OIL01</v>
      </c>
      <c r="L196" s="203" t="str">
        <f t="shared" si="37"/>
        <v>SRV Thermal uses technology: Oil Thermal uses technology: Oil -New</v>
      </c>
      <c r="M196" s="405"/>
      <c r="N196" s="203"/>
      <c r="O196" s="405" t="s">
        <v>452</v>
      </c>
      <c r="P196" s="203" t="s">
        <v>154</v>
      </c>
      <c r="Q196" s="203"/>
      <c r="R196" s="518">
        <f>VLOOKUP($A196,'Key Inputs_BY Techs'!$B$132:$AJ$135,R$183,FALSE)/8760</f>
        <v>5.7077625570776253E-2</v>
      </c>
      <c r="S196" s="518">
        <f>VLOOKUP($A196,'Key Inputs_BY Techs'!$B$132:$AJ$135,S$183,FALSE)/8760</f>
        <v>1.9669020954812956E-3</v>
      </c>
      <c r="T196" s="518">
        <f>VLOOKUP($A196,'Key Inputs_BY Techs'!$B$132:$AJ$135,T$183,FALSE)/8760</f>
        <v>1.938803494117277E-2</v>
      </c>
      <c r="U196" s="518">
        <f>VLOOKUP($A196,'Key Inputs_BY Techs'!$B$132:$AJ$135,U$183,FALSE)/8760</f>
        <v>8.0549323910186386E-4</v>
      </c>
      <c r="V196" s="518">
        <f>VLOOKUP($A196,'Key Inputs_BY Techs'!$B$132:$AJ$135,V$183,FALSE)/8760</f>
        <v>7.2681715528261194E-3</v>
      </c>
      <c r="W196" s="518">
        <f>VLOOKUP($A196,'Key Inputs_BY Techs'!$B$132:$AJ$135,W$183,FALSE)/8760</f>
        <v>1.3618455461094301E-2</v>
      </c>
      <c r="X196" s="518">
        <f>VLOOKUP($A196,'Key Inputs_BY Techs'!$B$132:$AJ$135,X$183,FALSE)/8760</f>
        <v>5.200114492434358E-2</v>
      </c>
      <c r="Y196" s="518">
        <f>VLOOKUP($A196,'Key Inputs_BY Techs'!$B$132:$AJ$135,Y$183,FALSE)/8760</f>
        <v>1.198873658198123E-3</v>
      </c>
      <c r="Z196" s="518">
        <f>VLOOKUP($A196,'Key Inputs_BY Techs'!$B$132:$AJ$135,Z$183,FALSE)/8760</f>
        <v>1.0995919333785908E-2</v>
      </c>
      <c r="AA196" s="518">
        <f>VLOOKUP($A196,'Key Inputs_BY Techs'!$B$132:$AJ$135,AA$183,FALSE)/8760</f>
        <v>1.6484512800224189E-3</v>
      </c>
      <c r="AB196" s="518">
        <f>VLOOKUP($A196,'Key Inputs_BY Techs'!$B$132:$AJ$135,AB$183,FALSE)/8760</f>
        <v>8.4745381713879811E-2</v>
      </c>
      <c r="AC196" s="518">
        <f>VLOOKUP($A196,'Key Inputs_BY Techs'!$B$132:$AJ$135,AC$183,FALSE)/8760</f>
        <v>4.8479453553386592E-2</v>
      </c>
      <c r="AD196" s="518">
        <f>VLOOKUP($A196,'Key Inputs_BY Techs'!$B$132:$AJ$135,AD$183,FALSE)/8760</f>
        <v>4.0668042374189445E-2</v>
      </c>
      <c r="AE196" s="518">
        <f>VLOOKUP($A196,'Key Inputs_BY Techs'!$B$132:$AJ$135,AE$183,FALSE)/8760</f>
        <v>5.8520020440795871E-2</v>
      </c>
      <c r="AF196" s="518">
        <f>VLOOKUP($A196,'Key Inputs_BY Techs'!$B$132:$AJ$135,AF$183,FALSE)/8760</f>
        <v>4.9153819986123039E-2</v>
      </c>
      <c r="AG196" s="518">
        <f>VLOOKUP($A196,'Key Inputs_BY Techs'!$B$132:$AJ$135,AG$183,FALSE)/8760</f>
        <v>0.10237257096957408</v>
      </c>
      <c r="AH196" s="518">
        <f>VLOOKUP($A196,'Key Inputs_BY Techs'!$B$132:$AJ$135,AH$183,FALSE)/8760</f>
        <v>3.8457619066886661E-2</v>
      </c>
      <c r="AI196" s="518">
        <f>VLOOKUP($A196,'Key Inputs_BY Techs'!$B$132:$AJ$135,AI$183,FALSE)/8760</f>
        <v>5.7077625570776253E-2</v>
      </c>
      <c r="AJ196" s="518">
        <f>VLOOKUP($A196,'Key Inputs_BY Techs'!$B$132:$AJ$135,AJ$183,FALSE)/8760</f>
        <v>4.3084522091495041E-4</v>
      </c>
      <c r="AK196" s="518">
        <f>VLOOKUP($A196,'Key Inputs_BY Techs'!$B$132:$AJ$135,AK$183,FALSE)/8760</f>
        <v>5.6946498764410833E-3</v>
      </c>
      <c r="AL196" s="518">
        <f>VLOOKUP($A196,'Key Inputs_BY Techs'!$B$132:$AJ$135,AL$183,FALSE)/8760</f>
        <v>3.0964658703148393E-2</v>
      </c>
      <c r="AM196" s="518">
        <f>VLOOKUP($A196,'Key Inputs_BY Techs'!$B$132:$AJ$135,AM$183,FALSE)/8760</f>
        <v>7.6990167737410707E-3</v>
      </c>
      <c r="AN196" s="518">
        <f>VLOOKUP($A196,'Key Inputs_BY Techs'!$B$132:$AJ$135,AN$183,FALSE)/8760</f>
        <v>3.6846632588682933E-2</v>
      </c>
      <c r="AO196" s="518">
        <f>VLOOKUP($A196,'Key Inputs_BY Techs'!$B$132:$AJ$135,AO$183,FALSE)/8760</f>
        <v>2.339676873577274E-2</v>
      </c>
      <c r="AP196" s="518">
        <f>VLOOKUP($A196,'Key Inputs_BY Techs'!$B$132:$AJ$135,AP$183,FALSE)/8760</f>
        <v>7.5866223682849966E-3</v>
      </c>
      <c r="AQ196" s="518">
        <f>VLOOKUP($A196,'Key Inputs_BY Techs'!$B$132:$AJ$135,AQ$183,FALSE)/8760</f>
        <v>9.7408484728597484E-4</v>
      </c>
      <c r="AR196" s="518">
        <f>VLOOKUP($A196,'Key Inputs_BY Techs'!$B$132:$AJ$135,AR$183,FALSE)/8760</f>
        <v>8.9859327162131172E-2</v>
      </c>
      <c r="AS196" s="518">
        <f>VLOOKUP($A196,'Key Inputs_BY Techs'!$B$132:$AJ$135,AS$183,FALSE)/8760</f>
        <v>3.9225647504169833E-2</v>
      </c>
      <c r="AT196" s="222"/>
      <c r="AU196" s="212"/>
      <c r="AW196" s="232"/>
      <c r="BG196" s="212"/>
      <c r="BH196" s="225"/>
      <c r="BI196" s="225"/>
    </row>
    <row r="197" spans="1:61" x14ac:dyDescent="0.3">
      <c r="A197" s="535" t="str">
        <f t="shared" ref="A197:G197" si="38">A19</f>
        <v>Thermal uses</v>
      </c>
      <c r="B197" s="535" t="str">
        <f t="shared" si="38"/>
        <v>S-TH</v>
      </c>
      <c r="C197" s="535" t="str">
        <f t="shared" si="38"/>
        <v>LPG</v>
      </c>
      <c r="D197" s="535" t="str">
        <f t="shared" si="38"/>
        <v>SRVLPG</v>
      </c>
      <c r="E197" s="538" t="str">
        <f t="shared" si="38"/>
        <v>SRVLPG</v>
      </c>
      <c r="F197" s="540" t="str">
        <f t="shared" si="38"/>
        <v>Thermal uses technology: LPG</v>
      </c>
      <c r="G197" s="541" t="str">
        <f t="shared" si="38"/>
        <v>01</v>
      </c>
      <c r="H197" s="541"/>
      <c r="I197" s="541"/>
      <c r="K197" s="405" t="str">
        <f t="shared" ref="K197:L197" si="39">K19</f>
        <v>S-TH-STV_LPG01</v>
      </c>
      <c r="L197" s="203" t="str">
        <f t="shared" si="39"/>
        <v>SRV Thermal uses technology: LPG Thermal uses technology: LPG -New</v>
      </c>
      <c r="M197" s="405"/>
      <c r="N197" s="203"/>
      <c r="O197" s="405" t="s">
        <v>452</v>
      </c>
      <c r="P197" s="203" t="s">
        <v>154</v>
      </c>
      <c r="Q197" s="203"/>
      <c r="R197" s="518">
        <f>VLOOKUP($A197,'Key Inputs_BY Techs'!$B$132:$AJ$135,R$183,FALSE)/8760</f>
        <v>5.7077625570776253E-2</v>
      </c>
      <c r="S197" s="518">
        <f>VLOOKUP($A197,'Key Inputs_BY Techs'!$B$132:$AJ$135,S$183,FALSE)/8760</f>
        <v>1.9669020954812956E-3</v>
      </c>
      <c r="T197" s="518">
        <f>VLOOKUP($A197,'Key Inputs_BY Techs'!$B$132:$AJ$135,T$183,FALSE)/8760</f>
        <v>1.938803494117277E-2</v>
      </c>
      <c r="U197" s="518">
        <f>VLOOKUP($A197,'Key Inputs_BY Techs'!$B$132:$AJ$135,U$183,FALSE)/8760</f>
        <v>8.0549323910186386E-4</v>
      </c>
      <c r="V197" s="518">
        <f>VLOOKUP($A197,'Key Inputs_BY Techs'!$B$132:$AJ$135,V$183,FALSE)/8760</f>
        <v>7.2681715528261194E-3</v>
      </c>
      <c r="W197" s="518">
        <f>VLOOKUP($A197,'Key Inputs_BY Techs'!$B$132:$AJ$135,W$183,FALSE)/8760</f>
        <v>1.3618455461094301E-2</v>
      </c>
      <c r="X197" s="518">
        <f>VLOOKUP($A197,'Key Inputs_BY Techs'!$B$132:$AJ$135,X$183,FALSE)/8760</f>
        <v>5.200114492434358E-2</v>
      </c>
      <c r="Y197" s="518">
        <f>VLOOKUP($A197,'Key Inputs_BY Techs'!$B$132:$AJ$135,Y$183,FALSE)/8760</f>
        <v>1.198873658198123E-3</v>
      </c>
      <c r="Z197" s="518">
        <f>VLOOKUP($A197,'Key Inputs_BY Techs'!$B$132:$AJ$135,Z$183,FALSE)/8760</f>
        <v>1.0995919333785908E-2</v>
      </c>
      <c r="AA197" s="518">
        <f>VLOOKUP($A197,'Key Inputs_BY Techs'!$B$132:$AJ$135,AA$183,FALSE)/8760</f>
        <v>1.6484512800224189E-3</v>
      </c>
      <c r="AB197" s="518">
        <f>VLOOKUP($A197,'Key Inputs_BY Techs'!$B$132:$AJ$135,AB$183,FALSE)/8760</f>
        <v>8.4745381713879811E-2</v>
      </c>
      <c r="AC197" s="518">
        <f>VLOOKUP($A197,'Key Inputs_BY Techs'!$B$132:$AJ$135,AC$183,FALSE)/8760</f>
        <v>4.8479453553386592E-2</v>
      </c>
      <c r="AD197" s="518">
        <f>VLOOKUP($A197,'Key Inputs_BY Techs'!$B$132:$AJ$135,AD$183,FALSE)/8760</f>
        <v>4.0668042374189445E-2</v>
      </c>
      <c r="AE197" s="518">
        <f>VLOOKUP($A197,'Key Inputs_BY Techs'!$B$132:$AJ$135,AE$183,FALSE)/8760</f>
        <v>5.8520020440795871E-2</v>
      </c>
      <c r="AF197" s="518">
        <f>VLOOKUP($A197,'Key Inputs_BY Techs'!$B$132:$AJ$135,AF$183,FALSE)/8760</f>
        <v>4.9153819986123039E-2</v>
      </c>
      <c r="AG197" s="518">
        <f>VLOOKUP($A197,'Key Inputs_BY Techs'!$B$132:$AJ$135,AG$183,FALSE)/8760</f>
        <v>0.10237257096957408</v>
      </c>
      <c r="AH197" s="518">
        <f>VLOOKUP($A197,'Key Inputs_BY Techs'!$B$132:$AJ$135,AH$183,FALSE)/8760</f>
        <v>3.8457619066886661E-2</v>
      </c>
      <c r="AI197" s="518">
        <f>VLOOKUP($A197,'Key Inputs_BY Techs'!$B$132:$AJ$135,AI$183,FALSE)/8760</f>
        <v>5.7077625570776253E-2</v>
      </c>
      <c r="AJ197" s="518">
        <f>VLOOKUP($A197,'Key Inputs_BY Techs'!$B$132:$AJ$135,AJ$183,FALSE)/8760</f>
        <v>4.3084522091495041E-4</v>
      </c>
      <c r="AK197" s="518">
        <f>VLOOKUP($A197,'Key Inputs_BY Techs'!$B$132:$AJ$135,AK$183,FALSE)/8760</f>
        <v>5.6946498764410833E-3</v>
      </c>
      <c r="AL197" s="518">
        <f>VLOOKUP($A197,'Key Inputs_BY Techs'!$B$132:$AJ$135,AL$183,FALSE)/8760</f>
        <v>3.0964658703148393E-2</v>
      </c>
      <c r="AM197" s="518">
        <f>VLOOKUP($A197,'Key Inputs_BY Techs'!$B$132:$AJ$135,AM$183,FALSE)/8760</f>
        <v>7.6990167737410707E-3</v>
      </c>
      <c r="AN197" s="518">
        <f>VLOOKUP($A197,'Key Inputs_BY Techs'!$B$132:$AJ$135,AN$183,FALSE)/8760</f>
        <v>3.6846632588682933E-2</v>
      </c>
      <c r="AO197" s="518">
        <f>VLOOKUP($A197,'Key Inputs_BY Techs'!$B$132:$AJ$135,AO$183,FALSE)/8760</f>
        <v>2.339676873577274E-2</v>
      </c>
      <c r="AP197" s="518">
        <f>VLOOKUP($A197,'Key Inputs_BY Techs'!$B$132:$AJ$135,AP$183,FALSE)/8760</f>
        <v>7.5866223682849966E-3</v>
      </c>
      <c r="AQ197" s="518">
        <f>VLOOKUP($A197,'Key Inputs_BY Techs'!$B$132:$AJ$135,AQ$183,FALSE)/8760</f>
        <v>9.7408484728597484E-4</v>
      </c>
      <c r="AR197" s="518">
        <f>VLOOKUP($A197,'Key Inputs_BY Techs'!$B$132:$AJ$135,AR$183,FALSE)/8760</f>
        <v>8.9859327162131172E-2</v>
      </c>
      <c r="AS197" s="518">
        <f>VLOOKUP($A197,'Key Inputs_BY Techs'!$B$132:$AJ$135,AS$183,FALSE)/8760</f>
        <v>3.9225647504169833E-2</v>
      </c>
      <c r="AT197" s="222"/>
      <c r="AU197" s="212"/>
      <c r="AW197" s="232"/>
      <c r="BG197" s="212"/>
      <c r="BH197" s="225"/>
      <c r="BI197" s="225"/>
    </row>
    <row r="198" spans="1:61" x14ac:dyDescent="0.3">
      <c r="A198" s="535" t="str">
        <f t="shared" ref="A198:G198" si="40">A20</f>
        <v>Thermal uses</v>
      </c>
      <c r="B198" s="535" t="str">
        <f t="shared" si="40"/>
        <v>S-TH</v>
      </c>
      <c r="C198" s="535" t="str">
        <f t="shared" si="40"/>
        <v>Biomass</v>
      </c>
      <c r="D198" s="535" t="str">
        <f t="shared" si="40"/>
        <v>SRVBIO</v>
      </c>
      <c r="E198" s="538" t="str">
        <f t="shared" si="40"/>
        <v>SRVBIO</v>
      </c>
      <c r="F198" s="540" t="str">
        <f t="shared" si="40"/>
        <v>Thermal uses technology: Biomass</v>
      </c>
      <c r="G198" s="541" t="str">
        <f t="shared" si="40"/>
        <v>01</v>
      </c>
      <c r="H198" s="541"/>
      <c r="I198" s="541"/>
      <c r="K198" s="405" t="str">
        <f t="shared" ref="K198:L198" si="41">K20</f>
        <v>S-TH-STV_BIO01</v>
      </c>
      <c r="L198" s="203" t="str">
        <f t="shared" si="41"/>
        <v>SRV Thermal uses technology: Biomass Thermal uses technology: Biomass -New</v>
      </c>
      <c r="M198" s="405"/>
      <c r="N198" s="203"/>
      <c r="O198" s="405" t="s">
        <v>452</v>
      </c>
      <c r="P198" s="203" t="s">
        <v>154</v>
      </c>
      <c r="Q198" s="203"/>
      <c r="R198" s="518">
        <f>VLOOKUP($A198,'Key Inputs_BY Techs'!$B$132:$AJ$135,R$183,FALSE)/8760</f>
        <v>5.7077625570776253E-2</v>
      </c>
      <c r="S198" s="518">
        <f>VLOOKUP($A198,'Key Inputs_BY Techs'!$B$132:$AJ$135,S$183,FALSE)/8760</f>
        <v>1.9669020954812956E-3</v>
      </c>
      <c r="T198" s="518">
        <f>VLOOKUP($A198,'Key Inputs_BY Techs'!$B$132:$AJ$135,T$183,FALSE)/8760</f>
        <v>1.938803494117277E-2</v>
      </c>
      <c r="U198" s="518">
        <f>VLOOKUP($A198,'Key Inputs_BY Techs'!$B$132:$AJ$135,U$183,FALSE)/8760</f>
        <v>8.0549323910186386E-4</v>
      </c>
      <c r="V198" s="518">
        <f>VLOOKUP($A198,'Key Inputs_BY Techs'!$B$132:$AJ$135,V$183,FALSE)/8760</f>
        <v>7.2681715528261194E-3</v>
      </c>
      <c r="W198" s="518">
        <f>VLOOKUP($A198,'Key Inputs_BY Techs'!$B$132:$AJ$135,W$183,FALSE)/8760</f>
        <v>1.3618455461094301E-2</v>
      </c>
      <c r="X198" s="518">
        <f>VLOOKUP($A198,'Key Inputs_BY Techs'!$B$132:$AJ$135,X$183,FALSE)/8760</f>
        <v>5.200114492434358E-2</v>
      </c>
      <c r="Y198" s="518">
        <f>VLOOKUP($A198,'Key Inputs_BY Techs'!$B$132:$AJ$135,Y$183,FALSE)/8760</f>
        <v>1.198873658198123E-3</v>
      </c>
      <c r="Z198" s="518">
        <f>VLOOKUP($A198,'Key Inputs_BY Techs'!$B$132:$AJ$135,Z$183,FALSE)/8760</f>
        <v>1.0995919333785908E-2</v>
      </c>
      <c r="AA198" s="518">
        <f>VLOOKUP($A198,'Key Inputs_BY Techs'!$B$132:$AJ$135,AA$183,FALSE)/8760</f>
        <v>1.6484512800224189E-3</v>
      </c>
      <c r="AB198" s="518">
        <f>VLOOKUP($A198,'Key Inputs_BY Techs'!$B$132:$AJ$135,AB$183,FALSE)/8760</f>
        <v>8.4745381713879811E-2</v>
      </c>
      <c r="AC198" s="518">
        <f>VLOOKUP($A198,'Key Inputs_BY Techs'!$B$132:$AJ$135,AC$183,FALSE)/8760</f>
        <v>4.8479453553386592E-2</v>
      </c>
      <c r="AD198" s="518">
        <f>VLOOKUP($A198,'Key Inputs_BY Techs'!$B$132:$AJ$135,AD$183,FALSE)/8760</f>
        <v>4.0668042374189445E-2</v>
      </c>
      <c r="AE198" s="518">
        <f>VLOOKUP($A198,'Key Inputs_BY Techs'!$B$132:$AJ$135,AE$183,FALSE)/8760</f>
        <v>5.8520020440795871E-2</v>
      </c>
      <c r="AF198" s="518">
        <f>VLOOKUP($A198,'Key Inputs_BY Techs'!$B$132:$AJ$135,AF$183,FALSE)/8760</f>
        <v>4.9153819986123039E-2</v>
      </c>
      <c r="AG198" s="518">
        <f>VLOOKUP($A198,'Key Inputs_BY Techs'!$B$132:$AJ$135,AG$183,FALSE)/8760</f>
        <v>0.10237257096957408</v>
      </c>
      <c r="AH198" s="518">
        <f>VLOOKUP($A198,'Key Inputs_BY Techs'!$B$132:$AJ$135,AH$183,FALSE)/8760</f>
        <v>3.8457619066886661E-2</v>
      </c>
      <c r="AI198" s="518">
        <f>VLOOKUP($A198,'Key Inputs_BY Techs'!$B$132:$AJ$135,AI$183,FALSE)/8760</f>
        <v>5.7077625570776253E-2</v>
      </c>
      <c r="AJ198" s="518">
        <f>VLOOKUP($A198,'Key Inputs_BY Techs'!$B$132:$AJ$135,AJ$183,FALSE)/8760</f>
        <v>4.3084522091495041E-4</v>
      </c>
      <c r="AK198" s="518">
        <f>VLOOKUP($A198,'Key Inputs_BY Techs'!$B$132:$AJ$135,AK$183,FALSE)/8760</f>
        <v>5.6946498764410833E-3</v>
      </c>
      <c r="AL198" s="518">
        <f>VLOOKUP($A198,'Key Inputs_BY Techs'!$B$132:$AJ$135,AL$183,FALSE)/8760</f>
        <v>3.0964658703148393E-2</v>
      </c>
      <c r="AM198" s="518">
        <f>VLOOKUP($A198,'Key Inputs_BY Techs'!$B$132:$AJ$135,AM$183,FALSE)/8760</f>
        <v>7.6990167737410707E-3</v>
      </c>
      <c r="AN198" s="518">
        <f>VLOOKUP($A198,'Key Inputs_BY Techs'!$B$132:$AJ$135,AN$183,FALSE)/8760</f>
        <v>3.6846632588682933E-2</v>
      </c>
      <c r="AO198" s="518">
        <f>VLOOKUP($A198,'Key Inputs_BY Techs'!$B$132:$AJ$135,AO$183,FALSE)/8760</f>
        <v>2.339676873577274E-2</v>
      </c>
      <c r="AP198" s="518">
        <f>VLOOKUP($A198,'Key Inputs_BY Techs'!$B$132:$AJ$135,AP$183,FALSE)/8760</f>
        <v>7.5866223682849966E-3</v>
      </c>
      <c r="AQ198" s="518">
        <f>VLOOKUP($A198,'Key Inputs_BY Techs'!$B$132:$AJ$135,AQ$183,FALSE)/8760</f>
        <v>9.7408484728597484E-4</v>
      </c>
      <c r="AR198" s="518">
        <f>VLOOKUP($A198,'Key Inputs_BY Techs'!$B$132:$AJ$135,AR$183,FALSE)/8760</f>
        <v>8.9859327162131172E-2</v>
      </c>
      <c r="AS198" s="518">
        <f>VLOOKUP($A198,'Key Inputs_BY Techs'!$B$132:$AJ$135,AS$183,FALSE)/8760</f>
        <v>3.9225647504169833E-2</v>
      </c>
      <c r="AT198" s="222"/>
      <c r="AU198" s="212"/>
      <c r="AW198" s="232"/>
      <c r="BG198" s="212"/>
      <c r="BH198" s="225"/>
      <c r="BI198" s="225"/>
    </row>
    <row r="199" spans="1:61" x14ac:dyDescent="0.3">
      <c r="A199" s="535" t="str">
        <f t="shared" ref="A199:G209" si="42">A21</f>
        <v>Thermal uses</v>
      </c>
      <c r="B199" s="535" t="str">
        <f t="shared" si="42"/>
        <v>S-TH</v>
      </c>
      <c r="C199" s="535" t="str">
        <f t="shared" si="42"/>
        <v>Heat</v>
      </c>
      <c r="D199" s="535" t="str">
        <f t="shared" si="42"/>
        <v>SRVHET</v>
      </c>
      <c r="E199" s="538" t="str">
        <f t="shared" si="42"/>
        <v>SRVHET</v>
      </c>
      <c r="F199" s="540" t="str">
        <f t="shared" si="42"/>
        <v>District Heat (Ord.)</v>
      </c>
      <c r="G199" s="541" t="str">
        <f t="shared" si="42"/>
        <v>01</v>
      </c>
      <c r="H199" s="541"/>
      <c r="I199" s="541"/>
      <c r="K199" s="405" t="str">
        <f t="shared" ref="K199:L222" si="43">K21</f>
        <v>S-TH-HEX_HET01</v>
      </c>
      <c r="L199" s="203" t="str">
        <f t="shared" si="43"/>
        <v>SRV Thermal uses technology: Heat District Heat (Ord.) -New</v>
      </c>
      <c r="M199" s="405"/>
      <c r="N199" s="203"/>
      <c r="O199" s="405" t="s">
        <v>452</v>
      </c>
      <c r="P199" s="203" t="s">
        <v>154</v>
      </c>
      <c r="Q199" s="203"/>
      <c r="R199" s="518">
        <f>VLOOKUP($A199,'Key Inputs_BY Techs'!$B$132:$AJ$135,R$183,FALSE)/8760</f>
        <v>5.7077625570776253E-2</v>
      </c>
      <c r="S199" s="518">
        <f>VLOOKUP($A199,'Key Inputs_BY Techs'!$B$132:$AJ$135,S$183,FALSE)/8760</f>
        <v>1.9669020954812956E-3</v>
      </c>
      <c r="T199" s="518">
        <f>VLOOKUP($A199,'Key Inputs_BY Techs'!$B$132:$AJ$135,T$183,FALSE)/8760</f>
        <v>1.938803494117277E-2</v>
      </c>
      <c r="U199" s="518">
        <f>VLOOKUP($A199,'Key Inputs_BY Techs'!$B$132:$AJ$135,U$183,FALSE)/8760</f>
        <v>8.0549323910186386E-4</v>
      </c>
      <c r="V199" s="518">
        <f>VLOOKUP($A199,'Key Inputs_BY Techs'!$B$132:$AJ$135,V$183,FALSE)/8760</f>
        <v>7.2681715528261194E-3</v>
      </c>
      <c r="W199" s="518">
        <f>VLOOKUP($A199,'Key Inputs_BY Techs'!$B$132:$AJ$135,W$183,FALSE)/8760</f>
        <v>1.3618455461094301E-2</v>
      </c>
      <c r="X199" s="518">
        <f>VLOOKUP($A199,'Key Inputs_BY Techs'!$B$132:$AJ$135,X$183,FALSE)/8760</f>
        <v>5.200114492434358E-2</v>
      </c>
      <c r="Y199" s="518">
        <f>VLOOKUP($A199,'Key Inputs_BY Techs'!$B$132:$AJ$135,Y$183,FALSE)/8760</f>
        <v>1.198873658198123E-3</v>
      </c>
      <c r="Z199" s="518">
        <f>VLOOKUP($A199,'Key Inputs_BY Techs'!$B$132:$AJ$135,Z$183,FALSE)/8760</f>
        <v>1.0995919333785908E-2</v>
      </c>
      <c r="AA199" s="518">
        <f>VLOOKUP($A199,'Key Inputs_BY Techs'!$B$132:$AJ$135,AA$183,FALSE)/8760</f>
        <v>1.6484512800224189E-3</v>
      </c>
      <c r="AB199" s="518">
        <f>VLOOKUP($A199,'Key Inputs_BY Techs'!$B$132:$AJ$135,AB$183,FALSE)/8760</f>
        <v>8.4745381713879811E-2</v>
      </c>
      <c r="AC199" s="518">
        <f>VLOOKUP($A199,'Key Inputs_BY Techs'!$B$132:$AJ$135,AC$183,FALSE)/8760</f>
        <v>4.8479453553386592E-2</v>
      </c>
      <c r="AD199" s="518">
        <f>VLOOKUP($A199,'Key Inputs_BY Techs'!$B$132:$AJ$135,AD$183,FALSE)/8760</f>
        <v>4.0668042374189445E-2</v>
      </c>
      <c r="AE199" s="518">
        <f>VLOOKUP($A199,'Key Inputs_BY Techs'!$B$132:$AJ$135,AE$183,FALSE)/8760</f>
        <v>5.8520020440795871E-2</v>
      </c>
      <c r="AF199" s="518">
        <f>VLOOKUP($A199,'Key Inputs_BY Techs'!$B$132:$AJ$135,AF$183,FALSE)/8760</f>
        <v>4.9153819986123039E-2</v>
      </c>
      <c r="AG199" s="518">
        <f>VLOOKUP($A199,'Key Inputs_BY Techs'!$B$132:$AJ$135,AG$183,FALSE)/8760</f>
        <v>0.10237257096957408</v>
      </c>
      <c r="AH199" s="518">
        <f>VLOOKUP($A199,'Key Inputs_BY Techs'!$B$132:$AJ$135,AH$183,FALSE)/8760</f>
        <v>3.8457619066886661E-2</v>
      </c>
      <c r="AI199" s="518">
        <f>VLOOKUP($A199,'Key Inputs_BY Techs'!$B$132:$AJ$135,AI$183,FALSE)/8760</f>
        <v>5.7077625570776253E-2</v>
      </c>
      <c r="AJ199" s="518">
        <f>VLOOKUP($A199,'Key Inputs_BY Techs'!$B$132:$AJ$135,AJ$183,FALSE)/8760</f>
        <v>4.3084522091495041E-4</v>
      </c>
      <c r="AK199" s="518">
        <f>VLOOKUP($A199,'Key Inputs_BY Techs'!$B$132:$AJ$135,AK$183,FALSE)/8760</f>
        <v>5.6946498764410833E-3</v>
      </c>
      <c r="AL199" s="518">
        <f>VLOOKUP($A199,'Key Inputs_BY Techs'!$B$132:$AJ$135,AL$183,FALSE)/8760</f>
        <v>3.0964658703148393E-2</v>
      </c>
      <c r="AM199" s="518">
        <f>VLOOKUP($A199,'Key Inputs_BY Techs'!$B$132:$AJ$135,AM$183,FALSE)/8760</f>
        <v>7.6990167737410707E-3</v>
      </c>
      <c r="AN199" s="518">
        <f>VLOOKUP($A199,'Key Inputs_BY Techs'!$B$132:$AJ$135,AN$183,FALSE)/8760</f>
        <v>3.6846632588682933E-2</v>
      </c>
      <c r="AO199" s="518">
        <f>VLOOKUP($A199,'Key Inputs_BY Techs'!$B$132:$AJ$135,AO$183,FALSE)/8760</f>
        <v>2.339676873577274E-2</v>
      </c>
      <c r="AP199" s="518">
        <f>VLOOKUP($A199,'Key Inputs_BY Techs'!$B$132:$AJ$135,AP$183,FALSE)/8760</f>
        <v>7.5866223682849966E-3</v>
      </c>
      <c r="AQ199" s="518">
        <f>VLOOKUP($A199,'Key Inputs_BY Techs'!$B$132:$AJ$135,AQ$183,FALSE)/8760</f>
        <v>9.7408484728597484E-4</v>
      </c>
      <c r="AR199" s="518">
        <f>VLOOKUP($A199,'Key Inputs_BY Techs'!$B$132:$AJ$135,AR$183,FALSE)/8760</f>
        <v>8.9859327162131172E-2</v>
      </c>
      <c r="AS199" s="518">
        <f>VLOOKUP($A199,'Key Inputs_BY Techs'!$B$132:$AJ$135,AS$183,FALSE)/8760</f>
        <v>3.9225647504169833E-2</v>
      </c>
      <c r="AT199" s="222"/>
      <c r="AU199" s="212"/>
      <c r="AW199" s="232"/>
      <c r="BG199" s="212"/>
      <c r="BH199" s="225"/>
      <c r="BI199" s="225"/>
    </row>
    <row r="200" spans="1:61" x14ac:dyDescent="0.3">
      <c r="A200" s="535" t="str">
        <f t="shared" si="42"/>
        <v>Thermal uses</v>
      </c>
      <c r="B200" s="535" t="str">
        <f t="shared" si="42"/>
        <v>S-TH</v>
      </c>
      <c r="C200" s="535" t="str">
        <f t="shared" si="42"/>
        <v>Heat</v>
      </c>
      <c r="D200" s="535" t="str">
        <f t="shared" si="42"/>
        <v>SRVHET</v>
      </c>
      <c r="E200" s="538" t="str">
        <f t="shared" si="42"/>
        <v>SRVHET</v>
      </c>
      <c r="F200" s="540" t="str">
        <f t="shared" si="42"/>
        <v>District Heat (Imp.)</v>
      </c>
      <c r="G200" s="541" t="str">
        <f t="shared" si="42"/>
        <v>02</v>
      </c>
      <c r="H200" s="541"/>
      <c r="I200" s="541"/>
      <c r="K200" s="405" t="str">
        <f t="shared" si="43"/>
        <v>S-TH-HEX_HET02</v>
      </c>
      <c r="L200" s="203" t="str">
        <f t="shared" si="43"/>
        <v>SRV Thermal uses technology: Heat District Heat (Imp.) -New</v>
      </c>
      <c r="M200" s="405"/>
      <c r="N200" s="203"/>
      <c r="O200" s="405" t="s">
        <v>452</v>
      </c>
      <c r="P200" s="203" t="s">
        <v>154</v>
      </c>
      <c r="Q200" s="203"/>
      <c r="R200" s="518">
        <f>VLOOKUP($A200,'Key Inputs_BY Techs'!$B$132:$AJ$135,R$183,FALSE)/8760</f>
        <v>5.7077625570776253E-2</v>
      </c>
      <c r="S200" s="518">
        <f>VLOOKUP($A200,'Key Inputs_BY Techs'!$B$132:$AJ$135,S$183,FALSE)/8760</f>
        <v>1.9669020954812956E-3</v>
      </c>
      <c r="T200" s="518">
        <f>VLOOKUP($A200,'Key Inputs_BY Techs'!$B$132:$AJ$135,T$183,FALSE)/8760</f>
        <v>1.938803494117277E-2</v>
      </c>
      <c r="U200" s="518">
        <f>VLOOKUP($A200,'Key Inputs_BY Techs'!$B$132:$AJ$135,U$183,FALSE)/8760</f>
        <v>8.0549323910186386E-4</v>
      </c>
      <c r="V200" s="518">
        <f>VLOOKUP($A200,'Key Inputs_BY Techs'!$B$132:$AJ$135,V$183,FALSE)/8760</f>
        <v>7.2681715528261194E-3</v>
      </c>
      <c r="W200" s="518">
        <f>VLOOKUP($A200,'Key Inputs_BY Techs'!$B$132:$AJ$135,W$183,FALSE)/8760</f>
        <v>1.3618455461094301E-2</v>
      </c>
      <c r="X200" s="518">
        <f>VLOOKUP($A200,'Key Inputs_BY Techs'!$B$132:$AJ$135,X$183,FALSE)/8760</f>
        <v>5.200114492434358E-2</v>
      </c>
      <c r="Y200" s="518">
        <f>VLOOKUP($A200,'Key Inputs_BY Techs'!$B$132:$AJ$135,Y$183,FALSE)/8760</f>
        <v>1.198873658198123E-3</v>
      </c>
      <c r="Z200" s="518">
        <f>VLOOKUP($A200,'Key Inputs_BY Techs'!$B$132:$AJ$135,Z$183,FALSE)/8760</f>
        <v>1.0995919333785908E-2</v>
      </c>
      <c r="AA200" s="518">
        <f>VLOOKUP($A200,'Key Inputs_BY Techs'!$B$132:$AJ$135,AA$183,FALSE)/8760</f>
        <v>1.6484512800224189E-3</v>
      </c>
      <c r="AB200" s="518">
        <f>VLOOKUP($A200,'Key Inputs_BY Techs'!$B$132:$AJ$135,AB$183,FALSE)/8760</f>
        <v>8.4745381713879811E-2</v>
      </c>
      <c r="AC200" s="518">
        <f>VLOOKUP($A200,'Key Inputs_BY Techs'!$B$132:$AJ$135,AC$183,FALSE)/8760</f>
        <v>4.8479453553386592E-2</v>
      </c>
      <c r="AD200" s="518">
        <f>VLOOKUP($A200,'Key Inputs_BY Techs'!$B$132:$AJ$135,AD$183,FALSE)/8760</f>
        <v>4.0668042374189445E-2</v>
      </c>
      <c r="AE200" s="518">
        <f>VLOOKUP($A200,'Key Inputs_BY Techs'!$B$132:$AJ$135,AE$183,FALSE)/8760</f>
        <v>5.8520020440795871E-2</v>
      </c>
      <c r="AF200" s="518">
        <f>VLOOKUP($A200,'Key Inputs_BY Techs'!$B$132:$AJ$135,AF$183,FALSE)/8760</f>
        <v>4.9153819986123039E-2</v>
      </c>
      <c r="AG200" s="518">
        <f>VLOOKUP($A200,'Key Inputs_BY Techs'!$B$132:$AJ$135,AG$183,FALSE)/8760</f>
        <v>0.10237257096957408</v>
      </c>
      <c r="AH200" s="518">
        <f>VLOOKUP($A200,'Key Inputs_BY Techs'!$B$132:$AJ$135,AH$183,FALSE)/8760</f>
        <v>3.8457619066886661E-2</v>
      </c>
      <c r="AI200" s="518">
        <f>VLOOKUP($A200,'Key Inputs_BY Techs'!$B$132:$AJ$135,AI$183,FALSE)/8760</f>
        <v>5.7077625570776253E-2</v>
      </c>
      <c r="AJ200" s="518">
        <f>VLOOKUP($A200,'Key Inputs_BY Techs'!$B$132:$AJ$135,AJ$183,FALSE)/8760</f>
        <v>4.3084522091495041E-4</v>
      </c>
      <c r="AK200" s="518">
        <f>VLOOKUP($A200,'Key Inputs_BY Techs'!$B$132:$AJ$135,AK$183,FALSE)/8760</f>
        <v>5.6946498764410833E-3</v>
      </c>
      <c r="AL200" s="518">
        <f>VLOOKUP($A200,'Key Inputs_BY Techs'!$B$132:$AJ$135,AL$183,FALSE)/8760</f>
        <v>3.0964658703148393E-2</v>
      </c>
      <c r="AM200" s="518">
        <f>VLOOKUP($A200,'Key Inputs_BY Techs'!$B$132:$AJ$135,AM$183,FALSE)/8760</f>
        <v>7.6990167737410707E-3</v>
      </c>
      <c r="AN200" s="518">
        <f>VLOOKUP($A200,'Key Inputs_BY Techs'!$B$132:$AJ$135,AN$183,FALSE)/8760</f>
        <v>3.6846632588682933E-2</v>
      </c>
      <c r="AO200" s="518">
        <f>VLOOKUP($A200,'Key Inputs_BY Techs'!$B$132:$AJ$135,AO$183,FALSE)/8760</f>
        <v>2.339676873577274E-2</v>
      </c>
      <c r="AP200" s="518">
        <f>VLOOKUP($A200,'Key Inputs_BY Techs'!$B$132:$AJ$135,AP$183,FALSE)/8760</f>
        <v>7.5866223682849966E-3</v>
      </c>
      <c r="AQ200" s="518">
        <f>VLOOKUP($A200,'Key Inputs_BY Techs'!$B$132:$AJ$135,AQ$183,FALSE)/8760</f>
        <v>9.7408484728597484E-4</v>
      </c>
      <c r="AR200" s="518">
        <f>VLOOKUP($A200,'Key Inputs_BY Techs'!$B$132:$AJ$135,AR$183,FALSE)/8760</f>
        <v>8.9859327162131172E-2</v>
      </c>
      <c r="AS200" s="518">
        <f>VLOOKUP($A200,'Key Inputs_BY Techs'!$B$132:$AJ$135,AS$183,FALSE)/8760</f>
        <v>3.9225647504169833E-2</v>
      </c>
      <c r="AT200" s="222"/>
      <c r="AU200" s="212"/>
      <c r="AW200" s="232"/>
      <c r="BG200" s="212"/>
      <c r="BH200" s="225"/>
      <c r="BI200" s="225"/>
    </row>
    <row r="201" spans="1:61" x14ac:dyDescent="0.3">
      <c r="A201" s="547" t="str">
        <f t="shared" si="42"/>
        <v>Air conditioning</v>
      </c>
      <c r="B201" s="535" t="str">
        <f t="shared" si="42"/>
        <v>S-AC</v>
      </c>
      <c r="C201" s="535" t="str">
        <f t="shared" si="42"/>
        <v>Electricity</v>
      </c>
      <c r="D201" s="535" t="str">
        <f t="shared" si="42"/>
        <v>SRVELC</v>
      </c>
      <c r="E201" s="538" t="str">
        <f t="shared" si="42"/>
        <v>SRVELC</v>
      </c>
      <c r="F201" s="540" t="str">
        <f t="shared" si="42"/>
        <v>Air conditioning (Ord.)</v>
      </c>
      <c r="G201" s="541" t="str">
        <f t="shared" si="42"/>
        <v>01</v>
      </c>
      <c r="H201" s="541"/>
      <c r="I201" s="541"/>
      <c r="K201" s="409" t="str">
        <f t="shared" si="43"/>
        <v>S-AC_ELC01</v>
      </c>
      <c r="L201" s="207" t="str">
        <f t="shared" si="43"/>
        <v>SRV Air conditioning tech: Electricity - Air conditioning (Ord.)</v>
      </c>
      <c r="M201" s="409"/>
      <c r="N201" s="207"/>
      <c r="O201" s="409" t="s">
        <v>452</v>
      </c>
      <c r="P201" s="207" t="s">
        <v>154</v>
      </c>
      <c r="Q201" s="207"/>
      <c r="R201" s="519">
        <f>VLOOKUP($A201,'Key Inputs_BY Techs'!$B$132:$AJ$135,R$183,FALSE)/8760</f>
        <v>6.8493150684931503E-2</v>
      </c>
      <c r="S201" s="519">
        <f>VLOOKUP($A201,'Key Inputs_BY Techs'!$B$132:$AJ$135,S$183,FALSE)/8760</f>
        <v>0.86498547114985469</v>
      </c>
      <c r="T201" s="519">
        <f>VLOOKUP($A201,'Key Inputs_BY Techs'!$B$132:$AJ$135,T$183,FALSE)/8760</f>
        <v>0.68596928185969286</v>
      </c>
      <c r="U201" s="519">
        <f>VLOOKUP($A201,'Key Inputs_BY Techs'!$B$132:$AJ$135,U$183,FALSE)/8760</f>
        <v>1.0585305105853051</v>
      </c>
      <c r="V201" s="519">
        <f>VLOOKUP($A201,'Key Inputs_BY Techs'!$B$132:$AJ$135,V$183,FALSE)/8760</f>
        <v>0.6122872561228726</v>
      </c>
      <c r="W201" s="519">
        <f>VLOOKUP($A201,'Key Inputs_BY Techs'!$B$132:$AJ$135,W$183,FALSE)/8760</f>
        <v>0.31755915317559152</v>
      </c>
      <c r="X201" s="519">
        <f>VLOOKUP($A201,'Key Inputs_BY Techs'!$B$132:$AJ$135,X$183,FALSE)/8760</f>
        <v>0.26151930261519302</v>
      </c>
      <c r="Y201" s="519">
        <f>VLOOKUP($A201,'Key Inputs_BY Techs'!$B$132:$AJ$135,Y$183,FALSE)/8760</f>
        <v>0.94645080946450799</v>
      </c>
      <c r="Z201" s="519">
        <f>VLOOKUP($A201,'Key Inputs_BY Techs'!$B$132:$AJ$135,Z$183,FALSE)/8760</f>
        <v>1.2448111249481113</v>
      </c>
      <c r="AA201" s="519">
        <f>VLOOKUP($A201,'Key Inputs_BY Techs'!$B$132:$AJ$135,AA$183,FALSE)/8760</f>
        <v>0.81932337069323369</v>
      </c>
      <c r="AB201" s="519">
        <f>VLOOKUP($A201,'Key Inputs_BY Techs'!$B$132:$AJ$135,AB$183,FALSE)/8760</f>
        <v>0.10170195101701951</v>
      </c>
      <c r="AC201" s="519">
        <f>VLOOKUP($A201,'Key Inputs_BY Techs'!$B$132:$AJ$135,AC$183,FALSE)/8760</f>
        <v>0.12090078870900788</v>
      </c>
      <c r="AD201" s="519">
        <f>VLOOKUP($A201,'Key Inputs_BY Techs'!$B$132:$AJ$135,AD$183,FALSE)/8760</f>
        <v>0.40525114155251141</v>
      </c>
      <c r="AE201" s="519">
        <f>VLOOKUP($A201,'Key Inputs_BY Techs'!$B$132:$AJ$135,AE$183,FALSE)/8760</f>
        <v>0.16085512660855125</v>
      </c>
      <c r="AF201" s="519">
        <f>VLOOKUP($A201,'Key Inputs_BY Techs'!$B$132:$AJ$135,AF$183,FALSE)/8760</f>
        <v>3.3208800332088007E-2</v>
      </c>
      <c r="AG201" s="519">
        <f>VLOOKUP($A201,'Key Inputs_BY Techs'!$B$132:$AJ$135,AG$183,FALSE)/8760</f>
        <v>0.16760066417600664</v>
      </c>
      <c r="AH201" s="519">
        <f>VLOOKUP($A201,'Key Inputs_BY Techs'!$B$132:$AJ$135,AH$183,FALSE)/8760</f>
        <v>0.19925280199252801</v>
      </c>
      <c r="AI201" s="519">
        <f>VLOOKUP($A201,'Key Inputs_BY Techs'!$B$132:$AJ$135,AI$183,FALSE)/8760</f>
        <v>6.8493150684931503E-2</v>
      </c>
      <c r="AJ201" s="519">
        <f>VLOOKUP($A201,'Key Inputs_BY Techs'!$B$132:$AJ$135,AJ$183,FALSE)/8760</f>
        <v>1.3008509755085098</v>
      </c>
      <c r="AK201" s="519">
        <f>VLOOKUP($A201,'Key Inputs_BY Techs'!$B$132:$AJ$135,AK$183,FALSE)/8760</f>
        <v>1.4009962640099625</v>
      </c>
      <c r="AL201" s="519">
        <f>VLOOKUP($A201,'Key Inputs_BY Techs'!$B$132:$AJ$135,AL$183,FALSE)/8760</f>
        <v>0.30510585305105853</v>
      </c>
      <c r="AM201" s="519">
        <f>VLOOKUP($A201,'Key Inputs_BY Techs'!$B$132:$AJ$135,AM$183,FALSE)/8760</f>
        <v>0.67559153175591535</v>
      </c>
      <c r="AN201" s="519">
        <f>VLOOKUP($A201,'Key Inputs_BY Techs'!$B$132:$AJ$135,AN$183,FALSE)/8760</f>
        <v>0.40577002905770027</v>
      </c>
      <c r="AO201" s="519">
        <f>VLOOKUP($A201,'Key Inputs_BY Techs'!$B$132:$AJ$135,AO$183,FALSE)/8760</f>
        <v>1.083437110834371</v>
      </c>
      <c r="AP201" s="519">
        <f>VLOOKUP($A201,'Key Inputs_BY Techs'!$B$132:$AJ$135,AP$183,FALSE)/8760</f>
        <v>0.51162308011623081</v>
      </c>
      <c r="AQ201" s="519">
        <f>VLOOKUP($A201,'Key Inputs_BY Techs'!$B$132:$AJ$135,AQ$183,FALSE)/8760</f>
        <v>1.3371731008717311</v>
      </c>
      <c r="AR201" s="519">
        <f>VLOOKUP($A201,'Key Inputs_BY Techs'!$B$132:$AJ$135,AR$183,FALSE)/8760</f>
        <v>0.12090078870900788</v>
      </c>
      <c r="AS201" s="519">
        <f>VLOOKUP($A201,'Key Inputs_BY Techs'!$B$132:$AJ$135,AS$183,FALSE)/8760</f>
        <v>0.24647156496471564</v>
      </c>
      <c r="AT201" s="222"/>
      <c r="AU201" s="212"/>
      <c r="AW201" s="232"/>
      <c r="BG201" s="212"/>
      <c r="BH201" s="225"/>
      <c r="BI201" s="225"/>
    </row>
    <row r="202" spans="1:61" x14ac:dyDescent="0.3">
      <c r="A202" s="547" t="str">
        <f t="shared" si="42"/>
        <v>Air conditioning</v>
      </c>
      <c r="B202" s="535" t="str">
        <f t="shared" si="42"/>
        <v>S-AC</v>
      </c>
      <c r="C202" s="535" t="str">
        <f t="shared" si="42"/>
        <v>Electricity</v>
      </c>
      <c r="D202" s="535" t="str">
        <f t="shared" si="42"/>
        <v>SRVELC</v>
      </c>
      <c r="E202" s="538" t="str">
        <f t="shared" si="42"/>
        <v>SRVELC</v>
      </c>
      <c r="F202" s="542" t="str">
        <f t="shared" si="42"/>
        <v>Air conditioning (Imp.)</v>
      </c>
      <c r="G202" s="541" t="str">
        <f t="shared" si="42"/>
        <v>02</v>
      </c>
      <c r="H202" s="541"/>
      <c r="I202" s="541"/>
      <c r="K202" s="405" t="str">
        <f t="shared" si="43"/>
        <v>S-AC_ELC02</v>
      </c>
      <c r="L202" s="203" t="str">
        <f t="shared" si="43"/>
        <v>SRV Air conditioning tech: Electricity - Air conditioning (Imp.)</v>
      </c>
      <c r="M202" s="405"/>
      <c r="N202" s="203"/>
      <c r="O202" s="405" t="s">
        <v>452</v>
      </c>
      <c r="P202" s="203" t="s">
        <v>154</v>
      </c>
      <c r="Q202" s="203"/>
      <c r="R202" s="518">
        <f>VLOOKUP($A202,'Key Inputs_BY Techs'!$B$132:$AJ$135,R$183,FALSE)/8760</f>
        <v>6.8493150684931503E-2</v>
      </c>
      <c r="S202" s="518">
        <f>VLOOKUP($A202,'Key Inputs_BY Techs'!$B$132:$AJ$135,S$183,FALSE)/8760</f>
        <v>0.86498547114985469</v>
      </c>
      <c r="T202" s="518">
        <f>VLOOKUP($A202,'Key Inputs_BY Techs'!$B$132:$AJ$135,T$183,FALSE)/8760</f>
        <v>0.68596928185969286</v>
      </c>
      <c r="U202" s="518">
        <f>VLOOKUP($A202,'Key Inputs_BY Techs'!$B$132:$AJ$135,U$183,FALSE)/8760</f>
        <v>1.0585305105853051</v>
      </c>
      <c r="V202" s="518">
        <f>VLOOKUP($A202,'Key Inputs_BY Techs'!$B$132:$AJ$135,V$183,FALSE)/8760</f>
        <v>0.6122872561228726</v>
      </c>
      <c r="W202" s="518">
        <f>VLOOKUP($A202,'Key Inputs_BY Techs'!$B$132:$AJ$135,W$183,FALSE)/8760</f>
        <v>0.31755915317559152</v>
      </c>
      <c r="X202" s="518">
        <f>VLOOKUP($A202,'Key Inputs_BY Techs'!$B$132:$AJ$135,X$183,FALSE)/8760</f>
        <v>0.26151930261519302</v>
      </c>
      <c r="Y202" s="518">
        <f>VLOOKUP($A202,'Key Inputs_BY Techs'!$B$132:$AJ$135,Y$183,FALSE)/8760</f>
        <v>0.94645080946450799</v>
      </c>
      <c r="Z202" s="518">
        <f>VLOOKUP($A202,'Key Inputs_BY Techs'!$B$132:$AJ$135,Z$183,FALSE)/8760</f>
        <v>1.2448111249481113</v>
      </c>
      <c r="AA202" s="518">
        <f>VLOOKUP($A202,'Key Inputs_BY Techs'!$B$132:$AJ$135,AA$183,FALSE)/8760</f>
        <v>0.81932337069323369</v>
      </c>
      <c r="AB202" s="518">
        <f>VLOOKUP($A202,'Key Inputs_BY Techs'!$B$132:$AJ$135,AB$183,FALSE)/8760</f>
        <v>0.10170195101701951</v>
      </c>
      <c r="AC202" s="518">
        <f>VLOOKUP($A202,'Key Inputs_BY Techs'!$B$132:$AJ$135,AC$183,FALSE)/8760</f>
        <v>0.12090078870900788</v>
      </c>
      <c r="AD202" s="518">
        <f>VLOOKUP($A202,'Key Inputs_BY Techs'!$B$132:$AJ$135,AD$183,FALSE)/8760</f>
        <v>0.40525114155251141</v>
      </c>
      <c r="AE202" s="518">
        <f>VLOOKUP($A202,'Key Inputs_BY Techs'!$B$132:$AJ$135,AE$183,FALSE)/8760</f>
        <v>0.16085512660855125</v>
      </c>
      <c r="AF202" s="518">
        <f>VLOOKUP($A202,'Key Inputs_BY Techs'!$B$132:$AJ$135,AF$183,FALSE)/8760</f>
        <v>3.3208800332088007E-2</v>
      </c>
      <c r="AG202" s="518">
        <f>VLOOKUP($A202,'Key Inputs_BY Techs'!$B$132:$AJ$135,AG$183,FALSE)/8760</f>
        <v>0.16760066417600664</v>
      </c>
      <c r="AH202" s="518">
        <f>VLOOKUP($A202,'Key Inputs_BY Techs'!$B$132:$AJ$135,AH$183,FALSE)/8760</f>
        <v>0.19925280199252801</v>
      </c>
      <c r="AI202" s="518">
        <f>VLOOKUP($A202,'Key Inputs_BY Techs'!$B$132:$AJ$135,AI$183,FALSE)/8760</f>
        <v>6.8493150684931503E-2</v>
      </c>
      <c r="AJ202" s="518">
        <f>VLOOKUP($A202,'Key Inputs_BY Techs'!$B$132:$AJ$135,AJ$183,FALSE)/8760</f>
        <v>1.3008509755085098</v>
      </c>
      <c r="AK202" s="518">
        <f>VLOOKUP($A202,'Key Inputs_BY Techs'!$B$132:$AJ$135,AK$183,FALSE)/8760</f>
        <v>1.4009962640099625</v>
      </c>
      <c r="AL202" s="518">
        <f>VLOOKUP($A202,'Key Inputs_BY Techs'!$B$132:$AJ$135,AL$183,FALSE)/8760</f>
        <v>0.30510585305105853</v>
      </c>
      <c r="AM202" s="518">
        <f>VLOOKUP($A202,'Key Inputs_BY Techs'!$B$132:$AJ$135,AM$183,FALSE)/8760</f>
        <v>0.67559153175591535</v>
      </c>
      <c r="AN202" s="518">
        <f>VLOOKUP($A202,'Key Inputs_BY Techs'!$B$132:$AJ$135,AN$183,FALSE)/8760</f>
        <v>0.40577002905770027</v>
      </c>
      <c r="AO202" s="518">
        <f>VLOOKUP($A202,'Key Inputs_BY Techs'!$B$132:$AJ$135,AO$183,FALSE)/8760</f>
        <v>1.083437110834371</v>
      </c>
      <c r="AP202" s="518">
        <f>VLOOKUP($A202,'Key Inputs_BY Techs'!$B$132:$AJ$135,AP$183,FALSE)/8760</f>
        <v>0.51162308011623081</v>
      </c>
      <c r="AQ202" s="518">
        <f>VLOOKUP($A202,'Key Inputs_BY Techs'!$B$132:$AJ$135,AQ$183,FALSE)/8760</f>
        <v>1.3371731008717311</v>
      </c>
      <c r="AR202" s="518">
        <f>VLOOKUP($A202,'Key Inputs_BY Techs'!$B$132:$AJ$135,AR$183,FALSE)/8760</f>
        <v>0.12090078870900788</v>
      </c>
      <c r="AS202" s="518">
        <f>VLOOKUP($A202,'Key Inputs_BY Techs'!$B$132:$AJ$135,AS$183,FALSE)/8760</f>
        <v>0.24647156496471564</v>
      </c>
      <c r="AT202" s="222"/>
      <c r="AU202" s="212"/>
      <c r="AW202" s="232"/>
      <c r="BG202" s="212"/>
      <c r="BH202" s="225"/>
      <c r="BI202" s="225"/>
    </row>
    <row r="203" spans="1:61" x14ac:dyDescent="0.3">
      <c r="A203" s="547" t="str">
        <f t="shared" si="42"/>
        <v>Air conditioning</v>
      </c>
      <c r="B203" s="535" t="str">
        <f t="shared" si="42"/>
        <v>S-AC</v>
      </c>
      <c r="C203" s="535" t="str">
        <f t="shared" si="42"/>
        <v>Electricity</v>
      </c>
      <c r="D203" s="535" t="str">
        <f t="shared" si="42"/>
        <v>SRVELC</v>
      </c>
      <c r="E203" s="538" t="str">
        <f t="shared" si="42"/>
        <v>SRVELC</v>
      </c>
      <c r="F203" s="542" t="str">
        <f t="shared" si="42"/>
        <v>Air conditioning (Adv.)</v>
      </c>
      <c r="G203" s="541" t="str">
        <f t="shared" si="42"/>
        <v>03</v>
      </c>
      <c r="H203" s="541"/>
      <c r="I203" s="541"/>
      <c r="K203" s="405" t="str">
        <f t="shared" si="43"/>
        <v>S-AC_ELC03</v>
      </c>
      <c r="L203" s="203" t="str">
        <f t="shared" si="43"/>
        <v>SRV Air conditioning tech: Electricity - Air conditioning (Adv.)</v>
      </c>
      <c r="M203" s="405"/>
      <c r="N203" s="203"/>
      <c r="O203" s="405" t="s">
        <v>452</v>
      </c>
      <c r="P203" s="203" t="s">
        <v>154</v>
      </c>
      <c r="Q203" s="203"/>
      <c r="R203" s="518">
        <f>VLOOKUP($A203,'Key Inputs_BY Techs'!$B$132:$AJ$135,R$183,FALSE)/8760</f>
        <v>6.8493150684931503E-2</v>
      </c>
      <c r="S203" s="518">
        <f>VLOOKUP($A203,'Key Inputs_BY Techs'!$B$132:$AJ$135,S$183,FALSE)/8760</f>
        <v>0.86498547114985469</v>
      </c>
      <c r="T203" s="518">
        <f>VLOOKUP($A203,'Key Inputs_BY Techs'!$B$132:$AJ$135,T$183,FALSE)/8760</f>
        <v>0.68596928185969286</v>
      </c>
      <c r="U203" s="518">
        <f>VLOOKUP($A203,'Key Inputs_BY Techs'!$B$132:$AJ$135,U$183,FALSE)/8760</f>
        <v>1.0585305105853051</v>
      </c>
      <c r="V203" s="518">
        <f>VLOOKUP($A203,'Key Inputs_BY Techs'!$B$132:$AJ$135,V$183,FALSE)/8760</f>
        <v>0.6122872561228726</v>
      </c>
      <c r="W203" s="518">
        <f>VLOOKUP($A203,'Key Inputs_BY Techs'!$B$132:$AJ$135,W$183,FALSE)/8760</f>
        <v>0.31755915317559152</v>
      </c>
      <c r="X203" s="518">
        <f>VLOOKUP($A203,'Key Inputs_BY Techs'!$B$132:$AJ$135,X$183,FALSE)/8760</f>
        <v>0.26151930261519302</v>
      </c>
      <c r="Y203" s="518">
        <f>VLOOKUP($A203,'Key Inputs_BY Techs'!$B$132:$AJ$135,Y$183,FALSE)/8760</f>
        <v>0.94645080946450799</v>
      </c>
      <c r="Z203" s="518">
        <f>VLOOKUP($A203,'Key Inputs_BY Techs'!$B$132:$AJ$135,Z$183,FALSE)/8760</f>
        <v>1.2448111249481113</v>
      </c>
      <c r="AA203" s="518">
        <f>VLOOKUP($A203,'Key Inputs_BY Techs'!$B$132:$AJ$135,AA$183,FALSE)/8760</f>
        <v>0.81932337069323369</v>
      </c>
      <c r="AB203" s="518">
        <f>VLOOKUP($A203,'Key Inputs_BY Techs'!$B$132:$AJ$135,AB$183,FALSE)/8760</f>
        <v>0.10170195101701951</v>
      </c>
      <c r="AC203" s="518">
        <f>VLOOKUP($A203,'Key Inputs_BY Techs'!$B$132:$AJ$135,AC$183,FALSE)/8760</f>
        <v>0.12090078870900788</v>
      </c>
      <c r="AD203" s="518">
        <f>VLOOKUP($A203,'Key Inputs_BY Techs'!$B$132:$AJ$135,AD$183,FALSE)/8760</f>
        <v>0.40525114155251141</v>
      </c>
      <c r="AE203" s="518">
        <f>VLOOKUP($A203,'Key Inputs_BY Techs'!$B$132:$AJ$135,AE$183,FALSE)/8760</f>
        <v>0.16085512660855125</v>
      </c>
      <c r="AF203" s="518">
        <f>VLOOKUP($A203,'Key Inputs_BY Techs'!$B$132:$AJ$135,AF$183,FALSE)/8760</f>
        <v>3.3208800332088007E-2</v>
      </c>
      <c r="AG203" s="518">
        <f>VLOOKUP($A203,'Key Inputs_BY Techs'!$B$132:$AJ$135,AG$183,FALSE)/8760</f>
        <v>0.16760066417600664</v>
      </c>
      <c r="AH203" s="518">
        <f>VLOOKUP($A203,'Key Inputs_BY Techs'!$B$132:$AJ$135,AH$183,FALSE)/8760</f>
        <v>0.19925280199252801</v>
      </c>
      <c r="AI203" s="518">
        <f>VLOOKUP($A203,'Key Inputs_BY Techs'!$B$132:$AJ$135,AI$183,FALSE)/8760</f>
        <v>6.8493150684931503E-2</v>
      </c>
      <c r="AJ203" s="518">
        <f>VLOOKUP($A203,'Key Inputs_BY Techs'!$B$132:$AJ$135,AJ$183,FALSE)/8760</f>
        <v>1.3008509755085098</v>
      </c>
      <c r="AK203" s="518">
        <f>VLOOKUP($A203,'Key Inputs_BY Techs'!$B$132:$AJ$135,AK$183,FALSE)/8760</f>
        <v>1.4009962640099625</v>
      </c>
      <c r="AL203" s="518">
        <f>VLOOKUP($A203,'Key Inputs_BY Techs'!$B$132:$AJ$135,AL$183,FALSE)/8760</f>
        <v>0.30510585305105853</v>
      </c>
      <c r="AM203" s="518">
        <f>VLOOKUP($A203,'Key Inputs_BY Techs'!$B$132:$AJ$135,AM$183,FALSE)/8760</f>
        <v>0.67559153175591535</v>
      </c>
      <c r="AN203" s="518">
        <f>VLOOKUP($A203,'Key Inputs_BY Techs'!$B$132:$AJ$135,AN$183,FALSE)/8760</f>
        <v>0.40577002905770027</v>
      </c>
      <c r="AO203" s="518">
        <f>VLOOKUP($A203,'Key Inputs_BY Techs'!$B$132:$AJ$135,AO$183,FALSE)/8760</f>
        <v>1.083437110834371</v>
      </c>
      <c r="AP203" s="518">
        <f>VLOOKUP($A203,'Key Inputs_BY Techs'!$B$132:$AJ$135,AP$183,FALSE)/8760</f>
        <v>0.51162308011623081</v>
      </c>
      <c r="AQ203" s="518">
        <f>VLOOKUP($A203,'Key Inputs_BY Techs'!$B$132:$AJ$135,AQ$183,FALSE)/8760</f>
        <v>1.3371731008717311</v>
      </c>
      <c r="AR203" s="518">
        <f>VLOOKUP($A203,'Key Inputs_BY Techs'!$B$132:$AJ$135,AR$183,FALSE)/8760</f>
        <v>0.12090078870900788</v>
      </c>
      <c r="AS203" s="518">
        <f>VLOOKUP($A203,'Key Inputs_BY Techs'!$B$132:$AJ$135,AS$183,FALSE)/8760</f>
        <v>0.24647156496471564</v>
      </c>
      <c r="AT203" s="222"/>
      <c r="AU203" s="212"/>
      <c r="AW203" s="232"/>
      <c r="BG203" s="212"/>
      <c r="BH203" s="225"/>
      <c r="BI203" s="225"/>
    </row>
    <row r="204" spans="1:61" x14ac:dyDescent="0.3">
      <c r="A204" s="547" t="str">
        <f t="shared" si="42"/>
        <v>Air conditioning</v>
      </c>
      <c r="B204" s="535" t="str">
        <f t="shared" si="42"/>
        <v>S-AC</v>
      </c>
      <c r="C204" s="535" t="str">
        <f t="shared" si="42"/>
        <v>Natural gas, Biogas</v>
      </c>
      <c r="D204" s="535" t="str">
        <f t="shared" si="42"/>
        <v>SRVGAS, SRVBGS, SRVH2G, SRVH2B, SRVEFUM</v>
      </c>
      <c r="E204" s="538" t="str">
        <f t="shared" si="42"/>
        <v>SRVGAS</v>
      </c>
      <c r="F204" s="542" t="str">
        <f t="shared" si="42"/>
        <v>Air conditioning (Ord.)</v>
      </c>
      <c r="G204" s="541" t="str">
        <f t="shared" si="42"/>
        <v>01</v>
      </c>
      <c r="H204" s="541"/>
      <c r="I204" s="541"/>
      <c r="K204" s="405" t="str">
        <f t="shared" si="43"/>
        <v>S-AC_GAS01</v>
      </c>
      <c r="L204" s="203" t="str">
        <f t="shared" si="43"/>
        <v>SRV Air conditioning tech: Natural gas, Biogas - Air conditioning (Ord.)</v>
      </c>
      <c r="M204" s="405"/>
      <c r="N204" s="203"/>
      <c r="O204" s="405" t="s">
        <v>452</v>
      </c>
      <c r="P204" s="203" t="s">
        <v>154</v>
      </c>
      <c r="Q204" s="203"/>
      <c r="R204" s="518">
        <f>VLOOKUP($A204,'Key Inputs_BY Techs'!$B$132:$AJ$135,R$183,FALSE)/8760</f>
        <v>6.8493150684931503E-2</v>
      </c>
      <c r="S204" s="518">
        <f>VLOOKUP($A204,'Key Inputs_BY Techs'!$B$132:$AJ$135,S$183,FALSE)/8760</f>
        <v>0.86498547114985469</v>
      </c>
      <c r="T204" s="518">
        <f>VLOOKUP($A204,'Key Inputs_BY Techs'!$B$132:$AJ$135,T$183,FALSE)/8760</f>
        <v>0.68596928185969286</v>
      </c>
      <c r="U204" s="518">
        <f>VLOOKUP($A204,'Key Inputs_BY Techs'!$B$132:$AJ$135,U$183,FALSE)/8760</f>
        <v>1.0585305105853051</v>
      </c>
      <c r="V204" s="518">
        <f>VLOOKUP($A204,'Key Inputs_BY Techs'!$B$132:$AJ$135,V$183,FALSE)/8760</f>
        <v>0.6122872561228726</v>
      </c>
      <c r="W204" s="518">
        <f>VLOOKUP($A204,'Key Inputs_BY Techs'!$B$132:$AJ$135,W$183,FALSE)/8760</f>
        <v>0.31755915317559152</v>
      </c>
      <c r="X204" s="518">
        <f>VLOOKUP($A204,'Key Inputs_BY Techs'!$B$132:$AJ$135,X$183,FALSE)/8760</f>
        <v>0.26151930261519302</v>
      </c>
      <c r="Y204" s="518">
        <f>VLOOKUP($A204,'Key Inputs_BY Techs'!$B$132:$AJ$135,Y$183,FALSE)/8760</f>
        <v>0.94645080946450799</v>
      </c>
      <c r="Z204" s="518">
        <f>VLOOKUP($A204,'Key Inputs_BY Techs'!$B$132:$AJ$135,Z$183,FALSE)/8760</f>
        <v>1.2448111249481113</v>
      </c>
      <c r="AA204" s="518">
        <f>VLOOKUP($A204,'Key Inputs_BY Techs'!$B$132:$AJ$135,AA$183,FALSE)/8760</f>
        <v>0.81932337069323369</v>
      </c>
      <c r="AB204" s="518">
        <f>VLOOKUP($A204,'Key Inputs_BY Techs'!$B$132:$AJ$135,AB$183,FALSE)/8760</f>
        <v>0.10170195101701951</v>
      </c>
      <c r="AC204" s="518">
        <f>VLOOKUP($A204,'Key Inputs_BY Techs'!$B$132:$AJ$135,AC$183,FALSE)/8760</f>
        <v>0.12090078870900788</v>
      </c>
      <c r="AD204" s="518">
        <f>VLOOKUP($A204,'Key Inputs_BY Techs'!$B$132:$AJ$135,AD$183,FALSE)/8760</f>
        <v>0.40525114155251141</v>
      </c>
      <c r="AE204" s="518">
        <f>VLOOKUP($A204,'Key Inputs_BY Techs'!$B$132:$AJ$135,AE$183,FALSE)/8760</f>
        <v>0.16085512660855125</v>
      </c>
      <c r="AF204" s="518">
        <f>VLOOKUP($A204,'Key Inputs_BY Techs'!$B$132:$AJ$135,AF$183,FALSE)/8760</f>
        <v>3.3208800332088007E-2</v>
      </c>
      <c r="AG204" s="518">
        <f>VLOOKUP($A204,'Key Inputs_BY Techs'!$B$132:$AJ$135,AG$183,FALSE)/8760</f>
        <v>0.16760066417600664</v>
      </c>
      <c r="AH204" s="518">
        <f>VLOOKUP($A204,'Key Inputs_BY Techs'!$B$132:$AJ$135,AH$183,FALSE)/8760</f>
        <v>0.19925280199252801</v>
      </c>
      <c r="AI204" s="518">
        <f>VLOOKUP($A204,'Key Inputs_BY Techs'!$B$132:$AJ$135,AI$183,FALSE)/8760</f>
        <v>6.8493150684931503E-2</v>
      </c>
      <c r="AJ204" s="518">
        <f>VLOOKUP($A204,'Key Inputs_BY Techs'!$B$132:$AJ$135,AJ$183,FALSE)/8760</f>
        <v>1.3008509755085098</v>
      </c>
      <c r="AK204" s="518">
        <f>VLOOKUP($A204,'Key Inputs_BY Techs'!$B$132:$AJ$135,AK$183,FALSE)/8760</f>
        <v>1.4009962640099625</v>
      </c>
      <c r="AL204" s="518">
        <f>VLOOKUP($A204,'Key Inputs_BY Techs'!$B$132:$AJ$135,AL$183,FALSE)/8760</f>
        <v>0.30510585305105853</v>
      </c>
      <c r="AM204" s="518">
        <f>VLOOKUP($A204,'Key Inputs_BY Techs'!$B$132:$AJ$135,AM$183,FALSE)/8760</f>
        <v>0.67559153175591535</v>
      </c>
      <c r="AN204" s="518">
        <f>VLOOKUP($A204,'Key Inputs_BY Techs'!$B$132:$AJ$135,AN$183,FALSE)/8760</f>
        <v>0.40577002905770027</v>
      </c>
      <c r="AO204" s="518">
        <f>VLOOKUP($A204,'Key Inputs_BY Techs'!$B$132:$AJ$135,AO$183,FALSE)/8760</f>
        <v>1.083437110834371</v>
      </c>
      <c r="AP204" s="518">
        <f>VLOOKUP($A204,'Key Inputs_BY Techs'!$B$132:$AJ$135,AP$183,FALSE)/8760</f>
        <v>0.51162308011623081</v>
      </c>
      <c r="AQ204" s="518">
        <f>VLOOKUP($A204,'Key Inputs_BY Techs'!$B$132:$AJ$135,AQ$183,FALSE)/8760</f>
        <v>1.3371731008717311</v>
      </c>
      <c r="AR204" s="518">
        <f>VLOOKUP($A204,'Key Inputs_BY Techs'!$B$132:$AJ$135,AR$183,FALSE)/8760</f>
        <v>0.12090078870900788</v>
      </c>
      <c r="AS204" s="518">
        <f>VLOOKUP($A204,'Key Inputs_BY Techs'!$B$132:$AJ$135,AS$183,FALSE)/8760</f>
        <v>0.24647156496471564</v>
      </c>
      <c r="AT204" s="222"/>
      <c r="AU204" s="212"/>
      <c r="AW204" s="232"/>
      <c r="BG204" s="212"/>
      <c r="BH204" s="225"/>
      <c r="BI204" s="225"/>
    </row>
    <row r="205" spans="1:61" x14ac:dyDescent="0.3">
      <c r="A205" s="547" t="str">
        <f t="shared" si="42"/>
        <v>Air conditioning</v>
      </c>
      <c r="B205" s="535" t="str">
        <f t="shared" si="42"/>
        <v>S-AC</v>
      </c>
      <c r="C205" s="535" t="str">
        <f t="shared" si="42"/>
        <v>Natural gas, Biogas</v>
      </c>
      <c r="D205" s="535" t="str">
        <f t="shared" si="42"/>
        <v>SRVGAS, SRVBGS, SRVH2G, SRVH2B, SRVEFUM</v>
      </c>
      <c r="E205" s="538" t="str">
        <f t="shared" si="42"/>
        <v>SRVGAS</v>
      </c>
      <c r="F205" s="535" t="str">
        <f t="shared" si="42"/>
        <v>Air conditioning (Imp.)</v>
      </c>
      <c r="G205" s="541" t="str">
        <f t="shared" si="42"/>
        <v>02</v>
      </c>
      <c r="H205" s="541"/>
      <c r="I205" s="541"/>
      <c r="K205" s="405" t="str">
        <f t="shared" si="43"/>
        <v>S-AC_GAS02</v>
      </c>
      <c r="L205" s="203" t="str">
        <f t="shared" si="43"/>
        <v>SRV Air conditioning tech: Natural gas, Biogas - Air conditioning (Imp.)</v>
      </c>
      <c r="M205" s="405"/>
      <c r="N205" s="203"/>
      <c r="O205" s="405" t="s">
        <v>452</v>
      </c>
      <c r="P205" s="203" t="s">
        <v>154</v>
      </c>
      <c r="Q205" s="203"/>
      <c r="R205" s="518">
        <f>VLOOKUP($A205,'Key Inputs_BY Techs'!$B$132:$AJ$135,R$183,FALSE)/8760</f>
        <v>6.8493150684931503E-2</v>
      </c>
      <c r="S205" s="518">
        <f>VLOOKUP($A205,'Key Inputs_BY Techs'!$B$132:$AJ$135,S$183,FALSE)/8760</f>
        <v>0.86498547114985469</v>
      </c>
      <c r="T205" s="518">
        <f>VLOOKUP($A205,'Key Inputs_BY Techs'!$B$132:$AJ$135,T$183,FALSE)/8760</f>
        <v>0.68596928185969286</v>
      </c>
      <c r="U205" s="518">
        <f>VLOOKUP($A205,'Key Inputs_BY Techs'!$B$132:$AJ$135,U$183,FALSE)/8760</f>
        <v>1.0585305105853051</v>
      </c>
      <c r="V205" s="518">
        <f>VLOOKUP($A205,'Key Inputs_BY Techs'!$B$132:$AJ$135,V$183,FALSE)/8760</f>
        <v>0.6122872561228726</v>
      </c>
      <c r="W205" s="518">
        <f>VLOOKUP($A205,'Key Inputs_BY Techs'!$B$132:$AJ$135,W$183,FALSE)/8760</f>
        <v>0.31755915317559152</v>
      </c>
      <c r="X205" s="518">
        <f>VLOOKUP($A205,'Key Inputs_BY Techs'!$B$132:$AJ$135,X$183,FALSE)/8760</f>
        <v>0.26151930261519302</v>
      </c>
      <c r="Y205" s="518">
        <f>VLOOKUP($A205,'Key Inputs_BY Techs'!$B$132:$AJ$135,Y$183,FALSE)/8760</f>
        <v>0.94645080946450799</v>
      </c>
      <c r="Z205" s="518">
        <f>VLOOKUP($A205,'Key Inputs_BY Techs'!$B$132:$AJ$135,Z$183,FALSE)/8760</f>
        <v>1.2448111249481113</v>
      </c>
      <c r="AA205" s="518">
        <f>VLOOKUP($A205,'Key Inputs_BY Techs'!$B$132:$AJ$135,AA$183,FALSE)/8760</f>
        <v>0.81932337069323369</v>
      </c>
      <c r="AB205" s="518">
        <f>VLOOKUP($A205,'Key Inputs_BY Techs'!$B$132:$AJ$135,AB$183,FALSE)/8760</f>
        <v>0.10170195101701951</v>
      </c>
      <c r="AC205" s="518">
        <f>VLOOKUP($A205,'Key Inputs_BY Techs'!$B$132:$AJ$135,AC$183,FALSE)/8760</f>
        <v>0.12090078870900788</v>
      </c>
      <c r="AD205" s="518">
        <f>VLOOKUP($A205,'Key Inputs_BY Techs'!$B$132:$AJ$135,AD$183,FALSE)/8760</f>
        <v>0.40525114155251141</v>
      </c>
      <c r="AE205" s="518">
        <f>VLOOKUP($A205,'Key Inputs_BY Techs'!$B$132:$AJ$135,AE$183,FALSE)/8760</f>
        <v>0.16085512660855125</v>
      </c>
      <c r="AF205" s="518">
        <f>VLOOKUP($A205,'Key Inputs_BY Techs'!$B$132:$AJ$135,AF$183,FALSE)/8760</f>
        <v>3.3208800332088007E-2</v>
      </c>
      <c r="AG205" s="518">
        <f>VLOOKUP($A205,'Key Inputs_BY Techs'!$B$132:$AJ$135,AG$183,FALSE)/8760</f>
        <v>0.16760066417600664</v>
      </c>
      <c r="AH205" s="518">
        <f>VLOOKUP($A205,'Key Inputs_BY Techs'!$B$132:$AJ$135,AH$183,FALSE)/8760</f>
        <v>0.19925280199252801</v>
      </c>
      <c r="AI205" s="518">
        <f>VLOOKUP($A205,'Key Inputs_BY Techs'!$B$132:$AJ$135,AI$183,FALSE)/8760</f>
        <v>6.8493150684931503E-2</v>
      </c>
      <c r="AJ205" s="518">
        <f>VLOOKUP($A205,'Key Inputs_BY Techs'!$B$132:$AJ$135,AJ$183,FALSE)/8760</f>
        <v>1.3008509755085098</v>
      </c>
      <c r="AK205" s="518">
        <f>VLOOKUP($A205,'Key Inputs_BY Techs'!$B$132:$AJ$135,AK$183,FALSE)/8760</f>
        <v>1.4009962640099625</v>
      </c>
      <c r="AL205" s="518">
        <f>VLOOKUP($A205,'Key Inputs_BY Techs'!$B$132:$AJ$135,AL$183,FALSE)/8760</f>
        <v>0.30510585305105853</v>
      </c>
      <c r="AM205" s="518">
        <f>VLOOKUP($A205,'Key Inputs_BY Techs'!$B$132:$AJ$135,AM$183,FALSE)/8760</f>
        <v>0.67559153175591535</v>
      </c>
      <c r="AN205" s="518">
        <f>VLOOKUP($A205,'Key Inputs_BY Techs'!$B$132:$AJ$135,AN$183,FALSE)/8760</f>
        <v>0.40577002905770027</v>
      </c>
      <c r="AO205" s="518">
        <f>VLOOKUP($A205,'Key Inputs_BY Techs'!$B$132:$AJ$135,AO$183,FALSE)/8760</f>
        <v>1.083437110834371</v>
      </c>
      <c r="AP205" s="518">
        <f>VLOOKUP($A205,'Key Inputs_BY Techs'!$B$132:$AJ$135,AP$183,FALSE)/8760</f>
        <v>0.51162308011623081</v>
      </c>
      <c r="AQ205" s="518">
        <f>VLOOKUP($A205,'Key Inputs_BY Techs'!$B$132:$AJ$135,AQ$183,FALSE)/8760</f>
        <v>1.3371731008717311</v>
      </c>
      <c r="AR205" s="518">
        <f>VLOOKUP($A205,'Key Inputs_BY Techs'!$B$132:$AJ$135,AR$183,FALSE)/8760</f>
        <v>0.12090078870900788</v>
      </c>
      <c r="AS205" s="518">
        <f>VLOOKUP($A205,'Key Inputs_BY Techs'!$B$132:$AJ$135,AS$183,FALSE)/8760</f>
        <v>0.24647156496471564</v>
      </c>
      <c r="AT205" s="222"/>
      <c r="AU205" s="212"/>
      <c r="AW205" s="232"/>
      <c r="BG205" s="212"/>
      <c r="BH205" s="225"/>
      <c r="BI205" s="225"/>
    </row>
    <row r="206" spans="1:61" x14ac:dyDescent="0.3">
      <c r="A206" s="547" t="str">
        <f t="shared" si="42"/>
        <v>Air conditioning</v>
      </c>
      <c r="B206" s="535" t="str">
        <f t="shared" si="42"/>
        <v>S-AC</v>
      </c>
      <c r="C206" s="535" t="str">
        <f t="shared" si="42"/>
        <v>Natural gas, Biogas</v>
      </c>
      <c r="D206" s="535" t="str">
        <f t="shared" si="42"/>
        <v>SRVGAS, SRVBGS, SRVH2G, SRVH2B, SRVEFUM</v>
      </c>
      <c r="E206" s="538" t="str">
        <f t="shared" si="42"/>
        <v>SRVGAS</v>
      </c>
      <c r="F206" s="535" t="str">
        <f t="shared" si="42"/>
        <v>Air conditioning (Adv.)</v>
      </c>
      <c r="G206" s="541" t="str">
        <f t="shared" si="42"/>
        <v>03</v>
      </c>
      <c r="H206" s="541"/>
      <c r="I206" s="541"/>
      <c r="K206" s="405" t="str">
        <f t="shared" si="43"/>
        <v>S-AC_GAS03</v>
      </c>
      <c r="L206" s="203" t="str">
        <f t="shared" si="43"/>
        <v>SRV Air conditioning tech: Natural gas, Biogas - Air conditioning (Adv.)</v>
      </c>
      <c r="M206" s="405"/>
      <c r="N206" s="203"/>
      <c r="O206" s="405" t="s">
        <v>452</v>
      </c>
      <c r="P206" s="203" t="s">
        <v>154</v>
      </c>
      <c r="Q206" s="203"/>
      <c r="R206" s="518">
        <f>VLOOKUP($A206,'Key Inputs_BY Techs'!$B$132:$AJ$135,R$183,FALSE)/8760</f>
        <v>6.8493150684931503E-2</v>
      </c>
      <c r="S206" s="518">
        <f>VLOOKUP($A206,'Key Inputs_BY Techs'!$B$132:$AJ$135,S$183,FALSE)/8760</f>
        <v>0.86498547114985469</v>
      </c>
      <c r="T206" s="518">
        <f>VLOOKUP($A206,'Key Inputs_BY Techs'!$B$132:$AJ$135,T$183,FALSE)/8760</f>
        <v>0.68596928185969286</v>
      </c>
      <c r="U206" s="518">
        <f>VLOOKUP($A206,'Key Inputs_BY Techs'!$B$132:$AJ$135,U$183,FALSE)/8760</f>
        <v>1.0585305105853051</v>
      </c>
      <c r="V206" s="518">
        <f>VLOOKUP($A206,'Key Inputs_BY Techs'!$B$132:$AJ$135,V$183,FALSE)/8760</f>
        <v>0.6122872561228726</v>
      </c>
      <c r="W206" s="518">
        <f>VLOOKUP($A206,'Key Inputs_BY Techs'!$B$132:$AJ$135,W$183,FALSE)/8760</f>
        <v>0.31755915317559152</v>
      </c>
      <c r="X206" s="518">
        <f>VLOOKUP($A206,'Key Inputs_BY Techs'!$B$132:$AJ$135,X$183,FALSE)/8760</f>
        <v>0.26151930261519302</v>
      </c>
      <c r="Y206" s="518">
        <f>VLOOKUP($A206,'Key Inputs_BY Techs'!$B$132:$AJ$135,Y$183,FALSE)/8760</f>
        <v>0.94645080946450799</v>
      </c>
      <c r="Z206" s="518">
        <f>VLOOKUP($A206,'Key Inputs_BY Techs'!$B$132:$AJ$135,Z$183,FALSE)/8760</f>
        <v>1.2448111249481113</v>
      </c>
      <c r="AA206" s="518">
        <f>VLOOKUP($A206,'Key Inputs_BY Techs'!$B$132:$AJ$135,AA$183,FALSE)/8760</f>
        <v>0.81932337069323369</v>
      </c>
      <c r="AB206" s="518">
        <f>VLOOKUP($A206,'Key Inputs_BY Techs'!$B$132:$AJ$135,AB$183,FALSE)/8760</f>
        <v>0.10170195101701951</v>
      </c>
      <c r="AC206" s="518">
        <f>VLOOKUP($A206,'Key Inputs_BY Techs'!$B$132:$AJ$135,AC$183,FALSE)/8760</f>
        <v>0.12090078870900788</v>
      </c>
      <c r="AD206" s="518">
        <f>VLOOKUP($A206,'Key Inputs_BY Techs'!$B$132:$AJ$135,AD$183,FALSE)/8760</f>
        <v>0.40525114155251141</v>
      </c>
      <c r="AE206" s="518">
        <f>VLOOKUP($A206,'Key Inputs_BY Techs'!$B$132:$AJ$135,AE$183,FALSE)/8760</f>
        <v>0.16085512660855125</v>
      </c>
      <c r="AF206" s="518">
        <f>VLOOKUP($A206,'Key Inputs_BY Techs'!$B$132:$AJ$135,AF$183,FALSE)/8760</f>
        <v>3.3208800332088007E-2</v>
      </c>
      <c r="AG206" s="518">
        <f>VLOOKUP($A206,'Key Inputs_BY Techs'!$B$132:$AJ$135,AG$183,FALSE)/8760</f>
        <v>0.16760066417600664</v>
      </c>
      <c r="AH206" s="518">
        <f>VLOOKUP($A206,'Key Inputs_BY Techs'!$B$132:$AJ$135,AH$183,FALSE)/8760</f>
        <v>0.19925280199252801</v>
      </c>
      <c r="AI206" s="518">
        <f>VLOOKUP($A206,'Key Inputs_BY Techs'!$B$132:$AJ$135,AI$183,FALSE)/8760</f>
        <v>6.8493150684931503E-2</v>
      </c>
      <c r="AJ206" s="518">
        <f>VLOOKUP($A206,'Key Inputs_BY Techs'!$B$132:$AJ$135,AJ$183,FALSE)/8760</f>
        <v>1.3008509755085098</v>
      </c>
      <c r="AK206" s="518">
        <f>VLOOKUP($A206,'Key Inputs_BY Techs'!$B$132:$AJ$135,AK$183,FALSE)/8760</f>
        <v>1.4009962640099625</v>
      </c>
      <c r="AL206" s="518">
        <f>VLOOKUP($A206,'Key Inputs_BY Techs'!$B$132:$AJ$135,AL$183,FALSE)/8760</f>
        <v>0.30510585305105853</v>
      </c>
      <c r="AM206" s="518">
        <f>VLOOKUP($A206,'Key Inputs_BY Techs'!$B$132:$AJ$135,AM$183,FALSE)/8760</f>
        <v>0.67559153175591535</v>
      </c>
      <c r="AN206" s="518">
        <f>VLOOKUP($A206,'Key Inputs_BY Techs'!$B$132:$AJ$135,AN$183,FALSE)/8760</f>
        <v>0.40577002905770027</v>
      </c>
      <c r="AO206" s="518">
        <f>VLOOKUP($A206,'Key Inputs_BY Techs'!$B$132:$AJ$135,AO$183,FALSE)/8760</f>
        <v>1.083437110834371</v>
      </c>
      <c r="AP206" s="518">
        <f>VLOOKUP($A206,'Key Inputs_BY Techs'!$B$132:$AJ$135,AP$183,FALSE)/8760</f>
        <v>0.51162308011623081</v>
      </c>
      <c r="AQ206" s="518">
        <f>VLOOKUP($A206,'Key Inputs_BY Techs'!$B$132:$AJ$135,AQ$183,FALSE)/8760</f>
        <v>1.3371731008717311</v>
      </c>
      <c r="AR206" s="518">
        <f>VLOOKUP($A206,'Key Inputs_BY Techs'!$B$132:$AJ$135,AR$183,FALSE)/8760</f>
        <v>0.12090078870900788</v>
      </c>
      <c r="AS206" s="518">
        <f>VLOOKUP($A206,'Key Inputs_BY Techs'!$B$132:$AJ$135,AS$183,FALSE)/8760</f>
        <v>0.24647156496471564</v>
      </c>
      <c r="AT206" s="222"/>
      <c r="AU206" s="212"/>
      <c r="AW206" s="232"/>
      <c r="BG206" s="212"/>
      <c r="BH206" s="225"/>
      <c r="BI206" s="225"/>
    </row>
    <row r="207" spans="1:61" x14ac:dyDescent="0.3">
      <c r="A207" s="547" t="str">
        <f t="shared" si="42"/>
        <v>Air conditioning</v>
      </c>
      <c r="B207" s="535" t="str">
        <f t="shared" si="42"/>
        <v>S-AC</v>
      </c>
      <c r="C207" s="535" t="str">
        <f t="shared" si="42"/>
        <v>Heat</v>
      </c>
      <c r="D207" s="535" t="str">
        <f t="shared" si="42"/>
        <v>SRVHET</v>
      </c>
      <c r="E207" s="538" t="str">
        <f t="shared" si="42"/>
        <v>SRVHET</v>
      </c>
      <c r="F207" s="535" t="str">
        <f t="shared" si="42"/>
        <v>Air conditioning (Ord.)</v>
      </c>
      <c r="G207" s="541" t="str">
        <f t="shared" si="42"/>
        <v>01</v>
      </c>
      <c r="H207" s="541"/>
      <c r="I207" s="541"/>
      <c r="K207" s="405" t="str">
        <f t="shared" si="43"/>
        <v>S-AC_HET01</v>
      </c>
      <c r="L207" s="203" t="str">
        <f t="shared" si="43"/>
        <v>SRV Air conditioning tech: Heat - Air conditioning (Ord.)</v>
      </c>
      <c r="M207" s="405"/>
      <c r="N207" s="203"/>
      <c r="O207" s="405" t="s">
        <v>452</v>
      </c>
      <c r="P207" s="203" t="s">
        <v>154</v>
      </c>
      <c r="Q207" s="203"/>
      <c r="R207" s="518">
        <f>VLOOKUP($A207,'Key Inputs_BY Techs'!$B$132:$AJ$135,R$183,FALSE)/8760</f>
        <v>6.8493150684931503E-2</v>
      </c>
      <c r="S207" s="518">
        <f>VLOOKUP($A207,'Key Inputs_BY Techs'!$B$132:$AJ$135,S$183,FALSE)/8760</f>
        <v>0.86498547114985469</v>
      </c>
      <c r="T207" s="518">
        <f>VLOOKUP($A207,'Key Inputs_BY Techs'!$B$132:$AJ$135,T$183,FALSE)/8760</f>
        <v>0.68596928185969286</v>
      </c>
      <c r="U207" s="518">
        <f>VLOOKUP($A207,'Key Inputs_BY Techs'!$B$132:$AJ$135,U$183,FALSE)/8760</f>
        <v>1.0585305105853051</v>
      </c>
      <c r="V207" s="518">
        <f>VLOOKUP($A207,'Key Inputs_BY Techs'!$B$132:$AJ$135,V$183,FALSE)/8760</f>
        <v>0.6122872561228726</v>
      </c>
      <c r="W207" s="518">
        <f>VLOOKUP($A207,'Key Inputs_BY Techs'!$B$132:$AJ$135,W$183,FALSE)/8760</f>
        <v>0.31755915317559152</v>
      </c>
      <c r="X207" s="518">
        <f>VLOOKUP($A207,'Key Inputs_BY Techs'!$B$132:$AJ$135,X$183,FALSE)/8760</f>
        <v>0.26151930261519302</v>
      </c>
      <c r="Y207" s="518">
        <f>VLOOKUP($A207,'Key Inputs_BY Techs'!$B$132:$AJ$135,Y$183,FALSE)/8760</f>
        <v>0.94645080946450799</v>
      </c>
      <c r="Z207" s="518">
        <f>VLOOKUP($A207,'Key Inputs_BY Techs'!$B$132:$AJ$135,Z$183,FALSE)/8760</f>
        <v>1.2448111249481113</v>
      </c>
      <c r="AA207" s="518">
        <f>VLOOKUP($A207,'Key Inputs_BY Techs'!$B$132:$AJ$135,AA$183,FALSE)/8760</f>
        <v>0.81932337069323369</v>
      </c>
      <c r="AB207" s="518">
        <f>VLOOKUP($A207,'Key Inputs_BY Techs'!$B$132:$AJ$135,AB$183,FALSE)/8760</f>
        <v>0.10170195101701951</v>
      </c>
      <c r="AC207" s="518">
        <f>VLOOKUP($A207,'Key Inputs_BY Techs'!$B$132:$AJ$135,AC$183,FALSE)/8760</f>
        <v>0.12090078870900788</v>
      </c>
      <c r="AD207" s="518">
        <f>VLOOKUP($A207,'Key Inputs_BY Techs'!$B$132:$AJ$135,AD$183,FALSE)/8760</f>
        <v>0.40525114155251141</v>
      </c>
      <c r="AE207" s="518">
        <f>VLOOKUP($A207,'Key Inputs_BY Techs'!$B$132:$AJ$135,AE$183,FALSE)/8760</f>
        <v>0.16085512660855125</v>
      </c>
      <c r="AF207" s="518">
        <f>VLOOKUP($A207,'Key Inputs_BY Techs'!$B$132:$AJ$135,AF$183,FALSE)/8760</f>
        <v>3.3208800332088007E-2</v>
      </c>
      <c r="AG207" s="518">
        <f>VLOOKUP($A207,'Key Inputs_BY Techs'!$B$132:$AJ$135,AG$183,FALSE)/8760</f>
        <v>0.16760066417600664</v>
      </c>
      <c r="AH207" s="518">
        <f>VLOOKUP($A207,'Key Inputs_BY Techs'!$B$132:$AJ$135,AH$183,FALSE)/8760</f>
        <v>0.19925280199252801</v>
      </c>
      <c r="AI207" s="518">
        <f>VLOOKUP($A207,'Key Inputs_BY Techs'!$B$132:$AJ$135,AI$183,FALSE)/8760</f>
        <v>6.8493150684931503E-2</v>
      </c>
      <c r="AJ207" s="518">
        <f>VLOOKUP($A207,'Key Inputs_BY Techs'!$B$132:$AJ$135,AJ$183,FALSE)/8760</f>
        <v>1.3008509755085098</v>
      </c>
      <c r="AK207" s="518">
        <f>VLOOKUP($A207,'Key Inputs_BY Techs'!$B$132:$AJ$135,AK$183,FALSE)/8760</f>
        <v>1.4009962640099625</v>
      </c>
      <c r="AL207" s="518">
        <f>VLOOKUP($A207,'Key Inputs_BY Techs'!$B$132:$AJ$135,AL$183,FALSE)/8760</f>
        <v>0.30510585305105853</v>
      </c>
      <c r="AM207" s="518">
        <f>VLOOKUP($A207,'Key Inputs_BY Techs'!$B$132:$AJ$135,AM$183,FALSE)/8760</f>
        <v>0.67559153175591535</v>
      </c>
      <c r="AN207" s="518">
        <f>VLOOKUP($A207,'Key Inputs_BY Techs'!$B$132:$AJ$135,AN$183,FALSE)/8760</f>
        <v>0.40577002905770027</v>
      </c>
      <c r="AO207" s="518">
        <f>VLOOKUP($A207,'Key Inputs_BY Techs'!$B$132:$AJ$135,AO$183,FALSE)/8760</f>
        <v>1.083437110834371</v>
      </c>
      <c r="AP207" s="518">
        <f>VLOOKUP($A207,'Key Inputs_BY Techs'!$B$132:$AJ$135,AP$183,FALSE)/8760</f>
        <v>0.51162308011623081</v>
      </c>
      <c r="AQ207" s="518">
        <f>VLOOKUP($A207,'Key Inputs_BY Techs'!$B$132:$AJ$135,AQ$183,FALSE)/8760</f>
        <v>1.3371731008717311</v>
      </c>
      <c r="AR207" s="518">
        <f>VLOOKUP($A207,'Key Inputs_BY Techs'!$B$132:$AJ$135,AR$183,FALSE)/8760</f>
        <v>0.12090078870900788</v>
      </c>
      <c r="AS207" s="518">
        <f>VLOOKUP($A207,'Key Inputs_BY Techs'!$B$132:$AJ$135,AS$183,FALSE)/8760</f>
        <v>0.24647156496471564</v>
      </c>
      <c r="AT207" s="222"/>
      <c r="AU207" s="212"/>
      <c r="AW207" s="232"/>
      <c r="BG207" s="212"/>
      <c r="BH207" s="225"/>
      <c r="BI207" s="225"/>
    </row>
    <row r="208" spans="1:61" x14ac:dyDescent="0.3">
      <c r="A208" s="547" t="str">
        <f t="shared" si="42"/>
        <v>Air conditioning</v>
      </c>
      <c r="B208" s="535" t="str">
        <f t="shared" si="42"/>
        <v>S-AC</v>
      </c>
      <c r="C208" s="535" t="str">
        <f t="shared" si="42"/>
        <v>Heat</v>
      </c>
      <c r="D208" s="535" t="str">
        <f t="shared" si="42"/>
        <v>SRVHET</v>
      </c>
      <c r="E208" s="538" t="str">
        <f t="shared" si="42"/>
        <v>SRVHET</v>
      </c>
      <c r="F208" s="535" t="str">
        <f t="shared" si="42"/>
        <v>Air conditioning (Imp.)</v>
      </c>
      <c r="G208" s="541" t="str">
        <f t="shared" si="42"/>
        <v>02</v>
      </c>
      <c r="H208" s="541"/>
      <c r="I208" s="541"/>
      <c r="K208" s="405" t="str">
        <f t="shared" si="43"/>
        <v>S-AC_HET02</v>
      </c>
      <c r="L208" s="203" t="str">
        <f t="shared" si="43"/>
        <v>SRV Air conditioning tech: Heat - Air conditioning (Imp.)</v>
      </c>
      <c r="M208" s="405"/>
      <c r="N208" s="203"/>
      <c r="O208" s="405" t="s">
        <v>452</v>
      </c>
      <c r="P208" s="203" t="s">
        <v>154</v>
      </c>
      <c r="Q208" s="203"/>
      <c r="R208" s="518">
        <f>VLOOKUP($A208,'Key Inputs_BY Techs'!$B$132:$AJ$135,R$183,FALSE)/8760</f>
        <v>6.8493150684931503E-2</v>
      </c>
      <c r="S208" s="518">
        <f>VLOOKUP($A208,'Key Inputs_BY Techs'!$B$132:$AJ$135,S$183,FALSE)/8760</f>
        <v>0.86498547114985469</v>
      </c>
      <c r="T208" s="518">
        <f>VLOOKUP($A208,'Key Inputs_BY Techs'!$B$132:$AJ$135,T$183,FALSE)/8760</f>
        <v>0.68596928185969286</v>
      </c>
      <c r="U208" s="518">
        <f>VLOOKUP($A208,'Key Inputs_BY Techs'!$B$132:$AJ$135,U$183,FALSE)/8760</f>
        <v>1.0585305105853051</v>
      </c>
      <c r="V208" s="518">
        <f>VLOOKUP($A208,'Key Inputs_BY Techs'!$B$132:$AJ$135,V$183,FALSE)/8760</f>
        <v>0.6122872561228726</v>
      </c>
      <c r="W208" s="518">
        <f>VLOOKUP($A208,'Key Inputs_BY Techs'!$B$132:$AJ$135,W$183,FALSE)/8760</f>
        <v>0.31755915317559152</v>
      </c>
      <c r="X208" s="518">
        <f>VLOOKUP($A208,'Key Inputs_BY Techs'!$B$132:$AJ$135,X$183,FALSE)/8760</f>
        <v>0.26151930261519302</v>
      </c>
      <c r="Y208" s="518">
        <f>VLOOKUP($A208,'Key Inputs_BY Techs'!$B$132:$AJ$135,Y$183,FALSE)/8760</f>
        <v>0.94645080946450799</v>
      </c>
      <c r="Z208" s="518">
        <f>VLOOKUP($A208,'Key Inputs_BY Techs'!$B$132:$AJ$135,Z$183,FALSE)/8760</f>
        <v>1.2448111249481113</v>
      </c>
      <c r="AA208" s="518">
        <f>VLOOKUP($A208,'Key Inputs_BY Techs'!$B$132:$AJ$135,AA$183,FALSE)/8760</f>
        <v>0.81932337069323369</v>
      </c>
      <c r="AB208" s="518">
        <f>VLOOKUP($A208,'Key Inputs_BY Techs'!$B$132:$AJ$135,AB$183,FALSE)/8760</f>
        <v>0.10170195101701951</v>
      </c>
      <c r="AC208" s="518">
        <f>VLOOKUP($A208,'Key Inputs_BY Techs'!$B$132:$AJ$135,AC$183,FALSE)/8760</f>
        <v>0.12090078870900788</v>
      </c>
      <c r="AD208" s="518">
        <f>VLOOKUP($A208,'Key Inputs_BY Techs'!$B$132:$AJ$135,AD$183,FALSE)/8760</f>
        <v>0.40525114155251141</v>
      </c>
      <c r="AE208" s="518">
        <f>VLOOKUP($A208,'Key Inputs_BY Techs'!$B$132:$AJ$135,AE$183,FALSE)/8760</f>
        <v>0.16085512660855125</v>
      </c>
      <c r="AF208" s="518">
        <f>VLOOKUP($A208,'Key Inputs_BY Techs'!$B$132:$AJ$135,AF$183,FALSE)/8760</f>
        <v>3.3208800332088007E-2</v>
      </c>
      <c r="AG208" s="518">
        <f>VLOOKUP($A208,'Key Inputs_BY Techs'!$B$132:$AJ$135,AG$183,FALSE)/8760</f>
        <v>0.16760066417600664</v>
      </c>
      <c r="AH208" s="518">
        <f>VLOOKUP($A208,'Key Inputs_BY Techs'!$B$132:$AJ$135,AH$183,FALSE)/8760</f>
        <v>0.19925280199252801</v>
      </c>
      <c r="AI208" s="518">
        <f>VLOOKUP($A208,'Key Inputs_BY Techs'!$B$132:$AJ$135,AI$183,FALSE)/8760</f>
        <v>6.8493150684931503E-2</v>
      </c>
      <c r="AJ208" s="518">
        <f>VLOOKUP($A208,'Key Inputs_BY Techs'!$B$132:$AJ$135,AJ$183,FALSE)/8760</f>
        <v>1.3008509755085098</v>
      </c>
      <c r="AK208" s="518">
        <f>VLOOKUP($A208,'Key Inputs_BY Techs'!$B$132:$AJ$135,AK$183,FALSE)/8760</f>
        <v>1.4009962640099625</v>
      </c>
      <c r="AL208" s="518">
        <f>VLOOKUP($A208,'Key Inputs_BY Techs'!$B$132:$AJ$135,AL$183,FALSE)/8760</f>
        <v>0.30510585305105853</v>
      </c>
      <c r="AM208" s="518">
        <f>VLOOKUP($A208,'Key Inputs_BY Techs'!$B$132:$AJ$135,AM$183,FALSE)/8760</f>
        <v>0.67559153175591535</v>
      </c>
      <c r="AN208" s="518">
        <f>VLOOKUP($A208,'Key Inputs_BY Techs'!$B$132:$AJ$135,AN$183,FALSE)/8760</f>
        <v>0.40577002905770027</v>
      </c>
      <c r="AO208" s="518">
        <f>VLOOKUP($A208,'Key Inputs_BY Techs'!$B$132:$AJ$135,AO$183,FALSE)/8760</f>
        <v>1.083437110834371</v>
      </c>
      <c r="AP208" s="518">
        <f>VLOOKUP($A208,'Key Inputs_BY Techs'!$B$132:$AJ$135,AP$183,FALSE)/8760</f>
        <v>0.51162308011623081</v>
      </c>
      <c r="AQ208" s="518">
        <f>VLOOKUP($A208,'Key Inputs_BY Techs'!$B$132:$AJ$135,AQ$183,FALSE)/8760</f>
        <v>1.3371731008717311</v>
      </c>
      <c r="AR208" s="518">
        <f>VLOOKUP($A208,'Key Inputs_BY Techs'!$B$132:$AJ$135,AR$183,FALSE)/8760</f>
        <v>0.12090078870900788</v>
      </c>
      <c r="AS208" s="518">
        <f>VLOOKUP($A208,'Key Inputs_BY Techs'!$B$132:$AJ$135,AS$183,FALSE)/8760</f>
        <v>0.24647156496471564</v>
      </c>
      <c r="AT208" s="222"/>
      <c r="AU208" s="212"/>
      <c r="AW208" s="232"/>
      <c r="BG208" s="212"/>
      <c r="BH208" s="225"/>
      <c r="BI208" s="225"/>
    </row>
    <row r="209" spans="1:61" x14ac:dyDescent="0.3">
      <c r="A209" s="547" t="str">
        <f t="shared" si="42"/>
        <v>Air conditioning</v>
      </c>
      <c r="B209" s="535" t="str">
        <f t="shared" si="42"/>
        <v>S-AC</v>
      </c>
      <c r="C209" s="535" t="str">
        <f t="shared" si="42"/>
        <v>Heat</v>
      </c>
      <c r="D209" s="535" t="str">
        <f t="shared" si="42"/>
        <v>SRVHET</v>
      </c>
      <c r="E209" s="538" t="str">
        <f t="shared" si="42"/>
        <v>SRVHET</v>
      </c>
      <c r="F209" s="535" t="str">
        <f t="shared" si="42"/>
        <v>Air conditioning (Adv.)</v>
      </c>
      <c r="G209" s="541" t="str">
        <f t="shared" si="42"/>
        <v>03</v>
      </c>
      <c r="H209" s="541"/>
      <c r="I209" s="541"/>
      <c r="K209" s="407" t="str">
        <f t="shared" si="43"/>
        <v>S-AC_HET03</v>
      </c>
      <c r="L209" s="230" t="str">
        <f t="shared" si="43"/>
        <v>SRV Air conditioning tech: Heat - Air conditioning (Adv.)</v>
      </c>
      <c r="M209" s="407"/>
      <c r="N209" s="230"/>
      <c r="O209" s="407" t="s">
        <v>452</v>
      </c>
      <c r="P209" s="230" t="s">
        <v>154</v>
      </c>
      <c r="Q209" s="230"/>
      <c r="R209" s="520">
        <f>VLOOKUP($A209,'Key Inputs_BY Techs'!$B$132:$AJ$135,R$183,FALSE)/8760</f>
        <v>6.8493150684931503E-2</v>
      </c>
      <c r="S209" s="520">
        <f>VLOOKUP($A209,'Key Inputs_BY Techs'!$B$132:$AJ$135,S$183,FALSE)/8760</f>
        <v>0.86498547114985469</v>
      </c>
      <c r="T209" s="520">
        <f>VLOOKUP($A209,'Key Inputs_BY Techs'!$B$132:$AJ$135,T$183,FALSE)/8760</f>
        <v>0.68596928185969286</v>
      </c>
      <c r="U209" s="520">
        <f>VLOOKUP($A209,'Key Inputs_BY Techs'!$B$132:$AJ$135,U$183,FALSE)/8760</f>
        <v>1.0585305105853051</v>
      </c>
      <c r="V209" s="520">
        <f>VLOOKUP($A209,'Key Inputs_BY Techs'!$B$132:$AJ$135,V$183,FALSE)/8760</f>
        <v>0.6122872561228726</v>
      </c>
      <c r="W209" s="520">
        <f>VLOOKUP($A209,'Key Inputs_BY Techs'!$B$132:$AJ$135,W$183,FALSE)/8760</f>
        <v>0.31755915317559152</v>
      </c>
      <c r="X209" s="520">
        <f>VLOOKUP($A209,'Key Inputs_BY Techs'!$B$132:$AJ$135,X$183,FALSE)/8760</f>
        <v>0.26151930261519302</v>
      </c>
      <c r="Y209" s="520">
        <f>VLOOKUP($A209,'Key Inputs_BY Techs'!$B$132:$AJ$135,Y$183,FALSE)/8760</f>
        <v>0.94645080946450799</v>
      </c>
      <c r="Z209" s="520">
        <f>VLOOKUP($A209,'Key Inputs_BY Techs'!$B$132:$AJ$135,Z$183,FALSE)/8760</f>
        <v>1.2448111249481113</v>
      </c>
      <c r="AA209" s="520">
        <f>VLOOKUP($A209,'Key Inputs_BY Techs'!$B$132:$AJ$135,AA$183,FALSE)/8760</f>
        <v>0.81932337069323369</v>
      </c>
      <c r="AB209" s="520">
        <f>VLOOKUP($A209,'Key Inputs_BY Techs'!$B$132:$AJ$135,AB$183,FALSE)/8760</f>
        <v>0.10170195101701951</v>
      </c>
      <c r="AC209" s="520">
        <f>VLOOKUP($A209,'Key Inputs_BY Techs'!$B$132:$AJ$135,AC$183,FALSE)/8760</f>
        <v>0.12090078870900788</v>
      </c>
      <c r="AD209" s="520">
        <f>VLOOKUP($A209,'Key Inputs_BY Techs'!$B$132:$AJ$135,AD$183,FALSE)/8760</f>
        <v>0.40525114155251141</v>
      </c>
      <c r="AE209" s="520">
        <f>VLOOKUP($A209,'Key Inputs_BY Techs'!$B$132:$AJ$135,AE$183,FALSE)/8760</f>
        <v>0.16085512660855125</v>
      </c>
      <c r="AF209" s="520">
        <f>VLOOKUP($A209,'Key Inputs_BY Techs'!$B$132:$AJ$135,AF$183,FALSE)/8760</f>
        <v>3.3208800332088007E-2</v>
      </c>
      <c r="AG209" s="520">
        <f>VLOOKUP($A209,'Key Inputs_BY Techs'!$B$132:$AJ$135,AG$183,FALSE)/8760</f>
        <v>0.16760066417600664</v>
      </c>
      <c r="AH209" s="520">
        <f>VLOOKUP($A209,'Key Inputs_BY Techs'!$B$132:$AJ$135,AH$183,FALSE)/8760</f>
        <v>0.19925280199252801</v>
      </c>
      <c r="AI209" s="520">
        <f>VLOOKUP($A209,'Key Inputs_BY Techs'!$B$132:$AJ$135,AI$183,FALSE)/8760</f>
        <v>6.8493150684931503E-2</v>
      </c>
      <c r="AJ209" s="520">
        <f>VLOOKUP($A209,'Key Inputs_BY Techs'!$B$132:$AJ$135,AJ$183,FALSE)/8760</f>
        <v>1.3008509755085098</v>
      </c>
      <c r="AK209" s="520">
        <f>VLOOKUP($A209,'Key Inputs_BY Techs'!$B$132:$AJ$135,AK$183,FALSE)/8760</f>
        <v>1.4009962640099625</v>
      </c>
      <c r="AL209" s="520">
        <f>VLOOKUP($A209,'Key Inputs_BY Techs'!$B$132:$AJ$135,AL$183,FALSE)/8760</f>
        <v>0.30510585305105853</v>
      </c>
      <c r="AM209" s="520">
        <f>VLOOKUP($A209,'Key Inputs_BY Techs'!$B$132:$AJ$135,AM$183,FALSE)/8760</f>
        <v>0.67559153175591535</v>
      </c>
      <c r="AN209" s="520">
        <f>VLOOKUP($A209,'Key Inputs_BY Techs'!$B$132:$AJ$135,AN$183,FALSE)/8760</f>
        <v>0.40577002905770027</v>
      </c>
      <c r="AO209" s="520">
        <f>VLOOKUP($A209,'Key Inputs_BY Techs'!$B$132:$AJ$135,AO$183,FALSE)/8760</f>
        <v>1.083437110834371</v>
      </c>
      <c r="AP209" s="520">
        <f>VLOOKUP($A209,'Key Inputs_BY Techs'!$B$132:$AJ$135,AP$183,FALSE)/8760</f>
        <v>0.51162308011623081</v>
      </c>
      <c r="AQ209" s="520">
        <f>VLOOKUP($A209,'Key Inputs_BY Techs'!$B$132:$AJ$135,AQ$183,FALSE)/8760</f>
        <v>1.3371731008717311</v>
      </c>
      <c r="AR209" s="520">
        <f>VLOOKUP($A209,'Key Inputs_BY Techs'!$B$132:$AJ$135,AR$183,FALSE)/8760</f>
        <v>0.12090078870900788</v>
      </c>
      <c r="AS209" s="520">
        <f>VLOOKUP($A209,'Key Inputs_BY Techs'!$B$132:$AJ$135,AS$183,FALSE)/8760</f>
        <v>0.24647156496471564</v>
      </c>
      <c r="AT209" s="222"/>
      <c r="AU209" s="212"/>
      <c r="AW209" s="232"/>
      <c r="BG209" s="212"/>
      <c r="BH209" s="225"/>
      <c r="BI209" s="225"/>
    </row>
    <row r="210" spans="1:61" x14ac:dyDescent="0.3">
      <c r="A210" s="547" t="str">
        <f t="shared" ref="A210:G210" si="44">A32</f>
        <v>Street lighting</v>
      </c>
      <c r="B210" s="535" t="str">
        <f t="shared" si="44"/>
        <v>S-SLIG</v>
      </c>
      <c r="C210" s="535" t="str">
        <f t="shared" si="44"/>
        <v>Electricity</v>
      </c>
      <c r="D210" s="535" t="str">
        <f t="shared" si="44"/>
        <v>SRVELC</v>
      </c>
      <c r="E210" s="538" t="str">
        <f t="shared" si="44"/>
        <v>SRVELC</v>
      </c>
      <c r="F210" s="535" t="str">
        <f t="shared" si="44"/>
        <v>Street lights (Ord.)</v>
      </c>
      <c r="G210" s="541" t="str">
        <f t="shared" si="44"/>
        <v>01</v>
      </c>
      <c r="H210" s="541"/>
      <c r="I210" s="541"/>
      <c r="K210" s="405" t="str">
        <f t="shared" si="43"/>
        <v>S-SLIG_ELC01</v>
      </c>
      <c r="L210" s="203" t="str">
        <f t="shared" si="43"/>
        <v>SRV Street lighting tech: Electricity - Street lights (Ord.)</v>
      </c>
      <c r="M210" s="405"/>
      <c r="N210" s="203"/>
      <c r="O210" s="405" t="s">
        <v>452</v>
      </c>
      <c r="P210" s="203" t="s">
        <v>154</v>
      </c>
      <c r="Q210" s="203"/>
      <c r="R210" s="518">
        <v>1</v>
      </c>
      <c r="S210" s="518">
        <v>1</v>
      </c>
      <c r="T210" s="518">
        <v>1</v>
      </c>
      <c r="U210" s="518">
        <v>1</v>
      </c>
      <c r="V210" s="518">
        <v>1</v>
      </c>
      <c r="W210" s="518">
        <v>1</v>
      </c>
      <c r="X210" s="518">
        <v>1</v>
      </c>
      <c r="Y210" s="518">
        <v>1</v>
      </c>
      <c r="Z210" s="518">
        <v>1</v>
      </c>
      <c r="AA210" s="518">
        <v>1</v>
      </c>
      <c r="AB210" s="518">
        <v>1</v>
      </c>
      <c r="AC210" s="518">
        <v>1</v>
      </c>
      <c r="AD210" s="518">
        <v>1</v>
      </c>
      <c r="AE210" s="518">
        <v>1</v>
      </c>
      <c r="AF210" s="518">
        <v>1</v>
      </c>
      <c r="AG210" s="518">
        <v>1</v>
      </c>
      <c r="AH210" s="518">
        <v>1</v>
      </c>
      <c r="AI210" s="518">
        <v>1</v>
      </c>
      <c r="AJ210" s="518">
        <v>1</v>
      </c>
      <c r="AK210" s="518">
        <v>1</v>
      </c>
      <c r="AL210" s="518">
        <v>1</v>
      </c>
      <c r="AM210" s="518">
        <v>1</v>
      </c>
      <c r="AN210" s="518">
        <v>1</v>
      </c>
      <c r="AO210" s="518">
        <v>1</v>
      </c>
      <c r="AP210" s="518">
        <v>1</v>
      </c>
      <c r="AQ210" s="518">
        <v>1</v>
      </c>
      <c r="AR210" s="518">
        <v>1</v>
      </c>
      <c r="AS210" s="518">
        <v>1</v>
      </c>
      <c r="AT210" s="222"/>
      <c r="AU210" s="212"/>
      <c r="AW210" s="232"/>
      <c r="BG210" s="212"/>
      <c r="BH210" s="225"/>
      <c r="BI210" s="225"/>
    </row>
    <row r="211" spans="1:61" x14ac:dyDescent="0.3">
      <c r="A211" s="547" t="str">
        <f t="shared" ref="A211:G211" si="45">A33</f>
        <v>Street lighting</v>
      </c>
      <c r="B211" s="535" t="str">
        <f t="shared" si="45"/>
        <v>S-SLIG</v>
      </c>
      <c r="C211" s="535" t="str">
        <f t="shared" si="45"/>
        <v>Electricity</v>
      </c>
      <c r="D211" s="535" t="str">
        <f t="shared" si="45"/>
        <v>SRVELC</v>
      </c>
      <c r="E211" s="538" t="str">
        <f t="shared" si="45"/>
        <v>SRVELC</v>
      </c>
      <c r="F211" s="535" t="str">
        <f t="shared" si="45"/>
        <v>Street lights (Imp.)</v>
      </c>
      <c r="G211" s="541" t="str">
        <f t="shared" si="45"/>
        <v>02</v>
      </c>
      <c r="H211" s="541"/>
      <c r="I211" s="541"/>
      <c r="K211" s="405" t="str">
        <f t="shared" si="43"/>
        <v>S-SLIG_ELC02</v>
      </c>
      <c r="L211" s="203" t="str">
        <f t="shared" si="43"/>
        <v>SRV Street lighting tech: Electricity - Street lights (Imp.)</v>
      </c>
      <c r="M211" s="405"/>
      <c r="N211" s="203"/>
      <c r="O211" s="405" t="s">
        <v>452</v>
      </c>
      <c r="P211" s="203" t="s">
        <v>154</v>
      </c>
      <c r="Q211" s="203"/>
      <c r="R211" s="518">
        <v>1</v>
      </c>
      <c r="S211" s="518">
        <v>1</v>
      </c>
      <c r="T211" s="518">
        <v>1</v>
      </c>
      <c r="U211" s="518">
        <v>1</v>
      </c>
      <c r="V211" s="518">
        <v>1</v>
      </c>
      <c r="W211" s="518">
        <v>1</v>
      </c>
      <c r="X211" s="518">
        <v>1</v>
      </c>
      <c r="Y211" s="518">
        <v>1</v>
      </c>
      <c r="Z211" s="518">
        <v>1</v>
      </c>
      <c r="AA211" s="518">
        <v>1</v>
      </c>
      <c r="AB211" s="518">
        <v>1</v>
      </c>
      <c r="AC211" s="518">
        <v>1</v>
      </c>
      <c r="AD211" s="518">
        <v>1</v>
      </c>
      <c r="AE211" s="518">
        <v>1</v>
      </c>
      <c r="AF211" s="518">
        <v>1</v>
      </c>
      <c r="AG211" s="518">
        <v>1</v>
      </c>
      <c r="AH211" s="518">
        <v>1</v>
      </c>
      <c r="AI211" s="518">
        <v>1</v>
      </c>
      <c r="AJ211" s="518">
        <v>1</v>
      </c>
      <c r="AK211" s="518">
        <v>1</v>
      </c>
      <c r="AL211" s="518">
        <v>1</v>
      </c>
      <c r="AM211" s="518">
        <v>1</v>
      </c>
      <c r="AN211" s="518">
        <v>1</v>
      </c>
      <c r="AO211" s="518">
        <v>1</v>
      </c>
      <c r="AP211" s="518">
        <v>1</v>
      </c>
      <c r="AQ211" s="518">
        <v>1</v>
      </c>
      <c r="AR211" s="518">
        <v>1</v>
      </c>
      <c r="AS211" s="518">
        <v>1</v>
      </c>
      <c r="AT211" s="222"/>
      <c r="AU211" s="212"/>
      <c r="AW211" s="232"/>
      <c r="BG211" s="212"/>
      <c r="BH211" s="225"/>
      <c r="BI211" s="225"/>
    </row>
    <row r="212" spans="1:61" x14ac:dyDescent="0.3">
      <c r="A212" s="547" t="str">
        <f t="shared" ref="A212:G212" si="46">A34</f>
        <v>Street lighting</v>
      </c>
      <c r="B212" s="535" t="str">
        <f t="shared" si="46"/>
        <v>S-SLIG</v>
      </c>
      <c r="C212" s="535" t="str">
        <f t="shared" si="46"/>
        <v>Electricity</v>
      </c>
      <c r="D212" s="535" t="str">
        <f t="shared" si="46"/>
        <v>SRVELC</v>
      </c>
      <c r="E212" s="538" t="str">
        <f t="shared" si="46"/>
        <v>SRVELC</v>
      </c>
      <c r="F212" s="535" t="str">
        <f t="shared" si="46"/>
        <v>Street lights (Adv.)</v>
      </c>
      <c r="G212" s="541" t="str">
        <f t="shared" si="46"/>
        <v>03</v>
      </c>
      <c r="H212" s="541"/>
      <c r="I212" s="541"/>
      <c r="K212" s="407" t="str">
        <f t="shared" si="43"/>
        <v>S-SLIG_ELC03</v>
      </c>
      <c r="L212" s="230" t="str">
        <f t="shared" si="43"/>
        <v>SRV Street lighting tech: Electricity - Street lights (Adv.)</v>
      </c>
      <c r="M212" s="407"/>
      <c r="N212" s="230"/>
      <c r="O212" s="407" t="s">
        <v>452</v>
      </c>
      <c r="P212" s="230" t="s">
        <v>154</v>
      </c>
      <c r="Q212" s="230"/>
      <c r="R212" s="520">
        <v>1</v>
      </c>
      <c r="S212" s="520">
        <v>1</v>
      </c>
      <c r="T212" s="520">
        <v>1</v>
      </c>
      <c r="U212" s="520">
        <v>1</v>
      </c>
      <c r="V212" s="520">
        <v>1</v>
      </c>
      <c r="W212" s="520">
        <v>1</v>
      </c>
      <c r="X212" s="520">
        <v>1</v>
      </c>
      <c r="Y212" s="520">
        <v>1</v>
      </c>
      <c r="Z212" s="520">
        <v>1</v>
      </c>
      <c r="AA212" s="520">
        <v>1</v>
      </c>
      <c r="AB212" s="520">
        <v>1</v>
      </c>
      <c r="AC212" s="520">
        <v>1</v>
      </c>
      <c r="AD212" s="520">
        <v>1</v>
      </c>
      <c r="AE212" s="520">
        <v>1</v>
      </c>
      <c r="AF212" s="520">
        <v>1</v>
      </c>
      <c r="AG212" s="520">
        <v>1</v>
      </c>
      <c r="AH212" s="520">
        <v>1</v>
      </c>
      <c r="AI212" s="520">
        <v>1</v>
      </c>
      <c r="AJ212" s="520">
        <v>1</v>
      </c>
      <c r="AK212" s="520">
        <v>1</v>
      </c>
      <c r="AL212" s="520">
        <v>1</v>
      </c>
      <c r="AM212" s="520">
        <v>1</v>
      </c>
      <c r="AN212" s="520">
        <v>1</v>
      </c>
      <c r="AO212" s="520">
        <v>1</v>
      </c>
      <c r="AP212" s="520">
        <v>1</v>
      </c>
      <c r="AQ212" s="520">
        <v>1</v>
      </c>
      <c r="AR212" s="520">
        <v>1</v>
      </c>
      <c r="AS212" s="520">
        <v>1</v>
      </c>
      <c r="AT212" s="222"/>
      <c r="AU212" s="212"/>
      <c r="AW212" s="232"/>
      <c r="BG212" s="212"/>
      <c r="BH212" s="225"/>
      <c r="BI212" s="225"/>
    </row>
    <row r="213" spans="1:61" x14ac:dyDescent="0.3">
      <c r="A213" s="547" t="str">
        <f t="shared" ref="A213:G213" si="47">A35</f>
        <v>Lighting</v>
      </c>
      <c r="B213" s="535" t="str">
        <f t="shared" si="47"/>
        <v>S-LIG</v>
      </c>
      <c r="C213" s="535" t="str">
        <f t="shared" si="47"/>
        <v>Electricity</v>
      </c>
      <c r="D213" s="535" t="str">
        <f t="shared" si="47"/>
        <v>SRVELC</v>
      </c>
      <c r="E213" s="538" t="str">
        <f t="shared" si="47"/>
        <v>SRVELC</v>
      </c>
      <c r="F213" s="535" t="str">
        <f t="shared" si="47"/>
        <v>Office lighting (Ord.)</v>
      </c>
      <c r="G213" s="541" t="str">
        <f t="shared" si="47"/>
        <v>01</v>
      </c>
      <c r="H213" s="541"/>
      <c r="I213" s="541"/>
      <c r="K213" s="405" t="str">
        <f t="shared" si="43"/>
        <v>S-LIG_ELC01</v>
      </c>
      <c r="L213" s="203" t="str">
        <f t="shared" si="43"/>
        <v>SRV Lighting tech: Electricity - Office lighting (Ord.)</v>
      </c>
      <c r="M213" s="405"/>
      <c r="N213" s="203"/>
      <c r="O213" s="405" t="s">
        <v>452</v>
      </c>
      <c r="P213" s="203" t="s">
        <v>154</v>
      </c>
      <c r="Q213" s="203"/>
      <c r="R213" s="518">
        <v>1</v>
      </c>
      <c r="S213" s="518">
        <v>1</v>
      </c>
      <c r="T213" s="518">
        <v>1</v>
      </c>
      <c r="U213" s="518">
        <v>1</v>
      </c>
      <c r="V213" s="518">
        <v>1</v>
      </c>
      <c r="W213" s="518">
        <v>1</v>
      </c>
      <c r="X213" s="518">
        <v>1</v>
      </c>
      <c r="Y213" s="518">
        <v>1</v>
      </c>
      <c r="Z213" s="518">
        <v>1</v>
      </c>
      <c r="AA213" s="518">
        <v>1</v>
      </c>
      <c r="AB213" s="518">
        <v>1</v>
      </c>
      <c r="AC213" s="518">
        <v>1</v>
      </c>
      <c r="AD213" s="518">
        <v>1</v>
      </c>
      <c r="AE213" s="518">
        <v>1</v>
      </c>
      <c r="AF213" s="518">
        <v>1</v>
      </c>
      <c r="AG213" s="518">
        <v>1</v>
      </c>
      <c r="AH213" s="518">
        <v>1</v>
      </c>
      <c r="AI213" s="518">
        <v>1</v>
      </c>
      <c r="AJ213" s="518">
        <v>1</v>
      </c>
      <c r="AK213" s="518">
        <v>1</v>
      </c>
      <c r="AL213" s="518">
        <v>1</v>
      </c>
      <c r="AM213" s="518">
        <v>1</v>
      </c>
      <c r="AN213" s="518">
        <v>1</v>
      </c>
      <c r="AO213" s="518">
        <v>1</v>
      </c>
      <c r="AP213" s="518">
        <v>1</v>
      </c>
      <c r="AQ213" s="518">
        <v>1</v>
      </c>
      <c r="AR213" s="518">
        <v>1</v>
      </c>
      <c r="AS213" s="518">
        <v>1</v>
      </c>
      <c r="AT213" s="222"/>
      <c r="AU213" s="212"/>
      <c r="AW213" s="232"/>
      <c r="BG213" s="212"/>
      <c r="BH213" s="225"/>
      <c r="BI213" s="225"/>
    </row>
    <row r="214" spans="1:61" x14ac:dyDescent="0.3">
      <c r="A214" s="547" t="str">
        <f t="shared" ref="A214:G214" si="48">A36</f>
        <v>Lighting</v>
      </c>
      <c r="B214" s="535" t="str">
        <f t="shared" si="48"/>
        <v>S-LIG</v>
      </c>
      <c r="C214" s="535" t="str">
        <f t="shared" si="48"/>
        <v>Electricity</v>
      </c>
      <c r="D214" s="535" t="str">
        <f t="shared" si="48"/>
        <v>SRVELC</v>
      </c>
      <c r="E214" s="538" t="str">
        <f t="shared" si="48"/>
        <v>SRVELC</v>
      </c>
      <c r="F214" s="535" t="str">
        <f t="shared" si="48"/>
        <v>Office lighting (Imp.)</v>
      </c>
      <c r="G214" s="541" t="str">
        <f t="shared" si="48"/>
        <v>02</v>
      </c>
      <c r="H214" s="541"/>
      <c r="I214" s="541"/>
      <c r="K214" s="405" t="str">
        <f t="shared" si="43"/>
        <v>S-LIG_ELC02</v>
      </c>
      <c r="L214" s="203" t="str">
        <f t="shared" si="43"/>
        <v>SRV Lighting tech: Electricity - Office lighting (Imp.)</v>
      </c>
      <c r="M214" s="405"/>
      <c r="N214" s="203"/>
      <c r="O214" s="405" t="s">
        <v>452</v>
      </c>
      <c r="P214" s="203" t="s">
        <v>154</v>
      </c>
      <c r="Q214" s="203"/>
      <c r="R214" s="518">
        <v>1</v>
      </c>
      <c r="S214" s="518">
        <v>1</v>
      </c>
      <c r="T214" s="518">
        <v>1</v>
      </c>
      <c r="U214" s="518">
        <v>1</v>
      </c>
      <c r="V214" s="518">
        <v>1</v>
      </c>
      <c r="W214" s="518">
        <v>1</v>
      </c>
      <c r="X214" s="518">
        <v>1</v>
      </c>
      <c r="Y214" s="518">
        <v>1</v>
      </c>
      <c r="Z214" s="518">
        <v>1</v>
      </c>
      <c r="AA214" s="518">
        <v>1</v>
      </c>
      <c r="AB214" s="518">
        <v>1</v>
      </c>
      <c r="AC214" s="518">
        <v>1</v>
      </c>
      <c r="AD214" s="518">
        <v>1</v>
      </c>
      <c r="AE214" s="518">
        <v>1</v>
      </c>
      <c r="AF214" s="518">
        <v>1</v>
      </c>
      <c r="AG214" s="518">
        <v>1</v>
      </c>
      <c r="AH214" s="518">
        <v>1</v>
      </c>
      <c r="AI214" s="518">
        <v>1</v>
      </c>
      <c r="AJ214" s="518">
        <v>1</v>
      </c>
      <c r="AK214" s="518">
        <v>1</v>
      </c>
      <c r="AL214" s="518">
        <v>1</v>
      </c>
      <c r="AM214" s="518">
        <v>1</v>
      </c>
      <c r="AN214" s="518">
        <v>1</v>
      </c>
      <c r="AO214" s="518">
        <v>1</v>
      </c>
      <c r="AP214" s="518">
        <v>1</v>
      </c>
      <c r="AQ214" s="518">
        <v>1</v>
      </c>
      <c r="AR214" s="518">
        <v>1</v>
      </c>
      <c r="AS214" s="518">
        <v>1</v>
      </c>
      <c r="AT214" s="222"/>
      <c r="AU214" s="212"/>
      <c r="AW214" s="232"/>
      <c r="BG214" s="212"/>
      <c r="BH214" s="225"/>
      <c r="BI214" s="225"/>
    </row>
    <row r="215" spans="1:61" x14ac:dyDescent="0.3">
      <c r="A215" s="547" t="str">
        <f t="shared" ref="A215:G215" si="49">A37</f>
        <v>Lighting</v>
      </c>
      <c r="B215" s="535" t="str">
        <f t="shared" si="49"/>
        <v>S-LIG</v>
      </c>
      <c r="C215" s="535" t="str">
        <f t="shared" si="49"/>
        <v>Electricity</v>
      </c>
      <c r="D215" s="535" t="str">
        <f t="shared" si="49"/>
        <v>SRVELC</v>
      </c>
      <c r="E215" s="538" t="str">
        <f t="shared" si="49"/>
        <v>SRVELC</v>
      </c>
      <c r="F215" s="535" t="str">
        <f t="shared" si="49"/>
        <v>Office lighting (Adv.)</v>
      </c>
      <c r="G215" s="541" t="str">
        <f t="shared" si="49"/>
        <v>03</v>
      </c>
      <c r="H215" s="541"/>
      <c r="I215" s="541"/>
      <c r="K215" s="405" t="str">
        <f t="shared" si="43"/>
        <v>S-LIG_ELC03</v>
      </c>
      <c r="L215" s="203" t="str">
        <f t="shared" si="43"/>
        <v>SRV Lighting tech: Electricity - Office lighting (Adv.)</v>
      </c>
      <c r="M215" s="405"/>
      <c r="N215" s="203"/>
      <c r="O215" s="405" t="s">
        <v>452</v>
      </c>
      <c r="P215" s="203" t="s">
        <v>154</v>
      </c>
      <c r="Q215" s="203"/>
      <c r="R215" s="518">
        <v>1</v>
      </c>
      <c r="S215" s="518">
        <v>1</v>
      </c>
      <c r="T215" s="518">
        <v>1</v>
      </c>
      <c r="U215" s="518">
        <v>1</v>
      </c>
      <c r="V215" s="518">
        <v>1</v>
      </c>
      <c r="W215" s="518">
        <v>1</v>
      </c>
      <c r="X215" s="518">
        <v>1</v>
      </c>
      <c r="Y215" s="518">
        <v>1</v>
      </c>
      <c r="Z215" s="518">
        <v>1</v>
      </c>
      <c r="AA215" s="518">
        <v>1</v>
      </c>
      <c r="AB215" s="518">
        <v>1</v>
      </c>
      <c r="AC215" s="518">
        <v>1</v>
      </c>
      <c r="AD215" s="518">
        <v>1</v>
      </c>
      <c r="AE215" s="518">
        <v>1</v>
      </c>
      <c r="AF215" s="518">
        <v>1</v>
      </c>
      <c r="AG215" s="518">
        <v>1</v>
      </c>
      <c r="AH215" s="518">
        <v>1</v>
      </c>
      <c r="AI215" s="518">
        <v>1</v>
      </c>
      <c r="AJ215" s="518">
        <v>1</v>
      </c>
      <c r="AK215" s="518">
        <v>1</v>
      </c>
      <c r="AL215" s="518">
        <v>1</v>
      </c>
      <c r="AM215" s="518">
        <v>1</v>
      </c>
      <c r="AN215" s="518">
        <v>1</v>
      </c>
      <c r="AO215" s="518">
        <v>1</v>
      </c>
      <c r="AP215" s="518">
        <v>1</v>
      </c>
      <c r="AQ215" s="518">
        <v>1</v>
      </c>
      <c r="AR215" s="518">
        <v>1</v>
      </c>
      <c r="AS215" s="518">
        <v>1</v>
      </c>
      <c r="AT215" s="222"/>
      <c r="AU215" s="212"/>
      <c r="AW215" s="232"/>
      <c r="BG215" s="212"/>
      <c r="BH215" s="225"/>
      <c r="BI215" s="225"/>
    </row>
    <row r="216" spans="1:61" x14ac:dyDescent="0.3">
      <c r="A216" s="547" t="str">
        <f t="shared" ref="A216:G222" si="50">A38</f>
        <v>Electric Appliances</v>
      </c>
      <c r="B216" s="547" t="str">
        <f t="shared" si="50"/>
        <v>S-EAP</v>
      </c>
      <c r="C216" s="535" t="str">
        <f t="shared" si="50"/>
        <v>Electricity</v>
      </c>
      <c r="D216" s="535" t="str">
        <f t="shared" si="50"/>
        <v>SRVELC</v>
      </c>
      <c r="E216" s="538" t="str">
        <f t="shared" si="50"/>
        <v>SRVELC</v>
      </c>
      <c r="F216" s="535" t="str">
        <f t="shared" si="50"/>
        <v>Appl.(Ord.)</v>
      </c>
      <c r="G216" s="541" t="str">
        <f t="shared" si="50"/>
        <v>01</v>
      </c>
      <c r="H216" s="541"/>
      <c r="I216" s="541"/>
      <c r="K216" s="409" t="str">
        <f t="shared" si="43"/>
        <v>S-EAP_ELC01</v>
      </c>
      <c r="L216" s="207" t="str">
        <f t="shared" si="43"/>
        <v>SRV Electric Appliances tech: Electricity - Appl.(Ord.)</v>
      </c>
      <c r="M216" s="409"/>
      <c r="N216" s="207"/>
      <c r="O216" s="409" t="s">
        <v>452</v>
      </c>
      <c r="P216" s="207" t="s">
        <v>154</v>
      </c>
      <c r="Q216" s="207"/>
      <c r="R216" s="519">
        <f>VLOOKUP($A216,'Key Inputs_BY Techs'!$B$132:$AJ$135,R$183,FALSE)/8760</f>
        <v>0.23744292237442921</v>
      </c>
      <c r="S216" s="519">
        <f>VLOOKUP($A216,'Key Inputs_BY Techs'!$B$132:$AJ$135,S$183,FALSE)/8760</f>
        <v>0.23744292237442921</v>
      </c>
      <c r="T216" s="519">
        <f>VLOOKUP($A216,'Key Inputs_BY Techs'!$B$132:$AJ$135,T$183,FALSE)/8760</f>
        <v>0.23744292237442921</v>
      </c>
      <c r="U216" s="519">
        <f>VLOOKUP($A216,'Key Inputs_BY Techs'!$B$132:$AJ$135,U$183,FALSE)/8760</f>
        <v>0.23744292237442921</v>
      </c>
      <c r="V216" s="519">
        <f>VLOOKUP($A216,'Key Inputs_BY Techs'!$B$132:$AJ$135,V$183,FALSE)/8760</f>
        <v>0.23744292237442921</v>
      </c>
      <c r="W216" s="519">
        <f>VLOOKUP($A216,'Key Inputs_BY Techs'!$B$132:$AJ$135,W$183,FALSE)/8760</f>
        <v>0.23744292237442921</v>
      </c>
      <c r="X216" s="519">
        <f>VLOOKUP($A216,'Key Inputs_BY Techs'!$B$132:$AJ$135,X$183,FALSE)/8760</f>
        <v>0.23744292237442921</v>
      </c>
      <c r="Y216" s="519">
        <f>VLOOKUP($A216,'Key Inputs_BY Techs'!$B$132:$AJ$135,Y$183,FALSE)/8760</f>
        <v>0.23744292237442921</v>
      </c>
      <c r="Z216" s="519">
        <f>VLOOKUP($A216,'Key Inputs_BY Techs'!$B$132:$AJ$135,Z$183,FALSE)/8760</f>
        <v>0.23744292237442921</v>
      </c>
      <c r="AA216" s="519">
        <f>VLOOKUP($A216,'Key Inputs_BY Techs'!$B$132:$AJ$135,AA$183,FALSE)/8760</f>
        <v>0.23744292237442921</v>
      </c>
      <c r="AB216" s="519">
        <f>VLOOKUP($A216,'Key Inputs_BY Techs'!$B$132:$AJ$135,AB$183,FALSE)/8760</f>
        <v>0.23744292237442921</v>
      </c>
      <c r="AC216" s="519">
        <f>VLOOKUP($A216,'Key Inputs_BY Techs'!$B$132:$AJ$135,AC$183,FALSE)/8760</f>
        <v>0.23744292237442921</v>
      </c>
      <c r="AD216" s="519">
        <f>VLOOKUP($A216,'Key Inputs_BY Techs'!$B$132:$AJ$135,AD$183,FALSE)/8760</f>
        <v>0.23744292237442921</v>
      </c>
      <c r="AE216" s="519">
        <f>VLOOKUP($A216,'Key Inputs_BY Techs'!$B$132:$AJ$135,AE$183,FALSE)/8760</f>
        <v>0.23744292237442921</v>
      </c>
      <c r="AF216" s="519">
        <f>VLOOKUP($A216,'Key Inputs_BY Techs'!$B$132:$AJ$135,AF$183,FALSE)/8760</f>
        <v>0.23744292237442921</v>
      </c>
      <c r="AG216" s="519">
        <f>VLOOKUP($A216,'Key Inputs_BY Techs'!$B$132:$AJ$135,AG$183,FALSE)/8760</f>
        <v>0.23744292237442921</v>
      </c>
      <c r="AH216" s="519">
        <f>VLOOKUP($A216,'Key Inputs_BY Techs'!$B$132:$AJ$135,AH$183,FALSE)/8760</f>
        <v>0.23744292237442921</v>
      </c>
      <c r="AI216" s="519">
        <f>VLOOKUP($A216,'Key Inputs_BY Techs'!$B$132:$AJ$135,AI$183,FALSE)/8760</f>
        <v>0.23744292237442921</v>
      </c>
      <c r="AJ216" s="519">
        <f>VLOOKUP($A216,'Key Inputs_BY Techs'!$B$132:$AJ$135,AJ$183,FALSE)/8760</f>
        <v>0.23744292237442921</v>
      </c>
      <c r="AK216" s="519">
        <f>VLOOKUP($A216,'Key Inputs_BY Techs'!$B$132:$AJ$135,AK$183,FALSE)/8760</f>
        <v>0.23744292237442921</v>
      </c>
      <c r="AL216" s="519">
        <f>VLOOKUP($A216,'Key Inputs_BY Techs'!$B$132:$AJ$135,AL$183,FALSE)/8760</f>
        <v>0.23744292237442921</v>
      </c>
      <c r="AM216" s="519">
        <f>VLOOKUP($A216,'Key Inputs_BY Techs'!$B$132:$AJ$135,AM$183,FALSE)/8760</f>
        <v>0.23744292237442921</v>
      </c>
      <c r="AN216" s="519">
        <f>VLOOKUP($A216,'Key Inputs_BY Techs'!$B$132:$AJ$135,AN$183,FALSE)/8760</f>
        <v>0.23744292237442921</v>
      </c>
      <c r="AO216" s="519">
        <f>VLOOKUP($A216,'Key Inputs_BY Techs'!$B$132:$AJ$135,AO$183,FALSE)/8760</f>
        <v>0.23744292237442921</v>
      </c>
      <c r="AP216" s="519">
        <f>VLOOKUP($A216,'Key Inputs_BY Techs'!$B$132:$AJ$135,AP$183,FALSE)/8760</f>
        <v>0.23744292237442921</v>
      </c>
      <c r="AQ216" s="519">
        <f>VLOOKUP($A216,'Key Inputs_BY Techs'!$B$132:$AJ$135,AQ$183,FALSE)/8760</f>
        <v>0.23744292237442921</v>
      </c>
      <c r="AR216" s="519">
        <f>VLOOKUP($A216,'Key Inputs_BY Techs'!$B$132:$AJ$135,AR$183,FALSE)/8760</f>
        <v>0.23744292237442921</v>
      </c>
      <c r="AS216" s="519">
        <f>VLOOKUP($A216,'Key Inputs_BY Techs'!$B$132:$AJ$135,AS$183,FALSE)/8760</f>
        <v>0.23744292237442921</v>
      </c>
      <c r="AT216" s="222"/>
      <c r="AU216" s="212"/>
      <c r="AW216" s="232"/>
      <c r="BG216" s="212"/>
      <c r="BH216" s="225"/>
      <c r="BI216" s="225"/>
    </row>
    <row r="217" spans="1:61" x14ac:dyDescent="0.3">
      <c r="A217" s="547" t="str">
        <f t="shared" si="50"/>
        <v>Electric Appliances</v>
      </c>
      <c r="B217" s="547" t="str">
        <f t="shared" si="50"/>
        <v>S-EAP</v>
      </c>
      <c r="C217" s="535" t="str">
        <f t="shared" si="50"/>
        <v>Electricity</v>
      </c>
      <c r="D217" s="535" t="str">
        <f t="shared" si="50"/>
        <v>SRVELC</v>
      </c>
      <c r="E217" s="538" t="str">
        <f t="shared" si="50"/>
        <v>SRVELC</v>
      </c>
      <c r="F217" s="535" t="str">
        <f t="shared" si="50"/>
        <v>Appl.(Imp.)</v>
      </c>
      <c r="G217" s="541" t="str">
        <f t="shared" si="50"/>
        <v>02</v>
      </c>
      <c r="H217" s="541"/>
      <c r="I217" s="541"/>
      <c r="K217" s="405" t="str">
        <f t="shared" si="43"/>
        <v>S-EAP_ELC02</v>
      </c>
      <c r="L217" s="203" t="str">
        <f t="shared" si="43"/>
        <v>SRV Electric Appliances tech: Electricity - Appl.(Imp.)</v>
      </c>
      <c r="M217" s="405"/>
      <c r="N217" s="203"/>
      <c r="O217" s="405" t="s">
        <v>452</v>
      </c>
      <c r="P217" s="203" t="s">
        <v>154</v>
      </c>
      <c r="Q217" s="203"/>
      <c r="R217" s="518">
        <f>VLOOKUP($A217,'Key Inputs_BY Techs'!$B$132:$AJ$135,R$183,FALSE)/8760</f>
        <v>0.23744292237442921</v>
      </c>
      <c r="S217" s="518">
        <f>VLOOKUP($A217,'Key Inputs_BY Techs'!$B$132:$AJ$135,S$183,FALSE)/8760</f>
        <v>0.23744292237442921</v>
      </c>
      <c r="T217" s="518">
        <f>VLOOKUP($A217,'Key Inputs_BY Techs'!$B$132:$AJ$135,T$183,FALSE)/8760</f>
        <v>0.23744292237442921</v>
      </c>
      <c r="U217" s="518">
        <f>VLOOKUP($A217,'Key Inputs_BY Techs'!$B$132:$AJ$135,U$183,FALSE)/8760</f>
        <v>0.23744292237442921</v>
      </c>
      <c r="V217" s="518">
        <f>VLOOKUP($A217,'Key Inputs_BY Techs'!$B$132:$AJ$135,V$183,FALSE)/8760</f>
        <v>0.23744292237442921</v>
      </c>
      <c r="W217" s="518">
        <f>VLOOKUP($A217,'Key Inputs_BY Techs'!$B$132:$AJ$135,W$183,FALSE)/8760</f>
        <v>0.23744292237442921</v>
      </c>
      <c r="X217" s="518">
        <f>VLOOKUP($A217,'Key Inputs_BY Techs'!$B$132:$AJ$135,X$183,FALSE)/8760</f>
        <v>0.23744292237442921</v>
      </c>
      <c r="Y217" s="518">
        <f>VLOOKUP($A217,'Key Inputs_BY Techs'!$B$132:$AJ$135,Y$183,FALSE)/8760</f>
        <v>0.23744292237442921</v>
      </c>
      <c r="Z217" s="518">
        <f>VLOOKUP($A217,'Key Inputs_BY Techs'!$B$132:$AJ$135,Z$183,FALSE)/8760</f>
        <v>0.23744292237442921</v>
      </c>
      <c r="AA217" s="518">
        <f>VLOOKUP($A217,'Key Inputs_BY Techs'!$B$132:$AJ$135,AA$183,FALSE)/8760</f>
        <v>0.23744292237442921</v>
      </c>
      <c r="AB217" s="518">
        <f>VLOOKUP($A217,'Key Inputs_BY Techs'!$B$132:$AJ$135,AB$183,FALSE)/8760</f>
        <v>0.23744292237442921</v>
      </c>
      <c r="AC217" s="518">
        <f>VLOOKUP($A217,'Key Inputs_BY Techs'!$B$132:$AJ$135,AC$183,FALSE)/8760</f>
        <v>0.23744292237442921</v>
      </c>
      <c r="AD217" s="518">
        <f>VLOOKUP($A217,'Key Inputs_BY Techs'!$B$132:$AJ$135,AD$183,FALSE)/8760</f>
        <v>0.23744292237442921</v>
      </c>
      <c r="AE217" s="518">
        <f>VLOOKUP($A217,'Key Inputs_BY Techs'!$B$132:$AJ$135,AE$183,FALSE)/8760</f>
        <v>0.23744292237442921</v>
      </c>
      <c r="AF217" s="518">
        <f>VLOOKUP($A217,'Key Inputs_BY Techs'!$B$132:$AJ$135,AF$183,FALSE)/8760</f>
        <v>0.23744292237442921</v>
      </c>
      <c r="AG217" s="518">
        <f>VLOOKUP($A217,'Key Inputs_BY Techs'!$B$132:$AJ$135,AG$183,FALSE)/8760</f>
        <v>0.23744292237442921</v>
      </c>
      <c r="AH217" s="518">
        <f>VLOOKUP($A217,'Key Inputs_BY Techs'!$B$132:$AJ$135,AH$183,FALSE)/8760</f>
        <v>0.23744292237442921</v>
      </c>
      <c r="AI217" s="518">
        <f>VLOOKUP($A217,'Key Inputs_BY Techs'!$B$132:$AJ$135,AI$183,FALSE)/8760</f>
        <v>0.23744292237442921</v>
      </c>
      <c r="AJ217" s="518">
        <f>VLOOKUP($A217,'Key Inputs_BY Techs'!$B$132:$AJ$135,AJ$183,FALSE)/8760</f>
        <v>0.23744292237442921</v>
      </c>
      <c r="AK217" s="518">
        <f>VLOOKUP($A217,'Key Inputs_BY Techs'!$B$132:$AJ$135,AK$183,FALSE)/8760</f>
        <v>0.23744292237442921</v>
      </c>
      <c r="AL217" s="518">
        <f>VLOOKUP($A217,'Key Inputs_BY Techs'!$B$132:$AJ$135,AL$183,FALSE)/8760</f>
        <v>0.23744292237442921</v>
      </c>
      <c r="AM217" s="518">
        <f>VLOOKUP($A217,'Key Inputs_BY Techs'!$B$132:$AJ$135,AM$183,FALSE)/8760</f>
        <v>0.23744292237442921</v>
      </c>
      <c r="AN217" s="518">
        <f>VLOOKUP($A217,'Key Inputs_BY Techs'!$B$132:$AJ$135,AN$183,FALSE)/8760</f>
        <v>0.23744292237442921</v>
      </c>
      <c r="AO217" s="518">
        <f>VLOOKUP($A217,'Key Inputs_BY Techs'!$B$132:$AJ$135,AO$183,FALSE)/8760</f>
        <v>0.23744292237442921</v>
      </c>
      <c r="AP217" s="518">
        <f>VLOOKUP($A217,'Key Inputs_BY Techs'!$B$132:$AJ$135,AP$183,FALSE)/8760</f>
        <v>0.23744292237442921</v>
      </c>
      <c r="AQ217" s="518">
        <f>VLOOKUP($A217,'Key Inputs_BY Techs'!$B$132:$AJ$135,AQ$183,FALSE)/8760</f>
        <v>0.23744292237442921</v>
      </c>
      <c r="AR217" s="518">
        <f>VLOOKUP($A217,'Key Inputs_BY Techs'!$B$132:$AJ$135,AR$183,FALSE)/8760</f>
        <v>0.23744292237442921</v>
      </c>
      <c r="AS217" s="518">
        <f>VLOOKUP($A217,'Key Inputs_BY Techs'!$B$132:$AJ$135,AS$183,FALSE)/8760</f>
        <v>0.23744292237442921</v>
      </c>
      <c r="AT217" s="222"/>
      <c r="AU217" s="212"/>
      <c r="AW217" s="232"/>
      <c r="BG217" s="212"/>
      <c r="BH217" s="225"/>
      <c r="BI217" s="225"/>
    </row>
    <row r="218" spans="1:61" x14ac:dyDescent="0.3">
      <c r="A218" s="547" t="str">
        <f t="shared" si="50"/>
        <v>Electric Appliances</v>
      </c>
      <c r="B218" s="547" t="str">
        <f t="shared" si="50"/>
        <v>S-EAP</v>
      </c>
      <c r="C218" s="535" t="str">
        <f t="shared" si="50"/>
        <v>Electricity</v>
      </c>
      <c r="D218" s="535" t="str">
        <f t="shared" si="50"/>
        <v>SRVELC</v>
      </c>
      <c r="E218" s="538" t="str">
        <f t="shared" si="50"/>
        <v>SRVELC</v>
      </c>
      <c r="F218" s="535" t="str">
        <f t="shared" si="50"/>
        <v>Appl.(Adv.)</v>
      </c>
      <c r="G218" s="541" t="str">
        <f t="shared" si="50"/>
        <v>03</v>
      </c>
      <c r="H218" s="541"/>
      <c r="I218" s="541"/>
      <c r="K218" s="407" t="str">
        <f t="shared" si="43"/>
        <v>S-EAP_ELC03</v>
      </c>
      <c r="L218" s="230" t="str">
        <f t="shared" si="43"/>
        <v>SRV Electric Appliances tech: Electricity - Appl.(Adv.)</v>
      </c>
      <c r="M218" s="407"/>
      <c r="N218" s="230"/>
      <c r="O218" s="407" t="s">
        <v>452</v>
      </c>
      <c r="P218" s="230" t="s">
        <v>154</v>
      </c>
      <c r="Q218" s="230"/>
      <c r="R218" s="520">
        <f>VLOOKUP($A218,'Key Inputs_BY Techs'!$B$132:$AJ$135,R$183,FALSE)/8760</f>
        <v>0.23744292237442921</v>
      </c>
      <c r="S218" s="520">
        <f>VLOOKUP($A218,'Key Inputs_BY Techs'!$B$132:$AJ$135,S$183,FALSE)/8760</f>
        <v>0.23744292237442921</v>
      </c>
      <c r="T218" s="520">
        <f>VLOOKUP($A218,'Key Inputs_BY Techs'!$B$132:$AJ$135,T$183,FALSE)/8760</f>
        <v>0.23744292237442921</v>
      </c>
      <c r="U218" s="520">
        <f>VLOOKUP($A218,'Key Inputs_BY Techs'!$B$132:$AJ$135,U$183,FALSE)/8760</f>
        <v>0.23744292237442921</v>
      </c>
      <c r="V218" s="520">
        <f>VLOOKUP($A218,'Key Inputs_BY Techs'!$B$132:$AJ$135,V$183,FALSE)/8760</f>
        <v>0.23744292237442921</v>
      </c>
      <c r="W218" s="520">
        <f>VLOOKUP($A218,'Key Inputs_BY Techs'!$B$132:$AJ$135,W$183,FALSE)/8760</f>
        <v>0.23744292237442921</v>
      </c>
      <c r="X218" s="520">
        <f>VLOOKUP($A218,'Key Inputs_BY Techs'!$B$132:$AJ$135,X$183,FALSE)/8760</f>
        <v>0.23744292237442921</v>
      </c>
      <c r="Y218" s="520">
        <f>VLOOKUP($A218,'Key Inputs_BY Techs'!$B$132:$AJ$135,Y$183,FALSE)/8760</f>
        <v>0.23744292237442921</v>
      </c>
      <c r="Z218" s="520">
        <f>VLOOKUP($A218,'Key Inputs_BY Techs'!$B$132:$AJ$135,Z$183,FALSE)/8760</f>
        <v>0.23744292237442921</v>
      </c>
      <c r="AA218" s="520">
        <f>VLOOKUP($A218,'Key Inputs_BY Techs'!$B$132:$AJ$135,AA$183,FALSE)/8760</f>
        <v>0.23744292237442921</v>
      </c>
      <c r="AB218" s="520">
        <f>VLOOKUP($A218,'Key Inputs_BY Techs'!$B$132:$AJ$135,AB$183,FALSE)/8760</f>
        <v>0.23744292237442921</v>
      </c>
      <c r="AC218" s="520">
        <f>VLOOKUP($A218,'Key Inputs_BY Techs'!$B$132:$AJ$135,AC$183,FALSE)/8760</f>
        <v>0.23744292237442921</v>
      </c>
      <c r="AD218" s="520">
        <f>VLOOKUP($A218,'Key Inputs_BY Techs'!$B$132:$AJ$135,AD$183,FALSE)/8760</f>
        <v>0.23744292237442921</v>
      </c>
      <c r="AE218" s="520">
        <f>VLOOKUP($A218,'Key Inputs_BY Techs'!$B$132:$AJ$135,AE$183,FALSE)/8760</f>
        <v>0.23744292237442921</v>
      </c>
      <c r="AF218" s="520">
        <f>VLOOKUP($A218,'Key Inputs_BY Techs'!$B$132:$AJ$135,AF$183,FALSE)/8760</f>
        <v>0.23744292237442921</v>
      </c>
      <c r="AG218" s="520">
        <f>VLOOKUP($A218,'Key Inputs_BY Techs'!$B$132:$AJ$135,AG$183,FALSE)/8760</f>
        <v>0.23744292237442921</v>
      </c>
      <c r="AH218" s="520">
        <f>VLOOKUP($A218,'Key Inputs_BY Techs'!$B$132:$AJ$135,AH$183,FALSE)/8760</f>
        <v>0.23744292237442921</v>
      </c>
      <c r="AI218" s="520">
        <f>VLOOKUP($A218,'Key Inputs_BY Techs'!$B$132:$AJ$135,AI$183,FALSE)/8760</f>
        <v>0.23744292237442921</v>
      </c>
      <c r="AJ218" s="520">
        <f>VLOOKUP($A218,'Key Inputs_BY Techs'!$B$132:$AJ$135,AJ$183,FALSE)/8760</f>
        <v>0.23744292237442921</v>
      </c>
      <c r="AK218" s="520">
        <f>VLOOKUP($A218,'Key Inputs_BY Techs'!$B$132:$AJ$135,AK$183,FALSE)/8760</f>
        <v>0.23744292237442921</v>
      </c>
      <c r="AL218" s="520">
        <f>VLOOKUP($A218,'Key Inputs_BY Techs'!$B$132:$AJ$135,AL$183,FALSE)/8760</f>
        <v>0.23744292237442921</v>
      </c>
      <c r="AM218" s="520">
        <f>VLOOKUP($A218,'Key Inputs_BY Techs'!$B$132:$AJ$135,AM$183,FALSE)/8760</f>
        <v>0.23744292237442921</v>
      </c>
      <c r="AN218" s="520">
        <f>VLOOKUP($A218,'Key Inputs_BY Techs'!$B$132:$AJ$135,AN$183,FALSE)/8760</f>
        <v>0.23744292237442921</v>
      </c>
      <c r="AO218" s="520">
        <f>VLOOKUP($A218,'Key Inputs_BY Techs'!$B$132:$AJ$135,AO$183,FALSE)/8760</f>
        <v>0.23744292237442921</v>
      </c>
      <c r="AP218" s="520">
        <f>VLOOKUP($A218,'Key Inputs_BY Techs'!$B$132:$AJ$135,AP$183,FALSE)/8760</f>
        <v>0.23744292237442921</v>
      </c>
      <c r="AQ218" s="520">
        <f>VLOOKUP($A218,'Key Inputs_BY Techs'!$B$132:$AJ$135,AQ$183,FALSE)/8760</f>
        <v>0.23744292237442921</v>
      </c>
      <c r="AR218" s="520">
        <f>VLOOKUP($A218,'Key Inputs_BY Techs'!$B$132:$AJ$135,AR$183,FALSE)/8760</f>
        <v>0.23744292237442921</v>
      </c>
      <c r="AS218" s="520">
        <f>VLOOKUP($A218,'Key Inputs_BY Techs'!$B$132:$AJ$135,AS$183,FALSE)/8760</f>
        <v>0.23744292237442921</v>
      </c>
      <c r="AT218" s="222"/>
      <c r="AU218" s="212"/>
      <c r="AW218" s="232"/>
      <c r="BG218" s="212"/>
      <c r="BH218" s="225"/>
      <c r="BI218" s="225"/>
    </row>
    <row r="219" spans="1:61" x14ac:dyDescent="0.3">
      <c r="A219" s="547" t="str">
        <f t="shared" si="50"/>
        <v>Cooking</v>
      </c>
      <c r="B219" s="547" t="str">
        <f t="shared" si="50"/>
        <v>S-CK</v>
      </c>
      <c r="C219" s="535" t="str">
        <f t="shared" si="50"/>
        <v>Electricity</v>
      </c>
      <c r="D219" s="535" t="str">
        <f t="shared" si="50"/>
        <v>SRVELC</v>
      </c>
      <c r="E219" s="538" t="str">
        <f t="shared" si="50"/>
        <v>SRVELC</v>
      </c>
      <c r="F219" s="535" t="str">
        <f t="shared" si="50"/>
        <v>Cooking system (Ord.)</v>
      </c>
      <c r="G219" s="541" t="str">
        <f t="shared" si="50"/>
        <v>01</v>
      </c>
      <c r="H219" s="541"/>
      <c r="I219" s="541"/>
      <c r="K219" s="405" t="str">
        <f t="shared" si="43"/>
        <v>S-CK_ELC01</v>
      </c>
      <c r="L219" s="203" t="str">
        <f t="shared" si="43"/>
        <v>SRV Cooking tech: Electricity - Cooking system (Ord.)</v>
      </c>
      <c r="M219" s="405"/>
      <c r="N219" s="203"/>
      <c r="O219" s="405" t="s">
        <v>452</v>
      </c>
      <c r="P219" s="203" t="s">
        <v>154</v>
      </c>
      <c r="Q219" s="203"/>
      <c r="R219" s="521">
        <f>VLOOKUP($A219,'Key Inputs_BY Techs'!$B$132:$AJ$135,R$183,FALSE)/8760</f>
        <v>8.3333333333333329E-2</v>
      </c>
      <c r="S219" s="521">
        <f>VLOOKUP($A219,'Key Inputs_BY Techs'!$B$132:$AJ$135,S$183,FALSE)/8760</f>
        <v>8.3333333333333329E-2</v>
      </c>
      <c r="T219" s="521">
        <f>VLOOKUP($A219,'Key Inputs_BY Techs'!$B$132:$AJ$135,T$183,FALSE)/8760</f>
        <v>8.3333333333333329E-2</v>
      </c>
      <c r="U219" s="521">
        <f>VLOOKUP($A219,'Key Inputs_BY Techs'!$B$132:$AJ$135,U$183,FALSE)/8760</f>
        <v>8.3333333333333329E-2</v>
      </c>
      <c r="V219" s="521">
        <f>VLOOKUP($A219,'Key Inputs_BY Techs'!$B$132:$AJ$135,V$183,FALSE)/8760</f>
        <v>8.3333333333333329E-2</v>
      </c>
      <c r="W219" s="521">
        <f>VLOOKUP($A219,'Key Inputs_BY Techs'!$B$132:$AJ$135,W$183,FALSE)/8760</f>
        <v>8.3333333333333329E-2</v>
      </c>
      <c r="X219" s="521">
        <f>VLOOKUP($A219,'Key Inputs_BY Techs'!$B$132:$AJ$135,X$183,FALSE)/8760</f>
        <v>8.3333333333333329E-2</v>
      </c>
      <c r="Y219" s="521">
        <f>VLOOKUP($A219,'Key Inputs_BY Techs'!$B$132:$AJ$135,Y$183,FALSE)/8760</f>
        <v>8.3333333333333329E-2</v>
      </c>
      <c r="Z219" s="521">
        <f>VLOOKUP($A219,'Key Inputs_BY Techs'!$B$132:$AJ$135,Z$183,FALSE)/8760</f>
        <v>8.3333333333333329E-2</v>
      </c>
      <c r="AA219" s="521">
        <f>VLOOKUP($A219,'Key Inputs_BY Techs'!$B$132:$AJ$135,AA$183,FALSE)/8760</f>
        <v>8.3333333333333329E-2</v>
      </c>
      <c r="AB219" s="521">
        <f>VLOOKUP($A219,'Key Inputs_BY Techs'!$B$132:$AJ$135,AB$183,FALSE)/8760</f>
        <v>8.3333333333333329E-2</v>
      </c>
      <c r="AC219" s="521">
        <f>VLOOKUP($A219,'Key Inputs_BY Techs'!$B$132:$AJ$135,AC$183,FALSE)/8760</f>
        <v>8.3333333333333329E-2</v>
      </c>
      <c r="AD219" s="521">
        <f>VLOOKUP($A219,'Key Inputs_BY Techs'!$B$132:$AJ$135,AD$183,FALSE)/8760</f>
        <v>8.3333333333333329E-2</v>
      </c>
      <c r="AE219" s="521">
        <f>VLOOKUP($A219,'Key Inputs_BY Techs'!$B$132:$AJ$135,AE$183,FALSE)/8760</f>
        <v>8.3333333333333329E-2</v>
      </c>
      <c r="AF219" s="521">
        <f>VLOOKUP($A219,'Key Inputs_BY Techs'!$B$132:$AJ$135,AF$183,FALSE)/8760</f>
        <v>8.3333333333333329E-2</v>
      </c>
      <c r="AG219" s="521">
        <f>VLOOKUP($A219,'Key Inputs_BY Techs'!$B$132:$AJ$135,AG$183,FALSE)/8760</f>
        <v>8.3333333333333329E-2</v>
      </c>
      <c r="AH219" s="521">
        <f>VLOOKUP($A219,'Key Inputs_BY Techs'!$B$132:$AJ$135,AH$183,FALSE)/8760</f>
        <v>8.3333333333333329E-2</v>
      </c>
      <c r="AI219" s="521">
        <f>VLOOKUP($A219,'Key Inputs_BY Techs'!$B$132:$AJ$135,AI$183,FALSE)/8760</f>
        <v>8.3333333333333329E-2</v>
      </c>
      <c r="AJ219" s="521">
        <f>VLOOKUP($A219,'Key Inputs_BY Techs'!$B$132:$AJ$135,AJ$183,FALSE)/8760</f>
        <v>8.3333333333333329E-2</v>
      </c>
      <c r="AK219" s="521">
        <f>VLOOKUP($A219,'Key Inputs_BY Techs'!$B$132:$AJ$135,AK$183,FALSE)/8760</f>
        <v>8.3333333333333329E-2</v>
      </c>
      <c r="AL219" s="521">
        <f>VLOOKUP($A219,'Key Inputs_BY Techs'!$B$132:$AJ$135,AL$183,FALSE)/8760</f>
        <v>8.3333333333333329E-2</v>
      </c>
      <c r="AM219" s="521">
        <f>VLOOKUP($A219,'Key Inputs_BY Techs'!$B$132:$AJ$135,AM$183,FALSE)/8760</f>
        <v>8.3333333333333329E-2</v>
      </c>
      <c r="AN219" s="521">
        <f>VLOOKUP($A219,'Key Inputs_BY Techs'!$B$132:$AJ$135,AN$183,FALSE)/8760</f>
        <v>8.3333333333333329E-2</v>
      </c>
      <c r="AO219" s="521">
        <f>VLOOKUP($A219,'Key Inputs_BY Techs'!$B$132:$AJ$135,AO$183,FALSE)/8760</f>
        <v>8.3333333333333329E-2</v>
      </c>
      <c r="AP219" s="521">
        <f>VLOOKUP($A219,'Key Inputs_BY Techs'!$B$132:$AJ$135,AP$183,FALSE)/8760</f>
        <v>8.3333333333333329E-2</v>
      </c>
      <c r="AQ219" s="521">
        <f>VLOOKUP($A219,'Key Inputs_BY Techs'!$B$132:$AJ$135,AQ$183,FALSE)/8760</f>
        <v>8.3333333333333329E-2</v>
      </c>
      <c r="AR219" s="521">
        <f>VLOOKUP($A219,'Key Inputs_BY Techs'!$B$132:$AJ$135,AR$183,FALSE)/8760</f>
        <v>8.3333333333333329E-2</v>
      </c>
      <c r="AS219" s="521">
        <f>VLOOKUP($A219,'Key Inputs_BY Techs'!$B$132:$AJ$135,AS$183,FALSE)/8760</f>
        <v>8.3333333333333329E-2</v>
      </c>
      <c r="AT219" s="222"/>
      <c r="AU219" s="212"/>
      <c r="AW219" s="232"/>
      <c r="BG219" s="212"/>
      <c r="BH219" s="225"/>
      <c r="BI219" s="225"/>
    </row>
    <row r="220" spans="1:61" x14ac:dyDescent="0.3">
      <c r="A220" s="547" t="str">
        <f t="shared" si="50"/>
        <v>Cooking</v>
      </c>
      <c r="B220" s="547" t="str">
        <f t="shared" si="50"/>
        <v>S-CK</v>
      </c>
      <c r="C220" s="535" t="str">
        <f t="shared" si="50"/>
        <v>Natural gas,Biogas</v>
      </c>
      <c r="D220" s="535" t="str">
        <f t="shared" si="50"/>
        <v>SRVGAS, SRVBGS, SRVH2G, SRVH2B, SRVEFUM</v>
      </c>
      <c r="E220" s="538" t="str">
        <f t="shared" si="50"/>
        <v>SRVGAS</v>
      </c>
      <c r="F220" s="535" t="str">
        <f t="shared" si="50"/>
        <v>Cooking system (Ord.)</v>
      </c>
      <c r="G220" s="541" t="str">
        <f t="shared" si="50"/>
        <v>01</v>
      </c>
      <c r="H220" s="541"/>
      <c r="I220" s="541"/>
      <c r="K220" s="405" t="str">
        <f t="shared" si="43"/>
        <v>S-CK_GAS01</v>
      </c>
      <c r="L220" s="203" t="str">
        <f t="shared" si="43"/>
        <v>SRV Cooking tech: Natural gas,Biogas - Cooking system (Ord.)</v>
      </c>
      <c r="M220" s="405"/>
      <c r="N220" s="203"/>
      <c r="O220" s="405" t="s">
        <v>452</v>
      </c>
      <c r="P220" s="203" t="s">
        <v>154</v>
      </c>
      <c r="Q220" s="203"/>
      <c r="R220" s="521">
        <f>VLOOKUP($A220,'Key Inputs_BY Techs'!$B$132:$AJ$135,R$183,FALSE)/8760</f>
        <v>8.3333333333333329E-2</v>
      </c>
      <c r="S220" s="521">
        <f>VLOOKUP($A220,'Key Inputs_BY Techs'!$B$132:$AJ$135,S$183,FALSE)/8760</f>
        <v>8.3333333333333329E-2</v>
      </c>
      <c r="T220" s="521">
        <f>VLOOKUP($A220,'Key Inputs_BY Techs'!$B$132:$AJ$135,T$183,FALSE)/8760</f>
        <v>8.3333333333333329E-2</v>
      </c>
      <c r="U220" s="521">
        <f>VLOOKUP($A220,'Key Inputs_BY Techs'!$B$132:$AJ$135,U$183,FALSE)/8760</f>
        <v>8.3333333333333329E-2</v>
      </c>
      <c r="V220" s="521">
        <f>VLOOKUP($A220,'Key Inputs_BY Techs'!$B$132:$AJ$135,V$183,FALSE)/8760</f>
        <v>8.3333333333333329E-2</v>
      </c>
      <c r="W220" s="521">
        <f>VLOOKUP($A220,'Key Inputs_BY Techs'!$B$132:$AJ$135,W$183,FALSE)/8760</f>
        <v>8.3333333333333329E-2</v>
      </c>
      <c r="X220" s="521">
        <f>VLOOKUP($A220,'Key Inputs_BY Techs'!$B$132:$AJ$135,X$183,FALSE)/8760</f>
        <v>8.3333333333333329E-2</v>
      </c>
      <c r="Y220" s="521">
        <f>VLOOKUP($A220,'Key Inputs_BY Techs'!$B$132:$AJ$135,Y$183,FALSE)/8760</f>
        <v>8.3333333333333329E-2</v>
      </c>
      <c r="Z220" s="521">
        <f>VLOOKUP($A220,'Key Inputs_BY Techs'!$B$132:$AJ$135,Z$183,FALSE)/8760</f>
        <v>8.3333333333333329E-2</v>
      </c>
      <c r="AA220" s="521">
        <f>VLOOKUP($A220,'Key Inputs_BY Techs'!$B$132:$AJ$135,AA$183,FALSE)/8760</f>
        <v>8.3333333333333329E-2</v>
      </c>
      <c r="AB220" s="521">
        <f>VLOOKUP($A220,'Key Inputs_BY Techs'!$B$132:$AJ$135,AB$183,FALSE)/8760</f>
        <v>8.3333333333333329E-2</v>
      </c>
      <c r="AC220" s="521">
        <f>VLOOKUP($A220,'Key Inputs_BY Techs'!$B$132:$AJ$135,AC$183,FALSE)/8760</f>
        <v>8.3333333333333329E-2</v>
      </c>
      <c r="AD220" s="521">
        <f>VLOOKUP($A220,'Key Inputs_BY Techs'!$B$132:$AJ$135,AD$183,FALSE)/8760</f>
        <v>8.3333333333333329E-2</v>
      </c>
      <c r="AE220" s="521">
        <f>VLOOKUP($A220,'Key Inputs_BY Techs'!$B$132:$AJ$135,AE$183,FALSE)/8760</f>
        <v>8.3333333333333329E-2</v>
      </c>
      <c r="AF220" s="521">
        <f>VLOOKUP($A220,'Key Inputs_BY Techs'!$B$132:$AJ$135,AF$183,FALSE)/8760</f>
        <v>8.3333333333333329E-2</v>
      </c>
      <c r="AG220" s="521">
        <f>VLOOKUP($A220,'Key Inputs_BY Techs'!$B$132:$AJ$135,AG$183,FALSE)/8760</f>
        <v>8.3333333333333329E-2</v>
      </c>
      <c r="AH220" s="521">
        <f>VLOOKUP($A220,'Key Inputs_BY Techs'!$B$132:$AJ$135,AH$183,FALSE)/8760</f>
        <v>8.3333333333333329E-2</v>
      </c>
      <c r="AI220" s="521">
        <f>VLOOKUP($A220,'Key Inputs_BY Techs'!$B$132:$AJ$135,AI$183,FALSE)/8760</f>
        <v>8.3333333333333329E-2</v>
      </c>
      <c r="AJ220" s="521">
        <f>VLOOKUP($A220,'Key Inputs_BY Techs'!$B$132:$AJ$135,AJ$183,FALSE)/8760</f>
        <v>8.3333333333333329E-2</v>
      </c>
      <c r="AK220" s="521">
        <f>VLOOKUP($A220,'Key Inputs_BY Techs'!$B$132:$AJ$135,AK$183,FALSE)/8760</f>
        <v>8.3333333333333329E-2</v>
      </c>
      <c r="AL220" s="521">
        <f>VLOOKUP($A220,'Key Inputs_BY Techs'!$B$132:$AJ$135,AL$183,FALSE)/8760</f>
        <v>8.3333333333333329E-2</v>
      </c>
      <c r="AM220" s="521">
        <f>VLOOKUP($A220,'Key Inputs_BY Techs'!$B$132:$AJ$135,AM$183,FALSE)/8760</f>
        <v>8.3333333333333329E-2</v>
      </c>
      <c r="AN220" s="521">
        <f>VLOOKUP($A220,'Key Inputs_BY Techs'!$B$132:$AJ$135,AN$183,FALSE)/8760</f>
        <v>8.3333333333333329E-2</v>
      </c>
      <c r="AO220" s="521">
        <f>VLOOKUP($A220,'Key Inputs_BY Techs'!$B$132:$AJ$135,AO$183,FALSE)/8760</f>
        <v>8.3333333333333329E-2</v>
      </c>
      <c r="AP220" s="521">
        <f>VLOOKUP($A220,'Key Inputs_BY Techs'!$B$132:$AJ$135,AP$183,FALSE)/8760</f>
        <v>8.3333333333333329E-2</v>
      </c>
      <c r="AQ220" s="521">
        <f>VLOOKUP($A220,'Key Inputs_BY Techs'!$B$132:$AJ$135,AQ$183,FALSE)/8760</f>
        <v>8.3333333333333329E-2</v>
      </c>
      <c r="AR220" s="521">
        <f>VLOOKUP($A220,'Key Inputs_BY Techs'!$B$132:$AJ$135,AR$183,FALSE)/8760</f>
        <v>8.3333333333333329E-2</v>
      </c>
      <c r="AS220" s="521">
        <f>VLOOKUP($A220,'Key Inputs_BY Techs'!$B$132:$AJ$135,AS$183,FALSE)/8760</f>
        <v>8.3333333333333329E-2</v>
      </c>
      <c r="AT220" s="222"/>
      <c r="AU220" s="212"/>
      <c r="AW220" s="232"/>
      <c r="BG220" s="212"/>
      <c r="BH220" s="225"/>
      <c r="BI220" s="225"/>
    </row>
    <row r="221" spans="1:61" x14ac:dyDescent="0.3">
      <c r="A221" s="547" t="str">
        <f t="shared" si="50"/>
        <v>Cooking</v>
      </c>
      <c r="B221" s="547" t="str">
        <f t="shared" si="50"/>
        <v>S-CK</v>
      </c>
      <c r="C221" s="535" t="str">
        <f t="shared" si="50"/>
        <v>LPG</v>
      </c>
      <c r="D221" s="535" t="str">
        <f t="shared" si="50"/>
        <v>SRVLPG</v>
      </c>
      <c r="E221" s="538" t="str">
        <f t="shared" si="50"/>
        <v>SRVLPG</v>
      </c>
      <c r="F221" s="535" t="str">
        <f t="shared" si="50"/>
        <v>Cooking system (Ord.)</v>
      </c>
      <c r="G221" s="541" t="str">
        <f t="shared" si="50"/>
        <v>01</v>
      </c>
      <c r="H221" s="541"/>
      <c r="I221" s="541"/>
      <c r="K221" s="405" t="str">
        <f t="shared" si="43"/>
        <v>S-CK_LPG01</v>
      </c>
      <c r="L221" s="203" t="str">
        <f t="shared" si="43"/>
        <v>SRV Cooking tech: LPG - Cooking system (Ord.)</v>
      </c>
      <c r="M221" s="405"/>
      <c r="N221" s="203"/>
      <c r="O221" s="405" t="s">
        <v>452</v>
      </c>
      <c r="P221" s="203" t="s">
        <v>154</v>
      </c>
      <c r="Q221" s="203"/>
      <c r="R221" s="521">
        <f>VLOOKUP($A221,'Key Inputs_BY Techs'!$B$132:$AJ$135,R$183,FALSE)/8760</f>
        <v>8.3333333333333329E-2</v>
      </c>
      <c r="S221" s="521">
        <f>VLOOKUP($A221,'Key Inputs_BY Techs'!$B$132:$AJ$135,S$183,FALSE)/8760</f>
        <v>8.3333333333333329E-2</v>
      </c>
      <c r="T221" s="521">
        <f>VLOOKUP($A221,'Key Inputs_BY Techs'!$B$132:$AJ$135,T$183,FALSE)/8760</f>
        <v>8.3333333333333329E-2</v>
      </c>
      <c r="U221" s="521">
        <f>VLOOKUP($A221,'Key Inputs_BY Techs'!$B$132:$AJ$135,U$183,FALSE)/8760</f>
        <v>8.3333333333333329E-2</v>
      </c>
      <c r="V221" s="521">
        <f>VLOOKUP($A221,'Key Inputs_BY Techs'!$B$132:$AJ$135,V$183,FALSE)/8760</f>
        <v>8.3333333333333329E-2</v>
      </c>
      <c r="W221" s="521">
        <f>VLOOKUP($A221,'Key Inputs_BY Techs'!$B$132:$AJ$135,W$183,FALSE)/8760</f>
        <v>8.3333333333333329E-2</v>
      </c>
      <c r="X221" s="521">
        <f>VLOOKUP($A221,'Key Inputs_BY Techs'!$B$132:$AJ$135,X$183,FALSE)/8760</f>
        <v>8.3333333333333329E-2</v>
      </c>
      <c r="Y221" s="521">
        <f>VLOOKUP($A221,'Key Inputs_BY Techs'!$B$132:$AJ$135,Y$183,FALSE)/8760</f>
        <v>8.3333333333333329E-2</v>
      </c>
      <c r="Z221" s="521">
        <f>VLOOKUP($A221,'Key Inputs_BY Techs'!$B$132:$AJ$135,Z$183,FALSE)/8760</f>
        <v>8.3333333333333329E-2</v>
      </c>
      <c r="AA221" s="521">
        <f>VLOOKUP($A221,'Key Inputs_BY Techs'!$B$132:$AJ$135,AA$183,FALSE)/8760</f>
        <v>8.3333333333333329E-2</v>
      </c>
      <c r="AB221" s="521">
        <f>VLOOKUP($A221,'Key Inputs_BY Techs'!$B$132:$AJ$135,AB$183,FALSE)/8760</f>
        <v>8.3333333333333329E-2</v>
      </c>
      <c r="AC221" s="521">
        <f>VLOOKUP($A221,'Key Inputs_BY Techs'!$B$132:$AJ$135,AC$183,FALSE)/8760</f>
        <v>8.3333333333333329E-2</v>
      </c>
      <c r="AD221" s="521">
        <f>VLOOKUP($A221,'Key Inputs_BY Techs'!$B$132:$AJ$135,AD$183,FALSE)/8760</f>
        <v>8.3333333333333329E-2</v>
      </c>
      <c r="AE221" s="521">
        <f>VLOOKUP($A221,'Key Inputs_BY Techs'!$B$132:$AJ$135,AE$183,FALSE)/8760</f>
        <v>8.3333333333333329E-2</v>
      </c>
      <c r="AF221" s="521">
        <f>VLOOKUP($A221,'Key Inputs_BY Techs'!$B$132:$AJ$135,AF$183,FALSE)/8760</f>
        <v>8.3333333333333329E-2</v>
      </c>
      <c r="AG221" s="521">
        <f>VLOOKUP($A221,'Key Inputs_BY Techs'!$B$132:$AJ$135,AG$183,FALSE)/8760</f>
        <v>8.3333333333333329E-2</v>
      </c>
      <c r="AH221" s="521">
        <f>VLOOKUP($A221,'Key Inputs_BY Techs'!$B$132:$AJ$135,AH$183,FALSE)/8760</f>
        <v>8.3333333333333329E-2</v>
      </c>
      <c r="AI221" s="521">
        <f>VLOOKUP($A221,'Key Inputs_BY Techs'!$B$132:$AJ$135,AI$183,FALSE)/8760</f>
        <v>8.3333333333333329E-2</v>
      </c>
      <c r="AJ221" s="521">
        <f>VLOOKUP($A221,'Key Inputs_BY Techs'!$B$132:$AJ$135,AJ$183,FALSE)/8760</f>
        <v>8.3333333333333329E-2</v>
      </c>
      <c r="AK221" s="521">
        <f>VLOOKUP($A221,'Key Inputs_BY Techs'!$B$132:$AJ$135,AK$183,FALSE)/8760</f>
        <v>8.3333333333333329E-2</v>
      </c>
      <c r="AL221" s="521">
        <f>VLOOKUP($A221,'Key Inputs_BY Techs'!$B$132:$AJ$135,AL$183,FALSE)/8760</f>
        <v>8.3333333333333329E-2</v>
      </c>
      <c r="AM221" s="521">
        <f>VLOOKUP($A221,'Key Inputs_BY Techs'!$B$132:$AJ$135,AM$183,FALSE)/8760</f>
        <v>8.3333333333333329E-2</v>
      </c>
      <c r="AN221" s="521">
        <f>VLOOKUP($A221,'Key Inputs_BY Techs'!$B$132:$AJ$135,AN$183,FALSE)/8760</f>
        <v>8.3333333333333329E-2</v>
      </c>
      <c r="AO221" s="521">
        <f>VLOOKUP($A221,'Key Inputs_BY Techs'!$B$132:$AJ$135,AO$183,FALSE)/8760</f>
        <v>8.3333333333333329E-2</v>
      </c>
      <c r="AP221" s="521">
        <f>VLOOKUP($A221,'Key Inputs_BY Techs'!$B$132:$AJ$135,AP$183,FALSE)/8760</f>
        <v>8.3333333333333329E-2</v>
      </c>
      <c r="AQ221" s="521">
        <f>VLOOKUP($A221,'Key Inputs_BY Techs'!$B$132:$AJ$135,AQ$183,FALSE)/8760</f>
        <v>8.3333333333333329E-2</v>
      </c>
      <c r="AR221" s="521">
        <f>VLOOKUP($A221,'Key Inputs_BY Techs'!$B$132:$AJ$135,AR$183,FALSE)/8760</f>
        <v>8.3333333333333329E-2</v>
      </c>
      <c r="AS221" s="521">
        <f>VLOOKUP($A221,'Key Inputs_BY Techs'!$B$132:$AJ$135,AS$183,FALSE)/8760</f>
        <v>8.3333333333333329E-2</v>
      </c>
      <c r="AT221" s="222"/>
      <c r="AU221" s="212"/>
      <c r="AW221" s="232"/>
      <c r="BG221" s="212"/>
      <c r="BH221" s="225"/>
      <c r="BI221" s="225"/>
    </row>
    <row r="222" spans="1:61" x14ac:dyDescent="0.3">
      <c r="A222" s="547" t="str">
        <f t="shared" si="50"/>
        <v>Cooking</v>
      </c>
      <c r="B222" s="547" t="str">
        <f t="shared" si="50"/>
        <v>S-CK</v>
      </c>
      <c r="C222" s="535" t="str">
        <f t="shared" si="50"/>
        <v>Biomass</v>
      </c>
      <c r="D222" s="535" t="str">
        <f t="shared" si="50"/>
        <v>SRVBIO</v>
      </c>
      <c r="E222" s="538" t="str">
        <f t="shared" si="50"/>
        <v>SRVBIO</v>
      </c>
      <c r="F222" s="535" t="str">
        <f t="shared" si="50"/>
        <v>Cooking system (Ord.)</v>
      </c>
      <c r="G222" s="541" t="str">
        <f t="shared" si="50"/>
        <v>01</v>
      </c>
      <c r="H222" s="541"/>
      <c r="I222" s="541"/>
      <c r="K222" s="405" t="str">
        <f t="shared" si="43"/>
        <v>S-CK_BIO01</v>
      </c>
      <c r="L222" s="203" t="str">
        <f t="shared" si="43"/>
        <v>SRV Cooking tech: Biomass - Cooking system (Ord.)</v>
      </c>
      <c r="M222" s="405"/>
      <c r="N222" s="203"/>
      <c r="O222" s="405" t="s">
        <v>452</v>
      </c>
      <c r="P222" s="203" t="s">
        <v>154</v>
      </c>
      <c r="Q222" s="203"/>
      <c r="R222" s="521">
        <f>VLOOKUP($A222,'Key Inputs_BY Techs'!$B$132:$AJ$135,R$183,FALSE)/8760</f>
        <v>8.3333333333333329E-2</v>
      </c>
      <c r="S222" s="521">
        <f>VLOOKUP($A222,'Key Inputs_BY Techs'!$B$132:$AJ$135,S$183,FALSE)/8760</f>
        <v>8.3333333333333329E-2</v>
      </c>
      <c r="T222" s="521">
        <f>VLOOKUP($A222,'Key Inputs_BY Techs'!$B$132:$AJ$135,T$183,FALSE)/8760</f>
        <v>8.3333333333333329E-2</v>
      </c>
      <c r="U222" s="521">
        <f>VLOOKUP($A222,'Key Inputs_BY Techs'!$B$132:$AJ$135,U$183,FALSE)/8760</f>
        <v>8.3333333333333329E-2</v>
      </c>
      <c r="V222" s="521">
        <f>VLOOKUP($A222,'Key Inputs_BY Techs'!$B$132:$AJ$135,V$183,FALSE)/8760</f>
        <v>8.3333333333333329E-2</v>
      </c>
      <c r="W222" s="521">
        <f>VLOOKUP($A222,'Key Inputs_BY Techs'!$B$132:$AJ$135,W$183,FALSE)/8760</f>
        <v>8.3333333333333329E-2</v>
      </c>
      <c r="X222" s="521">
        <f>VLOOKUP($A222,'Key Inputs_BY Techs'!$B$132:$AJ$135,X$183,FALSE)/8760</f>
        <v>8.3333333333333329E-2</v>
      </c>
      <c r="Y222" s="521">
        <f>VLOOKUP($A222,'Key Inputs_BY Techs'!$B$132:$AJ$135,Y$183,FALSE)/8760</f>
        <v>8.3333333333333329E-2</v>
      </c>
      <c r="Z222" s="521">
        <f>VLOOKUP($A222,'Key Inputs_BY Techs'!$B$132:$AJ$135,Z$183,FALSE)/8760</f>
        <v>8.3333333333333329E-2</v>
      </c>
      <c r="AA222" s="521">
        <f>VLOOKUP($A222,'Key Inputs_BY Techs'!$B$132:$AJ$135,AA$183,FALSE)/8760</f>
        <v>8.3333333333333329E-2</v>
      </c>
      <c r="AB222" s="521">
        <f>VLOOKUP($A222,'Key Inputs_BY Techs'!$B$132:$AJ$135,AB$183,FALSE)/8760</f>
        <v>8.3333333333333329E-2</v>
      </c>
      <c r="AC222" s="521">
        <f>VLOOKUP($A222,'Key Inputs_BY Techs'!$B$132:$AJ$135,AC$183,FALSE)/8760</f>
        <v>8.3333333333333329E-2</v>
      </c>
      <c r="AD222" s="521">
        <f>VLOOKUP($A222,'Key Inputs_BY Techs'!$B$132:$AJ$135,AD$183,FALSE)/8760</f>
        <v>8.3333333333333329E-2</v>
      </c>
      <c r="AE222" s="521">
        <f>VLOOKUP($A222,'Key Inputs_BY Techs'!$B$132:$AJ$135,AE$183,FALSE)/8760</f>
        <v>8.3333333333333329E-2</v>
      </c>
      <c r="AF222" s="521">
        <f>VLOOKUP($A222,'Key Inputs_BY Techs'!$B$132:$AJ$135,AF$183,FALSE)/8760</f>
        <v>8.3333333333333329E-2</v>
      </c>
      <c r="AG222" s="521">
        <f>VLOOKUP($A222,'Key Inputs_BY Techs'!$B$132:$AJ$135,AG$183,FALSE)/8760</f>
        <v>8.3333333333333329E-2</v>
      </c>
      <c r="AH222" s="521">
        <f>VLOOKUP($A222,'Key Inputs_BY Techs'!$B$132:$AJ$135,AH$183,FALSE)/8760</f>
        <v>8.3333333333333329E-2</v>
      </c>
      <c r="AI222" s="521">
        <f>VLOOKUP($A222,'Key Inputs_BY Techs'!$B$132:$AJ$135,AI$183,FALSE)/8760</f>
        <v>8.3333333333333329E-2</v>
      </c>
      <c r="AJ222" s="521">
        <f>VLOOKUP($A222,'Key Inputs_BY Techs'!$B$132:$AJ$135,AJ$183,FALSE)/8760</f>
        <v>8.3333333333333329E-2</v>
      </c>
      <c r="AK222" s="521">
        <f>VLOOKUP($A222,'Key Inputs_BY Techs'!$B$132:$AJ$135,AK$183,FALSE)/8760</f>
        <v>8.3333333333333329E-2</v>
      </c>
      <c r="AL222" s="521">
        <f>VLOOKUP($A222,'Key Inputs_BY Techs'!$B$132:$AJ$135,AL$183,FALSE)/8760</f>
        <v>8.3333333333333329E-2</v>
      </c>
      <c r="AM222" s="521">
        <f>VLOOKUP($A222,'Key Inputs_BY Techs'!$B$132:$AJ$135,AM$183,FALSE)/8760</f>
        <v>8.3333333333333329E-2</v>
      </c>
      <c r="AN222" s="521">
        <f>VLOOKUP($A222,'Key Inputs_BY Techs'!$B$132:$AJ$135,AN$183,FALSE)/8760</f>
        <v>8.3333333333333329E-2</v>
      </c>
      <c r="AO222" s="521">
        <f>VLOOKUP($A222,'Key Inputs_BY Techs'!$B$132:$AJ$135,AO$183,FALSE)/8760</f>
        <v>8.3333333333333329E-2</v>
      </c>
      <c r="AP222" s="521">
        <f>VLOOKUP($A222,'Key Inputs_BY Techs'!$B$132:$AJ$135,AP$183,FALSE)/8760</f>
        <v>8.3333333333333329E-2</v>
      </c>
      <c r="AQ222" s="521">
        <f>VLOOKUP($A222,'Key Inputs_BY Techs'!$B$132:$AJ$135,AQ$183,FALSE)/8760</f>
        <v>8.3333333333333329E-2</v>
      </c>
      <c r="AR222" s="521">
        <f>VLOOKUP($A222,'Key Inputs_BY Techs'!$B$132:$AJ$135,AR$183,FALSE)/8760</f>
        <v>8.3333333333333329E-2</v>
      </c>
      <c r="AS222" s="521">
        <f>VLOOKUP($A222,'Key Inputs_BY Techs'!$B$132:$AJ$135,AS$183,FALSE)/8760</f>
        <v>8.3333333333333329E-2</v>
      </c>
      <c r="AT222" s="222"/>
      <c r="AU222" s="212"/>
      <c r="AW222" s="232"/>
      <c r="BG222" s="212"/>
      <c r="BH222" s="225"/>
      <c r="BI222" s="225"/>
    </row>
    <row r="223" spans="1:61" x14ac:dyDescent="0.3">
      <c r="A223" s="547" t="str">
        <f t="shared" ref="A223:G223" si="51">A45</f>
        <v>Cooking</v>
      </c>
      <c r="B223" s="547" t="str">
        <f t="shared" si="51"/>
        <v>S-CK</v>
      </c>
      <c r="C223" s="535" t="str">
        <f t="shared" si="51"/>
        <v>Coal</v>
      </c>
      <c r="D223" s="535" t="str">
        <f t="shared" si="51"/>
        <v>SRVCOA</v>
      </c>
      <c r="E223" s="538" t="str">
        <f t="shared" si="51"/>
        <v>SRVCOA</v>
      </c>
      <c r="F223" s="535" t="str">
        <f t="shared" si="51"/>
        <v>Cooking system (Ord.)</v>
      </c>
      <c r="G223" s="541" t="str">
        <f t="shared" si="51"/>
        <v>01</v>
      </c>
      <c r="H223" s="541"/>
      <c r="I223" s="541"/>
      <c r="K223" s="407" t="str">
        <f t="shared" ref="K223:L223" si="52">K45</f>
        <v>S-CK_COA01</v>
      </c>
      <c r="L223" s="230" t="str">
        <f t="shared" si="52"/>
        <v>SRV Cooking tech: Coal - Cooking system (Ord.)</v>
      </c>
      <c r="M223" s="407"/>
      <c r="N223" s="230"/>
      <c r="O223" s="407" t="s">
        <v>452</v>
      </c>
      <c r="P223" s="230" t="s">
        <v>154</v>
      </c>
      <c r="Q223" s="230"/>
      <c r="R223" s="520">
        <f>VLOOKUP($A223,'Key Inputs_BY Techs'!$B$132:$AJ$135,R$183,FALSE)/8760</f>
        <v>8.3333333333333329E-2</v>
      </c>
      <c r="S223" s="520">
        <f>VLOOKUP($A223,'Key Inputs_BY Techs'!$B$132:$AJ$135,S$183,FALSE)/8760</f>
        <v>8.3333333333333329E-2</v>
      </c>
      <c r="T223" s="520">
        <f>VLOOKUP($A223,'Key Inputs_BY Techs'!$B$132:$AJ$135,T$183,FALSE)/8760</f>
        <v>8.3333333333333329E-2</v>
      </c>
      <c r="U223" s="520">
        <f>VLOOKUP($A223,'Key Inputs_BY Techs'!$B$132:$AJ$135,U$183,FALSE)/8760</f>
        <v>8.3333333333333329E-2</v>
      </c>
      <c r="V223" s="520">
        <f>VLOOKUP($A223,'Key Inputs_BY Techs'!$B$132:$AJ$135,V$183,FALSE)/8760</f>
        <v>8.3333333333333329E-2</v>
      </c>
      <c r="W223" s="520">
        <f>VLOOKUP($A223,'Key Inputs_BY Techs'!$B$132:$AJ$135,W$183,FALSE)/8760</f>
        <v>8.3333333333333329E-2</v>
      </c>
      <c r="X223" s="520">
        <f>VLOOKUP($A223,'Key Inputs_BY Techs'!$B$132:$AJ$135,X$183,FALSE)/8760</f>
        <v>8.3333333333333329E-2</v>
      </c>
      <c r="Y223" s="520">
        <f>VLOOKUP($A223,'Key Inputs_BY Techs'!$B$132:$AJ$135,Y$183,FALSE)/8760</f>
        <v>8.3333333333333329E-2</v>
      </c>
      <c r="Z223" s="520">
        <f>VLOOKUP($A223,'Key Inputs_BY Techs'!$B$132:$AJ$135,Z$183,FALSE)/8760</f>
        <v>8.3333333333333329E-2</v>
      </c>
      <c r="AA223" s="520">
        <f>VLOOKUP($A223,'Key Inputs_BY Techs'!$B$132:$AJ$135,AA$183,FALSE)/8760</f>
        <v>8.3333333333333329E-2</v>
      </c>
      <c r="AB223" s="520">
        <f>VLOOKUP($A223,'Key Inputs_BY Techs'!$B$132:$AJ$135,AB$183,FALSE)/8760</f>
        <v>8.3333333333333329E-2</v>
      </c>
      <c r="AC223" s="520">
        <f>VLOOKUP($A223,'Key Inputs_BY Techs'!$B$132:$AJ$135,AC$183,FALSE)/8760</f>
        <v>8.3333333333333329E-2</v>
      </c>
      <c r="AD223" s="520">
        <f>VLOOKUP($A223,'Key Inputs_BY Techs'!$B$132:$AJ$135,AD$183,FALSE)/8760</f>
        <v>8.3333333333333329E-2</v>
      </c>
      <c r="AE223" s="520">
        <f>VLOOKUP($A223,'Key Inputs_BY Techs'!$B$132:$AJ$135,AE$183,FALSE)/8760</f>
        <v>8.3333333333333329E-2</v>
      </c>
      <c r="AF223" s="520">
        <f>VLOOKUP($A223,'Key Inputs_BY Techs'!$B$132:$AJ$135,AF$183,FALSE)/8760</f>
        <v>8.3333333333333329E-2</v>
      </c>
      <c r="AG223" s="520">
        <f>VLOOKUP($A223,'Key Inputs_BY Techs'!$B$132:$AJ$135,AG$183,FALSE)/8760</f>
        <v>8.3333333333333329E-2</v>
      </c>
      <c r="AH223" s="520">
        <f>VLOOKUP($A223,'Key Inputs_BY Techs'!$B$132:$AJ$135,AH$183,FALSE)/8760</f>
        <v>8.3333333333333329E-2</v>
      </c>
      <c r="AI223" s="520">
        <f>VLOOKUP($A223,'Key Inputs_BY Techs'!$B$132:$AJ$135,AI$183,FALSE)/8760</f>
        <v>8.3333333333333329E-2</v>
      </c>
      <c r="AJ223" s="520">
        <f>VLOOKUP($A223,'Key Inputs_BY Techs'!$B$132:$AJ$135,AJ$183,FALSE)/8760</f>
        <v>8.3333333333333329E-2</v>
      </c>
      <c r="AK223" s="520">
        <f>VLOOKUP($A223,'Key Inputs_BY Techs'!$B$132:$AJ$135,AK$183,FALSE)/8760</f>
        <v>8.3333333333333329E-2</v>
      </c>
      <c r="AL223" s="520">
        <f>VLOOKUP($A223,'Key Inputs_BY Techs'!$B$132:$AJ$135,AL$183,FALSE)/8760</f>
        <v>8.3333333333333329E-2</v>
      </c>
      <c r="AM223" s="520">
        <f>VLOOKUP($A223,'Key Inputs_BY Techs'!$B$132:$AJ$135,AM$183,FALSE)/8760</f>
        <v>8.3333333333333329E-2</v>
      </c>
      <c r="AN223" s="520">
        <f>VLOOKUP($A223,'Key Inputs_BY Techs'!$B$132:$AJ$135,AN$183,FALSE)/8760</f>
        <v>8.3333333333333329E-2</v>
      </c>
      <c r="AO223" s="520">
        <f>VLOOKUP($A223,'Key Inputs_BY Techs'!$B$132:$AJ$135,AO$183,FALSE)/8760</f>
        <v>8.3333333333333329E-2</v>
      </c>
      <c r="AP223" s="520">
        <f>VLOOKUP($A223,'Key Inputs_BY Techs'!$B$132:$AJ$135,AP$183,FALSE)/8760</f>
        <v>8.3333333333333329E-2</v>
      </c>
      <c r="AQ223" s="520">
        <f>VLOOKUP($A223,'Key Inputs_BY Techs'!$B$132:$AJ$135,AQ$183,FALSE)/8760</f>
        <v>8.3333333333333329E-2</v>
      </c>
      <c r="AR223" s="520">
        <f>VLOOKUP($A223,'Key Inputs_BY Techs'!$B$132:$AJ$135,AR$183,FALSE)/8760</f>
        <v>8.3333333333333329E-2</v>
      </c>
      <c r="AS223" s="520">
        <f>VLOOKUP($A223,'Key Inputs_BY Techs'!$B$132:$AJ$135,AS$183,FALSE)/8760</f>
        <v>8.3333333333333329E-2</v>
      </c>
      <c r="AT223" s="222"/>
      <c r="AU223" s="212"/>
      <c r="AW223" s="232"/>
      <c r="BG223" s="212"/>
      <c r="BH223" s="225"/>
      <c r="BI223" s="225"/>
    </row>
    <row r="224" spans="1:61" x14ac:dyDescent="0.3">
      <c r="K224" s="515" t="s">
        <v>665</v>
      </c>
      <c r="L224" s="516"/>
      <c r="M224" s="516"/>
      <c r="N224" s="516"/>
      <c r="O224" s="517"/>
      <c r="P224" s="517"/>
      <c r="Q224" s="517"/>
      <c r="R224" s="517"/>
      <c r="S224" s="517"/>
      <c r="T224" s="517"/>
      <c r="U224" s="517"/>
      <c r="V224" s="517"/>
      <c r="W224" s="517"/>
      <c r="X224" s="517"/>
      <c r="Y224" s="517"/>
      <c r="Z224" s="517"/>
      <c r="AA224" s="517"/>
      <c r="AB224" s="517"/>
      <c r="AC224" s="517"/>
      <c r="AD224" s="517"/>
      <c r="AE224" s="517"/>
      <c r="AF224" s="517"/>
      <c r="AG224" s="517"/>
      <c r="AH224" s="517"/>
      <c r="AI224" s="517"/>
      <c r="AJ224" s="517"/>
      <c r="AK224" s="517"/>
      <c r="AL224" s="517"/>
      <c r="AM224" s="517"/>
      <c r="AN224" s="517"/>
      <c r="AO224" s="206"/>
      <c r="AP224" s="206"/>
      <c r="AQ224" s="206"/>
      <c r="AR224" s="206"/>
      <c r="AS224" s="206"/>
    </row>
    <row r="225" spans="1:45" ht="15.6" x14ac:dyDescent="0.3">
      <c r="A225" s="535" t="str">
        <f t="shared" ref="A225:G226" si="53">A12</f>
        <v>Thermal uses</v>
      </c>
      <c r="B225" s="535" t="str">
        <f t="shared" si="53"/>
        <v>S-TH</v>
      </c>
      <c r="C225" s="535" t="str">
        <f t="shared" si="53"/>
        <v>Natural gas, Biogas</v>
      </c>
      <c r="D225" s="535" t="str">
        <f t="shared" si="53"/>
        <v>SRVGAS, SRVBGS, SRVH2G, SRVH2B, SRVEFUM</v>
      </c>
      <c r="E225" s="535" t="str">
        <f t="shared" si="53"/>
        <v>SRVGAS</v>
      </c>
      <c r="F225" s="535" t="str">
        <f t="shared" si="53"/>
        <v>Boiler (Ord.)</v>
      </c>
      <c r="G225" s="535" t="str">
        <f t="shared" si="53"/>
        <v>01</v>
      </c>
      <c r="K225" s="328" t="str">
        <f>K12</f>
        <v>S-TH-BLR_GAS01</v>
      </c>
      <c r="L225" s="524" t="str">
        <f>L12</f>
        <v>SRV Thermal uses technology: Natural gas, Biogas Boiler (Ord.) -New</v>
      </c>
      <c r="M225" s="201" t="str">
        <f>MID(D225,9,6)</f>
        <v>SRVBGS</v>
      </c>
      <c r="O225" s="212" t="s">
        <v>190</v>
      </c>
      <c r="P225" s="223" t="s">
        <v>154</v>
      </c>
      <c r="Q225" s="573" t="s">
        <v>656</v>
      </c>
      <c r="R225" s="298">
        <f>'Key Inputs_BY Techs'!I$145</f>
        <v>0</v>
      </c>
      <c r="S225" s="298">
        <f>'Key Inputs_BY Techs'!J$145</f>
        <v>0</v>
      </c>
      <c r="T225" s="298">
        <f>'Key Inputs_BY Techs'!K$145</f>
        <v>0</v>
      </c>
      <c r="U225" s="298">
        <f>'Key Inputs_BY Techs'!L$145</f>
        <v>0</v>
      </c>
      <c r="V225" s="298">
        <f>'Key Inputs_BY Techs'!M$145</f>
        <v>9.6467193047876897E-3</v>
      </c>
      <c r="W225" s="298">
        <f>'Key Inputs_BY Techs'!N$145</f>
        <v>0</v>
      </c>
      <c r="X225" s="298">
        <f>'Key Inputs_BY Techs'!O$145</f>
        <v>0</v>
      </c>
      <c r="Y225" s="298">
        <f>'Key Inputs_BY Techs'!P$145</f>
        <v>1.5037593984962407E-3</v>
      </c>
      <c r="Z225" s="298">
        <f>'Key Inputs_BY Techs'!Q$145</f>
        <v>0</v>
      </c>
      <c r="AA225" s="298">
        <f>'Key Inputs_BY Techs'!R$145</f>
        <v>1.0766151758865201E-3</v>
      </c>
      <c r="AB225" s="298">
        <f>'Key Inputs_BY Techs'!S$145</f>
        <v>5.3628724216959509E-2</v>
      </c>
      <c r="AC225" s="298">
        <f>'Key Inputs_BY Techs'!T$145</f>
        <v>0</v>
      </c>
      <c r="AD225" s="298">
        <f>'Key Inputs_BY Techs'!U$145</f>
        <v>1.0693647562054003E-3</v>
      </c>
      <c r="AE225" s="298">
        <f>'Key Inputs_BY Techs'!V$145</f>
        <v>7.0661847996116292E-3</v>
      </c>
      <c r="AF225" s="298">
        <f>'Key Inputs_BY Techs'!W$145</f>
        <v>1.4149992550329102E-2</v>
      </c>
      <c r="AG225" s="298">
        <f>'Key Inputs_BY Techs'!X$145</f>
        <v>1.0317516311399728E-2</v>
      </c>
      <c r="AH225" s="298">
        <f>'Key Inputs_BY Techs'!Y$145</f>
        <v>2.0930983337444909E-2</v>
      </c>
      <c r="AI225" s="298">
        <f>'Key Inputs_BY Techs'!Z$145</f>
        <v>0</v>
      </c>
      <c r="AJ225" s="298">
        <f>'Key Inputs_BY Techs'!AA$145</f>
        <v>0</v>
      </c>
      <c r="AK225" s="298">
        <f>'Key Inputs_BY Techs'!AB$145</f>
        <v>0</v>
      </c>
      <c r="AL225" s="298">
        <f>'Key Inputs_BY Techs'!AC$145</f>
        <v>0</v>
      </c>
      <c r="AM225" s="298">
        <f>'Key Inputs_BY Techs'!AD$145</f>
        <v>0</v>
      </c>
      <c r="AN225" s="298">
        <f>'Key Inputs_BY Techs'!AE$145</f>
        <v>0</v>
      </c>
      <c r="AO225" s="298">
        <f>'Key Inputs_BY Techs'!AF$145</f>
        <v>0</v>
      </c>
      <c r="AP225" s="298">
        <f>'Key Inputs_BY Techs'!AG$145</f>
        <v>0</v>
      </c>
      <c r="AQ225" s="298">
        <f>'Key Inputs_BY Techs'!AH$145</f>
        <v>0</v>
      </c>
      <c r="AR225" s="298">
        <f>'Key Inputs_BY Techs'!AI$145</f>
        <v>5.6844506219038459E-3</v>
      </c>
      <c r="AS225" s="298">
        <f>'Key Inputs_BY Techs'!AJ$145</f>
        <v>6.6155224054639838E-4</v>
      </c>
    </row>
    <row r="226" spans="1:45" ht="15.6" x14ac:dyDescent="0.3">
      <c r="A226" s="535" t="str">
        <f t="shared" si="53"/>
        <v>Thermal uses</v>
      </c>
      <c r="B226" s="535" t="str">
        <f t="shared" si="53"/>
        <v>S-TH</v>
      </c>
      <c r="C226" s="535" t="str">
        <f t="shared" si="53"/>
        <v>Natural gas, Biogas</v>
      </c>
      <c r="D226" s="535" t="str">
        <f t="shared" si="53"/>
        <v>SRVGAS, SRVBGS, SRVH2G, SRVH2B, SRVEFUM</v>
      </c>
      <c r="E226" s="535" t="str">
        <f t="shared" si="53"/>
        <v>SRVGAS</v>
      </c>
      <c r="F226" s="535" t="str">
        <f t="shared" si="53"/>
        <v>Boiler cond. (Ord.)</v>
      </c>
      <c r="G226" s="535" t="str">
        <f t="shared" si="53"/>
        <v>02</v>
      </c>
      <c r="K226" s="328" t="str">
        <f>K13</f>
        <v>S-TH-BLR_GAS02</v>
      </c>
      <c r="L226" s="524" t="str">
        <f>L13</f>
        <v>SRV Thermal uses technology: Natural gas, Biogas Boiler cond. (Ord.) -New</v>
      </c>
      <c r="M226" s="201" t="str">
        <f t="shared" ref="M226:M230" si="54">MID(D226,9,6)</f>
        <v>SRVBGS</v>
      </c>
      <c r="O226" s="212" t="s">
        <v>190</v>
      </c>
      <c r="P226" s="223" t="s">
        <v>154</v>
      </c>
      <c r="Q226" s="573" t="s">
        <v>656</v>
      </c>
      <c r="R226" s="298">
        <f>'Key Inputs_BY Techs'!I$145</f>
        <v>0</v>
      </c>
      <c r="S226" s="298">
        <f>'Key Inputs_BY Techs'!J$145</f>
        <v>0</v>
      </c>
      <c r="T226" s="298">
        <f>'Key Inputs_BY Techs'!K$145</f>
        <v>0</v>
      </c>
      <c r="U226" s="298">
        <f>'Key Inputs_BY Techs'!L$145</f>
        <v>0</v>
      </c>
      <c r="V226" s="298">
        <f>'Key Inputs_BY Techs'!M$145</f>
        <v>9.6467193047876897E-3</v>
      </c>
      <c r="W226" s="298">
        <f>'Key Inputs_BY Techs'!N$145</f>
        <v>0</v>
      </c>
      <c r="X226" s="298">
        <f>'Key Inputs_BY Techs'!O$145</f>
        <v>0</v>
      </c>
      <c r="Y226" s="298">
        <f>'Key Inputs_BY Techs'!P$145</f>
        <v>1.5037593984962407E-3</v>
      </c>
      <c r="Z226" s="298">
        <f>'Key Inputs_BY Techs'!Q$145</f>
        <v>0</v>
      </c>
      <c r="AA226" s="298">
        <f>'Key Inputs_BY Techs'!R$145</f>
        <v>1.0766151758865201E-3</v>
      </c>
      <c r="AB226" s="298">
        <f>'Key Inputs_BY Techs'!S$145</f>
        <v>5.3628724216959509E-2</v>
      </c>
      <c r="AC226" s="298">
        <f>'Key Inputs_BY Techs'!T$145</f>
        <v>0</v>
      </c>
      <c r="AD226" s="298">
        <f>'Key Inputs_BY Techs'!U$145</f>
        <v>1.0693647562054003E-3</v>
      </c>
      <c r="AE226" s="298">
        <f>'Key Inputs_BY Techs'!V$145</f>
        <v>7.0661847996116292E-3</v>
      </c>
      <c r="AF226" s="298">
        <f>'Key Inputs_BY Techs'!W$145</f>
        <v>1.4149992550329102E-2</v>
      </c>
      <c r="AG226" s="298">
        <f>'Key Inputs_BY Techs'!X$145</f>
        <v>1.0317516311399728E-2</v>
      </c>
      <c r="AH226" s="298">
        <f>'Key Inputs_BY Techs'!Y$145</f>
        <v>2.0930983337444909E-2</v>
      </c>
      <c r="AI226" s="298">
        <f>'Key Inputs_BY Techs'!Z$145</f>
        <v>0</v>
      </c>
      <c r="AJ226" s="298">
        <f>'Key Inputs_BY Techs'!AA$145</f>
        <v>0</v>
      </c>
      <c r="AK226" s="298">
        <f>'Key Inputs_BY Techs'!AB$145</f>
        <v>0</v>
      </c>
      <c r="AL226" s="298">
        <f>'Key Inputs_BY Techs'!AC$145</f>
        <v>0</v>
      </c>
      <c r="AM226" s="298">
        <f>'Key Inputs_BY Techs'!AD$145</f>
        <v>0</v>
      </c>
      <c r="AN226" s="298">
        <f>'Key Inputs_BY Techs'!AE$145</f>
        <v>0</v>
      </c>
      <c r="AO226" s="298">
        <f>'Key Inputs_BY Techs'!AF$145</f>
        <v>0</v>
      </c>
      <c r="AP226" s="298">
        <f>'Key Inputs_BY Techs'!AG$145</f>
        <v>0</v>
      </c>
      <c r="AQ226" s="298">
        <f>'Key Inputs_BY Techs'!AH$145</f>
        <v>0</v>
      </c>
      <c r="AR226" s="298">
        <f>'Key Inputs_BY Techs'!AI$145</f>
        <v>5.6844506219038459E-3</v>
      </c>
      <c r="AS226" s="298">
        <f>'Key Inputs_BY Techs'!AJ$145</f>
        <v>6.6155224054639838E-4</v>
      </c>
    </row>
    <row r="227" spans="1:45" ht="15.6" x14ac:dyDescent="0.3">
      <c r="A227" s="535" t="str">
        <f t="shared" ref="A227:G229" si="55">A26</f>
        <v>Air conditioning</v>
      </c>
      <c r="B227" s="535" t="str">
        <f t="shared" si="55"/>
        <v>S-AC</v>
      </c>
      <c r="C227" s="535" t="str">
        <f t="shared" si="55"/>
        <v>Natural gas, Biogas</v>
      </c>
      <c r="D227" s="535" t="str">
        <f t="shared" si="55"/>
        <v>SRVGAS, SRVBGS, SRVH2G, SRVH2B, SRVEFUM</v>
      </c>
      <c r="E227" s="535" t="str">
        <f t="shared" si="55"/>
        <v>SRVGAS</v>
      </c>
      <c r="F227" s="535" t="str">
        <f t="shared" si="55"/>
        <v>Air conditioning (Ord.)</v>
      </c>
      <c r="G227" s="535" t="str">
        <f t="shared" si="55"/>
        <v>01</v>
      </c>
      <c r="K227" s="328" t="str">
        <f t="shared" ref="K227:L229" si="56">K26</f>
        <v>S-AC_GAS01</v>
      </c>
      <c r="L227" s="524" t="str">
        <f t="shared" si="56"/>
        <v>SRV Air conditioning tech: Natural gas, Biogas - Air conditioning (Ord.)</v>
      </c>
      <c r="M227" s="201" t="str">
        <f t="shared" si="54"/>
        <v>SRVBGS</v>
      </c>
      <c r="O227" s="212" t="s">
        <v>190</v>
      </c>
      <c r="P227" s="223" t="s">
        <v>154</v>
      </c>
      <c r="Q227" s="573" t="s">
        <v>656</v>
      </c>
      <c r="R227" s="298">
        <f>'Key Inputs_BY Techs'!I$145</f>
        <v>0</v>
      </c>
      <c r="S227" s="298">
        <f>'Key Inputs_BY Techs'!J$145</f>
        <v>0</v>
      </c>
      <c r="T227" s="298">
        <f>'Key Inputs_BY Techs'!K$145</f>
        <v>0</v>
      </c>
      <c r="U227" s="298">
        <f>'Key Inputs_BY Techs'!L$145</f>
        <v>0</v>
      </c>
      <c r="V227" s="298">
        <f>'Key Inputs_BY Techs'!M$145</f>
        <v>9.6467193047876897E-3</v>
      </c>
      <c r="W227" s="298">
        <f>'Key Inputs_BY Techs'!N$145</f>
        <v>0</v>
      </c>
      <c r="X227" s="298">
        <f>'Key Inputs_BY Techs'!O$145</f>
        <v>0</v>
      </c>
      <c r="Y227" s="298">
        <f>'Key Inputs_BY Techs'!P$145</f>
        <v>1.5037593984962407E-3</v>
      </c>
      <c r="Z227" s="298">
        <f>'Key Inputs_BY Techs'!Q$145</f>
        <v>0</v>
      </c>
      <c r="AA227" s="298">
        <f>'Key Inputs_BY Techs'!R$145</f>
        <v>1.0766151758865201E-3</v>
      </c>
      <c r="AB227" s="298">
        <f>'Key Inputs_BY Techs'!S$145</f>
        <v>5.3628724216959509E-2</v>
      </c>
      <c r="AC227" s="298">
        <f>'Key Inputs_BY Techs'!T$145</f>
        <v>0</v>
      </c>
      <c r="AD227" s="298">
        <f>'Key Inputs_BY Techs'!U$145</f>
        <v>1.0693647562054003E-3</v>
      </c>
      <c r="AE227" s="298">
        <f>'Key Inputs_BY Techs'!V$145</f>
        <v>7.0661847996116292E-3</v>
      </c>
      <c r="AF227" s="298">
        <f>'Key Inputs_BY Techs'!W$145</f>
        <v>1.4149992550329102E-2</v>
      </c>
      <c r="AG227" s="298">
        <f>'Key Inputs_BY Techs'!X$145</f>
        <v>1.0317516311399728E-2</v>
      </c>
      <c r="AH227" s="298">
        <f>'Key Inputs_BY Techs'!Y$145</f>
        <v>2.0930983337444909E-2</v>
      </c>
      <c r="AI227" s="298">
        <f>'Key Inputs_BY Techs'!Z$145</f>
        <v>0</v>
      </c>
      <c r="AJ227" s="298">
        <f>'Key Inputs_BY Techs'!AA$145</f>
        <v>0</v>
      </c>
      <c r="AK227" s="298">
        <f>'Key Inputs_BY Techs'!AB$145</f>
        <v>0</v>
      </c>
      <c r="AL227" s="298">
        <f>'Key Inputs_BY Techs'!AC$145</f>
        <v>0</v>
      </c>
      <c r="AM227" s="298">
        <f>'Key Inputs_BY Techs'!AD$145</f>
        <v>0</v>
      </c>
      <c r="AN227" s="298">
        <f>'Key Inputs_BY Techs'!AE$145</f>
        <v>0</v>
      </c>
      <c r="AO227" s="298">
        <f>'Key Inputs_BY Techs'!AF$145</f>
        <v>0</v>
      </c>
      <c r="AP227" s="298">
        <f>'Key Inputs_BY Techs'!AG$145</f>
        <v>0</v>
      </c>
      <c r="AQ227" s="298">
        <f>'Key Inputs_BY Techs'!AH$145</f>
        <v>0</v>
      </c>
      <c r="AR227" s="298">
        <f>'Key Inputs_BY Techs'!AI$145</f>
        <v>5.6844506219038459E-3</v>
      </c>
      <c r="AS227" s="298">
        <f>'Key Inputs_BY Techs'!AJ$145</f>
        <v>6.6155224054639838E-4</v>
      </c>
    </row>
    <row r="228" spans="1:45" ht="15.6" x14ac:dyDescent="0.3">
      <c r="A228" s="535" t="str">
        <f t="shared" si="55"/>
        <v>Air conditioning</v>
      </c>
      <c r="B228" s="535" t="str">
        <f t="shared" si="55"/>
        <v>S-AC</v>
      </c>
      <c r="C228" s="535" t="str">
        <f t="shared" si="55"/>
        <v>Natural gas, Biogas</v>
      </c>
      <c r="D228" s="535" t="str">
        <f t="shared" si="55"/>
        <v>SRVGAS, SRVBGS, SRVH2G, SRVH2B, SRVEFUM</v>
      </c>
      <c r="E228" s="535" t="str">
        <f t="shared" si="55"/>
        <v>SRVGAS</v>
      </c>
      <c r="F228" s="535" t="str">
        <f t="shared" si="55"/>
        <v>Air conditioning (Imp.)</v>
      </c>
      <c r="G228" s="535" t="str">
        <f t="shared" si="55"/>
        <v>02</v>
      </c>
      <c r="K228" s="328" t="str">
        <f t="shared" si="56"/>
        <v>S-AC_GAS02</v>
      </c>
      <c r="L228" s="524" t="str">
        <f t="shared" si="56"/>
        <v>SRV Air conditioning tech: Natural gas, Biogas - Air conditioning (Imp.)</v>
      </c>
      <c r="M228" s="201" t="str">
        <f t="shared" si="54"/>
        <v>SRVBGS</v>
      </c>
      <c r="O228" s="212" t="s">
        <v>190</v>
      </c>
      <c r="P228" s="223" t="s">
        <v>154</v>
      </c>
      <c r="Q228" s="573" t="s">
        <v>656</v>
      </c>
      <c r="R228" s="298">
        <f>'Key Inputs_BY Techs'!I$145</f>
        <v>0</v>
      </c>
      <c r="S228" s="298">
        <f>'Key Inputs_BY Techs'!J$145</f>
        <v>0</v>
      </c>
      <c r="T228" s="298">
        <f>'Key Inputs_BY Techs'!K$145</f>
        <v>0</v>
      </c>
      <c r="U228" s="298">
        <f>'Key Inputs_BY Techs'!L$145</f>
        <v>0</v>
      </c>
      <c r="V228" s="298">
        <f>'Key Inputs_BY Techs'!M$145</f>
        <v>9.6467193047876897E-3</v>
      </c>
      <c r="W228" s="298">
        <f>'Key Inputs_BY Techs'!N$145</f>
        <v>0</v>
      </c>
      <c r="X228" s="298">
        <f>'Key Inputs_BY Techs'!O$145</f>
        <v>0</v>
      </c>
      <c r="Y228" s="298">
        <f>'Key Inputs_BY Techs'!P$145</f>
        <v>1.5037593984962407E-3</v>
      </c>
      <c r="Z228" s="298">
        <f>'Key Inputs_BY Techs'!Q$145</f>
        <v>0</v>
      </c>
      <c r="AA228" s="298">
        <f>'Key Inputs_BY Techs'!R$145</f>
        <v>1.0766151758865201E-3</v>
      </c>
      <c r="AB228" s="298">
        <f>'Key Inputs_BY Techs'!S$145</f>
        <v>5.3628724216959509E-2</v>
      </c>
      <c r="AC228" s="298">
        <f>'Key Inputs_BY Techs'!T$145</f>
        <v>0</v>
      </c>
      <c r="AD228" s="298">
        <f>'Key Inputs_BY Techs'!U$145</f>
        <v>1.0693647562054003E-3</v>
      </c>
      <c r="AE228" s="298">
        <f>'Key Inputs_BY Techs'!V$145</f>
        <v>7.0661847996116292E-3</v>
      </c>
      <c r="AF228" s="298">
        <f>'Key Inputs_BY Techs'!W$145</f>
        <v>1.4149992550329102E-2</v>
      </c>
      <c r="AG228" s="298">
        <f>'Key Inputs_BY Techs'!X$145</f>
        <v>1.0317516311399728E-2</v>
      </c>
      <c r="AH228" s="298">
        <f>'Key Inputs_BY Techs'!Y$145</f>
        <v>2.0930983337444909E-2</v>
      </c>
      <c r="AI228" s="298">
        <f>'Key Inputs_BY Techs'!Z$145</f>
        <v>0</v>
      </c>
      <c r="AJ228" s="298">
        <f>'Key Inputs_BY Techs'!AA$145</f>
        <v>0</v>
      </c>
      <c r="AK228" s="298">
        <f>'Key Inputs_BY Techs'!AB$145</f>
        <v>0</v>
      </c>
      <c r="AL228" s="298">
        <f>'Key Inputs_BY Techs'!AC$145</f>
        <v>0</v>
      </c>
      <c r="AM228" s="298">
        <f>'Key Inputs_BY Techs'!AD$145</f>
        <v>0</v>
      </c>
      <c r="AN228" s="298">
        <f>'Key Inputs_BY Techs'!AE$145</f>
        <v>0</v>
      </c>
      <c r="AO228" s="298">
        <f>'Key Inputs_BY Techs'!AF$145</f>
        <v>0</v>
      </c>
      <c r="AP228" s="298">
        <f>'Key Inputs_BY Techs'!AG$145</f>
        <v>0</v>
      </c>
      <c r="AQ228" s="298">
        <f>'Key Inputs_BY Techs'!AH$145</f>
        <v>0</v>
      </c>
      <c r="AR228" s="298">
        <f>'Key Inputs_BY Techs'!AI$145</f>
        <v>5.6844506219038459E-3</v>
      </c>
      <c r="AS228" s="298">
        <f>'Key Inputs_BY Techs'!AJ$145</f>
        <v>6.6155224054639838E-4</v>
      </c>
    </row>
    <row r="229" spans="1:45" ht="15.6" x14ac:dyDescent="0.3">
      <c r="A229" s="535" t="str">
        <f t="shared" si="55"/>
        <v>Air conditioning</v>
      </c>
      <c r="B229" s="535" t="str">
        <f t="shared" si="55"/>
        <v>S-AC</v>
      </c>
      <c r="C229" s="535" t="str">
        <f t="shared" si="55"/>
        <v>Natural gas, Biogas</v>
      </c>
      <c r="D229" s="535" t="str">
        <f t="shared" si="55"/>
        <v>SRVGAS, SRVBGS, SRVH2G, SRVH2B, SRVEFUM</v>
      </c>
      <c r="E229" s="535" t="str">
        <f t="shared" si="55"/>
        <v>SRVGAS</v>
      </c>
      <c r="F229" s="535" t="str">
        <f t="shared" si="55"/>
        <v>Air conditioning (Adv.)</v>
      </c>
      <c r="G229" s="535" t="str">
        <f t="shared" si="55"/>
        <v>03</v>
      </c>
      <c r="K229" s="328" t="str">
        <f t="shared" si="56"/>
        <v>S-AC_GAS03</v>
      </c>
      <c r="L229" s="524" t="str">
        <f t="shared" si="56"/>
        <v>SRV Air conditioning tech: Natural gas, Biogas - Air conditioning (Adv.)</v>
      </c>
      <c r="M229" s="201" t="str">
        <f t="shared" si="54"/>
        <v>SRVBGS</v>
      </c>
      <c r="O229" s="212" t="s">
        <v>190</v>
      </c>
      <c r="P229" s="223" t="s">
        <v>154</v>
      </c>
      <c r="Q229" s="573" t="s">
        <v>656</v>
      </c>
      <c r="R229" s="298">
        <f>'Key Inputs_BY Techs'!I$145</f>
        <v>0</v>
      </c>
      <c r="S229" s="298">
        <f>'Key Inputs_BY Techs'!J$145</f>
        <v>0</v>
      </c>
      <c r="T229" s="298">
        <f>'Key Inputs_BY Techs'!K$145</f>
        <v>0</v>
      </c>
      <c r="U229" s="298">
        <f>'Key Inputs_BY Techs'!L$145</f>
        <v>0</v>
      </c>
      <c r="V229" s="298">
        <f>'Key Inputs_BY Techs'!M$145</f>
        <v>9.6467193047876897E-3</v>
      </c>
      <c r="W229" s="298">
        <f>'Key Inputs_BY Techs'!N$145</f>
        <v>0</v>
      </c>
      <c r="X229" s="298">
        <f>'Key Inputs_BY Techs'!O$145</f>
        <v>0</v>
      </c>
      <c r="Y229" s="298">
        <f>'Key Inputs_BY Techs'!P$145</f>
        <v>1.5037593984962407E-3</v>
      </c>
      <c r="Z229" s="298">
        <f>'Key Inputs_BY Techs'!Q$145</f>
        <v>0</v>
      </c>
      <c r="AA229" s="298">
        <f>'Key Inputs_BY Techs'!R$145</f>
        <v>1.0766151758865201E-3</v>
      </c>
      <c r="AB229" s="298">
        <f>'Key Inputs_BY Techs'!S$145</f>
        <v>5.3628724216959509E-2</v>
      </c>
      <c r="AC229" s="298">
        <f>'Key Inputs_BY Techs'!T$145</f>
        <v>0</v>
      </c>
      <c r="AD229" s="298">
        <f>'Key Inputs_BY Techs'!U$145</f>
        <v>1.0693647562054003E-3</v>
      </c>
      <c r="AE229" s="298">
        <f>'Key Inputs_BY Techs'!V$145</f>
        <v>7.0661847996116292E-3</v>
      </c>
      <c r="AF229" s="298">
        <f>'Key Inputs_BY Techs'!W$145</f>
        <v>1.4149992550329102E-2</v>
      </c>
      <c r="AG229" s="298">
        <f>'Key Inputs_BY Techs'!X$145</f>
        <v>1.0317516311399728E-2</v>
      </c>
      <c r="AH229" s="298">
        <f>'Key Inputs_BY Techs'!Y$145</f>
        <v>2.0930983337444909E-2</v>
      </c>
      <c r="AI229" s="298">
        <f>'Key Inputs_BY Techs'!Z$145</f>
        <v>0</v>
      </c>
      <c r="AJ229" s="298">
        <f>'Key Inputs_BY Techs'!AA$145</f>
        <v>0</v>
      </c>
      <c r="AK229" s="298">
        <f>'Key Inputs_BY Techs'!AB$145</f>
        <v>0</v>
      </c>
      <c r="AL229" s="298">
        <f>'Key Inputs_BY Techs'!AC$145</f>
        <v>0</v>
      </c>
      <c r="AM229" s="298">
        <f>'Key Inputs_BY Techs'!AD$145</f>
        <v>0</v>
      </c>
      <c r="AN229" s="298">
        <f>'Key Inputs_BY Techs'!AE$145</f>
        <v>0</v>
      </c>
      <c r="AO229" s="298">
        <f>'Key Inputs_BY Techs'!AF$145</f>
        <v>0</v>
      </c>
      <c r="AP229" s="298">
        <f>'Key Inputs_BY Techs'!AG$145</f>
        <v>0</v>
      </c>
      <c r="AQ229" s="298">
        <f>'Key Inputs_BY Techs'!AH$145</f>
        <v>0</v>
      </c>
      <c r="AR229" s="298">
        <f>'Key Inputs_BY Techs'!AI$145</f>
        <v>5.6844506219038459E-3</v>
      </c>
      <c r="AS229" s="298">
        <f>'Key Inputs_BY Techs'!AJ$145</f>
        <v>6.6155224054639838E-4</v>
      </c>
    </row>
    <row r="230" spans="1:45" ht="15.6" x14ac:dyDescent="0.3">
      <c r="A230" s="535" t="str">
        <f t="shared" ref="A230:G230" si="57">A42</f>
        <v>Cooking</v>
      </c>
      <c r="B230" s="535" t="str">
        <f t="shared" si="57"/>
        <v>S-CK</v>
      </c>
      <c r="C230" s="535" t="str">
        <f t="shared" si="57"/>
        <v>Natural gas,Biogas</v>
      </c>
      <c r="D230" s="535" t="str">
        <f t="shared" si="57"/>
        <v>SRVGAS, SRVBGS, SRVH2G, SRVH2B, SRVEFUM</v>
      </c>
      <c r="E230" s="535" t="str">
        <f t="shared" si="57"/>
        <v>SRVGAS</v>
      </c>
      <c r="F230" s="535" t="str">
        <f t="shared" si="57"/>
        <v>Cooking system (Ord.)</v>
      </c>
      <c r="G230" s="535" t="str">
        <f t="shared" si="57"/>
        <v>01</v>
      </c>
      <c r="K230" s="330" t="str">
        <f>K42</f>
        <v>S-CK_GAS01</v>
      </c>
      <c r="L230" s="525" t="str">
        <f>L42</f>
        <v>SRV Cooking tech: Natural gas,Biogas - Cooking system (Ord.)</v>
      </c>
      <c r="M230" s="234" t="str">
        <f t="shared" si="54"/>
        <v>SRVBGS</v>
      </c>
      <c r="N230" s="234"/>
      <c r="O230" s="299" t="s">
        <v>190</v>
      </c>
      <c r="P230" s="235" t="s">
        <v>154</v>
      </c>
      <c r="Q230" s="574" t="s">
        <v>656</v>
      </c>
      <c r="R230" s="453">
        <f>'Key Inputs_BY Techs'!I$145</f>
        <v>0</v>
      </c>
      <c r="S230" s="453">
        <f>'Key Inputs_BY Techs'!J$145</f>
        <v>0</v>
      </c>
      <c r="T230" s="453">
        <f>'Key Inputs_BY Techs'!K$145</f>
        <v>0</v>
      </c>
      <c r="U230" s="453">
        <f>'Key Inputs_BY Techs'!L$145</f>
        <v>0</v>
      </c>
      <c r="V230" s="453">
        <f>'Key Inputs_BY Techs'!M$145</f>
        <v>9.6467193047876897E-3</v>
      </c>
      <c r="W230" s="453">
        <f>'Key Inputs_BY Techs'!N$145</f>
        <v>0</v>
      </c>
      <c r="X230" s="453">
        <f>'Key Inputs_BY Techs'!O$145</f>
        <v>0</v>
      </c>
      <c r="Y230" s="453">
        <f>'Key Inputs_BY Techs'!P$145</f>
        <v>1.5037593984962407E-3</v>
      </c>
      <c r="Z230" s="453">
        <f>'Key Inputs_BY Techs'!Q$145</f>
        <v>0</v>
      </c>
      <c r="AA230" s="453">
        <f>'Key Inputs_BY Techs'!R$145</f>
        <v>1.0766151758865201E-3</v>
      </c>
      <c r="AB230" s="453">
        <f>'Key Inputs_BY Techs'!S$145</f>
        <v>5.3628724216959509E-2</v>
      </c>
      <c r="AC230" s="453">
        <f>'Key Inputs_BY Techs'!T$145</f>
        <v>0</v>
      </c>
      <c r="AD230" s="453">
        <f>'Key Inputs_BY Techs'!U$145</f>
        <v>1.0693647562054003E-3</v>
      </c>
      <c r="AE230" s="453">
        <f>'Key Inputs_BY Techs'!V$145</f>
        <v>7.0661847996116292E-3</v>
      </c>
      <c r="AF230" s="453">
        <f>'Key Inputs_BY Techs'!W$145</f>
        <v>1.4149992550329102E-2</v>
      </c>
      <c r="AG230" s="453">
        <f>'Key Inputs_BY Techs'!X$145</f>
        <v>1.0317516311399728E-2</v>
      </c>
      <c r="AH230" s="453">
        <f>'Key Inputs_BY Techs'!Y$145</f>
        <v>2.0930983337444909E-2</v>
      </c>
      <c r="AI230" s="453">
        <f>'Key Inputs_BY Techs'!Z$145</f>
        <v>0</v>
      </c>
      <c r="AJ230" s="453">
        <f>'Key Inputs_BY Techs'!AA$145</f>
        <v>0</v>
      </c>
      <c r="AK230" s="453">
        <f>'Key Inputs_BY Techs'!AB$145</f>
        <v>0</v>
      </c>
      <c r="AL230" s="453">
        <f>'Key Inputs_BY Techs'!AC$145</f>
        <v>0</v>
      </c>
      <c r="AM230" s="453">
        <f>'Key Inputs_BY Techs'!AD$145</f>
        <v>0</v>
      </c>
      <c r="AN230" s="453">
        <f>'Key Inputs_BY Techs'!AE$145</f>
        <v>0</v>
      </c>
      <c r="AO230" s="453">
        <f>'Key Inputs_BY Techs'!AF$145</f>
        <v>0</v>
      </c>
      <c r="AP230" s="453">
        <f>'Key Inputs_BY Techs'!AG$145</f>
        <v>0</v>
      </c>
      <c r="AQ230" s="453">
        <f>'Key Inputs_BY Techs'!AH$145</f>
        <v>0</v>
      </c>
      <c r="AR230" s="453">
        <f>'Key Inputs_BY Techs'!AI$145</f>
        <v>5.6844506219038459E-3</v>
      </c>
      <c r="AS230" s="453">
        <f>'Key Inputs_BY Techs'!AJ$145</f>
        <v>6.6155224054639838E-4</v>
      </c>
    </row>
    <row r="232" spans="1:45" x14ac:dyDescent="0.3">
      <c r="AL232" s="211"/>
      <c r="AM232" s="201"/>
    </row>
    <row r="233" spans="1:45" x14ac:dyDescent="0.3">
      <c r="AL233" s="211"/>
      <c r="AM233" s="201"/>
    </row>
    <row r="234" spans="1:45" x14ac:dyDescent="0.3">
      <c r="AL234" s="211"/>
      <c r="AM234" s="201"/>
    </row>
    <row r="328" ht="14.1" customHeight="1" x14ac:dyDescent="0.3"/>
    <row r="329" ht="14.1" customHeight="1" x14ac:dyDescent="0.3"/>
  </sheetData>
  <mergeCells count="4">
    <mergeCell ref="A4:B4"/>
    <mergeCell ref="C4:E4"/>
    <mergeCell ref="A49:B49"/>
    <mergeCell ref="C49:E49"/>
  </mergeCells>
  <phoneticPr fontId="9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Legend</vt:lpstr>
      <vt:lpstr>LOG</vt:lpstr>
      <vt:lpstr>Key inputs_EB</vt:lpstr>
      <vt:lpstr>Key Inputs_BY Techs</vt:lpstr>
      <vt:lpstr>Key Inputs_New Techs</vt:lpstr>
      <vt:lpstr>Commodities &amp; Processes</vt:lpstr>
      <vt:lpstr>Fuel Techs</vt:lpstr>
      <vt:lpstr>SRV_BY Techs</vt:lpstr>
      <vt:lpstr>SRV_New Techs</vt:lpstr>
      <vt:lpstr>Demands</vt:lpstr>
      <vt:lpstr>S1</vt:lpstr>
      <vt:lpstr>S2</vt:lpstr>
      <vt:lpstr>S3</vt:lpstr>
      <vt:lpstr>S4</vt:lpstr>
      <vt:lpstr>S5</vt:lpstr>
      <vt:lpstr>S6</vt:lpstr>
      <vt:lpstr>S7</vt:lpstr>
      <vt:lpstr>S8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E4SMA</dc:creator>
  <cp:lastModifiedBy>E4SMA Server2</cp:lastModifiedBy>
  <dcterms:created xsi:type="dcterms:W3CDTF">2019-01-10T17:18:58Z</dcterms:created>
  <dcterms:modified xsi:type="dcterms:W3CDTF">2025-07-23T10:03:15Z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501598536968231</vt:r8>
  </property>
</Properties>
</file>