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2.xml" ContentType="application/vnd.openxmlformats-officedocument.spreadsheetml.pivotTable+xml"/>
  <Override PartName="/xl/tables/table23.xml" ContentType="application/vnd.openxmlformats-officedocument.spreadsheetml.table+xml"/>
  <Override PartName="/xl/queryTables/queryTable1.xml" ContentType="application/vnd.openxmlformats-officedocument.spreadsheetml.queryTable+xml"/>
  <Override PartName="/xl/tables/table2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iaran Lynch\Desktop\Football Stats\World Cup\"/>
    </mc:Choice>
  </mc:AlternateContent>
  <xr:revisionPtr revIDLastSave="0" documentId="13_ncr:1_{82E008AA-A2F4-4586-BE5B-F168869106B7}" xr6:coauthVersionLast="47" xr6:coauthVersionMax="47" xr10:uidLastSave="{00000000-0000-0000-0000-000000000000}"/>
  <bookViews>
    <workbookView xWindow="-120" yWindow="-120" windowWidth="29040" windowHeight="15840" firstSheet="12" activeTab="18" xr2:uid="{00000000-000D-0000-FFFF-FFFF00000000}"/>
  </bookViews>
  <sheets>
    <sheet name="Categories" sheetId="2" state="hidden" r:id="rId1"/>
    <sheet name="FIFA Region" sheetId="8" r:id="rId2"/>
    <sheet name="Stadiums" sheetId="7" r:id="rId3"/>
    <sheet name="World Cup Groups" sheetId="10" state="hidden" r:id="rId4"/>
    <sheet name="Football Associations" sheetId="11" r:id="rId5"/>
    <sheet name="Club Leagues of FA" sheetId="12" r:id="rId6"/>
    <sheet name="Clubs" sheetId="5" r:id="rId7"/>
    <sheet name="Tables" sheetId="3" r:id="rId8"/>
    <sheet name="All Results" sheetId="23" r:id="rId9"/>
    <sheet name="World Cup 2022 Matches" sheetId="1" r:id="rId10"/>
    <sheet name="Knock Out" sheetId="17" state="hidden" r:id="rId11"/>
    <sheet name="Squads" sheetId="4" r:id="rId12"/>
    <sheet name="Match Report" sheetId="6" r:id="rId13"/>
    <sheet name="Club Representation info" sheetId="13" r:id="rId14"/>
    <sheet name="Player info" sheetId="16" r:id="rId15"/>
    <sheet name="World Cup Actions" sheetId="14" r:id="rId16"/>
    <sheet name="Player Dashboard" sheetId="25" r:id="rId17"/>
    <sheet name="Clubs Dashboaard" sheetId="27" r:id="rId18"/>
    <sheet name="Actions Dashboard" sheetId="26" r:id="rId19"/>
    <sheet name="World Cup Team Yellow Cards" sheetId="15" state="hidden" r:id="rId20"/>
    <sheet name="Squads CSV" sheetId="22" state="hidden" r:id="rId21"/>
    <sheet name="All_Results" sheetId="24" state="hidden" r:id="rId22"/>
  </sheets>
  <definedNames>
    <definedName name="_xlnm._FilterDatabase" localSheetId="8" hidden="1">'All Results'!$A$1:$I$68</definedName>
    <definedName name="_xlnm._FilterDatabase" localSheetId="13" hidden="1">'Club Representation info'!$A$2:$D$299</definedName>
    <definedName name="_xlnm._FilterDatabase" localSheetId="11" hidden="1">Squads!#REF!</definedName>
    <definedName name="_xlnm._FilterDatabase" localSheetId="9" hidden="1">'World Cup 2022 Matches'!$A$1:$J$52</definedName>
    <definedName name="_xlcn.WorksheetConnection_WorldCup2022.xlsmClub_Leagues1" hidden="1">Club_Leagues[]</definedName>
    <definedName name="_xlcn.WorksheetConnection_WorldCup2022.xlsmClubs1" hidden="1">Clubs[]</definedName>
    <definedName name="_xlcn.WorksheetConnection_WorldCup2022.xlsmFIFA_Region1" hidden="1">FIFA_Region[]</definedName>
    <definedName name="_xlcn.WorksheetConnection_WorldCup2022.xlsmFixtures1" hidden="1">Fixtures[]</definedName>
    <definedName name="_xlcn.WorksheetConnection_WorldCup2022.xlsmFootball_Associations1" hidden="1">Football_Associations[]</definedName>
    <definedName name="_xlcn.WorksheetConnection_WorldCup2022.xlsmKnock_Out1" hidden="1">Knock_Out[]</definedName>
    <definedName name="_xlcn.WorksheetConnection_WorldCup2022.xlsmMatch_Record1" hidden="1">Match_Record[]</definedName>
    <definedName name="_xlcn.WorksheetConnection_WorldCup2022.xlsmSquads1" hidden="1">Squads[]</definedName>
    <definedName name="_xlcn.WorksheetConnection_WorldCup2022.xlsmStadiums271" hidden="1">Stadiums27[]</definedName>
    <definedName name="_xlcn.WorksheetConnection_WorldCup2022.xlsmWC_Groups1" hidden="1">WC_Groups[]</definedName>
    <definedName name="ExternalData_1" localSheetId="21" hidden="1">All_Results!$A$1:$M$66</definedName>
    <definedName name="ExternalData_1" localSheetId="20" hidden="1">'Squads CSV'!$A$1:$R$831</definedName>
    <definedName name="MarginOfError">'Player info'!$B$27</definedName>
    <definedName name="World_Cup_End_Date">Categories!$E$3</definedName>
    <definedName name="World_Cup_Start_Date">Categories!$E$2</definedName>
  </definedNames>
  <calcPr calcId="191029"/>
  <pivotCaches>
    <pivotCache cacheId="0" r:id="rId23"/>
    <pivotCache cacheId="1" r:id="rId24"/>
    <pivotCache cacheId="2" r:id="rId25"/>
    <pivotCache cacheId="3" r:id="rId26"/>
    <pivotCache cacheId="4" r:id="rId27"/>
    <pivotCache cacheId="5" r:id="rId28"/>
    <pivotCache cacheId="6" r:id="rId29"/>
  </pivotCaches>
  <extLst>
    <ext xmlns:x15="http://schemas.microsoft.com/office/spreadsheetml/2010/11/main" uri="{FCE2AD5D-F65C-4FA6-A056-5C36A1767C68}">
      <x15:dataModel>
        <x15:modelTables>
          <x15:modelTable id="Group Fixtures_50745313-f60a-4680-96d5-2b05c8f96b0e" name="Group Fixtures" connection="Query - Group Fixtures"/>
          <x15:modelTable id="Knock_Out_Fixtures_ec4b6440-7427-4a63-a534-65b7d9ba377b" name="Knock_Out_Fixtures" connection="Query - Knock_Out_Fixtures"/>
          <x15:modelTable id="Football_Associations 1_0a22a80b-2abe-4c2e-af3c-7174f29dba92" name="Football_Associations 1" connection="Query - Football_Associations"/>
          <x15:modelTable id="Stadiums 1_6ab69bb9-4608-4609-8efc-2ac1f7aa1133" name="Stadiums 1" connection="Query - Stadiums"/>
          <x15:modelTable id="FIFA_Region 1_5661e53a-38ae-4a05-8f2f-2712c0873b58" name="FIFA_Region 1" connection="Query - FIFA_Region"/>
          <x15:modelTable id="Leagues_Of_FA_f227974a-6c54-4318-85be-0c7390b06386" name="Leagues_Of_FA" connection="Query - Leagues_Of_FA"/>
          <x15:modelTable id="Clubs 1_4e6ffe64-d769-4409-a5dd-99adf01bd50f" name="Clubs 1" connection="Query - Clubs"/>
          <x15:modelTable id="Squads 1_f2a62d89-5660-4827-a447-43665c50c927" name="Squads 1" connection="Query - Squads"/>
          <x15:modelTable id="All_Results_49094985-be2e-45ff-a6c4-a870e8665148" name="All_Results" connection="Query - All_Results"/>
          <x15:modelTable id="WC_Groups" name="WC_Groups" connection="WorksheetConnection_World Cup 2022.xlsm!WC_Groups"/>
          <x15:modelTable id="Stadiums27" name="Stadiums" connection="WorksheetConnection_World Cup 2022.xlsm!Stadiums27"/>
          <x15:modelTable id="Squads" name="Squads" connection="WorksheetConnection_World Cup 2022.xlsm!Squads"/>
          <x15:modelTable id="Match_Record" name="Match_Record" connection="WorksheetConnection_World Cup 2022.xlsm!Match_Record"/>
          <x15:modelTable id="Knock_Out" name="Knock_Out" connection="WorksheetConnection_World Cup 2022.xlsm!Knock_Out"/>
          <x15:modelTable id="Football_Associations" name="Football_Associations" connection="WorksheetConnection_World Cup 2022.xlsm!Football_Associations"/>
          <x15:modelTable id="Fixtures" name="Fixtures" connection="WorksheetConnection_World Cup 2022.xlsm!Fixtures"/>
          <x15:modelTable id="FIFA_Region" name="FIFA_Region" connection="WorksheetConnection_World Cup 2022.xlsm!FIFA_Region"/>
          <x15:modelTable id="Clubs" name="Clubs" connection="WorksheetConnection_World Cup 2022.xlsm!Clubs"/>
          <x15:modelTable id="Club_Leagues" name="Club_Leagues" connection="WorksheetConnection_World Cup 2022.xlsm!Club_Leagues"/>
        </x15:modelTables>
        <x15:modelRelationships>
          <x15:modelRelationship fromTable="Football_Associations" fromColumn="FIFA Region" toTable="FIFA_Region" toColumn="FIFA Region"/>
          <x15:modelRelationship fromTable="Football_Associations" fromColumn="World Cup Group" toTable="WC_Groups" toColumn="World Cup Groups"/>
          <x15:modelRelationship fromTable="Club_Leagues" fromColumn="Football Association" toTable="Football_Associations" toColumn="Football Association"/>
          <x15:modelRelationship fromTable="Clubs" fromColumn="Club - League" toTable="Club_Leagues" toColumn="Club - League"/>
          <x15:modelRelationship fromTable="Squads" fromColumn="Current Club" toTable="Clubs" toColumn="Current Club"/>
          <x15:modelRelationship fromTable="Match_Record" fromColumn="Match No" toTable="Knock_Out" toColumn="Match No"/>
          <x15:modelRelationship fromTable="Match_Record" fromColumn="Match No" toTable="Fixtures" toColumn="Match No"/>
          <x15:modelRelationship fromTable="Match_Record" fromColumn="Player_No" toTable="Squads" toColumn="Player N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Group Fixtures" columnName="Date" columnId="Date"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13" l="1"/>
  <c r="K832" i="4" l="1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65" i="23"/>
  <c r="L64" i="23"/>
  <c r="L63" i="23"/>
  <c r="L62" i="23"/>
  <c r="L61" i="23"/>
  <c r="L60" i="23"/>
  <c r="L59" i="23"/>
  <c r="L58" i="23"/>
  <c r="L57" i="23"/>
  <c r="L56" i="23"/>
  <c r="L55" i="23"/>
  <c r="L54" i="23"/>
  <c r="L53" i="23"/>
  <c r="L52" i="23"/>
  <c r="L51" i="23"/>
  <c r="L50" i="23"/>
  <c r="K66" i="23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L27" i="23"/>
  <c r="L26" i="23"/>
  <c r="L25" i="23"/>
  <c r="L24" i="23"/>
  <c r="L23" i="23"/>
  <c r="L22" i="23"/>
  <c r="L21" i="23"/>
  <c r="L20" i="23"/>
  <c r="L19" i="23"/>
  <c r="L18" i="23"/>
  <c r="L17" i="23"/>
  <c r="L16" i="23"/>
  <c r="L15" i="23"/>
  <c r="L14" i="23"/>
  <c r="L13" i="23"/>
  <c r="L12" i="23"/>
  <c r="L11" i="23"/>
  <c r="L10" i="23"/>
  <c r="L9" i="23"/>
  <c r="L8" i="23"/>
  <c r="L7" i="23"/>
  <c r="L6" i="23"/>
  <c r="L5" i="23"/>
  <c r="L4" i="23"/>
  <c r="L3" i="23"/>
  <c r="L2" i="23"/>
  <c r="M2" i="4"/>
  <c r="N2" i="4" s="1"/>
  <c r="M3" i="4"/>
  <c r="N3" i="4" s="1"/>
  <c r="M4" i="4"/>
  <c r="N4" i="4" s="1"/>
  <c r="M5" i="4"/>
  <c r="N5" i="4" s="1"/>
  <c r="M6" i="4"/>
  <c r="N6" i="4" s="1"/>
  <c r="M7" i="4"/>
  <c r="N7" i="4" s="1"/>
  <c r="M8" i="4"/>
  <c r="N8" i="4" s="1"/>
  <c r="M9" i="4"/>
  <c r="N9" i="4" s="1"/>
  <c r="M10" i="4"/>
  <c r="N10" i="4" s="1"/>
  <c r="M11" i="4"/>
  <c r="N11" i="4" s="1"/>
  <c r="M12" i="4"/>
  <c r="N12" i="4" s="1"/>
  <c r="M13" i="4"/>
  <c r="N13" i="4" s="1"/>
  <c r="M14" i="4"/>
  <c r="N14" i="4" s="1"/>
  <c r="M15" i="4"/>
  <c r="N15" i="4" s="1"/>
  <c r="M16" i="4"/>
  <c r="N16" i="4" s="1"/>
  <c r="M17" i="4"/>
  <c r="N17" i="4" s="1"/>
  <c r="M18" i="4"/>
  <c r="N18" i="4" s="1"/>
  <c r="M19" i="4"/>
  <c r="N19" i="4" s="1"/>
  <c r="M20" i="4"/>
  <c r="N20" i="4" s="1"/>
  <c r="M21" i="4"/>
  <c r="N21" i="4" s="1"/>
  <c r="M22" i="4"/>
  <c r="N22" i="4" s="1"/>
  <c r="M23" i="4"/>
  <c r="N23" i="4" s="1"/>
  <c r="M24" i="4"/>
  <c r="N24" i="4" s="1"/>
  <c r="M25" i="4"/>
  <c r="N25" i="4" s="1"/>
  <c r="M26" i="4"/>
  <c r="N26" i="4" s="1"/>
  <c r="M27" i="4"/>
  <c r="N27" i="4" s="1"/>
  <c r="M28" i="4"/>
  <c r="N28" i="4" s="1"/>
  <c r="M29" i="4"/>
  <c r="N29" i="4" s="1"/>
  <c r="M30" i="4"/>
  <c r="N30" i="4" s="1"/>
  <c r="M31" i="4"/>
  <c r="N31" i="4" s="1"/>
  <c r="M32" i="4"/>
  <c r="N32" i="4" s="1"/>
  <c r="M33" i="4"/>
  <c r="N33" i="4" s="1"/>
  <c r="M34" i="4"/>
  <c r="N34" i="4" s="1"/>
  <c r="M35" i="4"/>
  <c r="N35" i="4" s="1"/>
  <c r="M36" i="4"/>
  <c r="N36" i="4" s="1"/>
  <c r="M37" i="4"/>
  <c r="N37" i="4" s="1"/>
  <c r="M38" i="4"/>
  <c r="N38" i="4" s="1"/>
  <c r="M39" i="4"/>
  <c r="N39" i="4" s="1"/>
  <c r="M40" i="4"/>
  <c r="N40" i="4" s="1"/>
  <c r="M41" i="4"/>
  <c r="N41" i="4" s="1"/>
  <c r="M42" i="4"/>
  <c r="N42" i="4" s="1"/>
  <c r="M43" i="4"/>
  <c r="N43" i="4" s="1"/>
  <c r="M44" i="4"/>
  <c r="N44" i="4" s="1"/>
  <c r="M45" i="4"/>
  <c r="N45" i="4" s="1"/>
  <c r="M46" i="4"/>
  <c r="N46" i="4" s="1"/>
  <c r="M47" i="4"/>
  <c r="N47" i="4" s="1"/>
  <c r="M48" i="4"/>
  <c r="N48" i="4" s="1"/>
  <c r="M49" i="4"/>
  <c r="N49" i="4" s="1"/>
  <c r="M50" i="4"/>
  <c r="N50" i="4" s="1"/>
  <c r="M51" i="4"/>
  <c r="N51" i="4" s="1"/>
  <c r="M52" i="4"/>
  <c r="N52" i="4" s="1"/>
  <c r="M53" i="4"/>
  <c r="N53" i="4" s="1"/>
  <c r="M54" i="4"/>
  <c r="N54" i="4" s="1"/>
  <c r="M55" i="4"/>
  <c r="N55" i="4" s="1"/>
  <c r="M56" i="4"/>
  <c r="N56" i="4" s="1"/>
  <c r="M57" i="4"/>
  <c r="N57" i="4" s="1"/>
  <c r="M58" i="4"/>
  <c r="N58" i="4" s="1"/>
  <c r="M59" i="4"/>
  <c r="N59" i="4" s="1"/>
  <c r="M60" i="4"/>
  <c r="N60" i="4" s="1"/>
  <c r="M61" i="4"/>
  <c r="N61" i="4" s="1"/>
  <c r="M62" i="4"/>
  <c r="N62" i="4" s="1"/>
  <c r="M63" i="4"/>
  <c r="N63" i="4" s="1"/>
  <c r="M64" i="4"/>
  <c r="N64" i="4" s="1"/>
  <c r="M65" i="4"/>
  <c r="N65" i="4" s="1"/>
  <c r="M66" i="4"/>
  <c r="N66" i="4" s="1"/>
  <c r="M67" i="4"/>
  <c r="N67" i="4" s="1"/>
  <c r="M68" i="4"/>
  <c r="N68" i="4" s="1"/>
  <c r="M69" i="4"/>
  <c r="N69" i="4" s="1"/>
  <c r="M70" i="4"/>
  <c r="N70" i="4" s="1"/>
  <c r="M71" i="4"/>
  <c r="N71" i="4" s="1"/>
  <c r="M72" i="4"/>
  <c r="N72" i="4" s="1"/>
  <c r="M73" i="4"/>
  <c r="N73" i="4" s="1"/>
  <c r="M74" i="4"/>
  <c r="N74" i="4" s="1"/>
  <c r="M75" i="4"/>
  <c r="N75" i="4" s="1"/>
  <c r="M76" i="4"/>
  <c r="N76" i="4" s="1"/>
  <c r="M77" i="4"/>
  <c r="N77" i="4" s="1"/>
  <c r="M78" i="4"/>
  <c r="N78" i="4" s="1"/>
  <c r="M79" i="4"/>
  <c r="N79" i="4" s="1"/>
  <c r="M80" i="4"/>
  <c r="N80" i="4" s="1"/>
  <c r="M81" i="4"/>
  <c r="N81" i="4" s="1"/>
  <c r="M82" i="4"/>
  <c r="N82" i="4" s="1"/>
  <c r="M83" i="4"/>
  <c r="N83" i="4" s="1"/>
  <c r="M84" i="4"/>
  <c r="N84" i="4" s="1"/>
  <c r="M85" i="4"/>
  <c r="N85" i="4" s="1"/>
  <c r="M86" i="4"/>
  <c r="N86" i="4" s="1"/>
  <c r="M87" i="4"/>
  <c r="N87" i="4" s="1"/>
  <c r="M88" i="4"/>
  <c r="N88" i="4" s="1"/>
  <c r="M89" i="4"/>
  <c r="N89" i="4" s="1"/>
  <c r="M90" i="4"/>
  <c r="N90" i="4" s="1"/>
  <c r="M91" i="4"/>
  <c r="N91" i="4" s="1"/>
  <c r="M92" i="4"/>
  <c r="N92" i="4" s="1"/>
  <c r="M93" i="4"/>
  <c r="N93" i="4" s="1"/>
  <c r="M94" i="4"/>
  <c r="N94" i="4" s="1"/>
  <c r="M95" i="4"/>
  <c r="N95" i="4" s="1"/>
  <c r="M96" i="4"/>
  <c r="N96" i="4" s="1"/>
  <c r="M97" i="4"/>
  <c r="N97" i="4" s="1"/>
  <c r="M98" i="4"/>
  <c r="N98" i="4" s="1"/>
  <c r="M99" i="4"/>
  <c r="N99" i="4" s="1"/>
  <c r="M100" i="4"/>
  <c r="N100" i="4" s="1"/>
  <c r="M101" i="4"/>
  <c r="N101" i="4" s="1"/>
  <c r="M102" i="4"/>
  <c r="N102" i="4" s="1"/>
  <c r="M103" i="4"/>
  <c r="N103" i="4" s="1"/>
  <c r="M104" i="4"/>
  <c r="N104" i="4" s="1"/>
  <c r="M105" i="4"/>
  <c r="N105" i="4" s="1"/>
  <c r="M106" i="4"/>
  <c r="N106" i="4" s="1"/>
  <c r="M107" i="4"/>
  <c r="N107" i="4" s="1"/>
  <c r="M108" i="4"/>
  <c r="N108" i="4" s="1"/>
  <c r="M109" i="4"/>
  <c r="N109" i="4" s="1"/>
  <c r="M110" i="4"/>
  <c r="N110" i="4" s="1"/>
  <c r="M111" i="4"/>
  <c r="N111" i="4" s="1"/>
  <c r="M112" i="4"/>
  <c r="N112" i="4" s="1"/>
  <c r="M113" i="4"/>
  <c r="N113" i="4" s="1"/>
  <c r="M114" i="4"/>
  <c r="N114" i="4" s="1"/>
  <c r="M115" i="4"/>
  <c r="N115" i="4" s="1"/>
  <c r="M116" i="4"/>
  <c r="N116" i="4" s="1"/>
  <c r="M117" i="4"/>
  <c r="N117" i="4" s="1"/>
  <c r="M118" i="4"/>
  <c r="N118" i="4" s="1"/>
  <c r="M119" i="4"/>
  <c r="N119" i="4" s="1"/>
  <c r="M120" i="4"/>
  <c r="N120" i="4" s="1"/>
  <c r="M121" i="4"/>
  <c r="N121" i="4" s="1"/>
  <c r="M122" i="4"/>
  <c r="N122" i="4" s="1"/>
  <c r="M123" i="4"/>
  <c r="N123" i="4" s="1"/>
  <c r="M124" i="4"/>
  <c r="N124" i="4" s="1"/>
  <c r="M125" i="4"/>
  <c r="N125" i="4" s="1"/>
  <c r="M126" i="4"/>
  <c r="N126" i="4" s="1"/>
  <c r="M127" i="4"/>
  <c r="N127" i="4" s="1"/>
  <c r="M128" i="4"/>
  <c r="N128" i="4" s="1"/>
  <c r="M129" i="4"/>
  <c r="N129" i="4" s="1"/>
  <c r="M130" i="4"/>
  <c r="N130" i="4" s="1"/>
  <c r="M131" i="4"/>
  <c r="N131" i="4" s="1"/>
  <c r="M132" i="4"/>
  <c r="N132" i="4" s="1"/>
  <c r="M133" i="4"/>
  <c r="N133" i="4" s="1"/>
  <c r="M134" i="4"/>
  <c r="N134" i="4" s="1"/>
  <c r="M135" i="4"/>
  <c r="N135" i="4" s="1"/>
  <c r="M136" i="4"/>
  <c r="N136" i="4" s="1"/>
  <c r="M137" i="4"/>
  <c r="N137" i="4" s="1"/>
  <c r="M138" i="4"/>
  <c r="N138" i="4" s="1"/>
  <c r="M139" i="4"/>
  <c r="N139" i="4" s="1"/>
  <c r="M140" i="4"/>
  <c r="N140" i="4" s="1"/>
  <c r="M141" i="4"/>
  <c r="N141" i="4" s="1"/>
  <c r="M142" i="4"/>
  <c r="N142" i="4" s="1"/>
  <c r="M143" i="4"/>
  <c r="N143" i="4" s="1"/>
  <c r="M144" i="4"/>
  <c r="N144" i="4" s="1"/>
  <c r="M145" i="4"/>
  <c r="N145" i="4" s="1"/>
  <c r="M146" i="4"/>
  <c r="N146" i="4" s="1"/>
  <c r="M147" i="4"/>
  <c r="N147" i="4" s="1"/>
  <c r="M148" i="4"/>
  <c r="N148" i="4" s="1"/>
  <c r="M149" i="4"/>
  <c r="N149" i="4" s="1"/>
  <c r="M150" i="4"/>
  <c r="N150" i="4" s="1"/>
  <c r="M151" i="4"/>
  <c r="N151" i="4" s="1"/>
  <c r="M152" i="4"/>
  <c r="N152" i="4" s="1"/>
  <c r="M153" i="4"/>
  <c r="N153" i="4" s="1"/>
  <c r="M154" i="4"/>
  <c r="N154" i="4" s="1"/>
  <c r="M155" i="4"/>
  <c r="N155" i="4" s="1"/>
  <c r="M156" i="4"/>
  <c r="N156" i="4" s="1"/>
  <c r="M157" i="4"/>
  <c r="N157" i="4" s="1"/>
  <c r="M158" i="4"/>
  <c r="N158" i="4" s="1"/>
  <c r="M159" i="4"/>
  <c r="N159" i="4" s="1"/>
  <c r="M160" i="4"/>
  <c r="N160" i="4" s="1"/>
  <c r="M161" i="4"/>
  <c r="N161" i="4" s="1"/>
  <c r="M162" i="4"/>
  <c r="N162" i="4" s="1"/>
  <c r="M163" i="4"/>
  <c r="N163" i="4" s="1"/>
  <c r="M164" i="4"/>
  <c r="N164" i="4" s="1"/>
  <c r="M165" i="4"/>
  <c r="N165" i="4" s="1"/>
  <c r="M166" i="4"/>
  <c r="N166" i="4" s="1"/>
  <c r="M167" i="4"/>
  <c r="N167" i="4" s="1"/>
  <c r="M168" i="4"/>
  <c r="N168" i="4" s="1"/>
  <c r="M169" i="4"/>
  <c r="N169" i="4" s="1"/>
  <c r="M170" i="4"/>
  <c r="N170" i="4" s="1"/>
  <c r="M171" i="4"/>
  <c r="N171" i="4" s="1"/>
  <c r="M172" i="4"/>
  <c r="N172" i="4" s="1"/>
  <c r="M173" i="4"/>
  <c r="N173" i="4" s="1"/>
  <c r="M174" i="4"/>
  <c r="N174" i="4" s="1"/>
  <c r="M175" i="4"/>
  <c r="N175" i="4" s="1"/>
  <c r="M176" i="4"/>
  <c r="N176" i="4" s="1"/>
  <c r="M177" i="4"/>
  <c r="N177" i="4" s="1"/>
  <c r="M178" i="4"/>
  <c r="N178" i="4" s="1"/>
  <c r="M179" i="4"/>
  <c r="N179" i="4" s="1"/>
  <c r="M180" i="4"/>
  <c r="N180" i="4" s="1"/>
  <c r="M181" i="4"/>
  <c r="N181" i="4" s="1"/>
  <c r="M182" i="4"/>
  <c r="N182" i="4" s="1"/>
  <c r="M183" i="4"/>
  <c r="N183" i="4" s="1"/>
  <c r="M184" i="4"/>
  <c r="N184" i="4" s="1"/>
  <c r="M185" i="4"/>
  <c r="N185" i="4" s="1"/>
  <c r="M186" i="4"/>
  <c r="N186" i="4" s="1"/>
  <c r="M187" i="4"/>
  <c r="N187" i="4" s="1"/>
  <c r="M188" i="4"/>
  <c r="N188" i="4" s="1"/>
  <c r="M189" i="4"/>
  <c r="N189" i="4" s="1"/>
  <c r="M190" i="4"/>
  <c r="N190" i="4" s="1"/>
  <c r="M191" i="4"/>
  <c r="N191" i="4" s="1"/>
  <c r="M192" i="4"/>
  <c r="N192" i="4" s="1"/>
  <c r="M193" i="4"/>
  <c r="N193" i="4" s="1"/>
  <c r="M194" i="4"/>
  <c r="N194" i="4" s="1"/>
  <c r="M195" i="4"/>
  <c r="N195" i="4" s="1"/>
  <c r="M196" i="4"/>
  <c r="N196" i="4" s="1"/>
  <c r="M197" i="4"/>
  <c r="N197" i="4" s="1"/>
  <c r="M198" i="4"/>
  <c r="N198" i="4" s="1"/>
  <c r="M199" i="4"/>
  <c r="N199" i="4" s="1"/>
  <c r="M200" i="4"/>
  <c r="N200" i="4" s="1"/>
  <c r="M201" i="4"/>
  <c r="N201" i="4" s="1"/>
  <c r="M202" i="4"/>
  <c r="N202" i="4" s="1"/>
  <c r="M203" i="4"/>
  <c r="N203" i="4" s="1"/>
  <c r="M204" i="4"/>
  <c r="N204" i="4" s="1"/>
  <c r="M205" i="4"/>
  <c r="N205" i="4" s="1"/>
  <c r="M206" i="4"/>
  <c r="N206" i="4" s="1"/>
  <c r="M207" i="4"/>
  <c r="N207" i="4" s="1"/>
  <c r="M208" i="4"/>
  <c r="N208" i="4" s="1"/>
  <c r="M209" i="4"/>
  <c r="N209" i="4" s="1"/>
  <c r="M210" i="4"/>
  <c r="N210" i="4" s="1"/>
  <c r="M211" i="4"/>
  <c r="N211" i="4" s="1"/>
  <c r="M212" i="4"/>
  <c r="N212" i="4" s="1"/>
  <c r="M213" i="4"/>
  <c r="N213" i="4" s="1"/>
  <c r="M214" i="4"/>
  <c r="N214" i="4" s="1"/>
  <c r="M215" i="4"/>
  <c r="N215" i="4" s="1"/>
  <c r="M216" i="4"/>
  <c r="N216" i="4" s="1"/>
  <c r="M217" i="4"/>
  <c r="N217" i="4" s="1"/>
  <c r="M218" i="4"/>
  <c r="N218" i="4" s="1"/>
  <c r="M219" i="4"/>
  <c r="N219" i="4" s="1"/>
  <c r="M220" i="4"/>
  <c r="N220" i="4" s="1"/>
  <c r="M221" i="4"/>
  <c r="N221" i="4" s="1"/>
  <c r="M222" i="4"/>
  <c r="N222" i="4" s="1"/>
  <c r="M223" i="4"/>
  <c r="N223" i="4" s="1"/>
  <c r="M224" i="4"/>
  <c r="N224" i="4" s="1"/>
  <c r="M225" i="4"/>
  <c r="N225" i="4" s="1"/>
  <c r="M226" i="4"/>
  <c r="N226" i="4" s="1"/>
  <c r="M227" i="4"/>
  <c r="N227" i="4" s="1"/>
  <c r="M228" i="4"/>
  <c r="N228" i="4" s="1"/>
  <c r="M229" i="4"/>
  <c r="N229" i="4" s="1"/>
  <c r="M230" i="4"/>
  <c r="N230" i="4" s="1"/>
  <c r="M231" i="4"/>
  <c r="N231" i="4" s="1"/>
  <c r="M232" i="4"/>
  <c r="N232" i="4" s="1"/>
  <c r="M233" i="4"/>
  <c r="N233" i="4" s="1"/>
  <c r="M234" i="4"/>
  <c r="N234" i="4" s="1"/>
  <c r="M235" i="4"/>
  <c r="N235" i="4" s="1"/>
  <c r="M236" i="4"/>
  <c r="N236" i="4" s="1"/>
  <c r="M237" i="4"/>
  <c r="N237" i="4" s="1"/>
  <c r="M238" i="4"/>
  <c r="N238" i="4" s="1"/>
  <c r="M239" i="4"/>
  <c r="N239" i="4" s="1"/>
  <c r="M240" i="4"/>
  <c r="N240" i="4" s="1"/>
  <c r="M241" i="4"/>
  <c r="N241" i="4" s="1"/>
  <c r="M242" i="4"/>
  <c r="N242" i="4" s="1"/>
  <c r="M243" i="4"/>
  <c r="N243" i="4" s="1"/>
  <c r="M244" i="4"/>
  <c r="N244" i="4" s="1"/>
  <c r="M245" i="4"/>
  <c r="N245" i="4" s="1"/>
  <c r="M246" i="4"/>
  <c r="N246" i="4" s="1"/>
  <c r="M247" i="4"/>
  <c r="N247" i="4" s="1"/>
  <c r="M248" i="4"/>
  <c r="N248" i="4" s="1"/>
  <c r="M249" i="4"/>
  <c r="N249" i="4" s="1"/>
  <c r="M250" i="4"/>
  <c r="N250" i="4" s="1"/>
  <c r="M251" i="4"/>
  <c r="N251" i="4" s="1"/>
  <c r="M252" i="4"/>
  <c r="N252" i="4" s="1"/>
  <c r="M253" i="4"/>
  <c r="N253" i="4" s="1"/>
  <c r="M254" i="4"/>
  <c r="N254" i="4" s="1"/>
  <c r="M255" i="4"/>
  <c r="N255" i="4" s="1"/>
  <c r="M256" i="4"/>
  <c r="N256" i="4" s="1"/>
  <c r="M257" i="4"/>
  <c r="N257" i="4" s="1"/>
  <c r="M258" i="4"/>
  <c r="N258" i="4" s="1"/>
  <c r="M259" i="4"/>
  <c r="N259" i="4" s="1"/>
  <c r="M260" i="4"/>
  <c r="N260" i="4" s="1"/>
  <c r="M261" i="4"/>
  <c r="N261" i="4" s="1"/>
  <c r="M262" i="4"/>
  <c r="N262" i="4" s="1"/>
  <c r="M263" i="4"/>
  <c r="N263" i="4" s="1"/>
  <c r="M264" i="4"/>
  <c r="N264" i="4" s="1"/>
  <c r="M265" i="4"/>
  <c r="N265" i="4" s="1"/>
  <c r="M266" i="4"/>
  <c r="N266" i="4" s="1"/>
  <c r="M267" i="4"/>
  <c r="N267" i="4" s="1"/>
  <c r="M268" i="4"/>
  <c r="N268" i="4" s="1"/>
  <c r="M269" i="4"/>
  <c r="N269" i="4" s="1"/>
  <c r="M270" i="4"/>
  <c r="N270" i="4" s="1"/>
  <c r="M271" i="4"/>
  <c r="N271" i="4" s="1"/>
  <c r="M272" i="4"/>
  <c r="N272" i="4" s="1"/>
  <c r="M273" i="4"/>
  <c r="N273" i="4" s="1"/>
  <c r="M274" i="4"/>
  <c r="N274" i="4" s="1"/>
  <c r="M275" i="4"/>
  <c r="N275" i="4" s="1"/>
  <c r="M276" i="4"/>
  <c r="N276" i="4" s="1"/>
  <c r="M277" i="4"/>
  <c r="N277" i="4" s="1"/>
  <c r="M278" i="4"/>
  <c r="N278" i="4" s="1"/>
  <c r="M279" i="4"/>
  <c r="N279" i="4" s="1"/>
  <c r="M280" i="4"/>
  <c r="N280" i="4" s="1"/>
  <c r="M281" i="4"/>
  <c r="N281" i="4" s="1"/>
  <c r="M282" i="4"/>
  <c r="N282" i="4" s="1"/>
  <c r="M283" i="4"/>
  <c r="N283" i="4" s="1"/>
  <c r="M284" i="4"/>
  <c r="N284" i="4" s="1"/>
  <c r="M285" i="4"/>
  <c r="N285" i="4" s="1"/>
  <c r="M286" i="4"/>
  <c r="N286" i="4" s="1"/>
  <c r="M287" i="4"/>
  <c r="N287" i="4" s="1"/>
  <c r="M288" i="4"/>
  <c r="N288" i="4" s="1"/>
  <c r="M289" i="4"/>
  <c r="N289" i="4" s="1"/>
  <c r="M290" i="4"/>
  <c r="N290" i="4" s="1"/>
  <c r="M291" i="4"/>
  <c r="N291" i="4" s="1"/>
  <c r="M292" i="4"/>
  <c r="N292" i="4" s="1"/>
  <c r="M293" i="4"/>
  <c r="N293" i="4" s="1"/>
  <c r="M294" i="4"/>
  <c r="N294" i="4" s="1"/>
  <c r="M295" i="4"/>
  <c r="N295" i="4" s="1"/>
  <c r="M296" i="4"/>
  <c r="N296" i="4" s="1"/>
  <c r="M297" i="4"/>
  <c r="N297" i="4" s="1"/>
  <c r="M298" i="4"/>
  <c r="N298" i="4" s="1"/>
  <c r="M299" i="4"/>
  <c r="N299" i="4" s="1"/>
  <c r="M300" i="4"/>
  <c r="N300" i="4" s="1"/>
  <c r="M301" i="4"/>
  <c r="N301" i="4" s="1"/>
  <c r="M302" i="4"/>
  <c r="N302" i="4" s="1"/>
  <c r="M303" i="4"/>
  <c r="N303" i="4" s="1"/>
  <c r="M304" i="4"/>
  <c r="N304" i="4" s="1"/>
  <c r="M305" i="4"/>
  <c r="N305" i="4" s="1"/>
  <c r="M306" i="4"/>
  <c r="N306" i="4" s="1"/>
  <c r="M307" i="4"/>
  <c r="N307" i="4" s="1"/>
  <c r="M308" i="4"/>
  <c r="N308" i="4" s="1"/>
  <c r="M309" i="4"/>
  <c r="N309" i="4" s="1"/>
  <c r="M310" i="4"/>
  <c r="N310" i="4" s="1"/>
  <c r="M311" i="4"/>
  <c r="N311" i="4" s="1"/>
  <c r="M312" i="4"/>
  <c r="N312" i="4" s="1"/>
  <c r="M313" i="4"/>
  <c r="N313" i="4" s="1"/>
  <c r="M314" i="4"/>
  <c r="N314" i="4" s="1"/>
  <c r="M315" i="4"/>
  <c r="N315" i="4" s="1"/>
  <c r="M316" i="4"/>
  <c r="N316" i="4" s="1"/>
  <c r="M317" i="4"/>
  <c r="N317" i="4" s="1"/>
  <c r="M318" i="4"/>
  <c r="N318" i="4" s="1"/>
  <c r="M319" i="4"/>
  <c r="N319" i="4" s="1"/>
  <c r="M320" i="4"/>
  <c r="N320" i="4" s="1"/>
  <c r="M321" i="4"/>
  <c r="N321" i="4" s="1"/>
  <c r="M322" i="4"/>
  <c r="N322" i="4" s="1"/>
  <c r="M323" i="4"/>
  <c r="N323" i="4" s="1"/>
  <c r="M324" i="4"/>
  <c r="N324" i="4" s="1"/>
  <c r="M325" i="4"/>
  <c r="N325" i="4" s="1"/>
  <c r="M326" i="4"/>
  <c r="N326" i="4" s="1"/>
  <c r="M327" i="4"/>
  <c r="N327" i="4" s="1"/>
  <c r="M328" i="4"/>
  <c r="N328" i="4" s="1"/>
  <c r="M329" i="4"/>
  <c r="N329" i="4" s="1"/>
  <c r="M330" i="4"/>
  <c r="N330" i="4" s="1"/>
  <c r="M331" i="4"/>
  <c r="N331" i="4" s="1"/>
  <c r="M332" i="4"/>
  <c r="N332" i="4" s="1"/>
  <c r="M333" i="4"/>
  <c r="N333" i="4" s="1"/>
  <c r="M334" i="4"/>
  <c r="N334" i="4" s="1"/>
  <c r="M335" i="4"/>
  <c r="N335" i="4" s="1"/>
  <c r="M336" i="4"/>
  <c r="N336" i="4" s="1"/>
  <c r="M337" i="4"/>
  <c r="N337" i="4" s="1"/>
  <c r="M338" i="4"/>
  <c r="N338" i="4" s="1"/>
  <c r="M339" i="4"/>
  <c r="N339" i="4" s="1"/>
  <c r="M340" i="4"/>
  <c r="N340" i="4" s="1"/>
  <c r="M341" i="4"/>
  <c r="N341" i="4" s="1"/>
  <c r="M342" i="4"/>
  <c r="N342" i="4" s="1"/>
  <c r="M343" i="4"/>
  <c r="N343" i="4" s="1"/>
  <c r="M344" i="4"/>
  <c r="N344" i="4" s="1"/>
  <c r="M345" i="4"/>
  <c r="N345" i="4" s="1"/>
  <c r="M346" i="4"/>
  <c r="N346" i="4" s="1"/>
  <c r="M347" i="4"/>
  <c r="N347" i="4" s="1"/>
  <c r="M348" i="4"/>
  <c r="N348" i="4" s="1"/>
  <c r="M349" i="4"/>
  <c r="N349" i="4" s="1"/>
  <c r="M350" i="4"/>
  <c r="N350" i="4" s="1"/>
  <c r="M351" i="4"/>
  <c r="N351" i="4" s="1"/>
  <c r="M352" i="4"/>
  <c r="N352" i="4" s="1"/>
  <c r="M353" i="4"/>
  <c r="N353" i="4" s="1"/>
  <c r="M354" i="4"/>
  <c r="N354" i="4" s="1"/>
  <c r="M355" i="4"/>
  <c r="N355" i="4" s="1"/>
  <c r="M356" i="4"/>
  <c r="N356" i="4" s="1"/>
  <c r="M357" i="4"/>
  <c r="N357" i="4" s="1"/>
  <c r="M358" i="4"/>
  <c r="N358" i="4" s="1"/>
  <c r="M359" i="4"/>
  <c r="N359" i="4" s="1"/>
  <c r="M360" i="4"/>
  <c r="N360" i="4" s="1"/>
  <c r="M361" i="4"/>
  <c r="N361" i="4" s="1"/>
  <c r="M362" i="4"/>
  <c r="N362" i="4" s="1"/>
  <c r="M363" i="4"/>
  <c r="N363" i="4" s="1"/>
  <c r="M364" i="4"/>
  <c r="N364" i="4" s="1"/>
  <c r="M365" i="4"/>
  <c r="N365" i="4" s="1"/>
  <c r="M366" i="4"/>
  <c r="N366" i="4" s="1"/>
  <c r="M367" i="4"/>
  <c r="N367" i="4" s="1"/>
  <c r="M368" i="4"/>
  <c r="N368" i="4" s="1"/>
  <c r="M369" i="4"/>
  <c r="N369" i="4" s="1"/>
  <c r="M370" i="4"/>
  <c r="N370" i="4" s="1"/>
  <c r="M371" i="4"/>
  <c r="N371" i="4" s="1"/>
  <c r="M372" i="4"/>
  <c r="N372" i="4" s="1"/>
  <c r="M373" i="4"/>
  <c r="N373" i="4" s="1"/>
  <c r="M374" i="4"/>
  <c r="N374" i="4" s="1"/>
  <c r="M375" i="4"/>
  <c r="N375" i="4" s="1"/>
  <c r="M376" i="4"/>
  <c r="N376" i="4" s="1"/>
  <c r="M377" i="4"/>
  <c r="N377" i="4" s="1"/>
  <c r="M378" i="4"/>
  <c r="N378" i="4" s="1"/>
  <c r="M379" i="4"/>
  <c r="N379" i="4" s="1"/>
  <c r="M380" i="4"/>
  <c r="N380" i="4" s="1"/>
  <c r="M381" i="4"/>
  <c r="N381" i="4" s="1"/>
  <c r="M382" i="4"/>
  <c r="N382" i="4" s="1"/>
  <c r="M383" i="4"/>
  <c r="N383" i="4" s="1"/>
  <c r="M384" i="4"/>
  <c r="N384" i="4" s="1"/>
  <c r="M385" i="4"/>
  <c r="N385" i="4" s="1"/>
  <c r="M386" i="4"/>
  <c r="N386" i="4" s="1"/>
  <c r="M387" i="4"/>
  <c r="N387" i="4" s="1"/>
  <c r="M388" i="4"/>
  <c r="N388" i="4" s="1"/>
  <c r="M389" i="4"/>
  <c r="N389" i="4" s="1"/>
  <c r="M390" i="4"/>
  <c r="N390" i="4" s="1"/>
  <c r="M391" i="4"/>
  <c r="N391" i="4" s="1"/>
  <c r="M392" i="4"/>
  <c r="N392" i="4" s="1"/>
  <c r="M393" i="4"/>
  <c r="N393" i="4" s="1"/>
  <c r="M394" i="4"/>
  <c r="N394" i="4" s="1"/>
  <c r="M395" i="4"/>
  <c r="N395" i="4" s="1"/>
  <c r="M396" i="4"/>
  <c r="N396" i="4" s="1"/>
  <c r="M397" i="4"/>
  <c r="N397" i="4" s="1"/>
  <c r="M398" i="4"/>
  <c r="N398" i="4" s="1"/>
  <c r="M399" i="4"/>
  <c r="N399" i="4" s="1"/>
  <c r="M400" i="4"/>
  <c r="N400" i="4" s="1"/>
  <c r="M401" i="4"/>
  <c r="N401" i="4" s="1"/>
  <c r="M402" i="4"/>
  <c r="N402" i="4" s="1"/>
  <c r="M403" i="4"/>
  <c r="N403" i="4" s="1"/>
  <c r="M404" i="4"/>
  <c r="N404" i="4" s="1"/>
  <c r="M405" i="4"/>
  <c r="N405" i="4" s="1"/>
  <c r="M406" i="4"/>
  <c r="N406" i="4" s="1"/>
  <c r="M407" i="4"/>
  <c r="N407" i="4" s="1"/>
  <c r="M408" i="4"/>
  <c r="N408" i="4" s="1"/>
  <c r="M409" i="4"/>
  <c r="N409" i="4" s="1"/>
  <c r="M410" i="4"/>
  <c r="N410" i="4" s="1"/>
  <c r="M411" i="4"/>
  <c r="N411" i="4" s="1"/>
  <c r="M412" i="4"/>
  <c r="N412" i="4" s="1"/>
  <c r="M413" i="4"/>
  <c r="N413" i="4" s="1"/>
  <c r="M414" i="4"/>
  <c r="N414" i="4" s="1"/>
  <c r="M415" i="4"/>
  <c r="N415" i="4" s="1"/>
  <c r="M416" i="4"/>
  <c r="N416" i="4" s="1"/>
  <c r="M417" i="4"/>
  <c r="N417" i="4" s="1"/>
  <c r="M418" i="4"/>
  <c r="N418" i="4" s="1"/>
  <c r="M419" i="4"/>
  <c r="N419" i="4" s="1"/>
  <c r="M420" i="4"/>
  <c r="N420" i="4" s="1"/>
  <c r="M421" i="4"/>
  <c r="N421" i="4" s="1"/>
  <c r="M422" i="4"/>
  <c r="N422" i="4" s="1"/>
  <c r="M423" i="4"/>
  <c r="N423" i="4" s="1"/>
  <c r="M424" i="4"/>
  <c r="N424" i="4" s="1"/>
  <c r="M425" i="4"/>
  <c r="N425" i="4" s="1"/>
  <c r="M426" i="4"/>
  <c r="N426" i="4" s="1"/>
  <c r="M427" i="4"/>
  <c r="N427" i="4" s="1"/>
  <c r="M428" i="4"/>
  <c r="N428" i="4" s="1"/>
  <c r="M429" i="4"/>
  <c r="N429" i="4" s="1"/>
  <c r="M430" i="4"/>
  <c r="N430" i="4" s="1"/>
  <c r="M431" i="4"/>
  <c r="N431" i="4" s="1"/>
  <c r="M432" i="4"/>
  <c r="N432" i="4" s="1"/>
  <c r="M433" i="4"/>
  <c r="N433" i="4" s="1"/>
  <c r="M434" i="4"/>
  <c r="N434" i="4" s="1"/>
  <c r="M435" i="4"/>
  <c r="N435" i="4" s="1"/>
  <c r="M436" i="4"/>
  <c r="N436" i="4" s="1"/>
  <c r="M437" i="4"/>
  <c r="N437" i="4" s="1"/>
  <c r="M438" i="4"/>
  <c r="N438" i="4" s="1"/>
  <c r="M439" i="4"/>
  <c r="N439" i="4" s="1"/>
  <c r="M440" i="4"/>
  <c r="N440" i="4" s="1"/>
  <c r="M441" i="4"/>
  <c r="N441" i="4" s="1"/>
  <c r="M442" i="4"/>
  <c r="N442" i="4" s="1"/>
  <c r="M443" i="4"/>
  <c r="N443" i="4" s="1"/>
  <c r="M444" i="4"/>
  <c r="N444" i="4" s="1"/>
  <c r="M445" i="4"/>
  <c r="N445" i="4" s="1"/>
  <c r="M446" i="4"/>
  <c r="N446" i="4" s="1"/>
  <c r="M447" i="4"/>
  <c r="N447" i="4" s="1"/>
  <c r="M448" i="4"/>
  <c r="N448" i="4" s="1"/>
  <c r="M449" i="4"/>
  <c r="N449" i="4" s="1"/>
  <c r="M450" i="4"/>
  <c r="N450" i="4" s="1"/>
  <c r="M451" i="4"/>
  <c r="N451" i="4" s="1"/>
  <c r="M452" i="4"/>
  <c r="N452" i="4" s="1"/>
  <c r="M453" i="4"/>
  <c r="N453" i="4" s="1"/>
  <c r="M454" i="4"/>
  <c r="N454" i="4" s="1"/>
  <c r="M455" i="4"/>
  <c r="N455" i="4" s="1"/>
  <c r="M456" i="4"/>
  <c r="N456" i="4" s="1"/>
  <c r="M457" i="4"/>
  <c r="N457" i="4" s="1"/>
  <c r="M458" i="4"/>
  <c r="N458" i="4" s="1"/>
  <c r="M459" i="4"/>
  <c r="N459" i="4" s="1"/>
  <c r="M460" i="4"/>
  <c r="N460" i="4" s="1"/>
  <c r="M461" i="4"/>
  <c r="N461" i="4" s="1"/>
  <c r="M462" i="4"/>
  <c r="N462" i="4" s="1"/>
  <c r="M463" i="4"/>
  <c r="N463" i="4" s="1"/>
  <c r="M464" i="4"/>
  <c r="N464" i="4" s="1"/>
  <c r="M465" i="4"/>
  <c r="N465" i="4" s="1"/>
  <c r="M466" i="4"/>
  <c r="N466" i="4" s="1"/>
  <c r="M467" i="4"/>
  <c r="N467" i="4" s="1"/>
  <c r="M468" i="4"/>
  <c r="N468" i="4" s="1"/>
  <c r="M469" i="4"/>
  <c r="N469" i="4" s="1"/>
  <c r="M470" i="4"/>
  <c r="N470" i="4" s="1"/>
  <c r="M471" i="4"/>
  <c r="N471" i="4" s="1"/>
  <c r="M472" i="4"/>
  <c r="N472" i="4" s="1"/>
  <c r="M473" i="4"/>
  <c r="N473" i="4" s="1"/>
  <c r="M474" i="4"/>
  <c r="N474" i="4" s="1"/>
  <c r="M475" i="4"/>
  <c r="N475" i="4" s="1"/>
  <c r="M476" i="4"/>
  <c r="N476" i="4" s="1"/>
  <c r="M477" i="4"/>
  <c r="N477" i="4" s="1"/>
  <c r="M478" i="4"/>
  <c r="N478" i="4" s="1"/>
  <c r="M479" i="4"/>
  <c r="N479" i="4" s="1"/>
  <c r="M480" i="4"/>
  <c r="N480" i="4" s="1"/>
  <c r="M481" i="4"/>
  <c r="N481" i="4" s="1"/>
  <c r="M482" i="4"/>
  <c r="N482" i="4" s="1"/>
  <c r="M483" i="4"/>
  <c r="N483" i="4" s="1"/>
  <c r="M484" i="4"/>
  <c r="N484" i="4" s="1"/>
  <c r="M485" i="4"/>
  <c r="N485" i="4" s="1"/>
  <c r="M486" i="4"/>
  <c r="N486" i="4" s="1"/>
  <c r="M487" i="4"/>
  <c r="N487" i="4" s="1"/>
  <c r="M488" i="4"/>
  <c r="N488" i="4" s="1"/>
  <c r="M489" i="4"/>
  <c r="N489" i="4" s="1"/>
  <c r="M490" i="4"/>
  <c r="N490" i="4" s="1"/>
  <c r="M491" i="4"/>
  <c r="N491" i="4" s="1"/>
  <c r="M492" i="4"/>
  <c r="N492" i="4" s="1"/>
  <c r="M493" i="4"/>
  <c r="N493" i="4" s="1"/>
  <c r="M494" i="4"/>
  <c r="N494" i="4" s="1"/>
  <c r="M495" i="4"/>
  <c r="N495" i="4" s="1"/>
  <c r="M496" i="4"/>
  <c r="N496" i="4" s="1"/>
  <c r="M497" i="4"/>
  <c r="N497" i="4" s="1"/>
  <c r="M498" i="4"/>
  <c r="N498" i="4" s="1"/>
  <c r="M499" i="4"/>
  <c r="N499" i="4" s="1"/>
  <c r="M500" i="4"/>
  <c r="N500" i="4" s="1"/>
  <c r="M501" i="4"/>
  <c r="N501" i="4" s="1"/>
  <c r="M502" i="4"/>
  <c r="N502" i="4" s="1"/>
  <c r="M503" i="4"/>
  <c r="N503" i="4" s="1"/>
  <c r="M504" i="4"/>
  <c r="N504" i="4" s="1"/>
  <c r="M505" i="4"/>
  <c r="N505" i="4" s="1"/>
  <c r="M506" i="4"/>
  <c r="N506" i="4" s="1"/>
  <c r="M507" i="4"/>
  <c r="N507" i="4" s="1"/>
  <c r="M508" i="4"/>
  <c r="N508" i="4" s="1"/>
  <c r="M509" i="4"/>
  <c r="N509" i="4" s="1"/>
  <c r="M510" i="4"/>
  <c r="N510" i="4" s="1"/>
  <c r="M511" i="4"/>
  <c r="N511" i="4" s="1"/>
  <c r="M512" i="4"/>
  <c r="N512" i="4" s="1"/>
  <c r="M513" i="4"/>
  <c r="N513" i="4" s="1"/>
  <c r="M514" i="4"/>
  <c r="N514" i="4" s="1"/>
  <c r="M515" i="4"/>
  <c r="N515" i="4" s="1"/>
  <c r="M516" i="4"/>
  <c r="N516" i="4" s="1"/>
  <c r="M517" i="4"/>
  <c r="N517" i="4" s="1"/>
  <c r="M518" i="4"/>
  <c r="N518" i="4" s="1"/>
  <c r="M519" i="4"/>
  <c r="N519" i="4" s="1"/>
  <c r="M520" i="4"/>
  <c r="N520" i="4" s="1"/>
  <c r="M521" i="4"/>
  <c r="N521" i="4" s="1"/>
  <c r="M522" i="4"/>
  <c r="N522" i="4" s="1"/>
  <c r="M523" i="4"/>
  <c r="N523" i="4" s="1"/>
  <c r="M524" i="4"/>
  <c r="N524" i="4" s="1"/>
  <c r="M525" i="4"/>
  <c r="N525" i="4" s="1"/>
  <c r="M526" i="4"/>
  <c r="N526" i="4" s="1"/>
  <c r="M527" i="4"/>
  <c r="N527" i="4" s="1"/>
  <c r="M528" i="4"/>
  <c r="N528" i="4" s="1"/>
  <c r="M529" i="4"/>
  <c r="N529" i="4" s="1"/>
  <c r="M530" i="4"/>
  <c r="N530" i="4" s="1"/>
  <c r="M531" i="4"/>
  <c r="N531" i="4" s="1"/>
  <c r="M532" i="4"/>
  <c r="N532" i="4" s="1"/>
  <c r="M533" i="4"/>
  <c r="N533" i="4" s="1"/>
  <c r="M534" i="4"/>
  <c r="N534" i="4" s="1"/>
  <c r="M535" i="4"/>
  <c r="N535" i="4" s="1"/>
  <c r="M536" i="4"/>
  <c r="N536" i="4" s="1"/>
  <c r="M537" i="4"/>
  <c r="N537" i="4" s="1"/>
  <c r="M538" i="4"/>
  <c r="N538" i="4" s="1"/>
  <c r="M539" i="4"/>
  <c r="N539" i="4" s="1"/>
  <c r="M540" i="4"/>
  <c r="N540" i="4" s="1"/>
  <c r="M541" i="4"/>
  <c r="N541" i="4" s="1"/>
  <c r="M542" i="4"/>
  <c r="N542" i="4" s="1"/>
  <c r="M543" i="4"/>
  <c r="N543" i="4" s="1"/>
  <c r="M544" i="4"/>
  <c r="N544" i="4" s="1"/>
  <c r="M545" i="4"/>
  <c r="N545" i="4" s="1"/>
  <c r="M546" i="4"/>
  <c r="N546" i="4" s="1"/>
  <c r="M547" i="4"/>
  <c r="N547" i="4" s="1"/>
  <c r="M548" i="4"/>
  <c r="N548" i="4" s="1"/>
  <c r="M549" i="4"/>
  <c r="N549" i="4" s="1"/>
  <c r="M550" i="4"/>
  <c r="N550" i="4" s="1"/>
  <c r="M551" i="4"/>
  <c r="N551" i="4" s="1"/>
  <c r="M552" i="4"/>
  <c r="N552" i="4" s="1"/>
  <c r="M553" i="4"/>
  <c r="N553" i="4" s="1"/>
  <c r="M554" i="4"/>
  <c r="N554" i="4" s="1"/>
  <c r="M555" i="4"/>
  <c r="N555" i="4" s="1"/>
  <c r="M556" i="4"/>
  <c r="N556" i="4" s="1"/>
  <c r="M557" i="4"/>
  <c r="N557" i="4" s="1"/>
  <c r="M558" i="4"/>
  <c r="N558" i="4" s="1"/>
  <c r="M559" i="4"/>
  <c r="N559" i="4" s="1"/>
  <c r="M560" i="4"/>
  <c r="N560" i="4" s="1"/>
  <c r="M561" i="4"/>
  <c r="N561" i="4" s="1"/>
  <c r="M562" i="4"/>
  <c r="N562" i="4" s="1"/>
  <c r="M563" i="4"/>
  <c r="N563" i="4" s="1"/>
  <c r="M564" i="4"/>
  <c r="N564" i="4" s="1"/>
  <c r="M565" i="4"/>
  <c r="N565" i="4" s="1"/>
  <c r="M566" i="4"/>
  <c r="N566" i="4" s="1"/>
  <c r="M567" i="4"/>
  <c r="N567" i="4" s="1"/>
  <c r="M568" i="4"/>
  <c r="N568" i="4" s="1"/>
  <c r="M569" i="4"/>
  <c r="N569" i="4" s="1"/>
  <c r="M570" i="4"/>
  <c r="N570" i="4" s="1"/>
  <c r="M571" i="4"/>
  <c r="N571" i="4" s="1"/>
  <c r="M572" i="4"/>
  <c r="N572" i="4" s="1"/>
  <c r="M573" i="4"/>
  <c r="N573" i="4" s="1"/>
  <c r="M574" i="4"/>
  <c r="N574" i="4" s="1"/>
  <c r="M575" i="4"/>
  <c r="N575" i="4" s="1"/>
  <c r="M576" i="4"/>
  <c r="N576" i="4" s="1"/>
  <c r="M577" i="4"/>
  <c r="N577" i="4" s="1"/>
  <c r="M578" i="4"/>
  <c r="N578" i="4" s="1"/>
  <c r="M579" i="4"/>
  <c r="N579" i="4" s="1"/>
  <c r="M580" i="4"/>
  <c r="N580" i="4" s="1"/>
  <c r="M581" i="4"/>
  <c r="N581" i="4" s="1"/>
  <c r="M582" i="4"/>
  <c r="N582" i="4" s="1"/>
  <c r="M583" i="4"/>
  <c r="N583" i="4" s="1"/>
  <c r="M584" i="4"/>
  <c r="N584" i="4" s="1"/>
  <c r="M585" i="4"/>
  <c r="N585" i="4" s="1"/>
  <c r="M586" i="4"/>
  <c r="N586" i="4" s="1"/>
  <c r="M587" i="4"/>
  <c r="N587" i="4" s="1"/>
  <c r="M588" i="4"/>
  <c r="N588" i="4" s="1"/>
  <c r="M589" i="4"/>
  <c r="N589" i="4" s="1"/>
  <c r="M590" i="4"/>
  <c r="N590" i="4" s="1"/>
  <c r="M591" i="4"/>
  <c r="N591" i="4" s="1"/>
  <c r="M592" i="4"/>
  <c r="N592" i="4" s="1"/>
  <c r="M593" i="4"/>
  <c r="N593" i="4" s="1"/>
  <c r="M594" i="4"/>
  <c r="N594" i="4" s="1"/>
  <c r="M595" i="4"/>
  <c r="N595" i="4" s="1"/>
  <c r="M596" i="4"/>
  <c r="N596" i="4" s="1"/>
  <c r="M597" i="4"/>
  <c r="N597" i="4" s="1"/>
  <c r="M598" i="4"/>
  <c r="N598" i="4" s="1"/>
  <c r="M599" i="4"/>
  <c r="N599" i="4" s="1"/>
  <c r="M600" i="4"/>
  <c r="N600" i="4" s="1"/>
  <c r="M601" i="4"/>
  <c r="N601" i="4" s="1"/>
  <c r="M602" i="4"/>
  <c r="N602" i="4" s="1"/>
  <c r="M603" i="4"/>
  <c r="N603" i="4" s="1"/>
  <c r="M604" i="4"/>
  <c r="N604" i="4" s="1"/>
  <c r="M605" i="4"/>
  <c r="N605" i="4" s="1"/>
  <c r="M606" i="4"/>
  <c r="N606" i="4" s="1"/>
  <c r="M607" i="4"/>
  <c r="N607" i="4" s="1"/>
  <c r="M608" i="4"/>
  <c r="N608" i="4" s="1"/>
  <c r="M609" i="4"/>
  <c r="N609" i="4" s="1"/>
  <c r="M610" i="4"/>
  <c r="N610" i="4" s="1"/>
  <c r="M611" i="4"/>
  <c r="N611" i="4" s="1"/>
  <c r="M612" i="4"/>
  <c r="N612" i="4" s="1"/>
  <c r="M613" i="4"/>
  <c r="N613" i="4" s="1"/>
  <c r="M614" i="4"/>
  <c r="N614" i="4" s="1"/>
  <c r="M615" i="4"/>
  <c r="N615" i="4" s="1"/>
  <c r="M616" i="4"/>
  <c r="N616" i="4" s="1"/>
  <c r="M617" i="4"/>
  <c r="N617" i="4" s="1"/>
  <c r="M618" i="4"/>
  <c r="N618" i="4" s="1"/>
  <c r="M619" i="4"/>
  <c r="N619" i="4" s="1"/>
  <c r="M620" i="4"/>
  <c r="N620" i="4" s="1"/>
  <c r="M621" i="4"/>
  <c r="N621" i="4" s="1"/>
  <c r="M622" i="4"/>
  <c r="N622" i="4" s="1"/>
  <c r="M623" i="4"/>
  <c r="N623" i="4" s="1"/>
  <c r="M624" i="4"/>
  <c r="N624" i="4" s="1"/>
  <c r="M625" i="4"/>
  <c r="N625" i="4" s="1"/>
  <c r="M626" i="4"/>
  <c r="N626" i="4" s="1"/>
  <c r="M627" i="4"/>
  <c r="N627" i="4" s="1"/>
  <c r="M628" i="4"/>
  <c r="N628" i="4" s="1"/>
  <c r="M629" i="4"/>
  <c r="N629" i="4" s="1"/>
  <c r="M630" i="4"/>
  <c r="N630" i="4" s="1"/>
  <c r="M631" i="4"/>
  <c r="N631" i="4" s="1"/>
  <c r="M632" i="4"/>
  <c r="N632" i="4" s="1"/>
  <c r="M633" i="4"/>
  <c r="N633" i="4" s="1"/>
  <c r="M634" i="4"/>
  <c r="N634" i="4" s="1"/>
  <c r="M635" i="4"/>
  <c r="N635" i="4" s="1"/>
  <c r="M636" i="4"/>
  <c r="N636" i="4" s="1"/>
  <c r="M637" i="4"/>
  <c r="N637" i="4" s="1"/>
  <c r="M638" i="4"/>
  <c r="N638" i="4" s="1"/>
  <c r="M639" i="4"/>
  <c r="N639" i="4" s="1"/>
  <c r="M640" i="4"/>
  <c r="N640" i="4" s="1"/>
  <c r="M641" i="4"/>
  <c r="N641" i="4" s="1"/>
  <c r="M642" i="4"/>
  <c r="N642" i="4" s="1"/>
  <c r="M643" i="4"/>
  <c r="N643" i="4" s="1"/>
  <c r="M644" i="4"/>
  <c r="N644" i="4" s="1"/>
  <c r="M645" i="4"/>
  <c r="N645" i="4" s="1"/>
  <c r="M646" i="4"/>
  <c r="N646" i="4" s="1"/>
  <c r="M647" i="4"/>
  <c r="N647" i="4" s="1"/>
  <c r="M648" i="4"/>
  <c r="N648" i="4" s="1"/>
  <c r="M649" i="4"/>
  <c r="N649" i="4" s="1"/>
  <c r="M650" i="4"/>
  <c r="N650" i="4" s="1"/>
  <c r="M651" i="4"/>
  <c r="N651" i="4" s="1"/>
  <c r="M652" i="4"/>
  <c r="N652" i="4" s="1"/>
  <c r="M653" i="4"/>
  <c r="N653" i="4" s="1"/>
  <c r="M654" i="4"/>
  <c r="N654" i="4" s="1"/>
  <c r="M655" i="4"/>
  <c r="N655" i="4" s="1"/>
  <c r="M656" i="4"/>
  <c r="N656" i="4" s="1"/>
  <c r="M657" i="4"/>
  <c r="N657" i="4" s="1"/>
  <c r="M658" i="4"/>
  <c r="N658" i="4" s="1"/>
  <c r="M659" i="4"/>
  <c r="N659" i="4" s="1"/>
  <c r="M660" i="4"/>
  <c r="N660" i="4" s="1"/>
  <c r="M661" i="4"/>
  <c r="N661" i="4" s="1"/>
  <c r="M662" i="4"/>
  <c r="N662" i="4" s="1"/>
  <c r="M663" i="4"/>
  <c r="N663" i="4" s="1"/>
  <c r="M664" i="4"/>
  <c r="N664" i="4" s="1"/>
  <c r="M665" i="4"/>
  <c r="N665" i="4" s="1"/>
  <c r="M666" i="4"/>
  <c r="N666" i="4" s="1"/>
  <c r="M667" i="4"/>
  <c r="N667" i="4" s="1"/>
  <c r="M668" i="4"/>
  <c r="N668" i="4" s="1"/>
  <c r="M669" i="4"/>
  <c r="N669" i="4" s="1"/>
  <c r="M670" i="4"/>
  <c r="N670" i="4" s="1"/>
  <c r="M671" i="4"/>
  <c r="N671" i="4" s="1"/>
  <c r="M672" i="4"/>
  <c r="N672" i="4" s="1"/>
  <c r="M673" i="4"/>
  <c r="N673" i="4" s="1"/>
  <c r="M674" i="4"/>
  <c r="N674" i="4" s="1"/>
  <c r="M675" i="4"/>
  <c r="N675" i="4" s="1"/>
  <c r="M676" i="4"/>
  <c r="N676" i="4" s="1"/>
  <c r="M677" i="4"/>
  <c r="N677" i="4" s="1"/>
  <c r="M678" i="4"/>
  <c r="N678" i="4" s="1"/>
  <c r="M679" i="4"/>
  <c r="N679" i="4" s="1"/>
  <c r="M680" i="4"/>
  <c r="N680" i="4" s="1"/>
  <c r="M681" i="4"/>
  <c r="N681" i="4" s="1"/>
  <c r="M682" i="4"/>
  <c r="N682" i="4" s="1"/>
  <c r="M683" i="4"/>
  <c r="N683" i="4" s="1"/>
  <c r="M684" i="4"/>
  <c r="N684" i="4" s="1"/>
  <c r="M685" i="4"/>
  <c r="N685" i="4" s="1"/>
  <c r="M686" i="4"/>
  <c r="N686" i="4" s="1"/>
  <c r="M687" i="4"/>
  <c r="N687" i="4" s="1"/>
  <c r="M688" i="4"/>
  <c r="N688" i="4" s="1"/>
  <c r="M689" i="4"/>
  <c r="N689" i="4" s="1"/>
  <c r="M690" i="4"/>
  <c r="N690" i="4" s="1"/>
  <c r="M691" i="4"/>
  <c r="N691" i="4" s="1"/>
  <c r="M692" i="4"/>
  <c r="N692" i="4" s="1"/>
  <c r="M693" i="4"/>
  <c r="N693" i="4" s="1"/>
  <c r="M694" i="4"/>
  <c r="N694" i="4" s="1"/>
  <c r="M695" i="4"/>
  <c r="N695" i="4" s="1"/>
  <c r="M696" i="4"/>
  <c r="N696" i="4" s="1"/>
  <c r="M697" i="4"/>
  <c r="N697" i="4" s="1"/>
  <c r="M698" i="4"/>
  <c r="N698" i="4" s="1"/>
  <c r="M699" i="4"/>
  <c r="N699" i="4" s="1"/>
  <c r="M700" i="4"/>
  <c r="N700" i="4" s="1"/>
  <c r="M701" i="4"/>
  <c r="N701" i="4" s="1"/>
  <c r="M702" i="4"/>
  <c r="N702" i="4" s="1"/>
  <c r="M703" i="4"/>
  <c r="N703" i="4" s="1"/>
  <c r="M704" i="4"/>
  <c r="N704" i="4" s="1"/>
  <c r="M705" i="4"/>
  <c r="N705" i="4" s="1"/>
  <c r="M706" i="4"/>
  <c r="N706" i="4" s="1"/>
  <c r="M707" i="4"/>
  <c r="N707" i="4" s="1"/>
  <c r="M708" i="4"/>
  <c r="N708" i="4" s="1"/>
  <c r="M709" i="4"/>
  <c r="N709" i="4" s="1"/>
  <c r="M710" i="4"/>
  <c r="N710" i="4" s="1"/>
  <c r="M711" i="4"/>
  <c r="N711" i="4" s="1"/>
  <c r="M712" i="4"/>
  <c r="N712" i="4" s="1"/>
  <c r="M713" i="4"/>
  <c r="N713" i="4" s="1"/>
  <c r="M714" i="4"/>
  <c r="N714" i="4" s="1"/>
  <c r="M715" i="4"/>
  <c r="N715" i="4" s="1"/>
  <c r="M716" i="4"/>
  <c r="N716" i="4" s="1"/>
  <c r="M717" i="4"/>
  <c r="N717" i="4" s="1"/>
  <c r="M718" i="4"/>
  <c r="N718" i="4" s="1"/>
  <c r="M719" i="4"/>
  <c r="N719" i="4" s="1"/>
  <c r="M720" i="4"/>
  <c r="N720" i="4" s="1"/>
  <c r="M721" i="4"/>
  <c r="N721" i="4" s="1"/>
  <c r="M722" i="4"/>
  <c r="N722" i="4" s="1"/>
  <c r="M723" i="4"/>
  <c r="N723" i="4" s="1"/>
  <c r="M724" i="4"/>
  <c r="N724" i="4" s="1"/>
  <c r="M725" i="4"/>
  <c r="N725" i="4" s="1"/>
  <c r="M726" i="4"/>
  <c r="N726" i="4" s="1"/>
  <c r="M727" i="4"/>
  <c r="N727" i="4" s="1"/>
  <c r="M728" i="4"/>
  <c r="N728" i="4" s="1"/>
  <c r="M729" i="4"/>
  <c r="N729" i="4" s="1"/>
  <c r="M730" i="4"/>
  <c r="N730" i="4" s="1"/>
  <c r="M731" i="4"/>
  <c r="N731" i="4" s="1"/>
  <c r="M732" i="4"/>
  <c r="N732" i="4" s="1"/>
  <c r="M733" i="4"/>
  <c r="N733" i="4" s="1"/>
  <c r="M734" i="4"/>
  <c r="N734" i="4" s="1"/>
  <c r="M735" i="4"/>
  <c r="N735" i="4" s="1"/>
  <c r="M736" i="4"/>
  <c r="N736" i="4" s="1"/>
  <c r="M737" i="4"/>
  <c r="N737" i="4" s="1"/>
  <c r="M738" i="4"/>
  <c r="N738" i="4" s="1"/>
  <c r="M739" i="4"/>
  <c r="N739" i="4" s="1"/>
  <c r="M740" i="4"/>
  <c r="N740" i="4" s="1"/>
  <c r="M741" i="4"/>
  <c r="N741" i="4" s="1"/>
  <c r="M742" i="4"/>
  <c r="N742" i="4" s="1"/>
  <c r="M743" i="4"/>
  <c r="N743" i="4" s="1"/>
  <c r="M744" i="4"/>
  <c r="N744" i="4" s="1"/>
  <c r="M745" i="4"/>
  <c r="N745" i="4" s="1"/>
  <c r="M746" i="4"/>
  <c r="N746" i="4" s="1"/>
  <c r="M747" i="4"/>
  <c r="N747" i="4" s="1"/>
  <c r="M748" i="4"/>
  <c r="N748" i="4" s="1"/>
  <c r="M749" i="4"/>
  <c r="N749" i="4" s="1"/>
  <c r="M750" i="4"/>
  <c r="N750" i="4" s="1"/>
  <c r="M751" i="4"/>
  <c r="N751" i="4" s="1"/>
  <c r="M752" i="4"/>
  <c r="N752" i="4" s="1"/>
  <c r="M753" i="4"/>
  <c r="N753" i="4" s="1"/>
  <c r="M754" i="4"/>
  <c r="N754" i="4" s="1"/>
  <c r="M755" i="4"/>
  <c r="N755" i="4" s="1"/>
  <c r="M756" i="4"/>
  <c r="N756" i="4" s="1"/>
  <c r="M757" i="4"/>
  <c r="N757" i="4" s="1"/>
  <c r="M758" i="4"/>
  <c r="N758" i="4" s="1"/>
  <c r="M759" i="4"/>
  <c r="N759" i="4" s="1"/>
  <c r="M760" i="4"/>
  <c r="N760" i="4" s="1"/>
  <c r="M761" i="4"/>
  <c r="N761" i="4" s="1"/>
  <c r="M762" i="4"/>
  <c r="N762" i="4" s="1"/>
  <c r="M763" i="4"/>
  <c r="N763" i="4" s="1"/>
  <c r="M764" i="4"/>
  <c r="N764" i="4" s="1"/>
  <c r="M765" i="4"/>
  <c r="N765" i="4" s="1"/>
  <c r="M766" i="4"/>
  <c r="N766" i="4" s="1"/>
  <c r="M767" i="4"/>
  <c r="N767" i="4" s="1"/>
  <c r="M768" i="4"/>
  <c r="N768" i="4" s="1"/>
  <c r="M769" i="4"/>
  <c r="N769" i="4" s="1"/>
  <c r="M770" i="4"/>
  <c r="N770" i="4" s="1"/>
  <c r="M771" i="4"/>
  <c r="N771" i="4" s="1"/>
  <c r="M772" i="4"/>
  <c r="N772" i="4" s="1"/>
  <c r="M773" i="4"/>
  <c r="N773" i="4" s="1"/>
  <c r="M774" i="4"/>
  <c r="N774" i="4" s="1"/>
  <c r="M775" i="4"/>
  <c r="N775" i="4" s="1"/>
  <c r="M776" i="4"/>
  <c r="N776" i="4" s="1"/>
  <c r="M777" i="4"/>
  <c r="N777" i="4" s="1"/>
  <c r="M778" i="4"/>
  <c r="N778" i="4" s="1"/>
  <c r="M779" i="4"/>
  <c r="N779" i="4" s="1"/>
  <c r="M780" i="4"/>
  <c r="N780" i="4" s="1"/>
  <c r="M781" i="4"/>
  <c r="N781" i="4" s="1"/>
  <c r="M782" i="4"/>
  <c r="N782" i="4" s="1"/>
  <c r="M783" i="4"/>
  <c r="N783" i="4" s="1"/>
  <c r="M784" i="4"/>
  <c r="N784" i="4" s="1"/>
  <c r="M785" i="4"/>
  <c r="N785" i="4" s="1"/>
  <c r="M786" i="4"/>
  <c r="N786" i="4" s="1"/>
  <c r="M787" i="4"/>
  <c r="N787" i="4" s="1"/>
  <c r="M788" i="4"/>
  <c r="N788" i="4" s="1"/>
  <c r="M789" i="4"/>
  <c r="N789" i="4" s="1"/>
  <c r="M790" i="4"/>
  <c r="N790" i="4" s="1"/>
  <c r="M791" i="4"/>
  <c r="N791" i="4" s="1"/>
  <c r="M792" i="4"/>
  <c r="N792" i="4" s="1"/>
  <c r="M793" i="4"/>
  <c r="N793" i="4" s="1"/>
  <c r="M794" i="4"/>
  <c r="N794" i="4" s="1"/>
  <c r="M795" i="4"/>
  <c r="N795" i="4" s="1"/>
  <c r="M796" i="4"/>
  <c r="N796" i="4" s="1"/>
  <c r="M797" i="4"/>
  <c r="N797" i="4" s="1"/>
  <c r="M798" i="4"/>
  <c r="N798" i="4" s="1"/>
  <c r="M799" i="4"/>
  <c r="N799" i="4" s="1"/>
  <c r="M800" i="4"/>
  <c r="N800" i="4" s="1"/>
  <c r="M801" i="4"/>
  <c r="N801" i="4" s="1"/>
  <c r="M802" i="4"/>
  <c r="N802" i="4" s="1"/>
  <c r="M803" i="4"/>
  <c r="N803" i="4" s="1"/>
  <c r="M804" i="4"/>
  <c r="N804" i="4" s="1"/>
  <c r="M805" i="4"/>
  <c r="N805" i="4" s="1"/>
  <c r="M806" i="4"/>
  <c r="N806" i="4" s="1"/>
  <c r="M807" i="4"/>
  <c r="N807" i="4" s="1"/>
  <c r="M808" i="4"/>
  <c r="N808" i="4" s="1"/>
  <c r="M809" i="4"/>
  <c r="N809" i="4" s="1"/>
  <c r="M810" i="4"/>
  <c r="N810" i="4" s="1"/>
  <c r="M811" i="4"/>
  <c r="N811" i="4" s="1"/>
  <c r="M812" i="4"/>
  <c r="N812" i="4" s="1"/>
  <c r="M813" i="4"/>
  <c r="N813" i="4" s="1"/>
  <c r="M814" i="4"/>
  <c r="N814" i="4" s="1"/>
  <c r="M815" i="4"/>
  <c r="N815" i="4" s="1"/>
  <c r="M816" i="4"/>
  <c r="N816" i="4" s="1"/>
  <c r="M817" i="4"/>
  <c r="N817" i="4" s="1"/>
  <c r="M818" i="4"/>
  <c r="N818" i="4" s="1"/>
  <c r="M819" i="4"/>
  <c r="N819" i="4" s="1"/>
  <c r="M820" i="4"/>
  <c r="N820" i="4" s="1"/>
  <c r="M821" i="4"/>
  <c r="N821" i="4" s="1"/>
  <c r="M822" i="4"/>
  <c r="N822" i="4" s="1"/>
  <c r="M823" i="4"/>
  <c r="N823" i="4" s="1"/>
  <c r="M824" i="4"/>
  <c r="N824" i="4" s="1"/>
  <c r="M825" i="4"/>
  <c r="N825" i="4" s="1"/>
  <c r="M826" i="4"/>
  <c r="N826" i="4" s="1"/>
  <c r="M827" i="4"/>
  <c r="N827" i="4" s="1"/>
  <c r="M828" i="4"/>
  <c r="N828" i="4" s="1"/>
  <c r="M829" i="4"/>
  <c r="N829" i="4" s="1"/>
  <c r="M830" i="4"/>
  <c r="N830" i="4" s="1"/>
  <c r="M831" i="4"/>
  <c r="N831" i="4" s="1"/>
  <c r="B26" i="16"/>
  <c r="B46" i="16"/>
  <c r="C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M18" i="17"/>
  <c r="O18" i="17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41" i="16"/>
  <c r="B40" i="16"/>
  <c r="B39" i="16"/>
  <c r="B38" i="16"/>
  <c r="B37" i="16"/>
  <c r="B36" i="16"/>
  <c r="B45" i="16" s="1"/>
  <c r="B34" i="16"/>
  <c r="B33" i="16"/>
  <c r="B42" i="16" l="1"/>
  <c r="B35" i="16"/>
  <c r="C375" i="6" l="1"/>
  <c r="D375" i="6"/>
  <c r="C374" i="6"/>
  <c r="D374" i="6"/>
  <c r="C373" i="6"/>
  <c r="D373" i="6"/>
  <c r="C372" i="6"/>
  <c r="D372" i="6"/>
  <c r="C371" i="6"/>
  <c r="D371" i="6"/>
  <c r="C370" i="6"/>
  <c r="D370" i="6"/>
  <c r="C369" i="6"/>
  <c r="D369" i="6"/>
  <c r="C368" i="6"/>
  <c r="D368" i="6"/>
  <c r="C367" i="6"/>
  <c r="D367" i="6"/>
  <c r="C366" i="6"/>
  <c r="D366" i="6"/>
  <c r="C365" i="6"/>
  <c r="D365" i="6"/>
  <c r="C364" i="6"/>
  <c r="D364" i="6"/>
  <c r="C363" i="6"/>
  <c r="D363" i="6"/>
  <c r="C362" i="6"/>
  <c r="D362" i="6"/>
  <c r="C361" i="6"/>
  <c r="D361" i="6"/>
  <c r="C360" i="6"/>
  <c r="D360" i="6"/>
  <c r="C359" i="6"/>
  <c r="D359" i="6"/>
  <c r="C358" i="6"/>
  <c r="D358" i="6"/>
  <c r="C357" i="6"/>
  <c r="D357" i="6"/>
  <c r="C356" i="6"/>
  <c r="D356" i="6"/>
  <c r="C355" i="6"/>
  <c r="D355" i="6"/>
  <c r="C354" i="6"/>
  <c r="D354" i="6"/>
  <c r="C353" i="6"/>
  <c r="D353" i="6"/>
  <c r="C352" i="6"/>
  <c r="D352" i="6"/>
  <c r="C351" i="6"/>
  <c r="D351" i="6"/>
  <c r="C350" i="6"/>
  <c r="D350" i="6"/>
  <c r="C349" i="6"/>
  <c r="D349" i="6"/>
  <c r="C348" i="6"/>
  <c r="D348" i="6"/>
  <c r="C347" i="6"/>
  <c r="D347" i="6"/>
  <c r="C346" i="6"/>
  <c r="D346" i="6"/>
  <c r="C345" i="6"/>
  <c r="D345" i="6"/>
  <c r="C344" i="6"/>
  <c r="D344" i="6"/>
  <c r="C343" i="6"/>
  <c r="D343" i="6"/>
  <c r="C342" i="6"/>
  <c r="D342" i="6"/>
  <c r="C341" i="6"/>
  <c r="D341" i="6"/>
  <c r="C340" i="6"/>
  <c r="D340" i="6"/>
  <c r="C339" i="6"/>
  <c r="D339" i="6"/>
  <c r="C338" i="6"/>
  <c r="D338" i="6"/>
  <c r="C337" i="6"/>
  <c r="D337" i="6"/>
  <c r="C336" i="6"/>
  <c r="D336" i="6"/>
  <c r="C335" i="6"/>
  <c r="D335" i="6"/>
  <c r="C334" i="6"/>
  <c r="D334" i="6"/>
  <c r="C333" i="6"/>
  <c r="D333" i="6"/>
  <c r="C332" i="6"/>
  <c r="D332" i="6"/>
  <c r="C331" i="6"/>
  <c r="D331" i="6"/>
  <c r="C330" i="6"/>
  <c r="D330" i="6"/>
  <c r="C329" i="6"/>
  <c r="D329" i="6"/>
  <c r="C328" i="6"/>
  <c r="D328" i="6"/>
  <c r="C327" i="6"/>
  <c r="D327" i="6"/>
  <c r="C326" i="6"/>
  <c r="D326" i="6"/>
  <c r="C325" i="6"/>
  <c r="D325" i="6"/>
  <c r="C324" i="6"/>
  <c r="D324" i="6"/>
  <c r="C323" i="6"/>
  <c r="D323" i="6"/>
  <c r="C322" i="6"/>
  <c r="D322" i="6"/>
  <c r="C321" i="6"/>
  <c r="D321" i="6"/>
  <c r="C320" i="6"/>
  <c r="D320" i="6"/>
  <c r="C319" i="6"/>
  <c r="D319" i="6"/>
  <c r="C318" i="6"/>
  <c r="D318" i="6"/>
  <c r="C317" i="6"/>
  <c r="D317" i="6"/>
  <c r="C316" i="6"/>
  <c r="D316" i="6"/>
  <c r="C315" i="6"/>
  <c r="D315" i="6"/>
  <c r="C314" i="6"/>
  <c r="D314" i="6"/>
  <c r="C313" i="6"/>
  <c r="D313" i="6"/>
  <c r="C312" i="6"/>
  <c r="D312" i="6"/>
  <c r="C311" i="6"/>
  <c r="D311" i="6"/>
  <c r="C310" i="6"/>
  <c r="D310" i="6"/>
  <c r="C309" i="6"/>
  <c r="D309" i="6"/>
  <c r="C308" i="6"/>
  <c r="D308" i="6"/>
  <c r="C307" i="6"/>
  <c r="D307" i="6"/>
  <c r="C306" i="6"/>
  <c r="D306" i="6"/>
  <c r="C305" i="6"/>
  <c r="D305" i="6"/>
  <c r="C304" i="6"/>
  <c r="D304" i="6"/>
  <c r="C303" i="6"/>
  <c r="D303" i="6"/>
  <c r="C302" i="6"/>
  <c r="D302" i="6"/>
  <c r="C301" i="6"/>
  <c r="D301" i="6"/>
  <c r="C300" i="6"/>
  <c r="D300" i="6"/>
  <c r="C299" i="6"/>
  <c r="D299" i="6"/>
  <c r="C298" i="6"/>
  <c r="D298" i="6"/>
  <c r="C297" i="6"/>
  <c r="D297" i="6"/>
  <c r="C296" i="6"/>
  <c r="D296" i="6"/>
  <c r="C295" i="6"/>
  <c r="D295" i="6"/>
  <c r="C294" i="6"/>
  <c r="D294" i="6"/>
  <c r="C293" i="6"/>
  <c r="D293" i="6"/>
  <c r="C292" i="6"/>
  <c r="D292" i="6"/>
  <c r="C291" i="6"/>
  <c r="D291" i="6"/>
  <c r="C290" i="6"/>
  <c r="D290" i="6"/>
  <c r="C289" i="6"/>
  <c r="D289" i="6"/>
  <c r="C288" i="6"/>
  <c r="D288" i="6"/>
  <c r="C287" i="6"/>
  <c r="D287" i="6"/>
  <c r="C286" i="6"/>
  <c r="D286" i="6"/>
  <c r="C285" i="6"/>
  <c r="D285" i="6"/>
  <c r="C284" i="6"/>
  <c r="D284" i="6"/>
  <c r="C283" i="6"/>
  <c r="D283" i="6"/>
  <c r="C282" i="6"/>
  <c r="D282" i="6"/>
  <c r="C281" i="6"/>
  <c r="D281" i="6"/>
  <c r="C280" i="6"/>
  <c r="D280" i="6"/>
  <c r="C279" i="6"/>
  <c r="D279" i="6"/>
  <c r="C278" i="6"/>
  <c r="D278" i="6"/>
  <c r="C277" i="6"/>
  <c r="D277" i="6"/>
  <c r="C276" i="6"/>
  <c r="D276" i="6"/>
  <c r="C275" i="6"/>
  <c r="D275" i="6"/>
  <c r="C274" i="6"/>
  <c r="D274" i="6"/>
  <c r="C273" i="6"/>
  <c r="D273" i="6"/>
  <c r="C272" i="6"/>
  <c r="D272" i="6"/>
  <c r="C271" i="6"/>
  <c r="D271" i="6"/>
  <c r="C270" i="6"/>
  <c r="D270" i="6"/>
  <c r="C269" i="6"/>
  <c r="D269" i="6"/>
  <c r="C268" i="6"/>
  <c r="D268" i="6"/>
  <c r="C267" i="6"/>
  <c r="D267" i="6"/>
  <c r="C266" i="6"/>
  <c r="D266" i="6"/>
  <c r="C265" i="6"/>
  <c r="D265" i="6"/>
  <c r="C264" i="6"/>
  <c r="D264" i="6"/>
  <c r="C263" i="6"/>
  <c r="D263" i="6"/>
  <c r="C262" i="6"/>
  <c r="D262" i="6"/>
  <c r="C261" i="6"/>
  <c r="D261" i="6"/>
  <c r="C260" i="6"/>
  <c r="D260" i="6"/>
  <c r="C259" i="6"/>
  <c r="D259" i="6"/>
  <c r="C258" i="6"/>
  <c r="D258" i="6"/>
  <c r="C257" i="6"/>
  <c r="D257" i="6"/>
  <c r="C256" i="6"/>
  <c r="D256" i="6"/>
  <c r="C255" i="6"/>
  <c r="D255" i="6"/>
  <c r="C254" i="6"/>
  <c r="D254" i="6"/>
  <c r="C253" i="6"/>
  <c r="D253" i="6"/>
  <c r="C252" i="6"/>
  <c r="D252" i="6"/>
  <c r="C251" i="6"/>
  <c r="D251" i="6"/>
  <c r="C250" i="6"/>
  <c r="D250" i="6"/>
  <c r="C249" i="6"/>
  <c r="D249" i="6"/>
  <c r="C248" i="6"/>
  <c r="D248" i="6"/>
  <c r="C247" i="6"/>
  <c r="D247" i="6"/>
  <c r="C246" i="6"/>
  <c r="D246" i="6"/>
  <c r="C245" i="6"/>
  <c r="D245" i="6"/>
  <c r="C244" i="6"/>
  <c r="D244" i="6"/>
  <c r="C243" i="6"/>
  <c r="D243" i="6"/>
  <c r="C242" i="6"/>
  <c r="D242" i="6"/>
  <c r="C241" i="6"/>
  <c r="D241" i="6"/>
  <c r="C240" i="6"/>
  <c r="D240" i="6"/>
  <c r="C239" i="6"/>
  <c r="D239" i="6"/>
  <c r="C238" i="6"/>
  <c r="D238" i="6"/>
  <c r="C237" i="6"/>
  <c r="D237" i="6"/>
  <c r="C236" i="6"/>
  <c r="D236" i="6"/>
  <c r="C235" i="6"/>
  <c r="D235" i="6"/>
  <c r="C234" i="6"/>
  <c r="D234" i="6"/>
  <c r="C233" i="6"/>
  <c r="D233" i="6"/>
  <c r="C232" i="6"/>
  <c r="D232" i="6"/>
  <c r="C231" i="6"/>
  <c r="D231" i="6"/>
  <c r="C230" i="6"/>
  <c r="D230" i="6"/>
  <c r="C229" i="6"/>
  <c r="D229" i="6"/>
  <c r="C228" i="6"/>
  <c r="D228" i="6"/>
  <c r="C227" i="6"/>
  <c r="D227" i="6"/>
  <c r="C226" i="6"/>
  <c r="D226" i="6"/>
  <c r="C225" i="6"/>
  <c r="D225" i="6"/>
  <c r="C224" i="6"/>
  <c r="D224" i="6"/>
  <c r="D213" i="6"/>
  <c r="D214" i="6"/>
  <c r="D215" i="6"/>
  <c r="C223" i="6"/>
  <c r="D223" i="6"/>
  <c r="C222" i="6"/>
  <c r="D222" i="6"/>
  <c r="C221" i="6"/>
  <c r="D221" i="6"/>
  <c r="C220" i="6"/>
  <c r="D220" i="6"/>
  <c r="C219" i="6"/>
  <c r="D219" i="6"/>
  <c r="C218" i="6"/>
  <c r="D218" i="6"/>
  <c r="C217" i="6"/>
  <c r="D217" i="6"/>
  <c r="C216" i="6"/>
  <c r="D216" i="6"/>
  <c r="C215" i="6"/>
  <c r="C214" i="6"/>
  <c r="C213" i="6"/>
  <c r="C212" i="6"/>
  <c r="D212" i="6"/>
  <c r="C211" i="6"/>
  <c r="D211" i="6"/>
  <c r="C210" i="6"/>
  <c r="D210" i="6"/>
  <c r="C209" i="6"/>
  <c r="D209" i="6"/>
  <c r="C208" i="6"/>
  <c r="D208" i="6"/>
  <c r="C207" i="6"/>
  <c r="D207" i="6"/>
  <c r="C206" i="6"/>
  <c r="D206" i="6"/>
  <c r="C205" i="6"/>
  <c r="D205" i="6"/>
  <c r="C204" i="6"/>
  <c r="D204" i="6"/>
  <c r="C203" i="6"/>
  <c r="D203" i="6"/>
  <c r="C182" i="6"/>
  <c r="D182" i="6"/>
  <c r="C202" i="6"/>
  <c r="D202" i="6"/>
  <c r="C201" i="6"/>
  <c r="D201" i="6"/>
  <c r="C200" i="6"/>
  <c r="D200" i="6"/>
  <c r="C199" i="6"/>
  <c r="D199" i="6"/>
  <c r="C198" i="6"/>
  <c r="D198" i="6"/>
  <c r="C197" i="6"/>
  <c r="D197" i="6"/>
  <c r="C196" i="6"/>
  <c r="D196" i="6"/>
  <c r="C195" i="6"/>
  <c r="D195" i="6"/>
  <c r="C194" i="6"/>
  <c r="D194" i="6"/>
  <c r="C193" i="6"/>
  <c r="D193" i="6"/>
  <c r="C192" i="6"/>
  <c r="D192" i="6"/>
  <c r="C191" i="6"/>
  <c r="D191" i="6"/>
  <c r="C190" i="6"/>
  <c r="D190" i="6"/>
  <c r="C189" i="6"/>
  <c r="D189" i="6"/>
  <c r="C188" i="6"/>
  <c r="D188" i="6"/>
  <c r="C187" i="6"/>
  <c r="D187" i="6"/>
  <c r="C186" i="6"/>
  <c r="D186" i="6"/>
  <c r="C185" i="6"/>
  <c r="D185" i="6"/>
  <c r="C184" i="6"/>
  <c r="D184" i="6"/>
  <c r="C183" i="6"/>
  <c r="D183" i="6"/>
  <c r="C181" i="6"/>
  <c r="D181" i="6"/>
  <c r="C180" i="6"/>
  <c r="D180" i="6"/>
  <c r="C179" i="6"/>
  <c r="D179" i="6"/>
  <c r="C178" i="6"/>
  <c r="D178" i="6"/>
  <c r="C177" i="6"/>
  <c r="D177" i="6"/>
  <c r="C176" i="6"/>
  <c r="D176" i="6"/>
  <c r="C175" i="6"/>
  <c r="D175" i="6"/>
  <c r="C174" i="6"/>
  <c r="D174" i="6"/>
  <c r="C173" i="6"/>
  <c r="D173" i="6"/>
  <c r="C172" i="6"/>
  <c r="D172" i="6"/>
  <c r="C171" i="6"/>
  <c r="D171" i="6"/>
  <c r="C170" i="6"/>
  <c r="D170" i="6"/>
  <c r="C169" i="6"/>
  <c r="D169" i="6"/>
  <c r="C168" i="6"/>
  <c r="D168" i="6"/>
  <c r="C167" i="6"/>
  <c r="D167" i="6"/>
  <c r="C166" i="6"/>
  <c r="D166" i="6"/>
  <c r="C165" i="6"/>
  <c r="D165" i="6"/>
  <c r="C164" i="6"/>
  <c r="D164" i="6"/>
  <c r="C163" i="6"/>
  <c r="D163" i="6"/>
  <c r="C162" i="6"/>
  <c r="D162" i="6"/>
  <c r="C161" i="6"/>
  <c r="D161" i="6"/>
  <c r="C160" i="6"/>
  <c r="D160" i="6"/>
  <c r="C159" i="6"/>
  <c r="D159" i="6"/>
  <c r="C158" i="6"/>
  <c r="D158" i="6"/>
  <c r="C157" i="6"/>
  <c r="D157" i="6"/>
  <c r="C156" i="6"/>
  <c r="D156" i="6"/>
  <c r="C155" i="6"/>
  <c r="D155" i="6"/>
  <c r="C154" i="6"/>
  <c r="D154" i="6"/>
  <c r="C153" i="6"/>
  <c r="D153" i="6"/>
  <c r="C152" i="6"/>
  <c r="D152" i="6"/>
  <c r="C151" i="6"/>
  <c r="D151" i="6"/>
  <c r="C150" i="6"/>
  <c r="D150" i="6"/>
  <c r="C149" i="6"/>
  <c r="D149" i="6"/>
  <c r="C148" i="6"/>
  <c r="D148" i="6"/>
  <c r="C147" i="6"/>
  <c r="D147" i="6"/>
  <c r="C146" i="6"/>
  <c r="D146" i="6"/>
  <c r="C145" i="6"/>
  <c r="D145" i="6"/>
  <c r="C144" i="6"/>
  <c r="D144" i="6"/>
  <c r="C143" i="6"/>
  <c r="D143" i="6"/>
  <c r="C142" i="6"/>
  <c r="D142" i="6"/>
  <c r="C141" i="6"/>
  <c r="D141" i="6"/>
  <c r="C140" i="6"/>
  <c r="D140" i="6"/>
  <c r="C139" i="6"/>
  <c r="D139" i="6"/>
  <c r="C138" i="6"/>
  <c r="D138" i="6"/>
  <c r="C137" i="6"/>
  <c r="D137" i="6"/>
  <c r="C136" i="6"/>
  <c r="D136" i="6"/>
  <c r="C135" i="6"/>
  <c r="D135" i="6"/>
  <c r="C134" i="6"/>
  <c r="D134" i="6"/>
  <c r="C133" i="6"/>
  <c r="D133" i="6"/>
  <c r="C132" i="6"/>
  <c r="D132" i="6"/>
  <c r="C131" i="6"/>
  <c r="D131" i="6"/>
  <c r="C130" i="6"/>
  <c r="D130" i="6"/>
  <c r="C129" i="6"/>
  <c r="D129" i="6"/>
  <c r="M50" i="1"/>
  <c r="C128" i="6"/>
  <c r="D128" i="6"/>
  <c r="C127" i="6"/>
  <c r="D127" i="6"/>
  <c r="C126" i="6"/>
  <c r="D126" i="6"/>
  <c r="C125" i="6"/>
  <c r="D125" i="6"/>
  <c r="C124" i="6"/>
  <c r="D124" i="6"/>
  <c r="C123" i="6"/>
  <c r="D123" i="6"/>
  <c r="C122" i="6"/>
  <c r="D122" i="6"/>
  <c r="C121" i="6"/>
  <c r="D121" i="6"/>
  <c r="C120" i="6"/>
  <c r="D120" i="6"/>
  <c r="C119" i="6"/>
  <c r="D119" i="6"/>
  <c r="C118" i="6"/>
  <c r="D118" i="6"/>
  <c r="C117" i="6"/>
  <c r="D117" i="6"/>
  <c r="C116" i="6"/>
  <c r="D116" i="6"/>
  <c r="C115" i="6"/>
  <c r="D115" i="6"/>
  <c r="C114" i="6"/>
  <c r="D114" i="6"/>
  <c r="C113" i="6"/>
  <c r="D113" i="6"/>
  <c r="C112" i="6"/>
  <c r="D112" i="6"/>
  <c r="C111" i="6"/>
  <c r="D111" i="6"/>
  <c r="C110" i="6"/>
  <c r="D110" i="6"/>
  <c r="C109" i="6"/>
  <c r="D109" i="6"/>
  <c r="C108" i="6"/>
  <c r="D108" i="6"/>
  <c r="C107" i="6"/>
  <c r="D107" i="6"/>
  <c r="C106" i="6"/>
  <c r="D106" i="6"/>
  <c r="C105" i="6"/>
  <c r="D105" i="6"/>
  <c r="C104" i="6"/>
  <c r="D104" i="6"/>
  <c r="C103" i="6"/>
  <c r="D103" i="6"/>
  <c r="C102" i="6"/>
  <c r="D102" i="6"/>
  <c r="C101" i="6"/>
  <c r="D101" i="6"/>
  <c r="C100" i="6"/>
  <c r="D100" i="6"/>
  <c r="C99" i="6"/>
  <c r="D99" i="6"/>
  <c r="C98" i="6"/>
  <c r="D98" i="6"/>
  <c r="C97" i="6"/>
  <c r="D97" i="6"/>
  <c r="C96" i="6"/>
  <c r="D96" i="6"/>
  <c r="C95" i="6"/>
  <c r="D95" i="6"/>
  <c r="C94" i="6"/>
  <c r="D94" i="6"/>
  <c r="C93" i="6"/>
  <c r="D93" i="6"/>
  <c r="C92" i="6"/>
  <c r="D92" i="6"/>
  <c r="C91" i="6"/>
  <c r="D91" i="6"/>
  <c r="C90" i="6"/>
  <c r="D90" i="6"/>
  <c r="C89" i="6"/>
  <c r="D89" i="6"/>
  <c r="C88" i="6"/>
  <c r="D88" i="6"/>
  <c r="C87" i="6"/>
  <c r="D87" i="6"/>
  <c r="C86" i="6"/>
  <c r="D86" i="6"/>
  <c r="C85" i="6"/>
  <c r="D85" i="6"/>
  <c r="C84" i="6"/>
  <c r="D84" i="6"/>
  <c r="C83" i="6"/>
  <c r="D83" i="6"/>
  <c r="C82" i="6"/>
  <c r="D82" i="6"/>
  <c r="C81" i="6"/>
  <c r="D81" i="6"/>
  <c r="C80" i="6"/>
  <c r="D80" i="6"/>
  <c r="C79" i="6"/>
  <c r="D79" i="6"/>
  <c r="C78" i="6"/>
  <c r="D78" i="6"/>
  <c r="C77" i="6"/>
  <c r="D77" i="6"/>
  <c r="C76" i="6"/>
  <c r="D76" i="6"/>
  <c r="C75" i="6"/>
  <c r="D75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55" i="6"/>
  <c r="C54" i="6"/>
  <c r="D54" i="6"/>
  <c r="C53" i="6"/>
  <c r="D53" i="6"/>
  <c r="C52" i="6"/>
  <c r="D52" i="6"/>
  <c r="C51" i="6"/>
  <c r="D51" i="6"/>
  <c r="C50" i="6"/>
  <c r="D50" i="6"/>
  <c r="C49" i="6"/>
  <c r="D49" i="6"/>
  <c r="C48" i="6"/>
  <c r="D48" i="6"/>
  <c r="C47" i="6"/>
  <c r="D47" i="6"/>
  <c r="C46" i="6"/>
  <c r="D46" i="6"/>
  <c r="C45" i="6"/>
  <c r="D45" i="6"/>
  <c r="C44" i="6"/>
  <c r="D44" i="6"/>
  <c r="C43" i="6"/>
  <c r="D43" i="6"/>
  <c r="C42" i="6"/>
  <c r="D42" i="6"/>
  <c r="I59" i="3"/>
  <c r="I60" i="3"/>
  <c r="I61" i="3"/>
  <c r="I62" i="3"/>
  <c r="I51" i="3"/>
  <c r="I54" i="3"/>
  <c r="I53" i="3"/>
  <c r="I52" i="3"/>
  <c r="I45" i="3"/>
  <c r="I44" i="3"/>
  <c r="I46" i="3"/>
  <c r="I43" i="3"/>
  <c r="I37" i="3"/>
  <c r="I36" i="3"/>
  <c r="I35" i="3"/>
  <c r="I38" i="3"/>
  <c r="I27" i="3"/>
  <c r="I30" i="3"/>
  <c r="I28" i="3"/>
  <c r="I29" i="3"/>
  <c r="I19" i="3"/>
  <c r="I20" i="3"/>
  <c r="I21" i="3"/>
  <c r="I22" i="3"/>
  <c r="I11" i="3"/>
  <c r="I12" i="3"/>
  <c r="I14" i="3"/>
  <c r="I13" i="3"/>
  <c r="H11" i="3"/>
  <c r="H12" i="3"/>
  <c r="H14" i="3"/>
  <c r="H13" i="3"/>
  <c r="I3" i="3"/>
  <c r="I4" i="3"/>
  <c r="I6" i="3"/>
  <c r="I5" i="3"/>
  <c r="C41" i="6"/>
  <c r="D41" i="6"/>
  <c r="C40" i="6"/>
  <c r="D40" i="6"/>
  <c r="C39" i="6"/>
  <c r="D39" i="6"/>
  <c r="C38" i="6"/>
  <c r="D38" i="6"/>
  <c r="C37" i="6" l="1"/>
  <c r="D37" i="6"/>
  <c r="C36" i="6"/>
  <c r="D36" i="6"/>
  <c r="C35" i="6"/>
  <c r="D35" i="6"/>
  <c r="C34" i="6"/>
  <c r="D34" i="6"/>
  <c r="C33" i="6"/>
  <c r="D33" i="6"/>
  <c r="C32" i="6"/>
  <c r="D32" i="6"/>
  <c r="C31" i="6"/>
  <c r="D31" i="6"/>
  <c r="C30" i="6"/>
  <c r="D30" i="6"/>
  <c r="C29" i="6"/>
  <c r="D29" i="6"/>
  <c r="C28" i="6"/>
  <c r="D28" i="6"/>
  <c r="C27" i="6"/>
  <c r="D27" i="6"/>
  <c r="C26" i="6"/>
  <c r="D26" i="6"/>
  <c r="C25" i="6"/>
  <c r="D25" i="6"/>
  <c r="C24" i="6"/>
  <c r="D24" i="6"/>
  <c r="C10" i="6"/>
  <c r="D10" i="6"/>
  <c r="C23" i="6"/>
  <c r="D23" i="6"/>
  <c r="C22" i="6"/>
  <c r="D22" i="6"/>
  <c r="C21" i="6"/>
  <c r="D21" i="6"/>
  <c r="C20" i="6"/>
  <c r="D20" i="6"/>
  <c r="C19" i="6"/>
  <c r="D19" i="6"/>
  <c r="C18" i="6"/>
  <c r="D18" i="6"/>
  <c r="C17" i="6"/>
  <c r="D17" i="6"/>
  <c r="C16" i="6"/>
  <c r="D16" i="6"/>
  <c r="C15" i="6"/>
  <c r="D15" i="6"/>
  <c r="C14" i="6"/>
  <c r="D14" i="6"/>
  <c r="C13" i="6"/>
  <c r="D13" i="6"/>
  <c r="C12" i="6"/>
  <c r="D12" i="6"/>
  <c r="C11" i="6"/>
  <c r="D11" i="6"/>
  <c r="C9" i="6"/>
  <c r="D9" i="6"/>
  <c r="C8" i="6"/>
  <c r="D8" i="6"/>
  <c r="D2" i="6"/>
  <c r="D3" i="6"/>
  <c r="D4" i="6"/>
  <c r="D5" i="6"/>
  <c r="D6" i="6"/>
  <c r="D7" i="6"/>
  <c r="C2" i="6"/>
  <c r="C3" i="6"/>
  <c r="C4" i="6"/>
  <c r="C5" i="6"/>
  <c r="C6" i="6"/>
  <c r="C7" i="6"/>
  <c r="A3" i="13" l="1" a="1"/>
  <c r="E298" i="5"/>
  <c r="B519" i="6"/>
  <c r="E3" i="2"/>
  <c r="E2" i="2"/>
  <c r="L62" i="3"/>
  <c r="L60" i="3"/>
  <c r="L59" i="3"/>
  <c r="L61" i="3"/>
  <c r="L51" i="3"/>
  <c r="L53" i="3"/>
  <c r="L54" i="3"/>
  <c r="L52" i="3"/>
  <c r="L45" i="3"/>
  <c r="L46" i="3"/>
  <c r="L44" i="3"/>
  <c r="L43" i="3"/>
  <c r="L38" i="3"/>
  <c r="L37" i="3"/>
  <c r="L35" i="3"/>
  <c r="L36" i="3"/>
  <c r="L28" i="3"/>
  <c r="L30" i="3"/>
  <c r="L27" i="3"/>
  <c r="L29" i="3"/>
  <c r="L19" i="3"/>
  <c r="L21" i="3"/>
  <c r="L20" i="3"/>
  <c r="L22" i="3"/>
  <c r="L11" i="3"/>
  <c r="L13" i="3"/>
  <c r="L12" i="3"/>
  <c r="L14" i="3"/>
  <c r="K62" i="3"/>
  <c r="K60" i="3"/>
  <c r="K59" i="3"/>
  <c r="K61" i="3"/>
  <c r="K51" i="3"/>
  <c r="K53" i="3"/>
  <c r="K54" i="3"/>
  <c r="K52" i="3"/>
  <c r="K45" i="3"/>
  <c r="K46" i="3"/>
  <c r="K44" i="3"/>
  <c r="K43" i="3"/>
  <c r="K38" i="3"/>
  <c r="K37" i="3"/>
  <c r="K35" i="3"/>
  <c r="K36" i="3"/>
  <c r="K28" i="3"/>
  <c r="K30" i="3"/>
  <c r="K27" i="3"/>
  <c r="K29" i="3"/>
  <c r="K19" i="3"/>
  <c r="K21" i="3"/>
  <c r="K20" i="3"/>
  <c r="K22" i="3"/>
  <c r="K11" i="3"/>
  <c r="K13" i="3"/>
  <c r="K12" i="3"/>
  <c r="K14" i="3"/>
  <c r="H62" i="3"/>
  <c r="H60" i="3"/>
  <c r="H59" i="3"/>
  <c r="H61" i="3"/>
  <c r="H51" i="3"/>
  <c r="H53" i="3"/>
  <c r="H54" i="3"/>
  <c r="H52" i="3"/>
  <c r="H45" i="3"/>
  <c r="H46" i="3"/>
  <c r="H44" i="3"/>
  <c r="H43" i="3"/>
  <c r="H38" i="3"/>
  <c r="H37" i="3"/>
  <c r="H35" i="3"/>
  <c r="H36" i="3"/>
  <c r="H28" i="3"/>
  <c r="H30" i="3"/>
  <c r="H27" i="3"/>
  <c r="H29" i="3"/>
  <c r="H19" i="3"/>
  <c r="H21" i="3"/>
  <c r="H20" i="3"/>
  <c r="H22" i="3"/>
  <c r="L5" i="3"/>
  <c r="L3" i="3"/>
  <c r="L6" i="3"/>
  <c r="L4" i="3"/>
  <c r="K5" i="3"/>
  <c r="K3" i="3"/>
  <c r="K6" i="3"/>
  <c r="K4" i="3"/>
  <c r="H5" i="3"/>
  <c r="H3" i="3"/>
  <c r="H6" i="3"/>
  <c r="H4" i="3"/>
  <c r="U2" i="1"/>
  <c r="U3" i="1"/>
  <c r="F3" i="3" s="1"/>
  <c r="U4" i="1"/>
  <c r="U5" i="1"/>
  <c r="F14" i="3" s="1"/>
  <c r="U6" i="1"/>
  <c r="U7" i="1"/>
  <c r="F29" i="3" s="1"/>
  <c r="U8" i="1"/>
  <c r="F20" i="3" s="1"/>
  <c r="U9" i="1"/>
  <c r="U10" i="1"/>
  <c r="F44" i="3" s="1"/>
  <c r="U11" i="1"/>
  <c r="F35" i="3" s="1"/>
  <c r="U12" i="1"/>
  <c r="U13" i="1"/>
  <c r="U14" i="1"/>
  <c r="F53" i="3" s="1"/>
  <c r="U15" i="1"/>
  <c r="F60" i="3" s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F6" i="3" s="1"/>
  <c r="U36" i="1"/>
  <c r="U37" i="1"/>
  <c r="F11" i="3" s="1"/>
  <c r="U38" i="1"/>
  <c r="U39" i="1"/>
  <c r="F27" i="3" s="1"/>
  <c r="U40" i="1"/>
  <c r="F19" i="3" s="1"/>
  <c r="U41" i="1"/>
  <c r="U42" i="1"/>
  <c r="U43" i="1"/>
  <c r="F45" i="3" s="1"/>
  <c r="U44" i="1"/>
  <c r="U45" i="1"/>
  <c r="F36" i="3" s="1"/>
  <c r="U46" i="1"/>
  <c r="U47" i="1"/>
  <c r="F59" i="3" s="1"/>
  <c r="U48" i="1"/>
  <c r="F51" i="3" s="1"/>
  <c r="U49" i="1"/>
  <c r="T2" i="1"/>
  <c r="T3" i="1"/>
  <c r="E4" i="3" s="1"/>
  <c r="T4" i="1"/>
  <c r="T5" i="1"/>
  <c r="E12" i="3" s="1"/>
  <c r="T6" i="1"/>
  <c r="T7" i="1"/>
  <c r="E30" i="3" s="1"/>
  <c r="T8" i="1"/>
  <c r="E21" i="3" s="1"/>
  <c r="T9" i="1"/>
  <c r="T10" i="1"/>
  <c r="E43" i="3" s="1"/>
  <c r="T11" i="1"/>
  <c r="E37" i="3" s="1"/>
  <c r="T12" i="1"/>
  <c r="T13" i="1"/>
  <c r="T14" i="1"/>
  <c r="E52" i="3" s="1"/>
  <c r="T15" i="1"/>
  <c r="E61" i="3" s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E5" i="3" s="1"/>
  <c r="T35" i="1"/>
  <c r="T36" i="1"/>
  <c r="E13" i="3" s="1"/>
  <c r="T37" i="1"/>
  <c r="T38" i="1"/>
  <c r="E28" i="3" s="1"/>
  <c r="T39" i="1"/>
  <c r="T40" i="1"/>
  <c r="T41" i="1"/>
  <c r="E22" i="3" s="1"/>
  <c r="T42" i="1"/>
  <c r="E46" i="3" s="1"/>
  <c r="T43" i="1"/>
  <c r="T44" i="1"/>
  <c r="E38" i="3" s="1"/>
  <c r="T45" i="1"/>
  <c r="T46" i="1"/>
  <c r="E62" i="3" s="1"/>
  <c r="T47" i="1"/>
  <c r="T48" i="1"/>
  <c r="T49" i="1"/>
  <c r="E54" i="3" s="1"/>
  <c r="H2" i="4" l="1"/>
  <c r="H6" i="4"/>
  <c r="H10" i="4"/>
  <c r="H14" i="4"/>
  <c r="H18" i="4"/>
  <c r="H22" i="4"/>
  <c r="H26" i="4"/>
  <c r="H30" i="4"/>
  <c r="H34" i="4"/>
  <c r="H38" i="4"/>
  <c r="H42" i="4"/>
  <c r="H46" i="4"/>
  <c r="H50" i="4"/>
  <c r="H54" i="4"/>
  <c r="H58" i="4"/>
  <c r="H62" i="4"/>
  <c r="H66" i="4"/>
  <c r="H70" i="4"/>
  <c r="H74" i="4"/>
  <c r="H78" i="4"/>
  <c r="H82" i="4"/>
  <c r="H86" i="4"/>
  <c r="H90" i="4"/>
  <c r="H94" i="4"/>
  <c r="H98" i="4"/>
  <c r="H102" i="4"/>
  <c r="H106" i="4"/>
  <c r="H110" i="4"/>
  <c r="H114" i="4"/>
  <c r="H118" i="4"/>
  <c r="H122" i="4"/>
  <c r="H126" i="4"/>
  <c r="H130" i="4"/>
  <c r="H134" i="4"/>
  <c r="H138" i="4"/>
  <c r="H142" i="4"/>
  <c r="H146" i="4"/>
  <c r="H150" i="4"/>
  <c r="H154" i="4"/>
  <c r="H158" i="4"/>
  <c r="H162" i="4"/>
  <c r="H166" i="4"/>
  <c r="H170" i="4"/>
  <c r="H174" i="4"/>
  <c r="H178" i="4"/>
  <c r="H182" i="4"/>
  <c r="H186" i="4"/>
  <c r="H190" i="4"/>
  <c r="H194" i="4"/>
  <c r="H198" i="4"/>
  <c r="H202" i="4"/>
  <c r="H206" i="4"/>
  <c r="H210" i="4"/>
  <c r="H214" i="4"/>
  <c r="H218" i="4"/>
  <c r="H222" i="4"/>
  <c r="H226" i="4"/>
  <c r="H230" i="4"/>
  <c r="H234" i="4"/>
  <c r="H238" i="4"/>
  <c r="H242" i="4"/>
  <c r="H246" i="4"/>
  <c r="H250" i="4"/>
  <c r="H254" i="4"/>
  <c r="H258" i="4"/>
  <c r="H262" i="4"/>
  <c r="H266" i="4"/>
  <c r="H270" i="4"/>
  <c r="H274" i="4"/>
  <c r="H278" i="4"/>
  <c r="H282" i="4"/>
  <c r="H286" i="4"/>
  <c r="H290" i="4"/>
  <c r="H294" i="4"/>
  <c r="H298" i="4"/>
  <c r="H302" i="4"/>
  <c r="H306" i="4"/>
  <c r="H310" i="4"/>
  <c r="H314" i="4"/>
  <c r="H318" i="4"/>
  <c r="H322" i="4"/>
  <c r="H326" i="4"/>
  <c r="H330" i="4"/>
  <c r="H334" i="4"/>
  <c r="H338" i="4"/>
  <c r="H3" i="4"/>
  <c r="H7" i="4"/>
  <c r="H11" i="4"/>
  <c r="H15" i="4"/>
  <c r="H19" i="4"/>
  <c r="H23" i="4"/>
  <c r="H27" i="4"/>
  <c r="H31" i="4"/>
  <c r="H35" i="4"/>
  <c r="H39" i="4"/>
  <c r="H43" i="4"/>
  <c r="H47" i="4"/>
  <c r="H51" i="4"/>
  <c r="H55" i="4"/>
  <c r="H59" i="4"/>
  <c r="H63" i="4"/>
  <c r="H67" i="4"/>
  <c r="H71" i="4"/>
  <c r="H75" i="4"/>
  <c r="H79" i="4"/>
  <c r="H83" i="4"/>
  <c r="H87" i="4"/>
  <c r="H91" i="4"/>
  <c r="H95" i="4"/>
  <c r="H99" i="4"/>
  <c r="H103" i="4"/>
  <c r="H107" i="4"/>
  <c r="H111" i="4"/>
  <c r="H115" i="4"/>
  <c r="H119" i="4"/>
  <c r="H123" i="4"/>
  <c r="H127" i="4"/>
  <c r="H131" i="4"/>
  <c r="H135" i="4"/>
  <c r="H139" i="4"/>
  <c r="H143" i="4"/>
  <c r="H147" i="4"/>
  <c r="H151" i="4"/>
  <c r="H155" i="4"/>
  <c r="H159" i="4"/>
  <c r="H163" i="4"/>
  <c r="H167" i="4"/>
  <c r="H171" i="4"/>
  <c r="H175" i="4"/>
  <c r="H179" i="4"/>
  <c r="H183" i="4"/>
  <c r="H187" i="4"/>
  <c r="H191" i="4"/>
  <c r="H195" i="4"/>
  <c r="H199" i="4"/>
  <c r="H203" i="4"/>
  <c r="H207" i="4"/>
  <c r="H211" i="4"/>
  <c r="H215" i="4"/>
  <c r="H219" i="4"/>
  <c r="H223" i="4"/>
  <c r="H227" i="4"/>
  <c r="H231" i="4"/>
  <c r="H235" i="4"/>
  <c r="H239" i="4"/>
  <c r="H243" i="4"/>
  <c r="H247" i="4"/>
  <c r="H251" i="4"/>
  <c r="H255" i="4"/>
  <c r="H259" i="4"/>
  <c r="H263" i="4"/>
  <c r="H267" i="4"/>
  <c r="H271" i="4"/>
  <c r="H275" i="4"/>
  <c r="H279" i="4"/>
  <c r="H283" i="4"/>
  <c r="H287" i="4"/>
  <c r="H291" i="4"/>
  <c r="H295" i="4"/>
  <c r="H299" i="4"/>
  <c r="H303" i="4"/>
  <c r="H307" i="4"/>
  <c r="H311" i="4"/>
  <c r="H315" i="4"/>
  <c r="H319" i="4"/>
  <c r="H323" i="4"/>
  <c r="H327" i="4"/>
  <c r="H331" i="4"/>
  <c r="H335" i="4"/>
  <c r="H339" i="4"/>
  <c r="H5" i="4"/>
  <c r="H13" i="4"/>
  <c r="H21" i="4"/>
  <c r="H29" i="4"/>
  <c r="H37" i="4"/>
  <c r="H45" i="4"/>
  <c r="H53" i="4"/>
  <c r="H61" i="4"/>
  <c r="H69" i="4"/>
  <c r="H77" i="4"/>
  <c r="H85" i="4"/>
  <c r="H93" i="4"/>
  <c r="H101" i="4"/>
  <c r="H109" i="4"/>
  <c r="H117" i="4"/>
  <c r="H125" i="4"/>
  <c r="H133" i="4"/>
  <c r="H141" i="4"/>
  <c r="H149" i="4"/>
  <c r="H157" i="4"/>
  <c r="H165" i="4"/>
  <c r="H173" i="4"/>
  <c r="H181" i="4"/>
  <c r="H189" i="4"/>
  <c r="H197" i="4"/>
  <c r="H205" i="4"/>
  <c r="H213" i="4"/>
  <c r="H221" i="4"/>
  <c r="H229" i="4"/>
  <c r="H237" i="4"/>
  <c r="H245" i="4"/>
  <c r="H253" i="4"/>
  <c r="H261" i="4"/>
  <c r="H269" i="4"/>
  <c r="H277" i="4"/>
  <c r="H285" i="4"/>
  <c r="H293" i="4"/>
  <c r="H301" i="4"/>
  <c r="H309" i="4"/>
  <c r="H317" i="4"/>
  <c r="H325" i="4"/>
  <c r="H333" i="4"/>
  <c r="H341" i="4"/>
  <c r="H345" i="4"/>
  <c r="H349" i="4"/>
  <c r="H353" i="4"/>
  <c r="H357" i="4"/>
  <c r="H361" i="4"/>
  <c r="H365" i="4"/>
  <c r="H369" i="4"/>
  <c r="H373" i="4"/>
  <c r="H377" i="4"/>
  <c r="H381" i="4"/>
  <c r="H385" i="4"/>
  <c r="H389" i="4"/>
  <c r="H393" i="4"/>
  <c r="H397" i="4"/>
  <c r="H401" i="4"/>
  <c r="H405" i="4"/>
  <c r="H409" i="4"/>
  <c r="H413" i="4"/>
  <c r="H417" i="4"/>
  <c r="H421" i="4"/>
  <c r="H425" i="4"/>
  <c r="H429" i="4"/>
  <c r="H433" i="4"/>
  <c r="H437" i="4"/>
  <c r="H441" i="4"/>
  <c r="H445" i="4"/>
  <c r="H449" i="4"/>
  <c r="H453" i="4"/>
  <c r="H457" i="4"/>
  <c r="H461" i="4"/>
  <c r="H465" i="4"/>
  <c r="H469" i="4"/>
  <c r="H473" i="4"/>
  <c r="H477" i="4"/>
  <c r="H481" i="4"/>
  <c r="H485" i="4"/>
  <c r="H489" i="4"/>
  <c r="H493" i="4"/>
  <c r="H497" i="4"/>
  <c r="H501" i="4"/>
  <c r="H505" i="4"/>
  <c r="H509" i="4"/>
  <c r="H4" i="4"/>
  <c r="H16" i="4"/>
  <c r="H25" i="4"/>
  <c r="H36" i="4"/>
  <c r="H48" i="4"/>
  <c r="H57" i="4"/>
  <c r="H68" i="4"/>
  <c r="H80" i="4"/>
  <c r="H89" i="4"/>
  <c r="H100" i="4"/>
  <c r="H112" i="4"/>
  <c r="H121" i="4"/>
  <c r="H132" i="4"/>
  <c r="H144" i="4"/>
  <c r="H153" i="4"/>
  <c r="H164" i="4"/>
  <c r="H176" i="4"/>
  <c r="H185" i="4"/>
  <c r="H196" i="4"/>
  <c r="H208" i="4"/>
  <c r="H217" i="4"/>
  <c r="H228" i="4"/>
  <c r="H240" i="4"/>
  <c r="H249" i="4"/>
  <c r="H260" i="4"/>
  <c r="H272" i="4"/>
  <c r="H281" i="4"/>
  <c r="H292" i="4"/>
  <c r="H304" i="4"/>
  <c r="H313" i="4"/>
  <c r="H324" i="4"/>
  <c r="H336" i="4"/>
  <c r="H343" i="4"/>
  <c r="H348" i="4"/>
  <c r="H354" i="4"/>
  <c r="H359" i="4"/>
  <c r="H364" i="4"/>
  <c r="H370" i="4"/>
  <c r="H375" i="4"/>
  <c r="H380" i="4"/>
  <c r="H386" i="4"/>
  <c r="H391" i="4"/>
  <c r="H396" i="4"/>
  <c r="H402" i="4"/>
  <c r="H407" i="4"/>
  <c r="H412" i="4"/>
  <c r="H418" i="4"/>
  <c r="H423" i="4"/>
  <c r="H428" i="4"/>
  <c r="H434" i="4"/>
  <c r="H439" i="4"/>
  <c r="H444" i="4"/>
  <c r="H450" i="4"/>
  <c r="H455" i="4"/>
  <c r="H460" i="4"/>
  <c r="H466" i="4"/>
  <c r="H471" i="4"/>
  <c r="H476" i="4"/>
  <c r="H482" i="4"/>
  <c r="H487" i="4"/>
  <c r="H492" i="4"/>
  <c r="H498" i="4"/>
  <c r="H503" i="4"/>
  <c r="H508" i="4"/>
  <c r="H513" i="4"/>
  <c r="H517" i="4"/>
  <c r="H521" i="4"/>
  <c r="H525" i="4"/>
  <c r="H529" i="4"/>
  <c r="H533" i="4"/>
  <c r="H537" i="4"/>
  <c r="H541" i="4"/>
  <c r="H545" i="4"/>
  <c r="H549" i="4"/>
  <c r="H553" i="4"/>
  <c r="H557" i="4"/>
  <c r="H561" i="4"/>
  <c r="H565" i="4"/>
  <c r="H569" i="4"/>
  <c r="H573" i="4"/>
  <c r="H577" i="4"/>
  <c r="H581" i="4"/>
  <c r="H585" i="4"/>
  <c r="H589" i="4"/>
  <c r="H593" i="4"/>
  <c r="H597" i="4"/>
  <c r="H601" i="4"/>
  <c r="H605" i="4"/>
  <c r="H609" i="4"/>
  <c r="H613" i="4"/>
  <c r="H617" i="4"/>
  <c r="H621" i="4"/>
  <c r="H625" i="4"/>
  <c r="H629" i="4"/>
  <c r="H633" i="4"/>
  <c r="H637" i="4"/>
  <c r="H641" i="4"/>
  <c r="H645" i="4"/>
  <c r="H649" i="4"/>
  <c r="H653" i="4"/>
  <c r="H657" i="4"/>
  <c r="H661" i="4"/>
  <c r="H665" i="4"/>
  <c r="H669" i="4"/>
  <c r="H673" i="4"/>
  <c r="H677" i="4"/>
  <c r="H681" i="4"/>
  <c r="H685" i="4"/>
  <c r="H689" i="4"/>
  <c r="H693" i="4"/>
  <c r="H697" i="4"/>
  <c r="H701" i="4"/>
  <c r="H705" i="4"/>
  <c r="H709" i="4"/>
  <c r="H713" i="4"/>
  <c r="H717" i="4"/>
  <c r="H721" i="4"/>
  <c r="H725" i="4"/>
  <c r="H729" i="4"/>
  <c r="H733" i="4"/>
  <c r="H737" i="4"/>
  <c r="H741" i="4"/>
  <c r="H745" i="4"/>
  <c r="H749" i="4"/>
  <c r="H753" i="4"/>
  <c r="H757" i="4"/>
  <c r="H761" i="4"/>
  <c r="H765" i="4"/>
  <c r="H769" i="4"/>
  <c r="H773" i="4"/>
  <c r="H777" i="4"/>
  <c r="H781" i="4"/>
  <c r="H785" i="4"/>
  <c r="H789" i="4"/>
  <c r="H793" i="4"/>
  <c r="H797" i="4"/>
  <c r="H801" i="4"/>
  <c r="H805" i="4"/>
  <c r="H809" i="4"/>
  <c r="H813" i="4"/>
  <c r="H817" i="4"/>
  <c r="H821" i="4"/>
  <c r="H825" i="4"/>
  <c r="H829" i="4"/>
  <c r="H20" i="4"/>
  <c r="H32" i="4"/>
  <c r="H52" i="4"/>
  <c r="H73" i="4"/>
  <c r="H96" i="4"/>
  <c r="H116" i="4"/>
  <c r="H137" i="4"/>
  <c r="H160" i="4"/>
  <c r="H180" i="4"/>
  <c r="H201" i="4"/>
  <c r="H224" i="4"/>
  <c r="H256" i="4"/>
  <c r="H276" i="4"/>
  <c r="H297" i="4"/>
  <c r="H320" i="4"/>
  <c r="H340" i="4"/>
  <c r="H351" i="4"/>
  <c r="H362" i="4"/>
  <c r="H372" i="4"/>
  <c r="H383" i="4"/>
  <c r="H394" i="4"/>
  <c r="H404" i="4"/>
  <c r="H415" i="4"/>
  <c r="H426" i="4"/>
  <c r="H436" i="4"/>
  <c r="H447" i="4"/>
  <c r="H8" i="4"/>
  <c r="H17" i="4"/>
  <c r="H28" i="4"/>
  <c r="H40" i="4"/>
  <c r="H49" i="4"/>
  <c r="H60" i="4"/>
  <c r="H72" i="4"/>
  <c r="H81" i="4"/>
  <c r="H92" i="4"/>
  <c r="H104" i="4"/>
  <c r="H113" i="4"/>
  <c r="H124" i="4"/>
  <c r="H136" i="4"/>
  <c r="H145" i="4"/>
  <c r="H156" i="4"/>
  <c r="H168" i="4"/>
  <c r="H177" i="4"/>
  <c r="H188" i="4"/>
  <c r="H200" i="4"/>
  <c r="H209" i="4"/>
  <c r="H220" i="4"/>
  <c r="H232" i="4"/>
  <c r="H241" i="4"/>
  <c r="H252" i="4"/>
  <c r="H264" i="4"/>
  <c r="H273" i="4"/>
  <c r="H284" i="4"/>
  <c r="H296" i="4"/>
  <c r="H305" i="4"/>
  <c r="H316" i="4"/>
  <c r="H328" i="4"/>
  <c r="H337" i="4"/>
  <c r="H344" i="4"/>
  <c r="H350" i="4"/>
  <c r="H355" i="4"/>
  <c r="H360" i="4"/>
  <c r="H366" i="4"/>
  <c r="H371" i="4"/>
  <c r="H376" i="4"/>
  <c r="H382" i="4"/>
  <c r="H387" i="4"/>
  <c r="H392" i="4"/>
  <c r="H398" i="4"/>
  <c r="H403" i="4"/>
  <c r="H408" i="4"/>
  <c r="H414" i="4"/>
  <c r="H419" i="4"/>
  <c r="H424" i="4"/>
  <c r="H430" i="4"/>
  <c r="H435" i="4"/>
  <c r="H440" i="4"/>
  <c r="H446" i="4"/>
  <c r="H451" i="4"/>
  <c r="H456" i="4"/>
  <c r="H462" i="4"/>
  <c r="H467" i="4"/>
  <c r="H472" i="4"/>
  <c r="H478" i="4"/>
  <c r="H483" i="4"/>
  <c r="H488" i="4"/>
  <c r="H494" i="4"/>
  <c r="H499" i="4"/>
  <c r="H504" i="4"/>
  <c r="H510" i="4"/>
  <c r="H514" i="4"/>
  <c r="H518" i="4"/>
  <c r="H522" i="4"/>
  <c r="H526" i="4"/>
  <c r="H530" i="4"/>
  <c r="H534" i="4"/>
  <c r="H538" i="4"/>
  <c r="H542" i="4"/>
  <c r="H546" i="4"/>
  <c r="H550" i="4"/>
  <c r="H554" i="4"/>
  <c r="H558" i="4"/>
  <c r="H562" i="4"/>
  <c r="H566" i="4"/>
  <c r="H570" i="4"/>
  <c r="H574" i="4"/>
  <c r="H578" i="4"/>
  <c r="H582" i="4"/>
  <c r="H586" i="4"/>
  <c r="H590" i="4"/>
  <c r="H594" i="4"/>
  <c r="H598" i="4"/>
  <c r="H602" i="4"/>
  <c r="H606" i="4"/>
  <c r="H610" i="4"/>
  <c r="H614" i="4"/>
  <c r="H618" i="4"/>
  <c r="H622" i="4"/>
  <c r="H626" i="4"/>
  <c r="H630" i="4"/>
  <c r="H634" i="4"/>
  <c r="H638" i="4"/>
  <c r="H642" i="4"/>
  <c r="H646" i="4"/>
  <c r="H650" i="4"/>
  <c r="H654" i="4"/>
  <c r="H658" i="4"/>
  <c r="H662" i="4"/>
  <c r="H666" i="4"/>
  <c r="H670" i="4"/>
  <c r="H674" i="4"/>
  <c r="H678" i="4"/>
  <c r="H682" i="4"/>
  <c r="H686" i="4"/>
  <c r="H690" i="4"/>
  <c r="H694" i="4"/>
  <c r="H698" i="4"/>
  <c r="H702" i="4"/>
  <c r="H706" i="4"/>
  <c r="H710" i="4"/>
  <c r="H714" i="4"/>
  <c r="H718" i="4"/>
  <c r="H722" i="4"/>
  <c r="H726" i="4"/>
  <c r="H730" i="4"/>
  <c r="H734" i="4"/>
  <c r="H738" i="4"/>
  <c r="H742" i="4"/>
  <c r="H746" i="4"/>
  <c r="H750" i="4"/>
  <c r="H754" i="4"/>
  <c r="H758" i="4"/>
  <c r="H762" i="4"/>
  <c r="H766" i="4"/>
  <c r="H770" i="4"/>
  <c r="H774" i="4"/>
  <c r="H778" i="4"/>
  <c r="H782" i="4"/>
  <c r="H786" i="4"/>
  <c r="H790" i="4"/>
  <c r="H794" i="4"/>
  <c r="H798" i="4"/>
  <c r="H802" i="4"/>
  <c r="H806" i="4"/>
  <c r="H810" i="4"/>
  <c r="H814" i="4"/>
  <c r="H818" i="4"/>
  <c r="H822" i="4"/>
  <c r="H826" i="4"/>
  <c r="H830" i="4"/>
  <c r="H9" i="4"/>
  <c r="H41" i="4"/>
  <c r="H64" i="4"/>
  <c r="H84" i="4"/>
  <c r="H105" i="4"/>
  <c r="H128" i="4"/>
  <c r="H148" i="4"/>
  <c r="H169" i="4"/>
  <c r="H192" i="4"/>
  <c r="H212" i="4"/>
  <c r="H233" i="4"/>
  <c r="H244" i="4"/>
  <c r="H265" i="4"/>
  <c r="H288" i="4"/>
  <c r="H308" i="4"/>
  <c r="H329" i="4"/>
  <c r="H346" i="4"/>
  <c r="H356" i="4"/>
  <c r="H367" i="4"/>
  <c r="H378" i="4"/>
  <c r="H388" i="4"/>
  <c r="H399" i="4"/>
  <c r="H410" i="4"/>
  <c r="H420" i="4"/>
  <c r="H431" i="4"/>
  <c r="H442" i="4"/>
  <c r="H12" i="4"/>
  <c r="H56" i="4"/>
  <c r="H97" i="4"/>
  <c r="H140" i="4"/>
  <c r="H184" i="4"/>
  <c r="H225" i="4"/>
  <c r="H268" i="4"/>
  <c r="H312" i="4"/>
  <c r="H347" i="4"/>
  <c r="H368" i="4"/>
  <c r="H390" i="4"/>
  <c r="H411" i="4"/>
  <c r="H432" i="4"/>
  <c r="H452" i="4"/>
  <c r="H463" i="4"/>
  <c r="H474" i="4"/>
  <c r="H484" i="4"/>
  <c r="H495" i="4"/>
  <c r="H506" i="4"/>
  <c r="H515" i="4"/>
  <c r="H523" i="4"/>
  <c r="H531" i="4"/>
  <c r="H539" i="4"/>
  <c r="H547" i="4"/>
  <c r="H555" i="4"/>
  <c r="H563" i="4"/>
  <c r="H571" i="4"/>
  <c r="H579" i="4"/>
  <c r="H587" i="4"/>
  <c r="H595" i="4"/>
  <c r="H603" i="4"/>
  <c r="H611" i="4"/>
  <c r="H619" i="4"/>
  <c r="H627" i="4"/>
  <c r="H635" i="4"/>
  <c r="H643" i="4"/>
  <c r="H651" i="4"/>
  <c r="H659" i="4"/>
  <c r="H667" i="4"/>
  <c r="H675" i="4"/>
  <c r="H683" i="4"/>
  <c r="H691" i="4"/>
  <c r="H699" i="4"/>
  <c r="H707" i="4"/>
  <c r="H715" i="4"/>
  <c r="H723" i="4"/>
  <c r="H731" i="4"/>
  <c r="H739" i="4"/>
  <c r="H747" i="4"/>
  <c r="H755" i="4"/>
  <c r="H763" i="4"/>
  <c r="H771" i="4"/>
  <c r="H779" i="4"/>
  <c r="H787" i="4"/>
  <c r="H795" i="4"/>
  <c r="H803" i="4"/>
  <c r="H811" i="4"/>
  <c r="H819" i="4"/>
  <c r="H827" i="4"/>
  <c r="H216" i="4"/>
  <c r="H363" i="4"/>
  <c r="H406" i="4"/>
  <c r="H448" i="4"/>
  <c r="H470" i="4"/>
  <c r="H480" i="4"/>
  <c r="H502" i="4"/>
  <c r="H520" i="4"/>
  <c r="H536" i="4"/>
  <c r="H552" i="4"/>
  <c r="H568" i="4"/>
  <c r="H584" i="4"/>
  <c r="H600" i="4"/>
  <c r="H616" i="4"/>
  <c r="H632" i="4"/>
  <c r="H648" i="4"/>
  <c r="H664" i="4"/>
  <c r="H688" i="4"/>
  <c r="H704" i="4"/>
  <c r="H720" i="4"/>
  <c r="H736" i="4"/>
  <c r="H752" i="4"/>
  <c r="H768" i="4"/>
  <c r="H776" i="4"/>
  <c r="H792" i="4"/>
  <c r="H808" i="4"/>
  <c r="H824" i="4"/>
  <c r="H24" i="4"/>
  <c r="H65" i="4"/>
  <c r="H108" i="4"/>
  <c r="H152" i="4"/>
  <c r="H193" i="4"/>
  <c r="H236" i="4"/>
  <c r="H280" i="4"/>
  <c r="H321" i="4"/>
  <c r="H352" i="4"/>
  <c r="H374" i="4"/>
  <c r="H395" i="4"/>
  <c r="H416" i="4"/>
  <c r="H438" i="4"/>
  <c r="H454" i="4"/>
  <c r="H464" i="4"/>
  <c r="H475" i="4"/>
  <c r="H486" i="4"/>
  <c r="H496" i="4"/>
  <c r="H507" i="4"/>
  <c r="H516" i="4"/>
  <c r="H524" i="4"/>
  <c r="H532" i="4"/>
  <c r="H540" i="4"/>
  <c r="H548" i="4"/>
  <c r="H556" i="4"/>
  <c r="H564" i="4"/>
  <c r="H572" i="4"/>
  <c r="H580" i="4"/>
  <c r="H588" i="4"/>
  <c r="H596" i="4"/>
  <c r="H604" i="4"/>
  <c r="H612" i="4"/>
  <c r="H620" i="4"/>
  <c r="H628" i="4"/>
  <c r="H636" i="4"/>
  <c r="H644" i="4"/>
  <c r="H652" i="4"/>
  <c r="H660" i="4"/>
  <c r="H668" i="4"/>
  <c r="H676" i="4"/>
  <c r="H684" i="4"/>
  <c r="H692" i="4"/>
  <c r="H700" i="4"/>
  <c r="H708" i="4"/>
  <c r="H716" i="4"/>
  <c r="H724" i="4"/>
  <c r="H732" i="4"/>
  <c r="H740" i="4"/>
  <c r="H748" i="4"/>
  <c r="H756" i="4"/>
  <c r="H764" i="4"/>
  <c r="H772" i="4"/>
  <c r="H780" i="4"/>
  <c r="H788" i="4"/>
  <c r="H796" i="4"/>
  <c r="H804" i="4"/>
  <c r="H812" i="4"/>
  <c r="H820" i="4"/>
  <c r="H828" i="4"/>
  <c r="H33" i="4"/>
  <c r="H76" i="4"/>
  <c r="H120" i="4"/>
  <c r="H161" i="4"/>
  <c r="H204" i="4"/>
  <c r="H248" i="4"/>
  <c r="H289" i="4"/>
  <c r="H332" i="4"/>
  <c r="H358" i="4"/>
  <c r="H379" i="4"/>
  <c r="H400" i="4"/>
  <c r="H422" i="4"/>
  <c r="H443" i="4"/>
  <c r="H458" i="4"/>
  <c r="H468" i="4"/>
  <c r="H479" i="4"/>
  <c r="H490" i="4"/>
  <c r="H500" i="4"/>
  <c r="H511" i="4"/>
  <c r="H519" i="4"/>
  <c r="H527" i="4"/>
  <c r="H535" i="4"/>
  <c r="H543" i="4"/>
  <c r="H551" i="4"/>
  <c r="H559" i="4"/>
  <c r="H567" i="4"/>
  <c r="H575" i="4"/>
  <c r="H583" i="4"/>
  <c r="H591" i="4"/>
  <c r="H599" i="4"/>
  <c r="H607" i="4"/>
  <c r="H615" i="4"/>
  <c r="H623" i="4"/>
  <c r="H631" i="4"/>
  <c r="H639" i="4"/>
  <c r="H647" i="4"/>
  <c r="H655" i="4"/>
  <c r="H663" i="4"/>
  <c r="H671" i="4"/>
  <c r="H679" i="4"/>
  <c r="H687" i="4"/>
  <c r="H695" i="4"/>
  <c r="H703" i="4"/>
  <c r="H711" i="4"/>
  <c r="H719" i="4"/>
  <c r="H727" i="4"/>
  <c r="H735" i="4"/>
  <c r="H743" i="4"/>
  <c r="H751" i="4"/>
  <c r="H759" i="4"/>
  <c r="H767" i="4"/>
  <c r="H775" i="4"/>
  <c r="H783" i="4"/>
  <c r="H791" i="4"/>
  <c r="H799" i="4"/>
  <c r="H807" i="4"/>
  <c r="H815" i="4"/>
  <c r="H823" i="4"/>
  <c r="H831" i="4"/>
  <c r="H44" i="4"/>
  <c r="H88" i="4"/>
  <c r="H129" i="4"/>
  <c r="H172" i="4"/>
  <c r="H257" i="4"/>
  <c r="H300" i="4"/>
  <c r="H342" i="4"/>
  <c r="H384" i="4"/>
  <c r="H427" i="4"/>
  <c r="H459" i="4"/>
  <c r="H491" i="4"/>
  <c r="H512" i="4"/>
  <c r="H528" i="4"/>
  <c r="H544" i="4"/>
  <c r="H560" i="4"/>
  <c r="H576" i="4"/>
  <c r="H592" i="4"/>
  <c r="H608" i="4"/>
  <c r="H624" i="4"/>
  <c r="H640" i="4"/>
  <c r="H656" i="4"/>
  <c r="H672" i="4"/>
  <c r="H680" i="4"/>
  <c r="H696" i="4"/>
  <c r="H712" i="4"/>
  <c r="H728" i="4"/>
  <c r="H744" i="4"/>
  <c r="H760" i="4"/>
  <c r="H784" i="4"/>
  <c r="H800" i="4"/>
  <c r="H816" i="4"/>
  <c r="A3" i="13"/>
  <c r="D7" i="13"/>
  <c r="D11" i="13"/>
  <c r="D15" i="13"/>
  <c r="D19" i="13"/>
  <c r="D23" i="13"/>
  <c r="D27" i="13"/>
  <c r="D31" i="13"/>
  <c r="D35" i="13"/>
  <c r="D39" i="13"/>
  <c r="D43" i="13"/>
  <c r="D47" i="13"/>
  <c r="D51" i="13"/>
  <c r="D55" i="13"/>
  <c r="D59" i="13"/>
  <c r="D63" i="13"/>
  <c r="D67" i="13"/>
  <c r="D71" i="13"/>
  <c r="D75" i="13"/>
  <c r="D79" i="13"/>
  <c r="D83" i="13"/>
  <c r="D87" i="13"/>
  <c r="D91" i="13"/>
  <c r="D95" i="13"/>
  <c r="D99" i="13"/>
  <c r="D103" i="13"/>
  <c r="D107" i="13"/>
  <c r="D111" i="13"/>
  <c r="D115" i="13"/>
  <c r="D119" i="13"/>
  <c r="D123" i="13"/>
  <c r="D127" i="13"/>
  <c r="D131" i="13"/>
  <c r="D135" i="13"/>
  <c r="D139" i="13"/>
  <c r="D143" i="13"/>
  <c r="D147" i="13"/>
  <c r="D151" i="13"/>
  <c r="D155" i="13"/>
  <c r="D159" i="13"/>
  <c r="D163" i="13"/>
  <c r="D167" i="13"/>
  <c r="D171" i="13"/>
  <c r="D175" i="13"/>
  <c r="D179" i="13"/>
  <c r="D183" i="13"/>
  <c r="D187" i="13"/>
  <c r="D191" i="13"/>
  <c r="D195" i="13"/>
  <c r="D199" i="13"/>
  <c r="D203" i="13"/>
  <c r="D207" i="13"/>
  <c r="D211" i="13"/>
  <c r="D215" i="13"/>
  <c r="D219" i="13"/>
  <c r="D223" i="13"/>
  <c r="D227" i="13"/>
  <c r="D231" i="13"/>
  <c r="D235" i="13"/>
  <c r="D239" i="13"/>
  <c r="D243" i="13"/>
  <c r="D247" i="13"/>
  <c r="D251" i="13"/>
  <c r="D255" i="13"/>
  <c r="D259" i="13"/>
  <c r="D263" i="13"/>
  <c r="D267" i="13"/>
  <c r="D271" i="13"/>
  <c r="D275" i="13"/>
  <c r="D279" i="13"/>
  <c r="D283" i="13"/>
  <c r="D287" i="13"/>
  <c r="D291" i="13"/>
  <c r="D295" i="13"/>
  <c r="B7" i="13"/>
  <c r="C7" i="13" s="1"/>
  <c r="B11" i="13"/>
  <c r="C11" i="13" s="1"/>
  <c r="B15" i="13"/>
  <c r="C15" i="13" s="1"/>
  <c r="B19" i="13"/>
  <c r="C19" i="13" s="1"/>
  <c r="B23" i="13"/>
  <c r="C23" i="13" s="1"/>
  <c r="B27" i="13"/>
  <c r="C27" i="13" s="1"/>
  <c r="B31" i="13"/>
  <c r="C31" i="13" s="1"/>
  <c r="D4" i="13"/>
  <c r="D8" i="13"/>
  <c r="D12" i="13"/>
  <c r="D16" i="13"/>
  <c r="D20" i="13"/>
  <c r="D24" i="13"/>
  <c r="D28" i="13"/>
  <c r="D32" i="13"/>
  <c r="D36" i="13"/>
  <c r="D40" i="13"/>
  <c r="D44" i="13"/>
  <c r="D48" i="13"/>
  <c r="D52" i="13"/>
  <c r="D56" i="13"/>
  <c r="D60" i="13"/>
  <c r="D64" i="13"/>
  <c r="D68" i="13"/>
  <c r="D72" i="13"/>
  <c r="D76" i="13"/>
  <c r="D80" i="13"/>
  <c r="D84" i="13"/>
  <c r="D88" i="13"/>
  <c r="D92" i="13"/>
  <c r="D96" i="13"/>
  <c r="D100" i="13"/>
  <c r="D104" i="13"/>
  <c r="D108" i="13"/>
  <c r="D112" i="13"/>
  <c r="D116" i="13"/>
  <c r="D120" i="13"/>
  <c r="D124" i="13"/>
  <c r="D128" i="13"/>
  <c r="D132" i="13"/>
  <c r="D136" i="13"/>
  <c r="D140" i="13"/>
  <c r="D144" i="13"/>
  <c r="D148" i="13"/>
  <c r="D152" i="13"/>
  <c r="D156" i="13"/>
  <c r="D160" i="13"/>
  <c r="D164" i="13"/>
  <c r="D168" i="13"/>
  <c r="D172" i="13"/>
  <c r="D176" i="13"/>
  <c r="D180" i="13"/>
  <c r="D184" i="13"/>
  <c r="D188" i="13"/>
  <c r="D192" i="13"/>
  <c r="D196" i="13"/>
  <c r="D200" i="13"/>
  <c r="D204" i="13"/>
  <c r="D208" i="13"/>
  <c r="D212" i="13"/>
  <c r="D216" i="13"/>
  <c r="D220" i="13"/>
  <c r="D224" i="13"/>
  <c r="D228" i="13"/>
  <c r="D232" i="13"/>
  <c r="D236" i="13"/>
  <c r="D240" i="13"/>
  <c r="D244" i="13"/>
  <c r="D248" i="13"/>
  <c r="D252" i="13"/>
  <c r="D256" i="13"/>
  <c r="D260" i="13"/>
  <c r="D264" i="13"/>
  <c r="D268" i="13"/>
  <c r="D272" i="13"/>
  <c r="D276" i="13"/>
  <c r="D280" i="13"/>
  <c r="D284" i="13"/>
  <c r="D288" i="13"/>
  <c r="D292" i="13"/>
  <c r="D296" i="13"/>
  <c r="B4" i="13"/>
  <c r="C4" i="13" s="1"/>
  <c r="B8" i="13"/>
  <c r="C8" i="13" s="1"/>
  <c r="B12" i="13"/>
  <c r="C12" i="13" s="1"/>
  <c r="B16" i="13"/>
  <c r="C16" i="13" s="1"/>
  <c r="B20" i="13"/>
  <c r="C20" i="13" s="1"/>
  <c r="B24" i="13"/>
  <c r="C24" i="13" s="1"/>
  <c r="B28" i="13"/>
  <c r="C28" i="13" s="1"/>
  <c r="B32" i="13"/>
  <c r="C32" i="13" s="1"/>
  <c r="B36" i="13"/>
  <c r="C36" i="13" s="1"/>
  <c r="B40" i="13"/>
  <c r="C40" i="13" s="1"/>
  <c r="B44" i="13"/>
  <c r="C44" i="13" s="1"/>
  <c r="D5" i="13"/>
  <c r="D9" i="13"/>
  <c r="D13" i="13"/>
  <c r="D17" i="13"/>
  <c r="D21" i="13"/>
  <c r="D25" i="13"/>
  <c r="D29" i="13"/>
  <c r="D33" i="13"/>
  <c r="D37" i="13"/>
  <c r="D41" i="13"/>
  <c r="D45" i="13"/>
  <c r="D49" i="13"/>
  <c r="D53" i="13"/>
  <c r="D57" i="13"/>
  <c r="D61" i="13"/>
  <c r="D65" i="13"/>
  <c r="D69" i="13"/>
  <c r="D73" i="13"/>
  <c r="D77" i="13"/>
  <c r="D81" i="13"/>
  <c r="D85" i="13"/>
  <c r="D89" i="13"/>
  <c r="D93" i="13"/>
  <c r="D97" i="13"/>
  <c r="D101" i="13"/>
  <c r="D105" i="13"/>
  <c r="D109" i="13"/>
  <c r="D113" i="13"/>
  <c r="D117" i="13"/>
  <c r="D121" i="13"/>
  <c r="D125" i="13"/>
  <c r="D129" i="13"/>
  <c r="D133" i="13"/>
  <c r="D137" i="13"/>
  <c r="D141" i="13"/>
  <c r="D145" i="13"/>
  <c r="D149" i="13"/>
  <c r="D153" i="13"/>
  <c r="D157" i="13"/>
  <c r="D161" i="13"/>
  <c r="D165" i="13"/>
  <c r="D169" i="13"/>
  <c r="D173" i="13"/>
  <c r="D177" i="13"/>
  <c r="D181" i="13"/>
  <c r="D185" i="13"/>
  <c r="D189" i="13"/>
  <c r="D193" i="13"/>
  <c r="D197" i="13"/>
  <c r="D201" i="13"/>
  <c r="D205" i="13"/>
  <c r="D209" i="13"/>
  <c r="D213" i="13"/>
  <c r="D217" i="13"/>
  <c r="D221" i="13"/>
  <c r="D225" i="13"/>
  <c r="D229" i="13"/>
  <c r="D233" i="13"/>
  <c r="D237" i="13"/>
  <c r="D241" i="13"/>
  <c r="D245" i="13"/>
  <c r="D249" i="13"/>
  <c r="D253" i="13"/>
  <c r="D257" i="13"/>
  <c r="D261" i="13"/>
  <c r="D265" i="13"/>
  <c r="D269" i="13"/>
  <c r="D273" i="13"/>
  <c r="D277" i="13"/>
  <c r="D281" i="13"/>
  <c r="D285" i="13"/>
  <c r="D289" i="13"/>
  <c r="D293" i="13"/>
  <c r="D297" i="13"/>
  <c r="B5" i="13"/>
  <c r="C5" i="13" s="1"/>
  <c r="B9" i="13"/>
  <c r="C9" i="13" s="1"/>
  <c r="B13" i="13"/>
  <c r="C13" i="13" s="1"/>
  <c r="B17" i="13"/>
  <c r="C17" i="13" s="1"/>
  <c r="B21" i="13"/>
  <c r="C21" i="13" s="1"/>
  <c r="B25" i="13"/>
  <c r="C25" i="13" s="1"/>
  <c r="B29" i="13"/>
  <c r="C29" i="13" s="1"/>
  <c r="B33" i="13"/>
  <c r="C33" i="13" s="1"/>
  <c r="B37" i="13"/>
  <c r="C37" i="13" s="1"/>
  <c r="B41" i="13"/>
  <c r="C41" i="13" s="1"/>
  <c r="B45" i="13"/>
  <c r="C45" i="13" s="1"/>
  <c r="D6" i="13"/>
  <c r="D22" i="13"/>
  <c r="D38" i="13"/>
  <c r="D54" i="13"/>
  <c r="D70" i="13"/>
  <c r="D86" i="13"/>
  <c r="D102" i="13"/>
  <c r="D118" i="13"/>
  <c r="D134" i="13"/>
  <c r="D150" i="13"/>
  <c r="D166" i="13"/>
  <c r="D182" i="13"/>
  <c r="D198" i="13"/>
  <c r="D214" i="13"/>
  <c r="D230" i="13"/>
  <c r="D246" i="13"/>
  <c r="D262" i="13"/>
  <c r="D278" i="13"/>
  <c r="D294" i="13"/>
  <c r="B14" i="13"/>
  <c r="C14" i="13" s="1"/>
  <c r="B30" i="13"/>
  <c r="C30" i="13" s="1"/>
  <c r="B39" i="13"/>
  <c r="C39" i="13" s="1"/>
  <c r="B47" i="13"/>
  <c r="C47" i="13" s="1"/>
  <c r="B51" i="13"/>
  <c r="C51" i="13" s="1"/>
  <c r="B55" i="13"/>
  <c r="C55" i="13" s="1"/>
  <c r="B59" i="13"/>
  <c r="C59" i="13" s="1"/>
  <c r="B63" i="13"/>
  <c r="C63" i="13" s="1"/>
  <c r="B67" i="13"/>
  <c r="C67" i="13" s="1"/>
  <c r="B71" i="13"/>
  <c r="C71" i="13" s="1"/>
  <c r="B75" i="13"/>
  <c r="C75" i="13" s="1"/>
  <c r="B79" i="13"/>
  <c r="C79" i="13" s="1"/>
  <c r="B83" i="13"/>
  <c r="C83" i="13" s="1"/>
  <c r="B87" i="13"/>
  <c r="C87" i="13" s="1"/>
  <c r="B91" i="13"/>
  <c r="C91" i="13" s="1"/>
  <c r="B95" i="13"/>
  <c r="C95" i="13" s="1"/>
  <c r="B99" i="13"/>
  <c r="C99" i="13" s="1"/>
  <c r="B103" i="13"/>
  <c r="C103" i="13" s="1"/>
  <c r="B107" i="13"/>
  <c r="C107" i="13" s="1"/>
  <c r="B111" i="13"/>
  <c r="C111" i="13" s="1"/>
  <c r="B115" i="13"/>
  <c r="C115" i="13" s="1"/>
  <c r="B119" i="13"/>
  <c r="C119" i="13" s="1"/>
  <c r="B123" i="13"/>
  <c r="C123" i="13" s="1"/>
  <c r="B127" i="13"/>
  <c r="C127" i="13" s="1"/>
  <c r="B131" i="13"/>
  <c r="C131" i="13" s="1"/>
  <c r="B135" i="13"/>
  <c r="C135" i="13" s="1"/>
  <c r="B139" i="13"/>
  <c r="C139" i="13" s="1"/>
  <c r="B143" i="13"/>
  <c r="C143" i="13" s="1"/>
  <c r="B147" i="13"/>
  <c r="C147" i="13" s="1"/>
  <c r="B151" i="13"/>
  <c r="C151" i="13" s="1"/>
  <c r="B155" i="13"/>
  <c r="C155" i="13" s="1"/>
  <c r="B159" i="13"/>
  <c r="C159" i="13" s="1"/>
  <c r="B163" i="13"/>
  <c r="C163" i="13" s="1"/>
  <c r="B167" i="13"/>
  <c r="C167" i="13" s="1"/>
  <c r="B171" i="13"/>
  <c r="C171" i="13" s="1"/>
  <c r="B175" i="13"/>
  <c r="C175" i="13" s="1"/>
  <c r="B179" i="13"/>
  <c r="C179" i="13" s="1"/>
  <c r="B183" i="13"/>
  <c r="C183" i="13" s="1"/>
  <c r="B187" i="13"/>
  <c r="C187" i="13" s="1"/>
  <c r="B191" i="13"/>
  <c r="C191" i="13" s="1"/>
  <c r="B195" i="13"/>
  <c r="C195" i="13" s="1"/>
  <c r="B199" i="13"/>
  <c r="C199" i="13" s="1"/>
  <c r="B203" i="13"/>
  <c r="C203" i="13" s="1"/>
  <c r="B207" i="13"/>
  <c r="C207" i="13" s="1"/>
  <c r="B211" i="13"/>
  <c r="C211" i="13" s="1"/>
  <c r="B215" i="13"/>
  <c r="C215" i="13" s="1"/>
  <c r="B219" i="13"/>
  <c r="C219" i="13" s="1"/>
  <c r="B223" i="13"/>
  <c r="C223" i="13" s="1"/>
  <c r="B227" i="13"/>
  <c r="C227" i="13" s="1"/>
  <c r="B231" i="13"/>
  <c r="C231" i="13" s="1"/>
  <c r="B235" i="13"/>
  <c r="C235" i="13" s="1"/>
  <c r="B239" i="13"/>
  <c r="C239" i="13" s="1"/>
  <c r="B243" i="13"/>
  <c r="C243" i="13" s="1"/>
  <c r="B247" i="13"/>
  <c r="C247" i="13" s="1"/>
  <c r="B251" i="13"/>
  <c r="C251" i="13" s="1"/>
  <c r="B255" i="13"/>
  <c r="C255" i="13" s="1"/>
  <c r="B259" i="13"/>
  <c r="C259" i="13" s="1"/>
  <c r="B263" i="13"/>
  <c r="C263" i="13" s="1"/>
  <c r="B267" i="13"/>
  <c r="C267" i="13" s="1"/>
  <c r="B271" i="13"/>
  <c r="C271" i="13" s="1"/>
  <c r="B275" i="13"/>
  <c r="C275" i="13" s="1"/>
  <c r="B279" i="13"/>
  <c r="C279" i="13" s="1"/>
  <c r="B283" i="13"/>
  <c r="C283" i="13" s="1"/>
  <c r="B287" i="13"/>
  <c r="C287" i="13" s="1"/>
  <c r="B291" i="13"/>
  <c r="C291" i="13" s="1"/>
  <c r="B295" i="13"/>
  <c r="C295" i="13" s="1"/>
  <c r="D10" i="13"/>
  <c r="D26" i="13"/>
  <c r="D42" i="13"/>
  <c r="D58" i="13"/>
  <c r="D74" i="13"/>
  <c r="D90" i="13"/>
  <c r="D106" i="13"/>
  <c r="D122" i="13"/>
  <c r="D138" i="13"/>
  <c r="D154" i="13"/>
  <c r="D170" i="13"/>
  <c r="D186" i="13"/>
  <c r="D202" i="13"/>
  <c r="D218" i="13"/>
  <c r="D234" i="13"/>
  <c r="D250" i="13"/>
  <c r="D266" i="13"/>
  <c r="D282" i="13"/>
  <c r="D298" i="13"/>
  <c r="B18" i="13"/>
  <c r="C18" i="13" s="1"/>
  <c r="B34" i="13"/>
  <c r="C34" i="13" s="1"/>
  <c r="B42" i="13"/>
  <c r="C42" i="13" s="1"/>
  <c r="B48" i="13"/>
  <c r="C48" i="13" s="1"/>
  <c r="B52" i="13"/>
  <c r="C52" i="13" s="1"/>
  <c r="B56" i="13"/>
  <c r="C56" i="13" s="1"/>
  <c r="B60" i="13"/>
  <c r="C60" i="13" s="1"/>
  <c r="B64" i="13"/>
  <c r="C64" i="13" s="1"/>
  <c r="B68" i="13"/>
  <c r="C68" i="13" s="1"/>
  <c r="B72" i="13"/>
  <c r="C72" i="13" s="1"/>
  <c r="B76" i="13"/>
  <c r="C76" i="13" s="1"/>
  <c r="B80" i="13"/>
  <c r="C80" i="13" s="1"/>
  <c r="B84" i="13"/>
  <c r="C84" i="13" s="1"/>
  <c r="B88" i="13"/>
  <c r="C88" i="13" s="1"/>
  <c r="B92" i="13"/>
  <c r="C92" i="13" s="1"/>
  <c r="B96" i="13"/>
  <c r="C96" i="13" s="1"/>
  <c r="B100" i="13"/>
  <c r="C100" i="13" s="1"/>
  <c r="B104" i="13"/>
  <c r="C104" i="13" s="1"/>
  <c r="B108" i="13"/>
  <c r="C108" i="13" s="1"/>
  <c r="B112" i="13"/>
  <c r="C112" i="13" s="1"/>
  <c r="B116" i="13"/>
  <c r="C116" i="13" s="1"/>
  <c r="B120" i="13"/>
  <c r="C120" i="13" s="1"/>
  <c r="B124" i="13"/>
  <c r="C124" i="13" s="1"/>
  <c r="B128" i="13"/>
  <c r="C128" i="13" s="1"/>
  <c r="B132" i="13"/>
  <c r="C132" i="13" s="1"/>
  <c r="B136" i="13"/>
  <c r="C136" i="13" s="1"/>
  <c r="B140" i="13"/>
  <c r="C140" i="13" s="1"/>
  <c r="B144" i="13"/>
  <c r="C144" i="13" s="1"/>
  <c r="B148" i="13"/>
  <c r="C148" i="13" s="1"/>
  <c r="B152" i="13"/>
  <c r="C152" i="13" s="1"/>
  <c r="B156" i="13"/>
  <c r="C156" i="13" s="1"/>
  <c r="B160" i="13"/>
  <c r="C160" i="13" s="1"/>
  <c r="B164" i="13"/>
  <c r="C164" i="13" s="1"/>
  <c r="B168" i="13"/>
  <c r="C168" i="13" s="1"/>
  <c r="B172" i="13"/>
  <c r="C172" i="13" s="1"/>
  <c r="B176" i="13"/>
  <c r="C176" i="13" s="1"/>
  <c r="B180" i="13"/>
  <c r="C180" i="13" s="1"/>
  <c r="B184" i="13"/>
  <c r="C184" i="13" s="1"/>
  <c r="B188" i="13"/>
  <c r="C188" i="13" s="1"/>
  <c r="B192" i="13"/>
  <c r="C192" i="13" s="1"/>
  <c r="B196" i="13"/>
  <c r="C196" i="13" s="1"/>
  <c r="B200" i="13"/>
  <c r="C200" i="13" s="1"/>
  <c r="B204" i="13"/>
  <c r="C204" i="13" s="1"/>
  <c r="B208" i="13"/>
  <c r="C208" i="13" s="1"/>
  <c r="B212" i="13"/>
  <c r="C212" i="13" s="1"/>
  <c r="B216" i="13"/>
  <c r="C216" i="13" s="1"/>
  <c r="B220" i="13"/>
  <c r="C220" i="13" s="1"/>
  <c r="B224" i="13"/>
  <c r="C224" i="13" s="1"/>
  <c r="B228" i="13"/>
  <c r="C228" i="13" s="1"/>
  <c r="B232" i="13"/>
  <c r="C232" i="13" s="1"/>
  <c r="B236" i="13"/>
  <c r="C236" i="13" s="1"/>
  <c r="B240" i="13"/>
  <c r="C240" i="13" s="1"/>
  <c r="B244" i="13"/>
  <c r="C244" i="13" s="1"/>
  <c r="B248" i="13"/>
  <c r="C248" i="13" s="1"/>
  <c r="B252" i="13"/>
  <c r="C252" i="13" s="1"/>
  <c r="B256" i="13"/>
  <c r="C256" i="13" s="1"/>
  <c r="B260" i="13"/>
  <c r="C260" i="13" s="1"/>
  <c r="B264" i="13"/>
  <c r="C264" i="13" s="1"/>
  <c r="B268" i="13"/>
  <c r="C268" i="13" s="1"/>
  <c r="B272" i="13"/>
  <c r="C272" i="13" s="1"/>
  <c r="B276" i="13"/>
  <c r="C276" i="13" s="1"/>
  <c r="B280" i="13"/>
  <c r="C280" i="13" s="1"/>
  <c r="B284" i="13"/>
  <c r="C284" i="13" s="1"/>
  <c r="B288" i="13"/>
  <c r="C288" i="13" s="1"/>
  <c r="B292" i="13"/>
  <c r="C292" i="13" s="1"/>
  <c r="B296" i="13"/>
  <c r="C296" i="13" s="1"/>
  <c r="D14" i="13"/>
  <c r="D46" i="13"/>
  <c r="D78" i="13"/>
  <c r="D110" i="13"/>
  <c r="D142" i="13"/>
  <c r="D174" i="13"/>
  <c r="D206" i="13"/>
  <c r="D238" i="13"/>
  <c r="D270" i="13"/>
  <c r="B6" i="13"/>
  <c r="C6" i="13" s="1"/>
  <c r="B35" i="13"/>
  <c r="C35" i="13" s="1"/>
  <c r="B49" i="13"/>
  <c r="C49" i="13" s="1"/>
  <c r="B57" i="13"/>
  <c r="C57" i="13" s="1"/>
  <c r="B65" i="13"/>
  <c r="C65" i="13" s="1"/>
  <c r="B73" i="13"/>
  <c r="C73" i="13" s="1"/>
  <c r="B81" i="13"/>
  <c r="C81" i="13" s="1"/>
  <c r="B89" i="13"/>
  <c r="C89" i="13" s="1"/>
  <c r="B97" i="13"/>
  <c r="C97" i="13" s="1"/>
  <c r="B105" i="13"/>
  <c r="C105" i="13" s="1"/>
  <c r="B113" i="13"/>
  <c r="C113" i="13" s="1"/>
  <c r="B121" i="13"/>
  <c r="C121" i="13" s="1"/>
  <c r="B129" i="13"/>
  <c r="C129" i="13" s="1"/>
  <c r="B137" i="13"/>
  <c r="C137" i="13" s="1"/>
  <c r="B145" i="13"/>
  <c r="C145" i="13" s="1"/>
  <c r="B153" i="13"/>
  <c r="C153" i="13" s="1"/>
  <c r="B161" i="13"/>
  <c r="C161" i="13" s="1"/>
  <c r="B169" i="13"/>
  <c r="C169" i="13" s="1"/>
  <c r="B177" i="13"/>
  <c r="C177" i="13" s="1"/>
  <c r="B185" i="13"/>
  <c r="C185" i="13" s="1"/>
  <c r="B193" i="13"/>
  <c r="C193" i="13" s="1"/>
  <c r="B201" i="13"/>
  <c r="C201" i="13" s="1"/>
  <c r="B209" i="13"/>
  <c r="C209" i="13" s="1"/>
  <c r="B217" i="13"/>
  <c r="C217" i="13" s="1"/>
  <c r="B225" i="13"/>
  <c r="C225" i="13" s="1"/>
  <c r="B233" i="13"/>
  <c r="C233" i="13" s="1"/>
  <c r="B241" i="13"/>
  <c r="C241" i="13" s="1"/>
  <c r="B249" i="13"/>
  <c r="C249" i="13" s="1"/>
  <c r="B257" i="13"/>
  <c r="C257" i="13" s="1"/>
  <c r="B265" i="13"/>
  <c r="C265" i="13" s="1"/>
  <c r="B273" i="13"/>
  <c r="C273" i="13" s="1"/>
  <c r="B281" i="13"/>
  <c r="C281" i="13" s="1"/>
  <c r="B289" i="13"/>
  <c r="C289" i="13" s="1"/>
  <c r="B297" i="13"/>
  <c r="C297" i="13" s="1"/>
  <c r="D18" i="13"/>
  <c r="D50" i="13"/>
  <c r="D82" i="13"/>
  <c r="D114" i="13"/>
  <c r="D146" i="13"/>
  <c r="D178" i="13"/>
  <c r="D210" i="13"/>
  <c r="D242" i="13"/>
  <c r="D274" i="13"/>
  <c r="B10" i="13"/>
  <c r="C10" i="13" s="1"/>
  <c r="B38" i="13"/>
  <c r="C38" i="13" s="1"/>
  <c r="B50" i="13"/>
  <c r="C50" i="13" s="1"/>
  <c r="B58" i="13"/>
  <c r="C58" i="13" s="1"/>
  <c r="B66" i="13"/>
  <c r="C66" i="13" s="1"/>
  <c r="B74" i="13"/>
  <c r="C74" i="13" s="1"/>
  <c r="B82" i="13"/>
  <c r="C82" i="13" s="1"/>
  <c r="B90" i="13"/>
  <c r="C90" i="13" s="1"/>
  <c r="B98" i="13"/>
  <c r="C98" i="13" s="1"/>
  <c r="B106" i="13"/>
  <c r="C106" i="13" s="1"/>
  <c r="B114" i="13"/>
  <c r="C114" i="13" s="1"/>
  <c r="B122" i="13"/>
  <c r="C122" i="13" s="1"/>
  <c r="B130" i="13"/>
  <c r="C130" i="13" s="1"/>
  <c r="B138" i="13"/>
  <c r="C138" i="13" s="1"/>
  <c r="B146" i="13"/>
  <c r="C146" i="13" s="1"/>
  <c r="B154" i="13"/>
  <c r="C154" i="13" s="1"/>
  <c r="B162" i="13"/>
  <c r="C162" i="13" s="1"/>
  <c r="B170" i="13"/>
  <c r="C170" i="13" s="1"/>
  <c r="B178" i="13"/>
  <c r="C178" i="13" s="1"/>
  <c r="B186" i="13"/>
  <c r="C186" i="13" s="1"/>
  <c r="B194" i="13"/>
  <c r="C194" i="13" s="1"/>
  <c r="B202" i="13"/>
  <c r="C202" i="13" s="1"/>
  <c r="B210" i="13"/>
  <c r="C210" i="13" s="1"/>
  <c r="B218" i="13"/>
  <c r="C218" i="13" s="1"/>
  <c r="B226" i="13"/>
  <c r="C226" i="13" s="1"/>
  <c r="B234" i="13"/>
  <c r="C234" i="13" s="1"/>
  <c r="B242" i="13"/>
  <c r="C242" i="13" s="1"/>
  <c r="B250" i="13"/>
  <c r="C250" i="13" s="1"/>
  <c r="B258" i="13"/>
  <c r="C258" i="13" s="1"/>
  <c r="B266" i="13"/>
  <c r="C266" i="13" s="1"/>
  <c r="B274" i="13"/>
  <c r="C274" i="13" s="1"/>
  <c r="B282" i="13"/>
  <c r="C282" i="13" s="1"/>
  <c r="B290" i="13"/>
  <c r="C290" i="13" s="1"/>
  <c r="B298" i="13"/>
  <c r="C298" i="13" s="1"/>
  <c r="D66" i="13"/>
  <c r="B46" i="13"/>
  <c r="C46" i="13" s="1"/>
  <c r="B70" i="13"/>
  <c r="C70" i="13" s="1"/>
  <c r="B86" i="13"/>
  <c r="C86" i="13" s="1"/>
  <c r="B102" i="13"/>
  <c r="C102" i="13" s="1"/>
  <c r="B118" i="13"/>
  <c r="C118" i="13" s="1"/>
  <c r="B142" i="13"/>
  <c r="C142" i="13" s="1"/>
  <c r="B158" i="13"/>
  <c r="C158" i="13" s="1"/>
  <c r="B174" i="13"/>
  <c r="C174" i="13" s="1"/>
  <c r="B182" i="13"/>
  <c r="C182" i="13" s="1"/>
  <c r="B206" i="13"/>
  <c r="C206" i="13" s="1"/>
  <c r="B222" i="13"/>
  <c r="C222" i="13" s="1"/>
  <c r="B238" i="13"/>
  <c r="C238" i="13" s="1"/>
  <c r="B254" i="13"/>
  <c r="C254" i="13" s="1"/>
  <c r="B270" i="13"/>
  <c r="C270" i="13" s="1"/>
  <c r="B286" i="13"/>
  <c r="C286" i="13" s="1"/>
  <c r="D30" i="13"/>
  <c r="D62" i="13"/>
  <c r="D94" i="13"/>
  <c r="D126" i="13"/>
  <c r="D158" i="13"/>
  <c r="D190" i="13"/>
  <c r="D222" i="13"/>
  <c r="D254" i="13"/>
  <c r="D286" i="13"/>
  <c r="B22" i="13"/>
  <c r="C22" i="13" s="1"/>
  <c r="B43" i="13"/>
  <c r="C43" i="13" s="1"/>
  <c r="B53" i="13"/>
  <c r="C53" i="13" s="1"/>
  <c r="B61" i="13"/>
  <c r="C61" i="13" s="1"/>
  <c r="B69" i="13"/>
  <c r="C69" i="13" s="1"/>
  <c r="B77" i="13"/>
  <c r="C77" i="13" s="1"/>
  <c r="B85" i="13"/>
  <c r="C85" i="13" s="1"/>
  <c r="B93" i="13"/>
  <c r="C93" i="13" s="1"/>
  <c r="B101" i="13"/>
  <c r="C101" i="13" s="1"/>
  <c r="B109" i="13"/>
  <c r="C109" i="13" s="1"/>
  <c r="B117" i="13"/>
  <c r="C117" i="13" s="1"/>
  <c r="B125" i="13"/>
  <c r="C125" i="13" s="1"/>
  <c r="B133" i="13"/>
  <c r="C133" i="13" s="1"/>
  <c r="B141" i="13"/>
  <c r="C141" i="13" s="1"/>
  <c r="B149" i="13"/>
  <c r="C149" i="13" s="1"/>
  <c r="B157" i="13"/>
  <c r="C157" i="13" s="1"/>
  <c r="B165" i="13"/>
  <c r="C165" i="13" s="1"/>
  <c r="B173" i="13"/>
  <c r="C173" i="13" s="1"/>
  <c r="B181" i="13"/>
  <c r="C181" i="13" s="1"/>
  <c r="B189" i="13"/>
  <c r="C189" i="13" s="1"/>
  <c r="B197" i="13"/>
  <c r="C197" i="13" s="1"/>
  <c r="B205" i="13"/>
  <c r="C205" i="13" s="1"/>
  <c r="B213" i="13"/>
  <c r="C213" i="13" s="1"/>
  <c r="B221" i="13"/>
  <c r="C221" i="13" s="1"/>
  <c r="B229" i="13"/>
  <c r="C229" i="13" s="1"/>
  <c r="B237" i="13"/>
  <c r="C237" i="13" s="1"/>
  <c r="B245" i="13"/>
  <c r="C245" i="13" s="1"/>
  <c r="B253" i="13"/>
  <c r="C253" i="13" s="1"/>
  <c r="B261" i="13"/>
  <c r="C261" i="13" s="1"/>
  <c r="B269" i="13"/>
  <c r="C269" i="13" s="1"/>
  <c r="B277" i="13"/>
  <c r="C277" i="13" s="1"/>
  <c r="B285" i="13"/>
  <c r="C285" i="13" s="1"/>
  <c r="B293" i="13"/>
  <c r="C293" i="13" s="1"/>
  <c r="D34" i="13"/>
  <c r="D98" i="13"/>
  <c r="D130" i="13"/>
  <c r="D162" i="13"/>
  <c r="D194" i="13"/>
  <c r="D226" i="13"/>
  <c r="D258" i="13"/>
  <c r="D290" i="13"/>
  <c r="B26" i="13"/>
  <c r="C26" i="13" s="1"/>
  <c r="B54" i="13"/>
  <c r="C54" i="13" s="1"/>
  <c r="B62" i="13"/>
  <c r="C62" i="13" s="1"/>
  <c r="B78" i="13"/>
  <c r="C78" i="13" s="1"/>
  <c r="B94" i="13"/>
  <c r="C94" i="13" s="1"/>
  <c r="B110" i="13"/>
  <c r="C110" i="13" s="1"/>
  <c r="B126" i="13"/>
  <c r="C126" i="13" s="1"/>
  <c r="B134" i="13"/>
  <c r="C134" i="13" s="1"/>
  <c r="B150" i="13"/>
  <c r="C150" i="13" s="1"/>
  <c r="B166" i="13"/>
  <c r="C166" i="13" s="1"/>
  <c r="B190" i="13"/>
  <c r="C190" i="13" s="1"/>
  <c r="B198" i="13"/>
  <c r="C198" i="13" s="1"/>
  <c r="B214" i="13"/>
  <c r="C214" i="13" s="1"/>
  <c r="B230" i="13"/>
  <c r="C230" i="13" s="1"/>
  <c r="B246" i="13"/>
  <c r="C246" i="13" s="1"/>
  <c r="B262" i="13"/>
  <c r="C262" i="13" s="1"/>
  <c r="B278" i="13"/>
  <c r="C278" i="13" s="1"/>
  <c r="B294" i="13"/>
  <c r="C294" i="13" s="1"/>
  <c r="E4" i="2"/>
  <c r="F22" i="3"/>
  <c r="G22" i="3" s="1"/>
  <c r="F5" i="3"/>
  <c r="G5" i="3" s="1"/>
  <c r="E36" i="3"/>
  <c r="G36" i="3" s="1"/>
  <c r="E51" i="3"/>
  <c r="G51" i="3" s="1"/>
  <c r="E27" i="3"/>
  <c r="G27" i="3" s="1"/>
  <c r="F52" i="3"/>
  <c r="G52" i="3" s="1"/>
  <c r="F37" i="3"/>
  <c r="G37" i="3" s="1"/>
  <c r="F12" i="3"/>
  <c r="G12" i="3" s="1"/>
  <c r="E35" i="3"/>
  <c r="G35" i="3" s="1"/>
  <c r="E14" i="3"/>
  <c r="G14" i="3" s="1"/>
  <c r="E29" i="3"/>
  <c r="G29" i="3" s="1"/>
  <c r="E60" i="3"/>
  <c r="G60" i="3" s="1"/>
  <c r="F43" i="3"/>
  <c r="G43" i="3" s="1"/>
  <c r="F4" i="3"/>
  <c r="G4" i="3" s="1"/>
  <c r="E53" i="3"/>
  <c r="G53" i="3" s="1"/>
  <c r="E19" i="3"/>
  <c r="G19" i="3" s="1"/>
  <c r="E6" i="3"/>
  <c r="G6" i="3" s="1"/>
  <c r="E45" i="3"/>
  <c r="G45" i="3" s="1"/>
  <c r="F61" i="3"/>
  <c r="G61" i="3" s="1"/>
  <c r="F21" i="3"/>
  <c r="G21" i="3" s="1"/>
  <c r="F54" i="3"/>
  <c r="G54" i="3" s="1"/>
  <c r="F46" i="3"/>
  <c r="G46" i="3" s="1"/>
  <c r="F28" i="3"/>
  <c r="G28" i="3" s="1"/>
  <c r="E20" i="3"/>
  <c r="G20" i="3" s="1"/>
  <c r="E44" i="3"/>
  <c r="G44" i="3" s="1"/>
  <c r="E3" i="3"/>
  <c r="G3" i="3" s="1"/>
  <c r="E59" i="3"/>
  <c r="G59" i="3" s="1"/>
  <c r="E11" i="3"/>
  <c r="G11" i="3" s="1"/>
  <c r="F30" i="3"/>
  <c r="G30" i="3" s="1"/>
  <c r="F62" i="3"/>
  <c r="G62" i="3" s="1"/>
  <c r="F38" i="3"/>
  <c r="G38" i="3" s="1"/>
  <c r="F13" i="3"/>
  <c r="G13" i="3" s="1"/>
  <c r="B19" i="16" l="1"/>
  <c r="F16" i="16"/>
  <c r="B23" i="16"/>
  <c r="B24" i="16"/>
  <c r="B16" i="16"/>
  <c r="B8" i="16"/>
  <c r="B6" i="16"/>
  <c r="B15" i="16" s="1"/>
  <c r="F15" i="16" s="1"/>
  <c r="B10" i="16"/>
  <c r="B9" i="16"/>
  <c r="B3" i="16"/>
  <c r="B11" i="16"/>
  <c r="B4" i="16"/>
  <c r="B7" i="16"/>
  <c r="D3" i="13"/>
  <c r="B3" i="13"/>
  <c r="C3" i="13" s="1"/>
  <c r="R2" i="1"/>
  <c r="S2" i="1" s="1"/>
  <c r="X2" i="1" s="1"/>
  <c r="R3" i="1"/>
  <c r="S3" i="1" s="1"/>
  <c r="R4" i="1"/>
  <c r="S4" i="1" s="1"/>
  <c r="R5" i="1"/>
  <c r="S5" i="1" s="1"/>
  <c r="R6" i="1"/>
  <c r="S6" i="1" s="1"/>
  <c r="R7" i="1"/>
  <c r="S7" i="1" s="1"/>
  <c r="R8" i="1"/>
  <c r="S8" i="1" s="1"/>
  <c r="R9" i="1"/>
  <c r="S9" i="1" s="1"/>
  <c r="R10" i="1"/>
  <c r="S10" i="1" s="1"/>
  <c r="R11" i="1"/>
  <c r="S11" i="1" s="1"/>
  <c r="R12" i="1"/>
  <c r="S12" i="1" s="1"/>
  <c r="R13" i="1"/>
  <c r="S13" i="1" s="1"/>
  <c r="R14" i="1"/>
  <c r="S14" i="1" s="1"/>
  <c r="R15" i="1"/>
  <c r="S15" i="1" s="1"/>
  <c r="R16" i="1"/>
  <c r="S16" i="1" s="1"/>
  <c r="R17" i="1"/>
  <c r="S17" i="1" s="1"/>
  <c r="R18" i="1"/>
  <c r="S18" i="1" s="1"/>
  <c r="R19" i="1"/>
  <c r="S19" i="1" s="1"/>
  <c r="R20" i="1"/>
  <c r="S20" i="1" s="1"/>
  <c r="R21" i="1"/>
  <c r="S21" i="1" s="1"/>
  <c r="R22" i="1"/>
  <c r="S22" i="1" s="1"/>
  <c r="R23" i="1"/>
  <c r="S23" i="1" s="1"/>
  <c r="R24" i="1"/>
  <c r="S24" i="1" s="1"/>
  <c r="R25" i="1"/>
  <c r="S25" i="1" s="1"/>
  <c r="R26" i="1"/>
  <c r="S26" i="1" s="1"/>
  <c r="R27" i="1"/>
  <c r="S27" i="1" s="1"/>
  <c r="R28" i="1"/>
  <c r="S28" i="1" s="1"/>
  <c r="R29" i="1"/>
  <c r="S29" i="1" s="1"/>
  <c r="R30" i="1"/>
  <c r="S30" i="1" s="1"/>
  <c r="R31" i="1"/>
  <c r="S31" i="1" s="1"/>
  <c r="R32" i="1"/>
  <c r="S32" i="1" s="1"/>
  <c r="R33" i="1"/>
  <c r="S33" i="1" s="1"/>
  <c r="R34" i="1"/>
  <c r="S34" i="1" s="1"/>
  <c r="R35" i="1"/>
  <c r="S35" i="1" s="1"/>
  <c r="R36" i="1"/>
  <c r="S36" i="1" s="1"/>
  <c r="R37" i="1"/>
  <c r="S37" i="1" s="1"/>
  <c r="R38" i="1"/>
  <c r="S38" i="1" s="1"/>
  <c r="R39" i="1"/>
  <c r="S39" i="1" s="1"/>
  <c r="R40" i="1"/>
  <c r="S40" i="1" s="1"/>
  <c r="R41" i="1"/>
  <c r="S41" i="1" s="1"/>
  <c r="R42" i="1"/>
  <c r="S42" i="1" s="1"/>
  <c r="R43" i="1"/>
  <c r="S43" i="1" s="1"/>
  <c r="R44" i="1"/>
  <c r="S44" i="1" s="1"/>
  <c r="R45" i="1"/>
  <c r="S45" i="1" s="1"/>
  <c r="R46" i="1"/>
  <c r="S46" i="1" s="1"/>
  <c r="R47" i="1"/>
  <c r="S47" i="1" s="1"/>
  <c r="R48" i="1"/>
  <c r="S48" i="1" s="1"/>
  <c r="R49" i="1"/>
  <c r="S49" i="1" s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B27" i="16" l="1"/>
  <c r="B29" i="16" s="1"/>
  <c r="B20" i="16"/>
  <c r="B21" i="16"/>
  <c r="B12" i="16"/>
  <c r="B5" i="16"/>
  <c r="O15" i="13"/>
  <c r="O16" i="13"/>
  <c r="D299" i="13"/>
  <c r="O10" i="13"/>
  <c r="O9" i="13"/>
  <c r="O5" i="13"/>
  <c r="O11" i="13"/>
  <c r="O6" i="13"/>
  <c r="O13" i="13"/>
  <c r="O12" i="13"/>
  <c r="O8" i="13"/>
  <c r="Y2" i="1"/>
  <c r="J62" i="3"/>
  <c r="J51" i="3"/>
  <c r="J45" i="3"/>
  <c r="J38" i="3"/>
  <c r="J28" i="3"/>
  <c r="J19" i="3"/>
  <c r="J11" i="3"/>
  <c r="V49" i="1"/>
  <c r="N54" i="3" s="1"/>
  <c r="X49" i="1"/>
  <c r="W49" i="1"/>
  <c r="W41" i="1"/>
  <c r="V41" i="1"/>
  <c r="N22" i="3" s="1"/>
  <c r="X41" i="1"/>
  <c r="W25" i="1"/>
  <c r="V25" i="1"/>
  <c r="X25" i="1"/>
  <c r="Y25" i="1" s="1"/>
  <c r="W13" i="1"/>
  <c r="X13" i="1"/>
  <c r="V13" i="1"/>
  <c r="V48" i="1"/>
  <c r="W48" i="1"/>
  <c r="O51" i="3" s="1"/>
  <c r="X48" i="1"/>
  <c r="Y48" i="1" s="1"/>
  <c r="Q51" i="3" s="1"/>
  <c r="X44" i="1"/>
  <c r="W44" i="1"/>
  <c r="V44" i="1"/>
  <c r="N38" i="3" s="1"/>
  <c r="X40" i="1"/>
  <c r="Y40" i="1" s="1"/>
  <c r="Q19" i="3" s="1"/>
  <c r="W40" i="1"/>
  <c r="O19" i="3" s="1"/>
  <c r="V40" i="1"/>
  <c r="X36" i="1"/>
  <c r="W36" i="1"/>
  <c r="V36" i="1"/>
  <c r="N13" i="3" s="1"/>
  <c r="X32" i="1"/>
  <c r="Y32" i="1" s="1"/>
  <c r="W32" i="1"/>
  <c r="V32" i="1"/>
  <c r="X28" i="1"/>
  <c r="W28" i="1"/>
  <c r="V28" i="1"/>
  <c r="X24" i="1"/>
  <c r="Y24" i="1" s="1"/>
  <c r="W24" i="1"/>
  <c r="V24" i="1"/>
  <c r="X20" i="1"/>
  <c r="V20" i="1"/>
  <c r="W20" i="1"/>
  <c r="X16" i="1"/>
  <c r="V16" i="1"/>
  <c r="W16" i="1"/>
  <c r="X12" i="1"/>
  <c r="W12" i="1"/>
  <c r="V12" i="1"/>
  <c r="X8" i="1"/>
  <c r="W8" i="1"/>
  <c r="O20" i="3" s="1"/>
  <c r="V8" i="1"/>
  <c r="N21" i="3" s="1"/>
  <c r="X4" i="1"/>
  <c r="W4" i="1"/>
  <c r="V4" i="1"/>
  <c r="W45" i="1"/>
  <c r="O36" i="3" s="1"/>
  <c r="V45" i="1"/>
  <c r="X45" i="1"/>
  <c r="Y45" i="1" s="1"/>
  <c r="Q36" i="3" s="1"/>
  <c r="W33" i="1"/>
  <c r="V33" i="1"/>
  <c r="X33" i="1"/>
  <c r="Y33" i="1" s="1"/>
  <c r="W21" i="1"/>
  <c r="O12" i="3" s="1"/>
  <c r="X21" i="1"/>
  <c r="Y21" i="1" s="1"/>
  <c r="V21" i="1"/>
  <c r="W5" i="1"/>
  <c r="O14" i="3" s="1"/>
  <c r="V5" i="1"/>
  <c r="N12" i="3" s="1"/>
  <c r="X5" i="1"/>
  <c r="X47" i="1"/>
  <c r="Y47" i="1" s="1"/>
  <c r="Q59" i="3" s="1"/>
  <c r="V47" i="1"/>
  <c r="W47" i="1"/>
  <c r="O59" i="3" s="1"/>
  <c r="X43" i="1"/>
  <c r="Y43" i="1" s="1"/>
  <c r="Q45" i="3" s="1"/>
  <c r="W43" i="1"/>
  <c r="O45" i="3" s="1"/>
  <c r="V43" i="1"/>
  <c r="X39" i="1"/>
  <c r="Y39" i="1" s="1"/>
  <c r="Q27" i="3" s="1"/>
  <c r="W39" i="1"/>
  <c r="O27" i="3" s="1"/>
  <c r="V39" i="1"/>
  <c r="X35" i="1"/>
  <c r="Y35" i="1" s="1"/>
  <c r="Q6" i="3" s="1"/>
  <c r="W35" i="1"/>
  <c r="O6" i="3" s="1"/>
  <c r="V35" i="1"/>
  <c r="X31" i="1"/>
  <c r="W31" i="1"/>
  <c r="V31" i="1"/>
  <c r="X27" i="1"/>
  <c r="Y27" i="1" s="1"/>
  <c r="W27" i="1"/>
  <c r="V27" i="1"/>
  <c r="W23" i="1"/>
  <c r="V23" i="1"/>
  <c r="X23" i="1"/>
  <c r="V19" i="1"/>
  <c r="W19" i="1"/>
  <c r="X19" i="1"/>
  <c r="Y19" i="1" s="1"/>
  <c r="V15" i="1"/>
  <c r="N61" i="3" s="1"/>
  <c r="W15" i="1"/>
  <c r="O60" i="3" s="1"/>
  <c r="X15" i="1"/>
  <c r="X11" i="1"/>
  <c r="V11" i="1"/>
  <c r="N37" i="3" s="1"/>
  <c r="W11" i="1"/>
  <c r="O35" i="3" s="1"/>
  <c r="W7" i="1"/>
  <c r="O29" i="3" s="1"/>
  <c r="X7" i="1"/>
  <c r="V7" i="1"/>
  <c r="N30" i="3" s="1"/>
  <c r="W3" i="1"/>
  <c r="O3" i="3" s="1"/>
  <c r="X3" i="1"/>
  <c r="V3" i="1"/>
  <c r="N4" i="3" s="1"/>
  <c r="W37" i="1"/>
  <c r="O11" i="3" s="1"/>
  <c r="V37" i="1"/>
  <c r="X37" i="1"/>
  <c r="Y37" i="1" s="1"/>
  <c r="Q11" i="3" s="1"/>
  <c r="W29" i="1"/>
  <c r="V29" i="1"/>
  <c r="X29" i="1"/>
  <c r="Y29" i="1" s="1"/>
  <c r="W17" i="1"/>
  <c r="X17" i="1"/>
  <c r="V17" i="1"/>
  <c r="X9" i="1"/>
  <c r="W9" i="1"/>
  <c r="V9" i="1"/>
  <c r="V46" i="1"/>
  <c r="N62" i="3" s="1"/>
  <c r="W46" i="1"/>
  <c r="X46" i="1"/>
  <c r="X42" i="1"/>
  <c r="W42" i="1"/>
  <c r="V42" i="1"/>
  <c r="N46" i="3" s="1"/>
  <c r="X38" i="1"/>
  <c r="W38" i="1"/>
  <c r="V38" i="1"/>
  <c r="N28" i="3" s="1"/>
  <c r="X34" i="1"/>
  <c r="W34" i="1"/>
  <c r="V34" i="1"/>
  <c r="N5" i="3" s="1"/>
  <c r="X30" i="1"/>
  <c r="W30" i="1"/>
  <c r="V30" i="1"/>
  <c r="X26" i="1"/>
  <c r="W26" i="1"/>
  <c r="V26" i="1"/>
  <c r="N35" i="3" s="1"/>
  <c r="X22" i="1"/>
  <c r="W22" i="1"/>
  <c r="V22" i="1"/>
  <c r="N29" i="3" s="1"/>
  <c r="X18" i="1"/>
  <c r="W18" i="1"/>
  <c r="V18" i="1"/>
  <c r="X14" i="1"/>
  <c r="W14" i="1"/>
  <c r="O53" i="3" s="1"/>
  <c r="V14" i="1"/>
  <c r="N52" i="3" s="1"/>
  <c r="X10" i="1"/>
  <c r="V10" i="1"/>
  <c r="N43" i="3" s="1"/>
  <c r="W10" i="1"/>
  <c r="O44" i="3" s="1"/>
  <c r="X6" i="1"/>
  <c r="V6" i="1"/>
  <c r="N19" i="3" s="1"/>
  <c r="W6" i="1"/>
  <c r="W2" i="1"/>
  <c r="V2" i="1"/>
  <c r="B28" i="16" l="1"/>
  <c r="R15" i="13"/>
  <c r="R16" i="13"/>
  <c r="O17" i="13"/>
  <c r="O21" i="3"/>
  <c r="R12" i="13"/>
  <c r="R9" i="13"/>
  <c r="R13" i="13"/>
  <c r="R10" i="13"/>
  <c r="R8" i="13"/>
  <c r="R11" i="13"/>
  <c r="R6" i="13"/>
  <c r="O7" i="13"/>
  <c r="N6" i="3"/>
  <c r="N60" i="3"/>
  <c r="O14" i="13"/>
  <c r="M59" i="3"/>
  <c r="J59" i="3"/>
  <c r="M61" i="3"/>
  <c r="J61" i="3"/>
  <c r="M60" i="3"/>
  <c r="J60" i="3"/>
  <c r="M62" i="3"/>
  <c r="M53" i="3"/>
  <c r="J53" i="3"/>
  <c r="M54" i="3"/>
  <c r="J54" i="3"/>
  <c r="M52" i="3"/>
  <c r="J52" i="3"/>
  <c r="M51" i="3"/>
  <c r="M44" i="3"/>
  <c r="J44" i="3"/>
  <c r="M43" i="3"/>
  <c r="J43" i="3"/>
  <c r="M46" i="3"/>
  <c r="J46" i="3"/>
  <c r="M45" i="3"/>
  <c r="M35" i="3"/>
  <c r="J35" i="3"/>
  <c r="M37" i="3"/>
  <c r="J37" i="3"/>
  <c r="M36" i="3"/>
  <c r="J36" i="3"/>
  <c r="M38" i="3"/>
  <c r="M30" i="3"/>
  <c r="J30" i="3"/>
  <c r="M29" i="3"/>
  <c r="J29" i="3"/>
  <c r="M27" i="3"/>
  <c r="J27" i="3"/>
  <c r="M28" i="3"/>
  <c r="M21" i="3"/>
  <c r="J21" i="3"/>
  <c r="M22" i="3"/>
  <c r="J22" i="3"/>
  <c r="M20" i="3"/>
  <c r="J20" i="3"/>
  <c r="M19" i="3"/>
  <c r="M12" i="3"/>
  <c r="J12" i="3"/>
  <c r="M14" i="3"/>
  <c r="J14" i="3"/>
  <c r="M13" i="3"/>
  <c r="J13" i="3"/>
  <c r="M11" i="3"/>
  <c r="M3" i="3"/>
  <c r="J3" i="3"/>
  <c r="M6" i="3"/>
  <c r="J6" i="3"/>
  <c r="M5" i="3"/>
  <c r="J5" i="3"/>
  <c r="M4" i="3"/>
  <c r="J4" i="3"/>
  <c r="O52" i="3"/>
  <c r="N51" i="3"/>
  <c r="O22" i="3"/>
  <c r="N14" i="3"/>
  <c r="O38" i="3"/>
  <c r="Y18" i="1"/>
  <c r="P14" i="3"/>
  <c r="P5" i="3"/>
  <c r="Y34" i="1"/>
  <c r="Q4" i="3" s="1"/>
  <c r="P27" i="3"/>
  <c r="Y9" i="1"/>
  <c r="P11" i="3"/>
  <c r="Y4" i="1"/>
  <c r="N36" i="3"/>
  <c r="N59" i="3"/>
  <c r="P3" i="3"/>
  <c r="Y20" i="1"/>
  <c r="Q5" i="3" s="1"/>
  <c r="N44" i="3"/>
  <c r="P13" i="3"/>
  <c r="Y36" i="1"/>
  <c r="Q12" i="3" s="1"/>
  <c r="O46" i="3"/>
  <c r="P22" i="3"/>
  <c r="Y41" i="1"/>
  <c r="Q21" i="3" s="1"/>
  <c r="P54" i="3"/>
  <c r="Y49" i="1"/>
  <c r="Q52" i="3" s="1"/>
  <c r="P20" i="3"/>
  <c r="Y23" i="1"/>
  <c r="P59" i="3"/>
  <c r="Y16" i="1"/>
  <c r="Y10" i="1"/>
  <c r="Q44" i="3" s="1"/>
  <c r="P43" i="3"/>
  <c r="Y26" i="1"/>
  <c r="P35" i="3"/>
  <c r="Y42" i="1"/>
  <c r="Q43" i="3" s="1"/>
  <c r="P46" i="3"/>
  <c r="N27" i="3"/>
  <c r="P51" i="3"/>
  <c r="Y17" i="1"/>
  <c r="O37" i="3"/>
  <c r="P30" i="3"/>
  <c r="Y7" i="1"/>
  <c r="Q29" i="3" s="1"/>
  <c r="P37" i="3"/>
  <c r="Y11" i="1"/>
  <c r="Q35" i="3" s="1"/>
  <c r="N20" i="3"/>
  <c r="P12" i="3"/>
  <c r="Y5" i="1"/>
  <c r="Q14" i="3" s="1"/>
  <c r="O61" i="3"/>
  <c r="N11" i="3"/>
  <c r="Y12" i="1"/>
  <c r="P36" i="3"/>
  <c r="O30" i="3"/>
  <c r="Y28" i="1"/>
  <c r="P44" i="3"/>
  <c r="P38" i="3"/>
  <c r="Y44" i="1"/>
  <c r="Q37" i="3" s="1"/>
  <c r="N45" i="3"/>
  <c r="P6" i="3"/>
  <c r="Y14" i="1"/>
  <c r="Q53" i="3" s="1"/>
  <c r="P52" i="3"/>
  <c r="Y30" i="1"/>
  <c r="P53" i="3"/>
  <c r="O43" i="3"/>
  <c r="P60" i="3"/>
  <c r="Y31" i="1"/>
  <c r="P19" i="3"/>
  <c r="R19" i="3" s="1"/>
  <c r="Y6" i="1"/>
  <c r="Y22" i="1"/>
  <c r="P29" i="3"/>
  <c r="N53" i="3"/>
  <c r="P28" i="3"/>
  <c r="Y38" i="1"/>
  <c r="Q30" i="3" s="1"/>
  <c r="P62" i="3"/>
  <c r="Y46" i="1"/>
  <c r="Q61" i="3" s="1"/>
  <c r="O28" i="3"/>
  <c r="O54" i="3"/>
  <c r="Y3" i="1"/>
  <c r="Q3" i="3" s="1"/>
  <c r="P4" i="3"/>
  <c r="Y15" i="1"/>
  <c r="Q60" i="3" s="1"/>
  <c r="P61" i="3"/>
  <c r="O13" i="3"/>
  <c r="P21" i="3"/>
  <c r="Y8" i="1"/>
  <c r="Q20" i="3" s="1"/>
  <c r="O62" i="3"/>
  <c r="P45" i="3"/>
  <c r="Y13" i="1"/>
  <c r="O4" i="3"/>
  <c r="N3" i="3"/>
  <c r="O5" i="3"/>
  <c r="R17" i="13" l="1"/>
  <c r="Y50" i="1"/>
  <c r="R14" i="13"/>
  <c r="R7" i="13"/>
  <c r="R6" i="3"/>
  <c r="R60" i="3"/>
  <c r="Q38" i="3"/>
  <c r="R38" i="3" s="1"/>
  <c r="R51" i="3"/>
  <c r="Q13" i="3"/>
  <c r="R13" i="3" s="1"/>
  <c r="Q46" i="3"/>
  <c r="R46" i="3" s="1"/>
  <c r="Q22" i="3"/>
  <c r="R22" i="3" s="1"/>
  <c r="R36" i="3"/>
  <c r="R27" i="3"/>
  <c r="R61" i="3"/>
  <c r="R45" i="3"/>
  <c r="R35" i="3"/>
  <c r="R20" i="3"/>
  <c r="R59" i="3"/>
  <c r="R11" i="3"/>
  <c r="R12" i="3"/>
  <c r="R5" i="3"/>
  <c r="Q28" i="3"/>
  <c r="R28" i="3" s="1"/>
  <c r="R37" i="3"/>
  <c r="R3" i="3"/>
  <c r="R53" i="3"/>
  <c r="R43" i="3"/>
  <c r="Q54" i="3"/>
  <c r="R54" i="3" s="1"/>
  <c r="R44" i="3"/>
  <c r="R14" i="3"/>
  <c r="R29" i="3"/>
  <c r="R21" i="3"/>
  <c r="R52" i="3"/>
  <c r="R30" i="3"/>
  <c r="R4" i="3"/>
  <c r="Q62" i="3"/>
  <c r="R62" i="3" s="1"/>
  <c r="A3" i="4" l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I60" i="6" s="1"/>
  <c r="H261" i="6" l="1"/>
  <c r="H413" i="6"/>
  <c r="H62" i="6"/>
  <c r="H277" i="6"/>
  <c r="H197" i="6"/>
  <c r="H161" i="6"/>
  <c r="H459" i="6"/>
  <c r="H485" i="6"/>
  <c r="H388" i="6"/>
  <c r="H198" i="6"/>
  <c r="H11" i="6"/>
  <c r="H189" i="6"/>
  <c r="I461" i="6"/>
  <c r="H200" i="6"/>
  <c r="H21" i="6"/>
  <c r="H410" i="6"/>
  <c r="H178" i="6"/>
  <c r="H73" i="6"/>
  <c r="H163" i="6"/>
  <c r="H234" i="6"/>
  <c r="H113" i="6"/>
  <c r="H503" i="6"/>
  <c r="H208" i="6"/>
  <c r="H349" i="6"/>
  <c r="H74" i="6"/>
  <c r="H286" i="6"/>
  <c r="H144" i="6"/>
  <c r="H416" i="6"/>
  <c r="H117" i="6"/>
  <c r="H312" i="6"/>
  <c r="H268" i="6"/>
  <c r="H213" i="6"/>
  <c r="H93" i="6"/>
  <c r="H165" i="6"/>
  <c r="H497" i="6"/>
  <c r="H460" i="6"/>
  <c r="H216" i="6"/>
  <c r="H191" i="6"/>
  <c r="H443" i="6"/>
  <c r="H496" i="6"/>
  <c r="H207" i="6"/>
  <c r="H195" i="6"/>
  <c r="H511" i="6"/>
  <c r="H330" i="6"/>
  <c r="H19" i="6"/>
  <c r="H67" i="6"/>
  <c r="H76" i="6"/>
  <c r="H481" i="6"/>
  <c r="H490" i="6"/>
  <c r="H22" i="6"/>
  <c r="H492" i="6"/>
  <c r="I491" i="6"/>
  <c r="I441" i="6"/>
  <c r="I355" i="6"/>
  <c r="I216" i="6"/>
  <c r="H309" i="6"/>
  <c r="H518" i="6"/>
  <c r="H242" i="6"/>
  <c r="H14" i="6"/>
  <c r="H53" i="6"/>
  <c r="H475" i="6"/>
  <c r="H495" i="6"/>
  <c r="H95" i="6"/>
  <c r="H507" i="6"/>
  <c r="H126" i="6"/>
  <c r="H355" i="6"/>
  <c r="H464" i="6"/>
  <c r="H5" i="6"/>
  <c r="I395" i="6"/>
  <c r="H87" i="6"/>
  <c r="H273" i="6"/>
  <c r="H414" i="6"/>
  <c r="H386" i="6"/>
  <c r="H101" i="6"/>
  <c r="H317" i="6"/>
  <c r="H240" i="6"/>
  <c r="H465" i="6"/>
  <c r="H271" i="6"/>
  <c r="H60" i="6"/>
  <c r="H322" i="6"/>
  <c r="H318" i="6"/>
  <c r="H516" i="6"/>
  <c r="H390" i="6"/>
  <c r="H199" i="6"/>
  <c r="H391" i="6"/>
  <c r="H397" i="6"/>
  <c r="H90" i="6"/>
  <c r="H403" i="6"/>
  <c r="H65" i="6"/>
  <c r="H89" i="6"/>
  <c r="H182" i="6"/>
  <c r="H331" i="6"/>
  <c r="H262" i="6"/>
  <c r="H283" i="6"/>
  <c r="H70" i="6"/>
  <c r="H170" i="6"/>
  <c r="H351" i="6"/>
  <c r="H88" i="6"/>
  <c r="H143" i="6"/>
  <c r="H393" i="6"/>
  <c r="H202" i="6"/>
  <c r="H94" i="6"/>
  <c r="H71" i="6"/>
  <c r="H319" i="6"/>
  <c r="H26" i="6"/>
  <c r="H193" i="6"/>
  <c r="H353" i="6"/>
  <c r="H175" i="6"/>
  <c r="I483" i="6"/>
  <c r="I415" i="6"/>
  <c r="I323" i="6"/>
  <c r="I196" i="6"/>
  <c r="H499" i="6"/>
  <c r="H468" i="6"/>
  <c r="H181" i="6"/>
  <c r="H201" i="6"/>
  <c r="H23" i="6"/>
  <c r="H116" i="6"/>
  <c r="H285" i="6"/>
  <c r="H110" i="6"/>
  <c r="H445" i="6"/>
  <c r="H179" i="6"/>
  <c r="H61" i="6"/>
  <c r="H407" i="6"/>
  <c r="H515" i="6"/>
  <c r="I503" i="6"/>
  <c r="I271" i="6"/>
  <c r="H272" i="6"/>
  <c r="H392" i="6"/>
  <c r="H301" i="6"/>
  <c r="H325" i="6"/>
  <c r="H125" i="6"/>
  <c r="H158" i="6"/>
  <c r="H396" i="6"/>
  <c r="H315" i="6"/>
  <c r="H10" i="6"/>
  <c r="H514" i="6"/>
  <c r="H415" i="6"/>
  <c r="H510" i="6"/>
  <c r="H176" i="6"/>
  <c r="H274" i="6"/>
  <c r="H477" i="6"/>
  <c r="H118" i="6"/>
  <c r="H25" i="6"/>
  <c r="H354" i="6"/>
  <c r="H314" i="6"/>
  <c r="H18" i="6"/>
  <c r="H128" i="6"/>
  <c r="H350" i="6"/>
  <c r="H237" i="6"/>
  <c r="H6" i="6"/>
  <c r="H159" i="6"/>
  <c r="H509" i="6"/>
  <c r="H12" i="6"/>
  <c r="H405" i="6"/>
  <c r="H394" i="6"/>
  <c r="H238" i="6"/>
  <c r="H329" i="6"/>
  <c r="H114" i="6"/>
  <c r="H3" i="6"/>
  <c r="H467" i="6"/>
  <c r="H387" i="6"/>
  <c r="H308" i="6"/>
  <c r="H96" i="6"/>
  <c r="H389" i="6"/>
  <c r="I511" i="6"/>
  <c r="I475" i="6"/>
  <c r="I407" i="6"/>
  <c r="I303" i="6"/>
  <c r="I157" i="6"/>
  <c r="H461" i="6"/>
  <c r="H236" i="6"/>
  <c r="H252" i="6"/>
  <c r="H347" i="6"/>
  <c r="H446" i="6"/>
  <c r="H164" i="6"/>
  <c r="H491" i="6"/>
  <c r="H512" i="6"/>
  <c r="H310" i="6"/>
  <c r="H212" i="6"/>
  <c r="H398" i="6"/>
  <c r="H417" i="6"/>
  <c r="H194" i="6"/>
  <c r="H420" i="6"/>
  <c r="H284" i="6"/>
  <c r="H484" i="6"/>
  <c r="H13" i="6"/>
  <c r="H418" i="6"/>
  <c r="H162" i="6"/>
  <c r="H480" i="6"/>
  <c r="H458" i="6"/>
  <c r="H148" i="6"/>
  <c r="H167" i="6"/>
  <c r="H210" i="6"/>
  <c r="H211" i="6"/>
  <c r="H24" i="6"/>
  <c r="H91" i="6"/>
  <c r="H169" i="6"/>
  <c r="H166" i="6"/>
  <c r="H42" i="6"/>
  <c r="H115" i="6"/>
  <c r="H63" i="6"/>
  <c r="H127" i="6"/>
  <c r="H303" i="6"/>
  <c r="H16" i="6"/>
  <c r="H214" i="6"/>
  <c r="H476" i="6"/>
  <c r="H270" i="6"/>
  <c r="H440" i="6"/>
  <c r="H505" i="6"/>
  <c r="H59" i="6"/>
  <c r="I517" i="6"/>
  <c r="I509" i="6"/>
  <c r="I499" i="6"/>
  <c r="I489" i="6"/>
  <c r="I481" i="6"/>
  <c r="I467" i="6"/>
  <c r="I459" i="6"/>
  <c r="I439" i="6"/>
  <c r="I413" i="6"/>
  <c r="I405" i="6"/>
  <c r="I393" i="6"/>
  <c r="I351" i="6"/>
  <c r="I319" i="6"/>
  <c r="I287" i="6"/>
  <c r="I252" i="6"/>
  <c r="I212" i="6"/>
  <c r="I192" i="6"/>
  <c r="I125" i="6"/>
  <c r="H168" i="6"/>
  <c r="H486" i="6"/>
  <c r="H321" i="6"/>
  <c r="H508" i="6"/>
  <c r="H479" i="6"/>
  <c r="H326" i="6"/>
  <c r="H441" i="6"/>
  <c r="H206" i="6"/>
  <c r="H276" i="6"/>
  <c r="H192" i="6"/>
  <c r="H75" i="6"/>
  <c r="H160" i="6"/>
  <c r="H504" i="6"/>
  <c r="H20" i="6"/>
  <c r="H395" i="6"/>
  <c r="H217" i="6"/>
  <c r="H488" i="6"/>
  <c r="H402" i="6"/>
  <c r="H241" i="6"/>
  <c r="H406" i="6"/>
  <c r="H180" i="6"/>
  <c r="H483" i="6"/>
  <c r="H190" i="6"/>
  <c r="H489" i="6"/>
  <c r="H323" i="6"/>
  <c r="H348" i="6"/>
  <c r="H412" i="6"/>
  <c r="H409" i="6"/>
  <c r="H498" i="6"/>
  <c r="H517" i="6"/>
  <c r="H482" i="6"/>
  <c r="H324" i="6"/>
  <c r="H494" i="6"/>
  <c r="H466" i="6"/>
  <c r="H92" i="6"/>
  <c r="H311" i="6"/>
  <c r="H282" i="6"/>
  <c r="H183" i="6"/>
  <c r="H9" i="6"/>
  <c r="I515" i="6"/>
  <c r="I507" i="6"/>
  <c r="I497" i="6"/>
  <c r="I487" i="6"/>
  <c r="I479" i="6"/>
  <c r="I465" i="6"/>
  <c r="I445" i="6"/>
  <c r="I419" i="6"/>
  <c r="I411" i="6"/>
  <c r="I403" i="6"/>
  <c r="I391" i="6"/>
  <c r="I347" i="6"/>
  <c r="I315" i="6"/>
  <c r="I283" i="6"/>
  <c r="I240" i="6"/>
  <c r="I208" i="6"/>
  <c r="I181" i="6"/>
  <c r="I116" i="6"/>
  <c r="H68" i="6"/>
  <c r="H52" i="6"/>
  <c r="H69" i="6"/>
  <c r="H15" i="6"/>
  <c r="H316" i="6"/>
  <c r="H218" i="6"/>
  <c r="H253" i="6"/>
  <c r="H462" i="6"/>
  <c r="H487" i="6"/>
  <c r="H239" i="6"/>
  <c r="H444" i="6"/>
  <c r="H64" i="6"/>
  <c r="H209" i="6"/>
  <c r="H269" i="6"/>
  <c r="H17" i="6"/>
  <c r="H215" i="6"/>
  <c r="H111" i="6"/>
  <c r="H478" i="6"/>
  <c r="H112" i="6"/>
  <c r="H287" i="6"/>
  <c r="H419" i="6"/>
  <c r="H300" i="6"/>
  <c r="H411" i="6"/>
  <c r="H177" i="6"/>
  <c r="H439" i="6"/>
  <c r="H513" i="6"/>
  <c r="H404" i="6"/>
  <c r="H463" i="6"/>
  <c r="H233" i="6"/>
  <c r="H352" i="6"/>
  <c r="H124" i="6"/>
  <c r="H275" i="6"/>
  <c r="H196" i="6"/>
  <c r="H304" i="6"/>
  <c r="H320" i="6"/>
  <c r="H235" i="6"/>
  <c r="H313" i="6"/>
  <c r="H157" i="6"/>
  <c r="H442" i="6"/>
  <c r="H506" i="6"/>
  <c r="H66" i="6"/>
  <c r="I513" i="6"/>
  <c r="I505" i="6"/>
  <c r="I495" i="6"/>
  <c r="I485" i="6"/>
  <c r="I477" i="6"/>
  <c r="I463" i="6"/>
  <c r="I443" i="6"/>
  <c r="I417" i="6"/>
  <c r="I409" i="6"/>
  <c r="I397" i="6"/>
  <c r="I387" i="6"/>
  <c r="I331" i="6"/>
  <c r="I311" i="6"/>
  <c r="I275" i="6"/>
  <c r="I236" i="6"/>
  <c r="I200" i="6"/>
  <c r="I165" i="6"/>
  <c r="I92" i="6"/>
  <c r="I76" i="6"/>
  <c r="I68" i="6"/>
  <c r="I516" i="6"/>
  <c r="I512" i="6"/>
  <c r="I508" i="6"/>
  <c r="I504" i="6"/>
  <c r="I496" i="6"/>
  <c r="I492" i="6"/>
  <c r="I488" i="6"/>
  <c r="I484" i="6"/>
  <c r="I480" i="6"/>
  <c r="I476" i="6"/>
  <c r="I468" i="6"/>
  <c r="I464" i="6"/>
  <c r="I460" i="6"/>
  <c r="I444" i="6"/>
  <c r="I440" i="6"/>
  <c r="I420" i="6"/>
  <c r="I416" i="6"/>
  <c r="I412" i="6"/>
  <c r="I404" i="6"/>
  <c r="I396" i="6"/>
  <c r="I392" i="6"/>
  <c r="I388" i="6"/>
  <c r="I352" i="6"/>
  <c r="I348" i="6"/>
  <c r="I324" i="6"/>
  <c r="I320" i="6"/>
  <c r="I316" i="6"/>
  <c r="I312" i="6"/>
  <c r="I308" i="6"/>
  <c r="I304" i="6"/>
  <c r="I300" i="6"/>
  <c r="I284" i="6"/>
  <c r="I276" i="6"/>
  <c r="I272" i="6"/>
  <c r="I268" i="6"/>
  <c r="I261" i="6"/>
  <c r="I253" i="6"/>
  <c r="I241" i="6"/>
  <c r="I237" i="6"/>
  <c r="I233" i="6"/>
  <c r="I217" i="6"/>
  <c r="I213" i="6"/>
  <c r="I209" i="6"/>
  <c r="I201" i="6"/>
  <c r="I197" i="6"/>
  <c r="I193" i="6"/>
  <c r="I189" i="6"/>
  <c r="I175" i="6"/>
  <c r="I167" i="6"/>
  <c r="I159" i="6"/>
  <c r="I143" i="6"/>
  <c r="I127" i="6"/>
  <c r="I118" i="6"/>
  <c r="I110" i="6"/>
  <c r="I94" i="6"/>
  <c r="I70" i="6"/>
  <c r="I62" i="6"/>
  <c r="A417" i="4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I103" i="6" s="1"/>
  <c r="I182" i="6"/>
  <c r="I12" i="6"/>
  <c r="I16" i="6"/>
  <c r="I20" i="6"/>
  <c r="I24" i="6"/>
  <c r="I5" i="6"/>
  <c r="I9" i="6"/>
  <c r="I13" i="6"/>
  <c r="I17" i="6"/>
  <c r="I21" i="6"/>
  <c r="I25" i="6"/>
  <c r="I59" i="6"/>
  <c r="I63" i="6"/>
  <c r="I67" i="6"/>
  <c r="I71" i="6"/>
  <c r="I75" i="6"/>
  <c r="I87" i="6"/>
  <c r="I91" i="6"/>
  <c r="I95" i="6"/>
  <c r="I111" i="6"/>
  <c r="I115" i="6"/>
  <c r="I124" i="6"/>
  <c r="I128" i="6"/>
  <c r="I144" i="6"/>
  <c r="I148" i="6"/>
  <c r="I160" i="6"/>
  <c r="I164" i="6"/>
  <c r="I168" i="6"/>
  <c r="I176" i="6"/>
  <c r="I180" i="6"/>
  <c r="I6" i="6"/>
  <c r="I10" i="6"/>
  <c r="I14" i="6"/>
  <c r="I18" i="6"/>
  <c r="I22" i="6"/>
  <c r="I26" i="6"/>
  <c r="I52" i="6"/>
  <c r="I3" i="6"/>
  <c r="I11" i="6"/>
  <c r="I15" i="6"/>
  <c r="I19" i="6"/>
  <c r="I23" i="6"/>
  <c r="I53" i="6"/>
  <c r="I61" i="6"/>
  <c r="I65" i="6"/>
  <c r="I69" i="6"/>
  <c r="I73" i="6"/>
  <c r="I89" i="6"/>
  <c r="I93" i="6"/>
  <c r="I101" i="6"/>
  <c r="I113" i="6"/>
  <c r="I117" i="6"/>
  <c r="I126" i="6"/>
  <c r="I158" i="6"/>
  <c r="I162" i="6"/>
  <c r="I166" i="6"/>
  <c r="I170" i="6"/>
  <c r="I178" i="6"/>
  <c r="I183" i="6"/>
  <c r="I518" i="6"/>
  <c r="I514" i="6"/>
  <c r="I510" i="6"/>
  <c r="I506" i="6"/>
  <c r="I498" i="6"/>
  <c r="I494" i="6"/>
  <c r="I490" i="6"/>
  <c r="I486" i="6"/>
  <c r="I482" i="6"/>
  <c r="I478" i="6"/>
  <c r="I466" i="6"/>
  <c r="I462" i="6"/>
  <c r="I458" i="6"/>
  <c r="I446" i="6"/>
  <c r="I442" i="6"/>
  <c r="I418" i="6"/>
  <c r="I414" i="6"/>
  <c r="I410" i="6"/>
  <c r="I406" i="6"/>
  <c r="I402" i="6"/>
  <c r="I398" i="6"/>
  <c r="I394" i="6"/>
  <c r="I390" i="6"/>
  <c r="I386" i="6"/>
  <c r="I378" i="6"/>
  <c r="I354" i="6"/>
  <c r="I350" i="6"/>
  <c r="I330" i="6"/>
  <c r="I326" i="6"/>
  <c r="I322" i="6"/>
  <c r="I318" i="6"/>
  <c r="I314" i="6"/>
  <c r="I310" i="6"/>
  <c r="I286" i="6"/>
  <c r="I282" i="6"/>
  <c r="I274" i="6"/>
  <c r="I270" i="6"/>
  <c r="I239" i="6"/>
  <c r="I235" i="6"/>
  <c r="I227" i="6"/>
  <c r="I215" i="6"/>
  <c r="I211" i="6"/>
  <c r="I207" i="6"/>
  <c r="I199" i="6"/>
  <c r="I195" i="6"/>
  <c r="I191" i="6"/>
  <c r="I179" i="6"/>
  <c r="I163" i="6"/>
  <c r="I114" i="6"/>
  <c r="I90" i="6"/>
  <c r="I74" i="6"/>
  <c r="I66" i="6"/>
  <c r="I58" i="6"/>
  <c r="I389" i="6"/>
  <c r="I377" i="6"/>
  <c r="I353" i="6"/>
  <c r="I349" i="6"/>
  <c r="I341" i="6"/>
  <c r="I329" i="6"/>
  <c r="I325" i="6"/>
  <c r="I321" i="6"/>
  <c r="I317" i="6"/>
  <c r="I313" i="6"/>
  <c r="I309" i="6"/>
  <c r="I301" i="6"/>
  <c r="I293" i="6"/>
  <c r="I285" i="6"/>
  <c r="I277" i="6"/>
  <c r="I273" i="6"/>
  <c r="I269" i="6"/>
  <c r="I262" i="6"/>
  <c r="I258" i="6"/>
  <c r="I242" i="6"/>
  <c r="I238" i="6"/>
  <c r="I234" i="6"/>
  <c r="I218" i="6"/>
  <c r="I214" i="6"/>
  <c r="I210" i="6"/>
  <c r="I206" i="6"/>
  <c r="I202" i="6"/>
  <c r="I198" i="6"/>
  <c r="I194" i="6"/>
  <c r="I190" i="6"/>
  <c r="I186" i="6"/>
  <c r="I177" i="6"/>
  <c r="I169" i="6"/>
  <c r="I161" i="6"/>
  <c r="I153" i="6"/>
  <c r="I112" i="6"/>
  <c r="I96" i="6"/>
  <c r="I88" i="6"/>
  <c r="I72" i="6"/>
  <c r="I64" i="6"/>
  <c r="I56" i="6"/>
  <c r="I42" i="6"/>
  <c r="I131" i="6" l="1"/>
  <c r="I247" i="6"/>
  <c r="I106" i="6"/>
  <c r="I302" i="6"/>
  <c r="I426" i="6"/>
  <c r="I104" i="6"/>
  <c r="I230" i="6"/>
  <c r="I246" i="6"/>
  <c r="I289" i="6"/>
  <c r="I305" i="6"/>
  <c r="I345" i="6"/>
  <c r="I381" i="6"/>
  <c r="I171" i="6"/>
  <c r="I45" i="6"/>
  <c r="I55" i="6"/>
  <c r="I129" i="6"/>
  <c r="I281" i="6"/>
  <c r="I297" i="6"/>
  <c r="I46" i="6"/>
  <c r="I155" i="6"/>
  <c r="I187" i="6"/>
  <c r="I231" i="6"/>
  <c r="I259" i="6"/>
  <c r="I342" i="6"/>
  <c r="I152" i="6"/>
  <c r="I290" i="6"/>
  <c r="I306" i="6"/>
  <c r="I346" i="6"/>
  <c r="I382" i="6"/>
  <c r="I430" i="6"/>
  <c r="I450" i="6"/>
  <c r="I174" i="6"/>
  <c r="I27" i="6"/>
  <c r="I294" i="6"/>
  <c r="I434" i="6"/>
  <c r="I454" i="6"/>
  <c r="I470" i="6"/>
  <c r="I502" i="6"/>
  <c r="I150" i="6"/>
  <c r="I185" i="6"/>
  <c r="I298" i="6"/>
  <c r="I422" i="6"/>
  <c r="I474" i="6"/>
  <c r="I142" i="6"/>
  <c r="I109" i="6"/>
  <c r="H105" i="6"/>
  <c r="I154" i="6"/>
  <c r="I105" i="6"/>
  <c r="I57" i="6"/>
  <c r="I7" i="6"/>
  <c r="I2" i="6"/>
  <c r="I132" i="6"/>
  <c r="I51" i="6"/>
  <c r="I28" i="6"/>
  <c r="I151" i="6"/>
  <c r="I184" i="6"/>
  <c r="I249" i="6"/>
  <c r="I380" i="6"/>
  <c r="I428" i="6"/>
  <c r="I48" i="6"/>
  <c r="I30" i="6"/>
  <c r="I47" i="6"/>
  <c r="I29" i="6"/>
  <c r="I8" i="6"/>
  <c r="I288" i="6"/>
  <c r="I400" i="6"/>
  <c r="I432" i="6"/>
  <c r="I448" i="6"/>
  <c r="I130" i="6"/>
  <c r="I49" i="6"/>
  <c r="I44" i="6"/>
  <c r="I172" i="6"/>
  <c r="I156" i="6"/>
  <c r="I107" i="6"/>
  <c r="I43" i="6"/>
  <c r="I4" i="6"/>
  <c r="I257" i="6"/>
  <c r="I292" i="6"/>
  <c r="I340" i="6"/>
  <c r="I452" i="6"/>
  <c r="I500" i="6"/>
  <c r="A625" i="4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H368" i="6" s="1"/>
  <c r="I401" i="6"/>
  <c r="I421" i="6"/>
  <c r="I425" i="6"/>
  <c r="I429" i="6"/>
  <c r="I433" i="6"/>
  <c r="I449" i="6"/>
  <c r="I453" i="6"/>
  <c r="I457" i="6"/>
  <c r="I469" i="6"/>
  <c r="I473" i="6"/>
  <c r="I493" i="6"/>
  <c r="I501" i="6"/>
  <c r="H149" i="6"/>
  <c r="H2" i="6"/>
  <c r="H248" i="6"/>
  <c r="H401" i="6"/>
  <c r="H344" i="6"/>
  <c r="H426" i="6"/>
  <c r="H58" i="6"/>
  <c r="H295" i="6"/>
  <c r="H383" i="6"/>
  <c r="H431" i="6"/>
  <c r="H377" i="6"/>
  <c r="H423" i="6"/>
  <c r="H104" i="6"/>
  <c r="H447" i="6"/>
  <c r="H471" i="6"/>
  <c r="H232" i="6"/>
  <c r="H47" i="6"/>
  <c r="H449" i="6"/>
  <c r="H230" i="6"/>
  <c r="H258" i="6"/>
  <c r="H152" i="6"/>
  <c r="H294" i="6"/>
  <c r="H231" i="6"/>
  <c r="H174" i="6"/>
  <c r="H172" i="6"/>
  <c r="H452" i="6"/>
  <c r="H257" i="6"/>
  <c r="H56" i="6"/>
  <c r="H457" i="6"/>
  <c r="H501" i="6"/>
  <c r="H346" i="6"/>
  <c r="H156" i="6"/>
  <c r="H50" i="6"/>
  <c r="H43" i="6"/>
  <c r="H307" i="6"/>
  <c r="H187" i="6"/>
  <c r="H129" i="6"/>
  <c r="H427" i="6"/>
  <c r="H435" i="6"/>
  <c r="H297" i="6"/>
  <c r="H229" i="6"/>
  <c r="H48" i="6"/>
  <c r="H453" i="6"/>
  <c r="H288" i="6"/>
  <c r="H455" i="6"/>
  <c r="H292" i="6"/>
  <c r="H382" i="6"/>
  <c r="H502" i="6"/>
  <c r="H154" i="6"/>
  <c r="H49" i="6"/>
  <c r="H7" i="6"/>
  <c r="H450" i="6"/>
  <c r="H379" i="6"/>
  <c r="H380" i="6"/>
  <c r="H81" i="6"/>
  <c r="H150" i="6"/>
  <c r="H153" i="6"/>
  <c r="H141" i="6"/>
  <c r="H370" i="6"/>
  <c r="H456" i="6"/>
  <c r="H289" i="6"/>
  <c r="H130" i="6"/>
  <c r="H184" i="6"/>
  <c r="H473" i="6"/>
  <c r="H203" i="6"/>
  <c r="H46" i="6"/>
  <c r="H103" i="6"/>
  <c r="H108" i="6"/>
  <c r="H448" i="6"/>
  <c r="H374" i="6"/>
  <c r="H72" i="6"/>
  <c r="H375" i="6"/>
  <c r="H246" i="6"/>
  <c r="H451" i="6"/>
  <c r="H151" i="6"/>
  <c r="H422" i="6"/>
  <c r="H247" i="6"/>
  <c r="H281" i="6"/>
  <c r="H188" i="6"/>
  <c r="H109" i="6"/>
  <c r="H120" i="6"/>
  <c r="H429" i="6"/>
  <c r="H436" i="6"/>
  <c r="H82" i="6"/>
  <c r="H291" i="6"/>
  <c r="H55" i="6"/>
  <c r="H293" i="6"/>
  <c r="H430" i="6"/>
  <c r="H500" i="6"/>
  <c r="H328" i="6"/>
  <c r="H399" i="6"/>
  <c r="H80" i="6"/>
  <c r="H363" i="6"/>
  <c r="H428" i="6"/>
  <c r="H424" i="6"/>
  <c r="H100" i="6"/>
  <c r="H400" i="6"/>
  <c r="I50" i="6"/>
  <c r="I84" i="6"/>
  <c r="I100" i="6"/>
  <c r="I108" i="6"/>
  <c r="I133" i="6"/>
  <c r="I141" i="6"/>
  <c r="I149" i="6"/>
  <c r="I173" i="6"/>
  <c r="I188" i="6"/>
  <c r="I204" i="6"/>
  <c r="I220" i="6"/>
  <c r="I224" i="6"/>
  <c r="I228" i="6"/>
  <c r="I232" i="6"/>
  <c r="I244" i="6"/>
  <c r="I248" i="6"/>
  <c r="I256" i="6"/>
  <c r="I260" i="6"/>
  <c r="I291" i="6"/>
  <c r="I295" i="6"/>
  <c r="I299" i="6"/>
  <c r="I307" i="6"/>
  <c r="I327" i="6"/>
  <c r="I343" i="6"/>
  <c r="I359" i="6"/>
  <c r="I363" i="6"/>
  <c r="I367" i="6"/>
  <c r="I371" i="6"/>
  <c r="I375" i="6"/>
  <c r="I379" i="6"/>
  <c r="I383" i="6"/>
  <c r="I399" i="6"/>
  <c r="I423" i="6"/>
  <c r="I427" i="6"/>
  <c r="I431" i="6"/>
  <c r="I435" i="6"/>
  <c r="I447" i="6"/>
  <c r="I451" i="6"/>
  <c r="I455" i="6"/>
  <c r="I471" i="6"/>
  <c r="H84" i="6"/>
  <c r="H77" i="6"/>
  <c r="H438" i="6"/>
  <c r="H341" i="6"/>
  <c r="H356" i="6"/>
  <c r="H83" i="6"/>
  <c r="H367" i="6"/>
  <c r="H474" i="6"/>
  <c r="H290" i="6"/>
  <c r="H244" i="6"/>
  <c r="H249" i="6"/>
  <c r="H140" i="6"/>
  <c r="H173" i="6"/>
  <c r="H243" i="6"/>
  <c r="H8" i="6"/>
  <c r="H134" i="6"/>
  <c r="H298" i="6"/>
  <c r="H4" i="6"/>
  <c r="H137" i="6"/>
  <c r="H45" i="6"/>
  <c r="H57" i="6"/>
  <c r="H171" i="6"/>
  <c r="H378" i="6"/>
  <c r="H305" i="6"/>
  <c r="H366" i="6"/>
  <c r="H381" i="6"/>
  <c r="H454" i="6"/>
  <c r="H98" i="6"/>
  <c r="H29" i="6"/>
  <c r="H362" i="6"/>
  <c r="H434" i="6"/>
  <c r="H99" i="6"/>
  <c r="H225" i="6"/>
  <c r="H306" i="6"/>
  <c r="H138" i="6"/>
  <c r="H421" i="6"/>
  <c r="H373" i="6"/>
  <c r="H376" i="6"/>
  <c r="H107" i="6"/>
  <c r="H345" i="6"/>
  <c r="H302" i="6"/>
  <c r="H343" i="6"/>
  <c r="H432" i="6"/>
  <c r="H437" i="6"/>
  <c r="H228" i="6"/>
  <c r="H32" i="6"/>
  <c r="H132" i="6"/>
  <c r="H131" i="6"/>
  <c r="H135" i="6"/>
  <c r="H205" i="6"/>
  <c r="H365" i="6"/>
  <c r="H433" i="6"/>
  <c r="H360" i="6"/>
  <c r="H340" i="6"/>
  <c r="H51" i="6"/>
  <c r="H185" i="6"/>
  <c r="H97" i="6"/>
  <c r="H245" i="6"/>
  <c r="H299" i="6"/>
  <c r="H493" i="6"/>
  <c r="H259" i="6"/>
  <c r="H155" i="6"/>
  <c r="H260" i="6"/>
  <c r="H425" i="6"/>
  <c r="H133" i="6"/>
  <c r="H469" i="6"/>
  <c r="H142" i="6"/>
  <c r="H296" i="6"/>
  <c r="H186" i="6"/>
  <c r="H227" i="6"/>
  <c r="H30" i="6"/>
  <c r="H106" i="6"/>
  <c r="H139" i="6"/>
  <c r="H255" i="6"/>
  <c r="H342" i="6"/>
  <c r="H44" i="6"/>
  <c r="H358" i="6"/>
  <c r="H28" i="6"/>
  <c r="H472" i="6"/>
  <c r="H408" i="6"/>
  <c r="H27" i="6"/>
  <c r="H470" i="6"/>
  <c r="I78" i="6"/>
  <c r="I229" i="6"/>
  <c r="I245" i="6"/>
  <c r="I296" i="6"/>
  <c r="I328" i="6"/>
  <c r="I344" i="6"/>
  <c r="I360" i="6"/>
  <c r="I376" i="6"/>
  <c r="I408" i="6"/>
  <c r="I424" i="6"/>
  <c r="I456" i="6"/>
  <c r="I472" i="6"/>
  <c r="H372" i="6"/>
  <c r="H219" i="6" l="1"/>
  <c r="H220" i="6"/>
  <c r="H121" i="6"/>
  <c r="H226" i="6"/>
  <c r="H78" i="6"/>
  <c r="H224" i="6"/>
  <c r="H85" i="6"/>
  <c r="H204" i="6"/>
  <c r="H256" i="6"/>
  <c r="I356" i="6"/>
  <c r="I225" i="6"/>
  <c r="I140" i="6"/>
  <c r="I81" i="6"/>
  <c r="H371" i="6"/>
  <c r="H136" i="6"/>
  <c r="A729" i="4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H146" i="6" s="1"/>
  <c r="I32" i="6"/>
  <c r="I119" i="6"/>
  <c r="I136" i="6"/>
  <c r="I77" i="6"/>
  <c r="H79" i="6"/>
  <c r="I370" i="6"/>
  <c r="I255" i="6"/>
  <c r="I222" i="6"/>
  <c r="I366" i="6"/>
  <c r="I219" i="6"/>
  <c r="I203" i="6"/>
  <c r="I365" i="6"/>
  <c r="I120" i="6"/>
  <c r="I80" i="6"/>
  <c r="I369" i="6"/>
  <c r="I254" i="6"/>
  <c r="I85" i="6"/>
  <c r="I134" i="6"/>
  <c r="H31" i="6"/>
  <c r="I362" i="6"/>
  <c r="I82" i="6"/>
  <c r="I361" i="6"/>
  <c r="I438" i="6"/>
  <c r="I374" i="6"/>
  <c r="I358" i="6"/>
  <c r="I243" i="6"/>
  <c r="I139" i="6"/>
  <c r="I373" i="6"/>
  <c r="I357" i="6"/>
  <c r="I226" i="6"/>
  <c r="I137" i="6"/>
  <c r="I223" i="6"/>
  <c r="I98" i="6"/>
  <c r="I135" i="6"/>
  <c r="I97" i="6"/>
  <c r="I221" i="6"/>
  <c r="I364" i="6"/>
  <c r="I83" i="6"/>
  <c r="H86" i="6"/>
  <c r="H254" i="6"/>
  <c r="H119" i="6"/>
  <c r="H359" i="6"/>
  <c r="H327" i="6"/>
  <c r="H223" i="6"/>
  <c r="H221" i="6"/>
  <c r="H364" i="6"/>
  <c r="I436" i="6"/>
  <c r="I31" i="6"/>
  <c r="I368" i="6"/>
  <c r="I205" i="6"/>
  <c r="I86" i="6"/>
  <c r="I99" i="6"/>
  <c r="I121" i="6"/>
  <c r="H361" i="6"/>
  <c r="H357" i="6"/>
  <c r="I437" i="6"/>
  <c r="I372" i="6"/>
  <c r="H369" i="6"/>
  <c r="I79" i="6"/>
  <c r="I138" i="6"/>
  <c r="H222" i="6"/>
  <c r="I146" i="6" l="1"/>
  <c r="H335" i="6"/>
  <c r="I102" i="6"/>
  <c r="H336" i="6"/>
  <c r="I333" i="6"/>
  <c r="H251" i="6"/>
  <c r="A781" i="4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I385" i="6" s="1"/>
  <c r="I279" i="6"/>
  <c r="H250" i="6"/>
  <c r="H278" i="6"/>
  <c r="I280" i="6"/>
  <c r="H338" i="6"/>
  <c r="H333" i="6"/>
  <c r="I335" i="6"/>
  <c r="H147" i="6"/>
  <c r="H337" i="6"/>
  <c r="H334" i="6"/>
  <c r="H339" i="6"/>
  <c r="I339" i="6"/>
  <c r="H332" i="6"/>
  <c r="I278" i="6"/>
  <c r="H102" i="6"/>
  <c r="I145" i="6"/>
  <c r="I251" i="6"/>
  <c r="H145" i="6"/>
  <c r="I250" i="6"/>
  <c r="I336" i="6"/>
  <c r="I54" i="6"/>
  <c r="I332" i="6"/>
  <c r="H280" i="6"/>
  <c r="H54" i="6"/>
  <c r="I337" i="6"/>
  <c r="I147" i="6"/>
  <c r="H279" i="6"/>
  <c r="I334" i="6"/>
  <c r="I338" i="6"/>
  <c r="A807" i="4" l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H385" i="6"/>
  <c r="H33" i="6"/>
  <c r="I35" i="6"/>
  <c r="H39" i="6"/>
  <c r="I122" i="6"/>
  <c r="I123" i="6"/>
  <c r="I40" i="6"/>
  <c r="H41" i="6"/>
  <c r="I34" i="6"/>
  <c r="I265" i="6"/>
  <c r="H35" i="6"/>
  <c r="H263" i="6"/>
  <c r="I37" i="6"/>
  <c r="H122" i="6"/>
  <c r="I264" i="6"/>
  <c r="H40" i="6"/>
  <c r="I384" i="6"/>
  <c r="H38" i="6"/>
  <c r="I33" i="6"/>
  <c r="I38" i="6"/>
  <c r="H123" i="6"/>
  <c r="H36" i="6"/>
  <c r="H34" i="6"/>
  <c r="I41" i="6"/>
  <c r="H384" i="6"/>
  <c r="H265" i="6"/>
  <c r="H37" i="6"/>
  <c r="I263" i="6"/>
  <c r="I36" i="6"/>
  <c r="H264" i="6"/>
  <c r="I39" i="6"/>
  <c r="A820" i="4" l="1"/>
  <c r="A821" i="4" s="1"/>
  <c r="A822" i="4" s="1"/>
  <c r="A823" i="4" s="1"/>
  <c r="A824" i="4" s="1"/>
  <c r="A825" i="4" s="1"/>
  <c r="H267" i="6"/>
  <c r="A826" i="4" l="1"/>
  <c r="A827" i="4" s="1"/>
  <c r="A828" i="4" s="1"/>
  <c r="A829" i="4" s="1"/>
  <c r="A830" i="4" s="1"/>
  <c r="A831" i="4" s="1"/>
  <c r="I266" i="6"/>
  <c r="I267" i="6" l="1"/>
  <c r="I519" i="6" s="1"/>
  <c r="H26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CB5D92-4271-4E87-B572-164DD3D21D84}" keepAlive="1" name="ModelConnection_ExternalData_1" description="Data Model" type="5" refreshedVersion="8" minRefreshableVersion="5" saveData="1">
    <dbPr connection="Data Model Connection" command="Squads 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9A4BF56-CFF3-4A78-A429-4DC990D9E9C8}" keepAlive="1" name="ModelConnection_ExternalData_11" description="Data Model" type="5" refreshedVersion="8" minRefreshableVersion="5" saveData="1">
    <dbPr connection="Data Model Connection" command="All_Result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22DDB621-0554-4769-9F18-76C80E57718D}" name="Query - All_Results" description="Connection to the 'All_Results' query in the workbook." type="100" refreshedVersion="8" minRefreshableVersion="5">
    <extLst>
      <ext xmlns:x15="http://schemas.microsoft.com/office/spreadsheetml/2010/11/main" uri="{DE250136-89BD-433C-8126-D09CA5730AF9}">
        <x15:connection id="541d6b84-2768-4681-bc4b-924c1ffe3ac9">
          <x15:oledbPr connection="Provider=Microsoft.Mashup.OleDb.1;Data Source=$Workbook$;Location=All_Results;Extended Properties=&quot;&quot;">
            <x15:dbTables>
              <x15:dbTable name="All_Results"/>
            </x15:dbTables>
          </x15:oledbPr>
        </x15:connection>
      </ext>
    </extLst>
  </connection>
  <connection id="4" xr16:uid="{A9AC5C3C-73DF-402F-AE0B-795383D3A20C}" name="Query - Clubs" description="Connection to the 'Clubs' query in the workbook." type="100" refreshedVersion="8" minRefreshableVersion="5">
    <extLst>
      <ext xmlns:x15="http://schemas.microsoft.com/office/spreadsheetml/2010/11/main" uri="{DE250136-89BD-433C-8126-D09CA5730AF9}">
        <x15:connection id="3f5da985-63c5-4cf6-a43b-cc129f396751"/>
      </ext>
    </extLst>
  </connection>
  <connection id="5" xr16:uid="{1CA0C98B-81C7-43A7-BDE2-AEBE32B4FAD9}" name="Query - FIFA_Region" description="Connection to the 'FIFA_Region' query in the workbook." type="100" refreshedVersion="8" minRefreshableVersion="5">
    <extLst>
      <ext xmlns:x15="http://schemas.microsoft.com/office/spreadsheetml/2010/11/main" uri="{DE250136-89BD-433C-8126-D09CA5730AF9}">
        <x15:connection id="7820b357-7f32-4732-adc2-8152306fa788">
          <x15:oledbPr connection="Provider=Microsoft.Mashup.OleDb.1;Data Source=$Workbook$;Location=FIFA_Region;Extended Properties=&quot;&quot;">
            <x15:dbTables>
              <x15:dbTable name="FIFA_Region"/>
            </x15:dbTables>
          </x15:oledbPr>
        </x15:connection>
      </ext>
    </extLst>
  </connection>
  <connection id="6" xr16:uid="{0B527BFE-D518-40C8-BF9B-2E6F75C447A5}" name="Query - Football_Associations" description="Connection to the 'Football_Associations' query in the workbook." type="100" refreshedVersion="8" minRefreshableVersion="5">
    <extLst>
      <ext xmlns:x15="http://schemas.microsoft.com/office/spreadsheetml/2010/11/main" uri="{DE250136-89BD-433C-8126-D09CA5730AF9}">
        <x15:connection id="572be26d-e3a8-4005-a67d-58dcbf5695d1">
          <x15:oledbPr connection="Provider=Microsoft.Mashup.OleDb.1;Data Source=$Workbook$;Location=Football_Associations;Extended Properties=&quot;&quot;">
            <x15:dbTables>
              <x15:dbTable name="Football_Associations"/>
            </x15:dbTables>
          </x15:oledbPr>
        </x15:connection>
      </ext>
    </extLst>
  </connection>
  <connection id="7" xr16:uid="{34FBB412-7D74-4F22-83A3-C9F643A7A8E4}" name="Query - Group Fixtures" description="Connection to the 'Group Fixtures' query in the workbook." type="100" refreshedVersion="8" minRefreshableVersion="5">
    <extLst>
      <ext xmlns:x15="http://schemas.microsoft.com/office/spreadsheetml/2010/11/main" uri="{DE250136-89BD-433C-8126-D09CA5730AF9}">
        <x15:connection id="5c0f4b6e-8697-4cb6-8a9a-9a25890338a2">
          <x15:oledbPr connection="Provider=Microsoft.Mashup.OleDb.1;Data Source=$Workbook$;Location=&quot;Group Fixtures&quot;;Extended Properties=&quot;&quot;">
            <x15:dbTables>
              <x15:dbTable name="Group Fixtures"/>
            </x15:dbTables>
          </x15:oledbPr>
        </x15:connection>
      </ext>
    </extLst>
  </connection>
  <connection id="8" xr16:uid="{36058401-6829-41B0-A6AC-AF10E74C05E6}" name="Query - Knock_Out_Fixtures" description="Connection to the 'Knock_Out_Fixtures' query in the workbook." type="100" refreshedVersion="8" minRefreshableVersion="5">
    <extLst>
      <ext xmlns:x15="http://schemas.microsoft.com/office/spreadsheetml/2010/11/main" uri="{DE250136-89BD-433C-8126-D09CA5730AF9}">
        <x15:connection id="c44e901b-7e4a-4f26-8c79-6838f3340f5d">
          <x15:oledbPr connection="Provider=Microsoft.Mashup.OleDb.1;Data Source=$Workbook$;Location=Knock_Out_Fixtures;Extended Properties=&quot;&quot;">
            <x15:dbTables>
              <x15:dbTable name="Knock_Out_Fixtures"/>
            </x15:dbTables>
          </x15:oledbPr>
        </x15:connection>
      </ext>
    </extLst>
  </connection>
  <connection id="9" xr16:uid="{6A0F12E7-34C9-4E58-9134-C57103E39B3E}" name="Query - Leagues_Of_FA" description="Connection to the 'Leagues_Of_FA' query in the workbook." type="100" refreshedVersion="8" minRefreshableVersion="5">
    <extLst>
      <ext xmlns:x15="http://schemas.microsoft.com/office/spreadsheetml/2010/11/main" uri="{DE250136-89BD-433C-8126-D09CA5730AF9}">
        <x15:connection id="b4347cc3-919e-48a5-af74-03c581887620">
          <x15:oledbPr connection="Provider=Microsoft.Mashup.OleDb.1;Data Source=$Workbook$;Location=Leagues_Of_FA;Extended Properties=&quot;&quot;">
            <x15:dbTables>
              <x15:dbTable name="Leagues_Of_FA"/>
            </x15:dbTables>
          </x15:oledbPr>
        </x15:connection>
      </ext>
    </extLst>
  </connection>
  <connection id="10" xr16:uid="{B47E9F94-81AA-47BA-B962-5081F0762074}" name="Query - Squads" description="Connection to the 'Squads' query in the workbook." type="100" refreshedVersion="8" minRefreshableVersion="5">
    <extLst>
      <ext xmlns:x15="http://schemas.microsoft.com/office/spreadsheetml/2010/11/main" uri="{DE250136-89BD-433C-8126-D09CA5730AF9}">
        <x15:connection id="e4199bb2-5742-4344-8084-32dbd20bbdef"/>
      </ext>
    </extLst>
  </connection>
  <connection id="11" xr16:uid="{A0C3A6E1-19FC-42E3-AC03-243F6E065AA6}" name="Query - Stadiums" description="Connection to the 'Stadiums' query in the workbook." type="100" refreshedVersion="8" minRefreshableVersion="5">
    <extLst>
      <ext xmlns:x15="http://schemas.microsoft.com/office/spreadsheetml/2010/11/main" uri="{DE250136-89BD-433C-8126-D09CA5730AF9}">
        <x15:connection id="53006380-cd2a-45b3-b00f-e5a219934d8a">
          <x15:oledbPr connection="Provider=Microsoft.Mashup.OleDb.1;Data Source=$Workbook$;Location=Stadiums;Extended Properties=&quot;&quot;">
            <x15:dbTables>
              <x15:dbTable name="Stadiums"/>
            </x15:dbTables>
          </x15:oledbPr>
        </x15:connection>
      </ext>
    </extLst>
  </connection>
  <connection id="12" xr16:uid="{69A66924-7376-4A4C-A1ED-A9AA2EB14B36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F35301AF-0B80-4C31-8D7B-887AC97E500A}" name="WorksheetConnection_World Cup 2022.xlsm!Club_Leagues" type="102" refreshedVersion="8" minRefreshableVersion="5">
    <extLst>
      <ext xmlns:x15="http://schemas.microsoft.com/office/spreadsheetml/2010/11/main" uri="{DE250136-89BD-433C-8126-D09CA5730AF9}">
        <x15:connection id="Club_Leagues">
          <x15:rangePr sourceName="_xlcn.WorksheetConnection_WorldCup2022.xlsmClub_Leagues1"/>
        </x15:connection>
      </ext>
    </extLst>
  </connection>
  <connection id="14" xr16:uid="{81FA127D-D143-414B-AA5F-AD22EC9C8EB8}" name="WorksheetConnection_World Cup 2022.xlsm!Clubs" type="102" refreshedVersion="8" minRefreshableVersion="5">
    <extLst>
      <ext xmlns:x15="http://schemas.microsoft.com/office/spreadsheetml/2010/11/main" uri="{DE250136-89BD-433C-8126-D09CA5730AF9}">
        <x15:connection id="Clubs">
          <x15:rangePr sourceName="_xlcn.WorksheetConnection_WorldCup2022.xlsmClubs1"/>
        </x15:connection>
      </ext>
    </extLst>
  </connection>
  <connection id="15" xr16:uid="{DBEFCD9E-7C9F-4A03-A264-227D8BC377CE}" name="WorksheetConnection_World Cup 2022.xlsm!FIFA_Region" type="102" refreshedVersion="8" minRefreshableVersion="5">
    <extLst>
      <ext xmlns:x15="http://schemas.microsoft.com/office/spreadsheetml/2010/11/main" uri="{DE250136-89BD-433C-8126-D09CA5730AF9}">
        <x15:connection id="FIFA_Region">
          <x15:rangePr sourceName="_xlcn.WorksheetConnection_WorldCup2022.xlsmFIFA_Region1"/>
        </x15:connection>
      </ext>
    </extLst>
  </connection>
  <connection id="16" xr16:uid="{C0E574A0-1691-43C8-A83F-B733571B9AD6}" name="WorksheetConnection_World Cup 2022.xlsm!Fixtures" type="102" refreshedVersion="8" minRefreshableVersion="5">
    <extLst>
      <ext xmlns:x15="http://schemas.microsoft.com/office/spreadsheetml/2010/11/main" uri="{DE250136-89BD-433C-8126-D09CA5730AF9}">
        <x15:connection id="Fixtures">
          <x15:rangePr sourceName="_xlcn.WorksheetConnection_WorldCup2022.xlsmFixtures1"/>
        </x15:connection>
      </ext>
    </extLst>
  </connection>
  <connection id="17" xr16:uid="{6472995D-E58D-424E-83E4-391C20AFA556}" name="WorksheetConnection_World Cup 2022.xlsm!Football_Associations" type="102" refreshedVersion="8" minRefreshableVersion="5">
    <extLst>
      <ext xmlns:x15="http://schemas.microsoft.com/office/spreadsheetml/2010/11/main" uri="{DE250136-89BD-433C-8126-D09CA5730AF9}">
        <x15:connection id="Football_Associations">
          <x15:rangePr sourceName="_xlcn.WorksheetConnection_WorldCup2022.xlsmFootball_Associations1"/>
        </x15:connection>
      </ext>
    </extLst>
  </connection>
  <connection id="18" xr16:uid="{1C685A31-D44D-448E-913B-26710E30F1B6}" name="WorksheetConnection_World Cup 2022.xlsm!Knock_Out" type="102" refreshedVersion="8" minRefreshableVersion="5">
    <extLst>
      <ext xmlns:x15="http://schemas.microsoft.com/office/spreadsheetml/2010/11/main" uri="{DE250136-89BD-433C-8126-D09CA5730AF9}">
        <x15:connection id="Knock_Out">
          <x15:rangePr sourceName="_xlcn.WorksheetConnection_WorldCup2022.xlsmKnock_Out1"/>
        </x15:connection>
      </ext>
    </extLst>
  </connection>
  <connection id="19" xr16:uid="{C3FCC302-2EE2-4784-8EEB-DA1A604C4326}" name="WorksheetConnection_World Cup 2022.xlsm!Match_Record" type="102" refreshedVersion="8" minRefreshableVersion="5">
    <extLst>
      <ext xmlns:x15="http://schemas.microsoft.com/office/spreadsheetml/2010/11/main" uri="{DE250136-89BD-433C-8126-D09CA5730AF9}">
        <x15:connection id="Match_Record">
          <x15:rangePr sourceName="_xlcn.WorksheetConnection_WorldCup2022.xlsmMatch_Record1"/>
        </x15:connection>
      </ext>
    </extLst>
  </connection>
  <connection id="20" xr16:uid="{9D8FF57B-B5CE-4C36-B442-EE7176602B47}" name="WorksheetConnection_World Cup 2022.xlsm!Squads" type="102" refreshedVersion="8" minRefreshableVersion="5">
    <extLst>
      <ext xmlns:x15="http://schemas.microsoft.com/office/spreadsheetml/2010/11/main" uri="{DE250136-89BD-433C-8126-D09CA5730AF9}">
        <x15:connection id="Squads">
          <x15:rangePr sourceName="_xlcn.WorksheetConnection_WorldCup2022.xlsmSquads1"/>
        </x15:connection>
      </ext>
    </extLst>
  </connection>
  <connection id="21" xr16:uid="{9DFFB27C-A021-404F-854C-AAF7D7298994}" name="WorksheetConnection_World Cup 2022.xlsm!Stadiums27" type="102" refreshedVersion="8" minRefreshableVersion="5">
    <extLst>
      <ext xmlns:x15="http://schemas.microsoft.com/office/spreadsheetml/2010/11/main" uri="{DE250136-89BD-433C-8126-D09CA5730AF9}">
        <x15:connection id="Stadiums27">
          <x15:rangePr sourceName="_xlcn.WorksheetConnection_WorldCup2022.xlsmStadiums271"/>
        </x15:connection>
      </ext>
    </extLst>
  </connection>
  <connection id="22" xr16:uid="{59693E98-4478-461F-8AAC-4828CD4D381A}" name="WorksheetConnection_World Cup 2022.xlsm!WC_Groups" type="102" refreshedVersion="8" minRefreshableVersion="5">
    <extLst>
      <ext xmlns:x15="http://schemas.microsoft.com/office/spreadsheetml/2010/11/main" uri="{DE250136-89BD-433C-8126-D09CA5730AF9}">
        <x15:connection id="WC_Groups">
          <x15:rangePr sourceName="_xlcn.WorksheetConnection_WorldCup2022.xlsmWC_Group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<sst xmlns="http://schemas.openxmlformats.org/spreadsheetml/2006/main" count="21486" uniqueCount="5510">
  <si>
    <t xml:space="preserve">Round   </t>
  </si>
  <si>
    <t>Date</t>
  </si>
  <si>
    <t>Group A</t>
  </si>
  <si>
    <t>Senegal</t>
  </si>
  <si>
    <t>Netherlands</t>
  </si>
  <si>
    <t>Group B</t>
  </si>
  <si>
    <t>England</t>
  </si>
  <si>
    <t>Iran</t>
  </si>
  <si>
    <t>Qatar</t>
  </si>
  <si>
    <t>Ecuador</t>
  </si>
  <si>
    <t>USA</t>
  </si>
  <si>
    <t>Wales</t>
  </si>
  <si>
    <t>Group C</t>
  </si>
  <si>
    <t>Argentina</t>
  </si>
  <si>
    <t>Saudi Arabia</t>
  </si>
  <si>
    <t>Group D</t>
  </si>
  <si>
    <t>Denmark</t>
  </si>
  <si>
    <t>Tunisia</t>
  </si>
  <si>
    <t>Mexico</t>
  </si>
  <si>
    <t>Poland</t>
  </si>
  <si>
    <t>France</t>
  </si>
  <si>
    <t>Australia</t>
  </si>
  <si>
    <t>Group F</t>
  </si>
  <si>
    <t>Morocco</t>
  </si>
  <si>
    <t>Croatia</t>
  </si>
  <si>
    <t>Group E</t>
  </si>
  <si>
    <t>Germany</t>
  </si>
  <si>
    <t>Japan</t>
  </si>
  <si>
    <t>Spain</t>
  </si>
  <si>
    <t>Costa Rica</t>
  </si>
  <si>
    <t>Belgium</t>
  </si>
  <si>
    <t>Canada</t>
  </si>
  <si>
    <t>Group G</t>
  </si>
  <si>
    <t>Switzerland</t>
  </si>
  <si>
    <t>Cameroon</t>
  </si>
  <si>
    <t>Group H</t>
  </si>
  <si>
    <t>Uruguay</t>
  </si>
  <si>
    <t>Korea Rep</t>
  </si>
  <si>
    <t>Portugal</t>
  </si>
  <si>
    <t>Ghana</t>
  </si>
  <si>
    <t>Serbia</t>
  </si>
  <si>
    <t>Knockout</t>
  </si>
  <si>
    <t>Round of 16</t>
  </si>
  <si>
    <t>Quarter Finals</t>
  </si>
  <si>
    <t>Semi Finals</t>
  </si>
  <si>
    <t>3rd Place</t>
  </si>
  <si>
    <t>Home</t>
  </si>
  <si>
    <t>Away</t>
  </si>
  <si>
    <t>Teams</t>
  </si>
  <si>
    <t>Region</t>
  </si>
  <si>
    <t>CONMEBOL</t>
  </si>
  <si>
    <t>UEFA</t>
  </si>
  <si>
    <t>CONCACAF</t>
  </si>
  <si>
    <t>AFC</t>
  </si>
  <si>
    <t>CAF</t>
  </si>
  <si>
    <t>Group</t>
  </si>
  <si>
    <t>Home Score</t>
  </si>
  <si>
    <t>Away Score</t>
  </si>
  <si>
    <t>Total Goals</t>
  </si>
  <si>
    <t>Result</t>
  </si>
  <si>
    <t>Outcome</t>
  </si>
  <si>
    <t>Awaiting Result</t>
  </si>
  <si>
    <t>Completed</t>
  </si>
  <si>
    <t>Name</t>
  </si>
  <si>
    <t>Lisail Stadium</t>
  </si>
  <si>
    <t>Capacity</t>
  </si>
  <si>
    <t>Location</t>
  </si>
  <si>
    <t>Lusail</t>
  </si>
  <si>
    <t>Al Bayt Stadium</t>
  </si>
  <si>
    <t>Al Khor</t>
  </si>
  <si>
    <t>Doha</t>
  </si>
  <si>
    <t>Education City Stadium</t>
  </si>
  <si>
    <t>Khalifa International Stadium</t>
  </si>
  <si>
    <t>Al Rayyan</t>
  </si>
  <si>
    <t>Al Thumama Stadium</t>
  </si>
  <si>
    <t>Al Janoub Stadium</t>
  </si>
  <si>
    <t>Al Wakrah</t>
  </si>
  <si>
    <t>Ahmad Bin Stadium</t>
  </si>
  <si>
    <t>Attendance</t>
  </si>
  <si>
    <t>Time</t>
  </si>
  <si>
    <t>974 Stadium</t>
  </si>
  <si>
    <t>1 Group A</t>
  </si>
  <si>
    <t>2 Group B</t>
  </si>
  <si>
    <t>1 Group C</t>
  </si>
  <si>
    <t>2 Group D</t>
  </si>
  <si>
    <t>1 Group B</t>
  </si>
  <si>
    <t>2 Group A</t>
  </si>
  <si>
    <t>1 Group D</t>
  </si>
  <si>
    <t>2 Group C</t>
  </si>
  <si>
    <t>1 Group E</t>
  </si>
  <si>
    <t>2 Group F</t>
  </si>
  <si>
    <t>1 Group G</t>
  </si>
  <si>
    <t>2 Group H</t>
  </si>
  <si>
    <t>1 Group F</t>
  </si>
  <si>
    <t>2 Group E</t>
  </si>
  <si>
    <t>1 Group H</t>
  </si>
  <si>
    <t>2 Group G</t>
  </si>
  <si>
    <t>World Cup Final</t>
  </si>
  <si>
    <t>Knock Out Winner</t>
  </si>
  <si>
    <t>Home Points</t>
  </si>
  <si>
    <t>Home Games Played</t>
  </si>
  <si>
    <t>Away Games Played</t>
  </si>
  <si>
    <t>Away Points</t>
  </si>
  <si>
    <t>Forecast Result</t>
  </si>
  <si>
    <t>Match No</t>
  </si>
  <si>
    <t>3 Group A</t>
  </si>
  <si>
    <t>4 Group A</t>
  </si>
  <si>
    <t>3 Group B</t>
  </si>
  <si>
    <t>4 Group B</t>
  </si>
  <si>
    <t>3 Group C</t>
  </si>
  <si>
    <t>4 Group C</t>
  </si>
  <si>
    <t>3 Group D</t>
  </si>
  <si>
    <t>4 Group D</t>
  </si>
  <si>
    <t>3 Group E</t>
  </si>
  <si>
    <t>4 Group E</t>
  </si>
  <si>
    <t>3 Group F</t>
  </si>
  <si>
    <t>4 Group F</t>
  </si>
  <si>
    <t>3 Group G</t>
  </si>
  <si>
    <t>4 Group G</t>
  </si>
  <si>
    <t>3 Group H</t>
  </si>
  <si>
    <t>4 Group H</t>
  </si>
  <si>
    <t>Total Games Played</t>
  </si>
  <si>
    <t>Total Points</t>
  </si>
  <si>
    <t>Goals For Home</t>
  </si>
  <si>
    <t>Goals Against Home</t>
  </si>
  <si>
    <t>Goals For Away</t>
  </si>
  <si>
    <t>Goals Against Away</t>
  </si>
  <si>
    <t>Goal Difference</t>
  </si>
  <si>
    <t>Home Draw Points</t>
  </si>
  <si>
    <t>Away Draw Points</t>
  </si>
  <si>
    <t>Knock Out Rounds Home</t>
  </si>
  <si>
    <t>Knock Out Rounds Away</t>
  </si>
  <si>
    <t>Total Goals For</t>
  </si>
  <si>
    <t>GK</t>
  </si>
  <si>
    <t>Hernán Galíndez</t>
  </si>
  <si>
    <t>DF</t>
  </si>
  <si>
    <t>Félix Torres</t>
  </si>
  <si>
    <t>Piero Hincapié</t>
  </si>
  <si>
    <t>Robert Arboleda</t>
  </si>
  <si>
    <t>MF</t>
  </si>
  <si>
    <t>José Cifuentes</t>
  </si>
  <si>
    <t>William Pacho</t>
  </si>
  <si>
    <t>Pervis Estupiñán</t>
  </si>
  <si>
    <t>Carlos Gruezo</t>
  </si>
  <si>
    <t>Ayrton Preciado</t>
  </si>
  <si>
    <t>Romario Ibarra</t>
  </si>
  <si>
    <t>FW</t>
  </si>
  <si>
    <t>Michael Estrada</t>
  </si>
  <si>
    <t>Moisés Ramírez</t>
  </si>
  <si>
    <t>Xavier Arreaga</t>
  </si>
  <si>
    <t>Ángel Mena</t>
  </si>
  <si>
    <t>Jeremy Sarmiento</t>
  </si>
  <si>
    <t>Ángelo Preciado</t>
  </si>
  <si>
    <t>Diego Palacios</t>
  </si>
  <si>
    <t>Gonzalo Plata</t>
  </si>
  <si>
    <t>Alan Franco</t>
  </si>
  <si>
    <t>Alexander Domínguez</t>
  </si>
  <si>
    <t>Moisés Caicedo</t>
  </si>
  <si>
    <t>Djorkaeff Reasco</t>
  </si>
  <si>
    <t>Jackson Porozo</t>
  </si>
  <si>
    <t>Kevin Rodríguez</t>
  </si>
  <si>
    <t>Date Of Birth</t>
  </si>
  <si>
    <t>Caps</t>
  </si>
  <si>
    <t>Team</t>
  </si>
  <si>
    <t>Remko Pasveer</t>
  </si>
  <si>
    <t>Jurriën Timber</t>
  </si>
  <si>
    <t>Matthijs de Ligt</t>
  </si>
  <si>
    <t>Nathan Aké</t>
  </si>
  <si>
    <t>Stefan de Vrij</t>
  </si>
  <si>
    <t>Steven Bergwijn</t>
  </si>
  <si>
    <t>Cody Gakpo</t>
  </si>
  <si>
    <t>Luuk de Jong</t>
  </si>
  <si>
    <t>Memphis Depay</t>
  </si>
  <si>
    <t>Steven Berghuis</t>
  </si>
  <si>
    <t>Noa Lang</t>
  </si>
  <si>
    <t>Justin Bijlow</t>
  </si>
  <si>
    <t>Davy Klaassen</t>
  </si>
  <si>
    <t>Marten de Roon</t>
  </si>
  <si>
    <t>Tyrell Malacia</t>
  </si>
  <si>
    <t>Daley Blind</t>
  </si>
  <si>
    <t>Vincent Janssen</t>
  </si>
  <si>
    <t>Wout Weghorst</t>
  </si>
  <si>
    <t>Teun Koopmeiners</t>
  </si>
  <si>
    <t>Frenkie de Jong</t>
  </si>
  <si>
    <t>Denzel Dumfries</t>
  </si>
  <si>
    <t>Andries Noppert</t>
  </si>
  <si>
    <t>Kenneth Taylor</t>
  </si>
  <si>
    <t>Xavi Simons</t>
  </si>
  <si>
    <t>Jeremie Frimpong</t>
  </si>
  <si>
    <t>Saad Al-Sheeb</t>
  </si>
  <si>
    <t>Ró-Ró</t>
  </si>
  <si>
    <t>Abdelkarim Hassan</t>
  </si>
  <si>
    <t>Mohammed Waad</t>
  </si>
  <si>
    <t>Tarek Salman</t>
  </si>
  <si>
    <t>Abdulaziz Hatem</t>
  </si>
  <si>
    <t>Ahmed Alaaeldin</t>
  </si>
  <si>
    <t>Ali Assadalla</t>
  </si>
  <si>
    <t>Mohammed Muntari</t>
  </si>
  <si>
    <t>Akram Afif</t>
  </si>
  <si>
    <t>Karim Boudiaf</t>
  </si>
  <si>
    <t>Musab Kheder</t>
  </si>
  <si>
    <t>Homam Ahmed</t>
  </si>
  <si>
    <t>Bassam Al-Rawi</t>
  </si>
  <si>
    <t>Boualem Khoukhi</t>
  </si>
  <si>
    <t>Ismaeel Mohammad</t>
  </si>
  <si>
    <t>Khalid Muneer</t>
  </si>
  <si>
    <t>Almoez Ali</t>
  </si>
  <si>
    <t>Salem Al-Hajri</t>
  </si>
  <si>
    <t>Yousef Hassan</t>
  </si>
  <si>
    <t>Meshaal Barsham</t>
  </si>
  <si>
    <t>Assim Madibo</t>
  </si>
  <si>
    <t>Naif Al-Hadhrami</t>
  </si>
  <si>
    <t>Jassem Gaber</t>
  </si>
  <si>
    <t>Mostafa Meshaal</t>
  </si>
  <si>
    <t>Seny Dieng</t>
  </si>
  <si>
    <t>Formose Mendy</t>
  </si>
  <si>
    <t>Pape Abou Cissé</t>
  </si>
  <si>
    <t>Idrissa Gueye</t>
  </si>
  <si>
    <t>Nampalys Mendy</t>
  </si>
  <si>
    <t>Nicolas Jackson</t>
  </si>
  <si>
    <t>Cheikhou Kouyaté</t>
  </si>
  <si>
    <t>Boulaye Dia</t>
  </si>
  <si>
    <t>Pathé Ciss</t>
  </si>
  <si>
    <t>Fodé Ballo-Touré</t>
  </si>
  <si>
    <t>Iliman Ndiaye</t>
  </si>
  <si>
    <t>Ismail Jakobs</t>
  </si>
  <si>
    <t>Krépin Diatta</t>
  </si>
  <si>
    <t>Édouard Mendy</t>
  </si>
  <si>
    <t>Pape Matar Sarr</t>
  </si>
  <si>
    <t>Ismaïla Sarr</t>
  </si>
  <si>
    <t>Famara Diédhiou</t>
  </si>
  <si>
    <t>Bamba Dieng</t>
  </si>
  <si>
    <t>Youssouf Sabaly</t>
  </si>
  <si>
    <t>Abdou Diallo</t>
  </si>
  <si>
    <t>Alfred Gomis</t>
  </si>
  <si>
    <t>Moustapha Name</t>
  </si>
  <si>
    <t>Mamadou Loum</t>
  </si>
  <si>
    <t>Pape Gueye</t>
  </si>
  <si>
    <t>Jordan Pickford</t>
  </si>
  <si>
    <t>Kyle Walker</t>
  </si>
  <si>
    <t>Luke Shaw</t>
  </si>
  <si>
    <t>Declan Rice</t>
  </si>
  <si>
    <t>John Stones</t>
  </si>
  <si>
    <t>Harry Maguire</t>
  </si>
  <si>
    <t>Jack Grealish</t>
  </si>
  <si>
    <t>Jordan Henderson</t>
  </si>
  <si>
    <t>Raheem Sterling</t>
  </si>
  <si>
    <t>Marcus Rashford</t>
  </si>
  <si>
    <t>Kieran Trippier</t>
  </si>
  <si>
    <t>Nick Pope</t>
  </si>
  <si>
    <t>Kalvin Phillips</t>
  </si>
  <si>
    <t>Eric Dier</t>
  </si>
  <si>
    <t>Conor Coady</t>
  </si>
  <si>
    <t>Bukayo Saka</t>
  </si>
  <si>
    <t>Trent Alexander-Arnold</t>
  </si>
  <si>
    <t>Mason Mount</t>
  </si>
  <si>
    <t>Phil Foden</t>
  </si>
  <si>
    <t>Ben White</t>
  </si>
  <si>
    <t>Jude Bellingham</t>
  </si>
  <si>
    <t>Aaron Ramsdale</t>
  </si>
  <si>
    <t>Callum Wilson</t>
  </si>
  <si>
    <t>James Maddison</t>
  </si>
  <si>
    <t>Conor Gallagher</t>
  </si>
  <si>
    <t>Squad No</t>
  </si>
  <si>
    <t>Alireza Beiranvand</t>
  </si>
  <si>
    <t>Sadegh Moharrami</t>
  </si>
  <si>
    <t>Shojae Khalilzadeh</t>
  </si>
  <si>
    <t>Milad Mohammadi</t>
  </si>
  <si>
    <t>Saeid Ezatolahi</t>
  </si>
  <si>
    <t>Alireza Jahanbakhsh</t>
  </si>
  <si>
    <t>Morteza Pouraliganji</t>
  </si>
  <si>
    <t>Mehdi Taremi</t>
  </si>
  <si>
    <t>Karim Ansarifard</t>
  </si>
  <si>
    <t>Vahid Amiri</t>
  </si>
  <si>
    <t>Payam Niazmand</t>
  </si>
  <si>
    <t>Hossein Kanaanizadegan</t>
  </si>
  <si>
    <t>Saman Ghoddos</t>
  </si>
  <si>
    <t>Rouzbeh Cheshmi</t>
  </si>
  <si>
    <t>Mehdi Torabi</t>
  </si>
  <si>
    <t>Ali Gholizadeh</t>
  </si>
  <si>
    <t>Ali Karimi</t>
  </si>
  <si>
    <t>Majid Hosseini</t>
  </si>
  <si>
    <t>Sardar Azmoun</t>
  </si>
  <si>
    <t>Ahmad Nourollahi</t>
  </si>
  <si>
    <t>Amir Abedzadeh</t>
  </si>
  <si>
    <t>Ramin Rezaeian</t>
  </si>
  <si>
    <t>Hossein Hosseini</t>
  </si>
  <si>
    <t>Abolfazl Jalali</t>
  </si>
  <si>
    <t>Matt Turner</t>
  </si>
  <si>
    <t>Sergiño Dest</t>
  </si>
  <si>
    <t>Walker Zimmerman</t>
  </si>
  <si>
    <t>Tyler Adams</t>
  </si>
  <si>
    <t>Antonee Robinson</t>
  </si>
  <si>
    <t>Yunus Musah</t>
  </si>
  <si>
    <t>Giovanni Reyna</t>
  </si>
  <si>
    <t>Weston McKennie</t>
  </si>
  <si>
    <t>Jesús Ferreira</t>
  </si>
  <si>
    <t>Christian Pulisic</t>
  </si>
  <si>
    <t>Brenden Aaronson</t>
  </si>
  <si>
    <t>Ethan Horvath</t>
  </si>
  <si>
    <t>Tim Ream</t>
  </si>
  <si>
    <t>Luca de la Torre</t>
  </si>
  <si>
    <t>Aaron Long</t>
  </si>
  <si>
    <t>Jordan Morris</t>
  </si>
  <si>
    <t>Cristian Roldan</t>
  </si>
  <si>
    <t>Shaq Moore</t>
  </si>
  <si>
    <t>Haji Wright</t>
  </si>
  <si>
    <t>Cameron Carter-Vickers</t>
  </si>
  <si>
    <t>Timothy Weah</t>
  </si>
  <si>
    <t>DeAndre Yedlin</t>
  </si>
  <si>
    <t>Kellyn Acosta</t>
  </si>
  <si>
    <t>Josh Sargent</t>
  </si>
  <si>
    <t>Sean Johnson</t>
  </si>
  <si>
    <t>Joe Scally</t>
  </si>
  <si>
    <t>Wayne Hennessey</t>
  </si>
  <si>
    <t>Chris Gunter</t>
  </si>
  <si>
    <t>Neco Williams</t>
  </si>
  <si>
    <t>Ben Davies</t>
  </si>
  <si>
    <t>Chris Mepham</t>
  </si>
  <si>
    <t>Joe Rodon</t>
  </si>
  <si>
    <t>Joe Allen</t>
  </si>
  <si>
    <t>Harry Wilson</t>
  </si>
  <si>
    <t>Brennan Johnson</t>
  </si>
  <si>
    <t>Aaron Ramsey</t>
  </si>
  <si>
    <t>Danny Ward</t>
  </si>
  <si>
    <t>Kieffer Moore</t>
  </si>
  <si>
    <t>Connor Roberts</t>
  </si>
  <si>
    <t>Ethan Ampadu</t>
  </si>
  <si>
    <t>Joe Morrell</t>
  </si>
  <si>
    <t>Tom Lockyer</t>
  </si>
  <si>
    <t>Jonny Williams</t>
  </si>
  <si>
    <t>Mark Harris</t>
  </si>
  <si>
    <t>Daniel James</t>
  </si>
  <si>
    <t>Adam Davies</t>
  </si>
  <si>
    <t>Sorba Thomas</t>
  </si>
  <si>
    <t>Dylan Levitt</t>
  </si>
  <si>
    <t>Ben Cabango</t>
  </si>
  <si>
    <t>Rubin Colwill</t>
  </si>
  <si>
    <t>Matthew Smith</t>
  </si>
  <si>
    <t>Franco Armani</t>
  </si>
  <si>
    <t>Juan Foyth</t>
  </si>
  <si>
    <t>Nicolás Tagliafico</t>
  </si>
  <si>
    <t>Gonzalo Montiel</t>
  </si>
  <si>
    <t>Leandro Paredes</t>
  </si>
  <si>
    <t>Germán Pezzella</t>
  </si>
  <si>
    <t>Rodrigo De Paul</t>
  </si>
  <si>
    <t>Marcos Acuña</t>
  </si>
  <si>
    <t>Julián Álvarez</t>
  </si>
  <si>
    <t>Ángel Di María</t>
  </si>
  <si>
    <t>Gerónimo Rulli</t>
  </si>
  <si>
    <t>Cristian Romero</t>
  </si>
  <si>
    <t>Exequiel Palacios</t>
  </si>
  <si>
    <t>Ángel Correa</t>
  </si>
  <si>
    <t>Thiago Almada</t>
  </si>
  <si>
    <t>Papu Gómez</t>
  </si>
  <si>
    <t>Guido Rodríguez</t>
  </si>
  <si>
    <t>Nicolás Otamendi</t>
  </si>
  <si>
    <t>Alexis Mac Allister</t>
  </si>
  <si>
    <t>Paulo Dybala</t>
  </si>
  <si>
    <t>Lautaro Martínez</t>
  </si>
  <si>
    <t>Emiliano Martínez</t>
  </si>
  <si>
    <t>Enzo Fernández</t>
  </si>
  <si>
    <t>Lisandro Martínez</t>
  </si>
  <si>
    <t>Nahuel Molina</t>
  </si>
  <si>
    <t>Alfredo Talavera</t>
  </si>
  <si>
    <t>Néstor Araujo</t>
  </si>
  <si>
    <t>César Montes</t>
  </si>
  <si>
    <t>Edson Álvarez</t>
  </si>
  <si>
    <t>Johan Vásquez</t>
  </si>
  <si>
    <t>Gerardo Arteaga</t>
  </si>
  <si>
    <t>Luis Romo</t>
  </si>
  <si>
    <t>Carlos Rodríguez</t>
  </si>
  <si>
    <t>Raúl Jiménez</t>
  </si>
  <si>
    <t>Alexis Vega</t>
  </si>
  <si>
    <t>Rogelio Funes Mori</t>
  </si>
  <si>
    <t>Rodolfo Cota</t>
  </si>
  <si>
    <t>Guillermo Ochoa</t>
  </si>
  <si>
    <t>Érick Gutiérrez</t>
  </si>
  <si>
    <t>Héctor Moreno</t>
  </si>
  <si>
    <t>Héctor Herrera</t>
  </si>
  <si>
    <t>Orbelín Pineda</t>
  </si>
  <si>
    <t>Jorge Sánchez</t>
  </si>
  <si>
    <t>Henry Martín</t>
  </si>
  <si>
    <t>Uriel Antuna</t>
  </si>
  <si>
    <t>Hirving Lozano</t>
  </si>
  <si>
    <t>Jesús Gallardo</t>
  </si>
  <si>
    <t>Luis Chávez</t>
  </si>
  <si>
    <t>Roberto Alvarado</t>
  </si>
  <si>
    <t>Kevin Álvarez</t>
  </si>
  <si>
    <t>Wojciech Szczęsny</t>
  </si>
  <si>
    <t>Matty Cash</t>
  </si>
  <si>
    <t>Artur Jędrzejczyk</t>
  </si>
  <si>
    <t>Mateusz Wieteska</t>
  </si>
  <si>
    <t>Jan Bednarek</t>
  </si>
  <si>
    <t>Krystian Bielik</t>
  </si>
  <si>
    <t>Arkadiusz Milik</t>
  </si>
  <si>
    <t>Damian Szymański</t>
  </si>
  <si>
    <t>Grzegorz Krychowiak</t>
  </si>
  <si>
    <t>Kamil Grosicki</t>
  </si>
  <si>
    <t>Łukasz Skorupski</t>
  </si>
  <si>
    <t>Jakub Kamiński</t>
  </si>
  <si>
    <t>Jakub Kiwior</t>
  </si>
  <si>
    <t>Kamil Glik</t>
  </si>
  <si>
    <t>Karol Świderski</t>
  </si>
  <si>
    <t>Szymon Żurkowski</t>
  </si>
  <si>
    <t>Bartosz Bereszyński</t>
  </si>
  <si>
    <t>Sebastian Szymański</t>
  </si>
  <si>
    <t>Piotr Zieliński</t>
  </si>
  <si>
    <t>Nicola Zalewski</t>
  </si>
  <si>
    <t>Kamil Grabara</t>
  </si>
  <si>
    <t>Krzysztof Piątek</t>
  </si>
  <si>
    <t>Przemysław Frankowski</t>
  </si>
  <si>
    <t>Robert Gumny</t>
  </si>
  <si>
    <t>Michał Skóraś</t>
  </si>
  <si>
    <t>Mohammed Al-Rubaie</t>
  </si>
  <si>
    <t>Sultan Al-Ghannam</t>
  </si>
  <si>
    <t>Abdullah Madu</t>
  </si>
  <si>
    <t>Abdulelah Al-Amri</t>
  </si>
  <si>
    <t>Ali Al-Bulaihi</t>
  </si>
  <si>
    <t>Mohammed Al-Breik</t>
  </si>
  <si>
    <t>Abdulellah Al-Malki</t>
  </si>
  <si>
    <t>Firas Al-Buraikan</t>
  </si>
  <si>
    <t>Salem Al-Dawsari</t>
  </si>
  <si>
    <t>Saleh Al-Shehri</t>
  </si>
  <si>
    <t>Saud Abdulhamid</t>
  </si>
  <si>
    <t>Yasser Al-Shahrani</t>
  </si>
  <si>
    <t>Abdullah Otayf</t>
  </si>
  <si>
    <t>Ali Al-Hassan</t>
  </si>
  <si>
    <t>Sami Al-Najei</t>
  </si>
  <si>
    <t>Hassan Al-Tambakti</t>
  </si>
  <si>
    <t>Nawaf Al-Abed</t>
  </si>
  <si>
    <t>Hattan Bahebri</t>
  </si>
  <si>
    <t>Abdulrahman Al-Aboud</t>
  </si>
  <si>
    <t>Mohammed Al-Owais</t>
  </si>
  <si>
    <t>Nawaf Al-Aqidi</t>
  </si>
  <si>
    <t>Mohamed Kanno</t>
  </si>
  <si>
    <t>Nasser Al-Dawsari</t>
  </si>
  <si>
    <t>Haitham Asiri</t>
  </si>
  <si>
    <t>Riyadh Sharahili</t>
  </si>
  <si>
    <t>Miloš Degenek</t>
  </si>
  <si>
    <t>Nathaniel Atkinson</t>
  </si>
  <si>
    <t>Kye Rowles</t>
  </si>
  <si>
    <t>Fran Karačić</t>
  </si>
  <si>
    <t>Martin Boyle</t>
  </si>
  <si>
    <t>Mathew Leckie</t>
  </si>
  <si>
    <t>Bailey Wright</t>
  </si>
  <si>
    <t>Jamie Maclaren</t>
  </si>
  <si>
    <t>Ajdin Hrustic</t>
  </si>
  <si>
    <t>Awer Mabil</t>
  </si>
  <si>
    <t>Andrew Redmayne</t>
  </si>
  <si>
    <t>Aaron Mooy</t>
  </si>
  <si>
    <t>Riley McGree</t>
  </si>
  <si>
    <t>Mitchell Duke</t>
  </si>
  <si>
    <t>Aziz Behich</t>
  </si>
  <si>
    <t>Cameron Devlin</t>
  </si>
  <si>
    <t>Danny Vukovic</t>
  </si>
  <si>
    <t>Harry Souttar</t>
  </si>
  <si>
    <t>Thomas Deng</t>
  </si>
  <si>
    <t>Garang Kuol</t>
  </si>
  <si>
    <t>Jackson Irvine</t>
  </si>
  <si>
    <t>Craig Goodwin</t>
  </si>
  <si>
    <t>Joel King</t>
  </si>
  <si>
    <t>Jason Cummings</t>
  </si>
  <si>
    <t>Keanu Baccus</t>
  </si>
  <si>
    <t>Kasper Schmeichel</t>
  </si>
  <si>
    <t>Joachim Andersen</t>
  </si>
  <si>
    <t>Victor Nelsson</t>
  </si>
  <si>
    <t>Joakim Mæhle</t>
  </si>
  <si>
    <t>Andreas Christensen</t>
  </si>
  <si>
    <t>Mathias Jensen</t>
  </si>
  <si>
    <t>Thomas Delaney</t>
  </si>
  <si>
    <t>Martin Braithwaite</t>
  </si>
  <si>
    <t>Christian Eriksen</t>
  </si>
  <si>
    <t>Andreas Skov Olsen</t>
  </si>
  <si>
    <t>Kasper Dolberg</t>
  </si>
  <si>
    <t>Rasmus Kristensen</t>
  </si>
  <si>
    <t>Mikkel Damsgaard</t>
  </si>
  <si>
    <t>Christian Nørgaard</t>
  </si>
  <si>
    <t>Oliver Christensen</t>
  </si>
  <si>
    <t>Jens Stryger Larsen</t>
  </si>
  <si>
    <t>Daniel Wass</t>
  </si>
  <si>
    <t>Jonas Wind</t>
  </si>
  <si>
    <t>Yussuf Poulsen</t>
  </si>
  <si>
    <t>Andreas Cornelius</t>
  </si>
  <si>
    <t>Frederik Rønnow</t>
  </si>
  <si>
    <t>Pierre-Emile Højbjerg</t>
  </si>
  <si>
    <t>Robert Skov</t>
  </si>
  <si>
    <t>Jesper Lindstrøm</t>
  </si>
  <si>
    <t>Alexander Bah</t>
  </si>
  <si>
    <t>Benjamin Pavard</t>
  </si>
  <si>
    <t>Axel Disasi</t>
  </si>
  <si>
    <t>Raphaël Varane</t>
  </si>
  <si>
    <t>Jules Koundé</t>
  </si>
  <si>
    <t>Matteo Guendouzi</t>
  </si>
  <si>
    <t>Antoine Griezmann</t>
  </si>
  <si>
    <t>Aurélien Tchouaméni</t>
  </si>
  <si>
    <t>Olivier Giroud</t>
  </si>
  <si>
    <t>Kylian Mbappé</t>
  </si>
  <si>
    <t>Ousmane Dembélé</t>
  </si>
  <si>
    <t>Randal Kolo Muani</t>
  </si>
  <si>
    <t>Youssouf Fofana</t>
  </si>
  <si>
    <t>Adrien Rabiot</t>
  </si>
  <si>
    <t>Jordan Veretout</t>
  </si>
  <si>
    <t>Steve Mandanda</t>
  </si>
  <si>
    <t>William Saliba</t>
  </si>
  <si>
    <t>Dayot Upamecano</t>
  </si>
  <si>
    <t>Karim Benzema</t>
  </si>
  <si>
    <t>Kingsley Coman</t>
  </si>
  <si>
    <t>Lucas Hernandez</t>
  </si>
  <si>
    <t>Theo Hernandez</t>
  </si>
  <si>
    <t>Alphonse Areola</t>
  </si>
  <si>
    <t>Ibrahima Konaté</t>
  </si>
  <si>
    <t>Eduardo Camavinga</t>
  </si>
  <si>
    <t>Marcus Thuram</t>
  </si>
  <si>
    <t>Aymen Mathlouthi</t>
  </si>
  <si>
    <t>Bilel Ifa</t>
  </si>
  <si>
    <t>Montassar Talbi</t>
  </si>
  <si>
    <t>Yassine Meriah</t>
  </si>
  <si>
    <t>Nader Ghandri</t>
  </si>
  <si>
    <t>Dylan Bronn</t>
  </si>
  <si>
    <t>Hannibal Mejbri</t>
  </si>
  <si>
    <t>Issam Jebali</t>
  </si>
  <si>
    <t>Wahbi Khazri</t>
  </si>
  <si>
    <t>Taha Yassine Khenissi</t>
  </si>
  <si>
    <t>Ali Maâloul</t>
  </si>
  <si>
    <t>Ferjani Sassi</t>
  </si>
  <si>
    <t>Aïssa Laïdouni</t>
  </si>
  <si>
    <t>Mohamed Ali Ben Romdhane</t>
  </si>
  <si>
    <t>Aymen Dahmen</t>
  </si>
  <si>
    <t>Ellyes Skhiri</t>
  </si>
  <si>
    <t>Ghailene Chaalali</t>
  </si>
  <si>
    <t>Seifeddine Jaziri</t>
  </si>
  <si>
    <t>Mohamed Dräger</t>
  </si>
  <si>
    <t>Wajdi Kechrida</t>
  </si>
  <si>
    <t>Bechir Ben Saïd</t>
  </si>
  <si>
    <t>Naïm Sliti</t>
  </si>
  <si>
    <t>Ali Abdi</t>
  </si>
  <si>
    <t>Anis Ben Slimane</t>
  </si>
  <si>
    <t>Mouez Hassen</t>
  </si>
  <si>
    <t>Club - League</t>
  </si>
  <si>
    <t>Keylor Navas</t>
  </si>
  <si>
    <t>Daniel Chacón</t>
  </si>
  <si>
    <t>Juan Pablo Vargas</t>
  </si>
  <si>
    <t>Keysher Fuller</t>
  </si>
  <si>
    <t>Celso Borges</t>
  </si>
  <si>
    <t>Óscar Duarte</t>
  </si>
  <si>
    <t>Anthony Contreras</t>
  </si>
  <si>
    <t>Bryan Oviedo</t>
  </si>
  <si>
    <t>Jewison Bennette</t>
  </si>
  <si>
    <t>Johan Venegas</t>
  </si>
  <si>
    <t>Joel Campbell</t>
  </si>
  <si>
    <t>Gerson Torres</t>
  </si>
  <si>
    <t>Youstin Salas</t>
  </si>
  <si>
    <t>Francisco Calvo</t>
  </si>
  <si>
    <t>Carlos Martínez</t>
  </si>
  <si>
    <t>Yeltsin Tejeda</t>
  </si>
  <si>
    <t>Esteban Alvarado</t>
  </si>
  <si>
    <t>Kendall Waston</t>
  </si>
  <si>
    <t>Brandon Aguilera</t>
  </si>
  <si>
    <t>Douglas López</t>
  </si>
  <si>
    <t>Rónald Matarrita</t>
  </si>
  <si>
    <t>Patrick Sequeira</t>
  </si>
  <si>
    <t>Roan Wilson</t>
  </si>
  <si>
    <t>Anthony Hernández</t>
  </si>
  <si>
    <t>Álvaro Zamora</t>
  </si>
  <si>
    <t>Antonio Rüdiger</t>
  </si>
  <si>
    <t>David Raum</t>
  </si>
  <si>
    <t>Matthias Ginter</t>
  </si>
  <si>
    <t>Thilo Kehrer</t>
  </si>
  <si>
    <t>Joshua Kimmich</t>
  </si>
  <si>
    <t>Kai Havertz</t>
  </si>
  <si>
    <t>Leon Goretzka</t>
  </si>
  <si>
    <t>Niclas Füllkrug</t>
  </si>
  <si>
    <t>Serge Gnabry</t>
  </si>
  <si>
    <t>Mario Götze</t>
  </si>
  <si>
    <t>Kevin Trapp</t>
  </si>
  <si>
    <t>Thomas Müller</t>
  </si>
  <si>
    <t>Jamal Musiala</t>
  </si>
  <si>
    <t>Niklas Süle</t>
  </si>
  <si>
    <t>Lukas Klostermann</t>
  </si>
  <si>
    <t>Julian Brandt</t>
  </si>
  <si>
    <t>Jonas Hofmann</t>
  </si>
  <si>
    <t>Leroy Sané</t>
  </si>
  <si>
    <t>Christian Günter</t>
  </si>
  <si>
    <t>İlkay Gündoğan</t>
  </si>
  <si>
    <t>Marc-André ter Stegen</t>
  </si>
  <si>
    <t>Nico Schlotterbeck</t>
  </si>
  <si>
    <t>Karim Adeyemi</t>
  </si>
  <si>
    <t>Armel Bella-Kotchap</t>
  </si>
  <si>
    <t>Youssoufa Moukoko</t>
  </si>
  <si>
    <t>Eiji Kawashima</t>
  </si>
  <si>
    <t>Miki Yamane</t>
  </si>
  <si>
    <t>Shogo Taniguchi</t>
  </si>
  <si>
    <t>Ko Itakura</t>
  </si>
  <si>
    <t>Yuto Nagatomo</t>
  </si>
  <si>
    <t>Wataru Endo</t>
  </si>
  <si>
    <t>Gaku Shibasaki</t>
  </si>
  <si>
    <t>Ritsu Dōan</t>
  </si>
  <si>
    <t>Kaoru Mitoma</t>
  </si>
  <si>
    <t>Takumi Minamino</t>
  </si>
  <si>
    <t>Takefusa Kubo</t>
  </si>
  <si>
    <t>Shūichi Gonda</t>
  </si>
  <si>
    <t>Hidemasa Morita</t>
  </si>
  <si>
    <t>Junya Ito</t>
  </si>
  <si>
    <t>Daichi Kamada</t>
  </si>
  <si>
    <t>Takehiro Tomiyasu</t>
  </si>
  <si>
    <t>Ao Tanaka</t>
  </si>
  <si>
    <t>Takuma Asano</t>
  </si>
  <si>
    <t>Hiroki Sakai</t>
  </si>
  <si>
    <t>Shuto Machino</t>
  </si>
  <si>
    <t>Ayase Ueda</t>
  </si>
  <si>
    <t>Daniel Schmidt</t>
  </si>
  <si>
    <t>Yuki Soma</t>
  </si>
  <si>
    <t>Daizen Maeda</t>
  </si>
  <si>
    <t>Hiroki Ito</t>
  </si>
  <si>
    <t>Robert Sánchez</t>
  </si>
  <si>
    <t>César Azpilicueta</t>
  </si>
  <si>
    <t>Eric García</t>
  </si>
  <si>
    <t>Pau Torres</t>
  </si>
  <si>
    <t>Marcos Llorente</t>
  </si>
  <si>
    <t>Álvaro Morata</t>
  </si>
  <si>
    <t>Koke</t>
  </si>
  <si>
    <t>Gavi</t>
  </si>
  <si>
    <t>Marco Asensio</t>
  </si>
  <si>
    <t>Ferran Torres</t>
  </si>
  <si>
    <t>Nico Williams</t>
  </si>
  <si>
    <t>David Raya</t>
  </si>
  <si>
    <t>Alejandro Balde</t>
  </si>
  <si>
    <t>Hugo Guillamón</t>
  </si>
  <si>
    <t>Rodri</t>
  </si>
  <si>
    <t>Yeremy Pino</t>
  </si>
  <si>
    <t>Jordi Alba</t>
  </si>
  <si>
    <t>Carlos Soler</t>
  </si>
  <si>
    <t>Dani Carvajal</t>
  </si>
  <si>
    <t>Dani Olmo</t>
  </si>
  <si>
    <t>Pablo Sarabia</t>
  </si>
  <si>
    <t>Unai Simón</t>
  </si>
  <si>
    <t>Aymeric Laporte</t>
  </si>
  <si>
    <t>Ansu Fati</t>
  </si>
  <si>
    <t>Pedri</t>
  </si>
  <si>
    <t>Thibaut Courtois</t>
  </si>
  <si>
    <t>Toby Alderweireld</t>
  </si>
  <si>
    <t>Arthur Theate</t>
  </si>
  <si>
    <t>Wout Faes</t>
  </si>
  <si>
    <t>Jan Vertonghen</t>
  </si>
  <si>
    <t>Axel Witsel</t>
  </si>
  <si>
    <t>Kevin De Bruyne</t>
  </si>
  <si>
    <t>Youri Tielemans</t>
  </si>
  <si>
    <t>Romelu Lukaku</t>
  </si>
  <si>
    <t>Yannick Carrasco</t>
  </si>
  <si>
    <t>Simon Mignolet</t>
  </si>
  <si>
    <t>Koen Casteels</t>
  </si>
  <si>
    <t>Dries Mertens</t>
  </si>
  <si>
    <t>Thomas Meunier</t>
  </si>
  <si>
    <t>Thorgan Hazard</t>
  </si>
  <si>
    <t>Leandro Trossard</t>
  </si>
  <si>
    <t>Amadou Onana</t>
  </si>
  <si>
    <t>Leander Dendoncker</t>
  </si>
  <si>
    <t>Hans Vanaken</t>
  </si>
  <si>
    <t>Timothy Castagne</t>
  </si>
  <si>
    <t>Charles De Ketelaere</t>
  </si>
  <si>
    <t>Michy Batshuayi</t>
  </si>
  <si>
    <t>Loïs Openda</t>
  </si>
  <si>
    <t>Jérémy Doku</t>
  </si>
  <si>
    <t>Zeno Debast</t>
  </si>
  <si>
    <t>Dayne St. Clair</t>
  </si>
  <si>
    <t>Alistair Johnston</t>
  </si>
  <si>
    <t>Sam Adekugbe</t>
  </si>
  <si>
    <t>Kamal Miller</t>
  </si>
  <si>
    <t>Steven Vitória</t>
  </si>
  <si>
    <t>Samuel Piette</t>
  </si>
  <si>
    <t>Stephen Eustáquio</t>
  </si>
  <si>
    <t>Liam Fraser</t>
  </si>
  <si>
    <t>Lucas Cavallini</t>
  </si>
  <si>
    <t>Junior Hoilett</t>
  </si>
  <si>
    <t>Tajon Buchanan</t>
  </si>
  <si>
    <t>Iké Ugbo</t>
  </si>
  <si>
    <t>Mark-Anthony Kaye</t>
  </si>
  <si>
    <t>Ismaël Koné</t>
  </si>
  <si>
    <t>James Pantemis</t>
  </si>
  <si>
    <t>Cyle Larin</t>
  </si>
  <si>
    <t>Milan Borjan</t>
  </si>
  <si>
    <t>Alphonso Davies</t>
  </si>
  <si>
    <t>Jonathan David</t>
  </si>
  <si>
    <t>Jonathan Osorio</t>
  </si>
  <si>
    <t>Richie Laryea</t>
  </si>
  <si>
    <t>Liam Millar</t>
  </si>
  <si>
    <t>David Wotherspoon</t>
  </si>
  <si>
    <t>Derek Cornelius</t>
  </si>
  <si>
    <t>Joel Waterman</t>
  </si>
  <si>
    <t>Position</t>
  </si>
  <si>
    <t>Dominik Livaković</t>
  </si>
  <si>
    <t>Josip Stanišić</t>
  </si>
  <si>
    <t>Borna Barišić</t>
  </si>
  <si>
    <t>Ivan Perišić</t>
  </si>
  <si>
    <t>Martin Erlić</t>
  </si>
  <si>
    <t>Dejan Lovren</t>
  </si>
  <si>
    <t>Lovro Majer</t>
  </si>
  <si>
    <t>Mateo Kovačić</t>
  </si>
  <si>
    <t>Andrej Kramarić</t>
  </si>
  <si>
    <t>Marcelo Brozović</t>
  </si>
  <si>
    <t>Ivo Grbić</t>
  </si>
  <si>
    <t>Nikola Vlašić</t>
  </si>
  <si>
    <t>Marko Livaja</t>
  </si>
  <si>
    <t>Mario Pašalić</t>
  </si>
  <si>
    <t>Bruno Petković</t>
  </si>
  <si>
    <t>Ante Budimir</t>
  </si>
  <si>
    <t>Mislav Oršić</t>
  </si>
  <si>
    <t>Borna Sosa</t>
  </si>
  <si>
    <t>Joško Gvardiol</t>
  </si>
  <si>
    <t>Domagoj Vida</t>
  </si>
  <si>
    <t>Josip Juranović</t>
  </si>
  <si>
    <t>Ivica Ivušić</t>
  </si>
  <si>
    <t>Josip Šutalo</t>
  </si>
  <si>
    <t>Luka Sučić</t>
  </si>
  <si>
    <t>Kristijan Jakić</t>
  </si>
  <si>
    <t>Yassine Bounou</t>
  </si>
  <si>
    <t>Achraf Hakimi</t>
  </si>
  <si>
    <t>Noussair Mazraoui</t>
  </si>
  <si>
    <t>Sofyan Amrabat</t>
  </si>
  <si>
    <t>Nayef Aguerd</t>
  </si>
  <si>
    <t>Hakim Ziyech</t>
  </si>
  <si>
    <t>Azzedine Ounahi</t>
  </si>
  <si>
    <t>Abderrazak Hamdallah</t>
  </si>
  <si>
    <t>Anass Zaroury</t>
  </si>
  <si>
    <t>Abdelhamid Sabiri</t>
  </si>
  <si>
    <t>Munir Mohamedi</t>
  </si>
  <si>
    <t>Ilias Chair</t>
  </si>
  <si>
    <t>Zakaria Aboukhlal</t>
  </si>
  <si>
    <t>Selim Amallah</t>
  </si>
  <si>
    <t>Abde Ezzalzouli</t>
  </si>
  <si>
    <t>Sofiane Boufal</t>
  </si>
  <si>
    <t>Jawad El Yamiq</t>
  </si>
  <si>
    <t>Youssef En-Nesyri</t>
  </si>
  <si>
    <t>Achraf Dari</t>
  </si>
  <si>
    <t>Walid Cheddira</t>
  </si>
  <si>
    <t>Ahmed Reda Tagnaouti</t>
  </si>
  <si>
    <t>Bilal El Khannous</t>
  </si>
  <si>
    <t>Badr Benoun</t>
  </si>
  <si>
    <t>Yahia Attiyat Allah</t>
  </si>
  <si>
    <t>Yahya Jabrane</t>
  </si>
  <si>
    <t>Alisson</t>
  </si>
  <si>
    <t>Danilo</t>
  </si>
  <si>
    <t>Marquinhos</t>
  </si>
  <si>
    <t>Casemiro</t>
  </si>
  <si>
    <t>Alex Sandro</t>
  </si>
  <si>
    <t>Lucas Paquetá</t>
  </si>
  <si>
    <t>Fred</t>
  </si>
  <si>
    <t>Richarlison</t>
  </si>
  <si>
    <t>Neymar</t>
  </si>
  <si>
    <t>Raphinha</t>
  </si>
  <si>
    <t>Weverton</t>
  </si>
  <si>
    <t>Dani Alves</t>
  </si>
  <si>
    <t>Éder Militão</t>
  </si>
  <si>
    <t>Fabinho</t>
  </si>
  <si>
    <t>Alex Telles</t>
  </si>
  <si>
    <t>Bruno Guimarães</t>
  </si>
  <si>
    <t>Gabriel Jesus</t>
  </si>
  <si>
    <t>Antony</t>
  </si>
  <si>
    <t>Vinícius Júnior</t>
  </si>
  <si>
    <t>Rodrygo</t>
  </si>
  <si>
    <t>Éverton Ribeiro</t>
  </si>
  <si>
    <t>Ederson</t>
  </si>
  <si>
    <t>Bremer</t>
  </si>
  <si>
    <t>Pedro</t>
  </si>
  <si>
    <t>Gabriel Martinelli</t>
  </si>
  <si>
    <t>Simon Ngapandouetnbu</t>
  </si>
  <si>
    <t>Jerome Ngom Mbekeli</t>
  </si>
  <si>
    <t>Nicolas Nkoulou</t>
  </si>
  <si>
    <t>Christopher Wooh</t>
  </si>
  <si>
    <t>Gaël Ondoua</t>
  </si>
  <si>
    <t>Moumi Ngamaleu</t>
  </si>
  <si>
    <t>Georges-Kévin Nkoudou</t>
  </si>
  <si>
    <t>André-Frank Zambo Anguissa</t>
  </si>
  <si>
    <t>Jean-Pierre Nsame</t>
  </si>
  <si>
    <t>Christian Bassogog</t>
  </si>
  <si>
    <t>Karl Toko Ekambi</t>
  </si>
  <si>
    <t>Eric Maxim Choupo-Moting</t>
  </si>
  <si>
    <t>Samuel Gouet</t>
  </si>
  <si>
    <t>Pierre Kunde</t>
  </si>
  <si>
    <t>Devis Epassy</t>
  </si>
  <si>
    <t>Olivier Mbaizo</t>
  </si>
  <si>
    <t>Martin Hongla</t>
  </si>
  <si>
    <t>Collins Fai</t>
  </si>
  <si>
    <t>Bryan Mbeumo</t>
  </si>
  <si>
    <t>Jean-Charles Castelletto</t>
  </si>
  <si>
    <t>Olivier Ntcham</t>
  </si>
  <si>
    <t>André Onana</t>
  </si>
  <si>
    <t>Enzo Ebosse</t>
  </si>
  <si>
    <t>Nouhou Tolo</t>
  </si>
  <si>
    <t>Souaibou Marou</t>
  </si>
  <si>
    <t>Marko Dmitrović</t>
  </si>
  <si>
    <t>Strahinja Pavlović</t>
  </si>
  <si>
    <t>Strahinja Eraković</t>
  </si>
  <si>
    <t>Nikola Milenković</t>
  </si>
  <si>
    <t>Miloš Veljković</t>
  </si>
  <si>
    <t>Nemanja Maksimović</t>
  </si>
  <si>
    <t>Nemanja Radonjić</t>
  </si>
  <si>
    <t>Nemanja Gudelj</t>
  </si>
  <si>
    <t>Aleksandar Mitrović</t>
  </si>
  <si>
    <t>Luka Jović</t>
  </si>
  <si>
    <t>Predrag Rajković</t>
  </si>
  <si>
    <t>Stefan Mitrović</t>
  </si>
  <si>
    <t>Andrija Živković</t>
  </si>
  <si>
    <t>Srđan Babić</t>
  </si>
  <si>
    <t>Saša Lukić</t>
  </si>
  <si>
    <t>Filip Kostić</t>
  </si>
  <si>
    <t>Dušan Vlahović</t>
  </si>
  <si>
    <t>Uroš Račić</t>
  </si>
  <si>
    <t>Sergej Milinković-Savić</t>
  </si>
  <si>
    <t>Filip Đuričić</t>
  </si>
  <si>
    <t>Darko Lazović</t>
  </si>
  <si>
    <t>Vanja Milinković-Savić</t>
  </si>
  <si>
    <t>Ivan Ilić</t>
  </si>
  <si>
    <t>Filip Mladenović</t>
  </si>
  <si>
    <t>Marko Grujić</t>
  </si>
  <si>
    <t>Yann Sommer</t>
  </si>
  <si>
    <t>Edimilson Fernandes</t>
  </si>
  <si>
    <t>Silvan Widmer</t>
  </si>
  <si>
    <t>Nico Elvedi</t>
  </si>
  <si>
    <t>Manuel Akanji</t>
  </si>
  <si>
    <t>Denis Zakaria</t>
  </si>
  <si>
    <t>Breel Embolo</t>
  </si>
  <si>
    <t>Remo Freuler</t>
  </si>
  <si>
    <t>Haris Seferovic</t>
  </si>
  <si>
    <t>Renato Steffen</t>
  </si>
  <si>
    <t>Jonas Omlin</t>
  </si>
  <si>
    <t>Ricardo Rodriguez</t>
  </si>
  <si>
    <t>Michel Aebischer</t>
  </si>
  <si>
    <t>Djibril Sow</t>
  </si>
  <si>
    <t>Christian Fassnacht</t>
  </si>
  <si>
    <t>Ruben Vargas</t>
  </si>
  <si>
    <t>Eray Cömert</t>
  </si>
  <si>
    <t>Noah Okafor</t>
  </si>
  <si>
    <t>Fabian Frei</t>
  </si>
  <si>
    <t>Gregor Kobel</t>
  </si>
  <si>
    <t>Fabian Schär</t>
  </si>
  <si>
    <t>Xherdan Shaqiri</t>
  </si>
  <si>
    <t>Philipp Köhn</t>
  </si>
  <si>
    <t>Fabian Rieder</t>
  </si>
  <si>
    <t>Ardon Jashari</t>
  </si>
  <si>
    <t>Lawrence Ati-Zigi</t>
  </si>
  <si>
    <t>Tariq Lamptey</t>
  </si>
  <si>
    <t>Denis Odoi</t>
  </si>
  <si>
    <t>Mohammed Salisu</t>
  </si>
  <si>
    <t>Thomas Partey</t>
  </si>
  <si>
    <t>Elisha Owusu</t>
  </si>
  <si>
    <t>Abdul Fatawu Issahaku</t>
  </si>
  <si>
    <t>Daniel-Kofi Kyereh</t>
  </si>
  <si>
    <t>Jordan Ayew</t>
  </si>
  <si>
    <t>Osman Bukari</t>
  </si>
  <si>
    <t>Ibrahim Danlad</t>
  </si>
  <si>
    <t>Daniel Afriyie</t>
  </si>
  <si>
    <t>Gideon Mensah</t>
  </si>
  <si>
    <t>Joseph Aidoo</t>
  </si>
  <si>
    <t>Abdul Manaf Nurudeen</t>
  </si>
  <si>
    <t>Baba Rahman</t>
  </si>
  <si>
    <t>Daniel Amartey</t>
  </si>
  <si>
    <t>Iñaki Williams</t>
  </si>
  <si>
    <t>Mohammed Kudus</t>
  </si>
  <si>
    <t>Salis Abdul Samed</t>
  </si>
  <si>
    <t>Kamaldeen Sulemana</t>
  </si>
  <si>
    <t>Alexander Djiku</t>
  </si>
  <si>
    <t>Kamal Sowah</t>
  </si>
  <si>
    <t>Antoine Semenyo</t>
  </si>
  <si>
    <t>Alidu Seidu</t>
  </si>
  <si>
    <t>Rui Patrício</t>
  </si>
  <si>
    <t>Diogo Dalot</t>
  </si>
  <si>
    <t>Pepe</t>
  </si>
  <si>
    <t>Rúben Dias</t>
  </si>
  <si>
    <t>Raphaël Guerreiro</t>
  </si>
  <si>
    <t>João Palhinha</t>
  </si>
  <si>
    <t>Bruno Fernandes</t>
  </si>
  <si>
    <t>André Silva</t>
  </si>
  <si>
    <t>Bernardo Silva</t>
  </si>
  <si>
    <t>João Félix</t>
  </si>
  <si>
    <t>José Sá</t>
  </si>
  <si>
    <t>Danilo Pereira</t>
  </si>
  <si>
    <t>William Carvalho</t>
  </si>
  <si>
    <t>Rafael Leão</t>
  </si>
  <si>
    <t>Vitinha</t>
  </si>
  <si>
    <t>João Mário</t>
  </si>
  <si>
    <t>Rúben Neves</t>
  </si>
  <si>
    <t>Nuno Mendes</t>
  </si>
  <si>
    <t>João Cancelo</t>
  </si>
  <si>
    <t>Ricardo Horta</t>
  </si>
  <si>
    <t>Diogo Costa</t>
  </si>
  <si>
    <t>Matheus Nunes</t>
  </si>
  <si>
    <t>António Silva</t>
  </si>
  <si>
    <t>Otávio</t>
  </si>
  <si>
    <t>Gonçalo Ramos</t>
  </si>
  <si>
    <t>Kim Seung-gyu</t>
  </si>
  <si>
    <t>Yoon Jong-gyu</t>
  </si>
  <si>
    <t>Kim Jin-su</t>
  </si>
  <si>
    <t>Kim Min-jae</t>
  </si>
  <si>
    <t>Jung Woo-young</t>
  </si>
  <si>
    <t>Hwang In-beom</t>
  </si>
  <si>
    <t>Paik Seung-ho</t>
  </si>
  <si>
    <t>Cho Gue-sung</t>
  </si>
  <si>
    <t>Lee Jae-sung</t>
  </si>
  <si>
    <t>Hwang Hee-chan</t>
  </si>
  <si>
    <t>Song Bum-keun</t>
  </si>
  <si>
    <t>Son Jun-ho</t>
  </si>
  <si>
    <t>Hong Chul</t>
  </si>
  <si>
    <t>Kim Moon-hwan</t>
  </si>
  <si>
    <t>Hwang Ui-jo</t>
  </si>
  <si>
    <t>Na Sang-ho</t>
  </si>
  <si>
    <t>Lee Kang-in</t>
  </si>
  <si>
    <t>Kim Young-gwon</t>
  </si>
  <si>
    <t>Kwon Kyung-won</t>
  </si>
  <si>
    <t>Jo Hyeon-woo</t>
  </si>
  <si>
    <t>Kwon Chang-hoon</t>
  </si>
  <si>
    <t>Kim Tae-hwan</t>
  </si>
  <si>
    <t>Cho Yu-min</t>
  </si>
  <si>
    <t>Jeong Woo-yeong</t>
  </si>
  <si>
    <t>Song Min-kyu</t>
  </si>
  <si>
    <t>Fernando Muslera</t>
  </si>
  <si>
    <t>José Giménez</t>
  </si>
  <si>
    <t>Ronald Araújo</t>
  </si>
  <si>
    <t>Matías Vecino</t>
  </si>
  <si>
    <t>Rodrigo Bentancur</t>
  </si>
  <si>
    <t>Nicolás de la Cruz</t>
  </si>
  <si>
    <t>Facundo Pellistri</t>
  </si>
  <si>
    <t>Luis Suárez</t>
  </si>
  <si>
    <t>Giorgian de Arrascaeta</t>
  </si>
  <si>
    <t>Darwin Núñez</t>
  </si>
  <si>
    <t>Sebastián Sosa</t>
  </si>
  <si>
    <t>Guillermo Varela</t>
  </si>
  <si>
    <t>Lucas Torreira</t>
  </si>
  <si>
    <t>Federico Valverde</t>
  </si>
  <si>
    <t>Mathías Olivera</t>
  </si>
  <si>
    <t>Matías Viña</t>
  </si>
  <si>
    <t>Maxi Gómez</t>
  </si>
  <si>
    <t>Sebastián Coates</t>
  </si>
  <si>
    <t>Facundo Torres</t>
  </si>
  <si>
    <t>Edinson Cavani</t>
  </si>
  <si>
    <t>Martín Cáceres</t>
  </si>
  <si>
    <t>Sergio Rochet</t>
  </si>
  <si>
    <t>Agustín Canobbio</t>
  </si>
  <si>
    <t>Manuel Ugarte</t>
  </si>
  <si>
    <t>José Luis Rodríguez</t>
  </si>
  <si>
    <t>Start Date of World Cup</t>
  </si>
  <si>
    <t>End Date of World Cup</t>
  </si>
  <si>
    <t>Total Days</t>
  </si>
  <si>
    <t>Enner Valencia</t>
  </si>
  <si>
    <t>Hassan Al-Haydos</t>
  </si>
  <si>
    <t>Lionel Messi</t>
  </si>
  <si>
    <t>Dušan Tadić</t>
  </si>
  <si>
    <t>Robert Lewandowski </t>
  </si>
  <si>
    <t>Salman Al-Faraj </t>
  </si>
  <si>
    <t>Dates</t>
  </si>
  <si>
    <t>Current Club</t>
  </si>
  <si>
    <t> Brighton &amp; Hove Albion</t>
  </si>
  <si>
    <t> Ajax</t>
  </si>
  <si>
    <t> Bayern Munich</t>
  </si>
  <si>
    <t>Virgil van Dijk </t>
  </si>
  <si>
    <t> Liverpool</t>
  </si>
  <si>
    <t> Manchester City</t>
  </si>
  <si>
    <t> Barcelona</t>
  </si>
  <si>
    <t> Club Brugge</t>
  </si>
  <si>
    <t> Manchester United</t>
  </si>
  <si>
    <t> Al-Sadd</t>
  </si>
  <si>
    <t> Al-Duhail</t>
  </si>
  <si>
    <t>Kalidou Koulibaly </t>
  </si>
  <si>
    <t> Chelsea</t>
  </si>
  <si>
    <t> Leicester City</t>
  </si>
  <si>
    <t> Milan</t>
  </si>
  <si>
    <t> Tottenham Hotspur</t>
  </si>
  <si>
    <t> RB Leipzig</t>
  </si>
  <si>
    <t> Rennes</t>
  </si>
  <si>
    <t>Harry Kane </t>
  </si>
  <si>
    <t> Arsenal</t>
  </si>
  <si>
    <t> Borussia Dortmund</t>
  </si>
  <si>
    <t>Ehsan Hajsafi </t>
  </si>
  <si>
    <t> Brentford</t>
  </si>
  <si>
    <t> Juventus</t>
  </si>
  <si>
    <t> Borussia Mönchengladbach</t>
  </si>
  <si>
    <t>Gareth Bale </t>
  </si>
  <si>
    <t> Sevilla</t>
  </si>
  <si>
    <t> Atlético Madrid</t>
  </si>
  <si>
    <t> Paris Saint-Germain</t>
  </si>
  <si>
    <t> Benfica</t>
  </si>
  <si>
    <t>Andrés Guardado </t>
  </si>
  <si>
    <t> Al-Nassr</t>
  </si>
  <si>
    <t> Al-Hilal</t>
  </si>
  <si>
    <t>Mathew Ryan </t>
  </si>
  <si>
    <t>Simon Kjær </t>
  </si>
  <si>
    <t> Eintracht Frankfurt</t>
  </si>
  <si>
    <t>Hugo Lloris </t>
  </si>
  <si>
    <t> Real Madrid</t>
  </si>
  <si>
    <t>Youssef Msakni </t>
  </si>
  <si>
    <t>Bryan Ruiz </t>
  </si>
  <si>
    <t>Manuel Neuer </t>
  </si>
  <si>
    <t>Maya Yoshida </t>
  </si>
  <si>
    <t>Sergio Busquets </t>
  </si>
  <si>
    <t>Eden Hazard </t>
  </si>
  <si>
    <t> CF Montréal</t>
  </si>
  <si>
    <t>Atiba Hutchinson </t>
  </si>
  <si>
    <t>Luka Modrić </t>
  </si>
  <si>
    <t>Romain Saïss </t>
  </si>
  <si>
    <t>Thiago Silva </t>
  </si>
  <si>
    <t>Vincent Aboubakar </t>
  </si>
  <si>
    <t>Granit Xhaka </t>
  </si>
  <si>
    <t>André Ayew </t>
  </si>
  <si>
    <t>Cristiano Ronaldo </t>
  </si>
  <si>
    <t>Son Heung-min </t>
  </si>
  <si>
    <t>Diego Godín </t>
  </si>
  <si>
    <t>Bundesliga</t>
  </si>
  <si>
    <t>2. Bundesliga</t>
  </si>
  <si>
    <t>Premier League</t>
  </si>
  <si>
    <t>Championship</t>
  </si>
  <si>
    <t>League One</t>
  </si>
  <si>
    <t>League Two</t>
  </si>
  <si>
    <t>La Liga</t>
  </si>
  <si>
    <t>Ligue 2</t>
  </si>
  <si>
    <t>Ligue 1</t>
  </si>
  <si>
    <t>Serie B</t>
  </si>
  <si>
    <t>Italy</t>
  </si>
  <si>
    <t>Serie A</t>
  </si>
  <si>
    <t>Premiership</t>
  </si>
  <si>
    <t>Scotland</t>
  </si>
  <si>
    <t>Eredivisie</t>
  </si>
  <si>
    <t>International Goals</t>
  </si>
  <si>
    <t>Primeira Liga</t>
  </si>
  <si>
    <t>MLS</t>
  </si>
  <si>
    <t>A League</t>
  </si>
  <si>
    <t>First Division A</t>
  </si>
  <si>
    <t>Super League</t>
  </si>
  <si>
    <t>Super League 1</t>
  </si>
  <si>
    <t>Greece</t>
  </si>
  <si>
    <t>Segunda Division</t>
  </si>
  <si>
    <t>Super Lig</t>
  </si>
  <si>
    <t>Turkey</t>
  </si>
  <si>
    <t>Superliga</t>
  </si>
  <si>
    <t>Super Liga - Serbia</t>
  </si>
  <si>
    <t>Ekstraklasa</t>
  </si>
  <si>
    <t>Premier League - Russia</t>
  </si>
  <si>
    <t>Russia</t>
  </si>
  <si>
    <t>Bundesliga - Austria</t>
  </si>
  <si>
    <t>Austria</t>
  </si>
  <si>
    <t>Liga MX</t>
  </si>
  <si>
    <t>HNL</t>
  </si>
  <si>
    <t>Stars League</t>
  </si>
  <si>
    <t>Persian Golf Pro League</t>
  </si>
  <si>
    <t>Saudi Division 1</t>
  </si>
  <si>
    <t>Egyptian Premier League</t>
  </si>
  <si>
    <t>K League 1</t>
  </si>
  <si>
    <t>J1 League</t>
  </si>
  <si>
    <t>K League 2</t>
  </si>
  <si>
    <t>Liga Professional Argentina</t>
  </si>
  <si>
    <t>Botola Pro</t>
  </si>
  <si>
    <t>1. Division Denmark</t>
  </si>
  <si>
    <t>Pro League UAE</t>
  </si>
  <si>
    <t>United Arab Emirates</t>
  </si>
  <si>
    <t>CSL</t>
  </si>
  <si>
    <t>China</t>
  </si>
  <si>
    <t xml:space="preserve">Primera Division </t>
  </si>
  <si>
    <t>Challenger Pro League</t>
  </si>
  <si>
    <t>Brasilian Serie A</t>
  </si>
  <si>
    <t>Brasil</t>
  </si>
  <si>
    <t xml:space="preserve">Liga Pro </t>
  </si>
  <si>
    <t>Ghana Premier League</t>
  </si>
  <si>
    <t>Kuwait Premier League</t>
  </si>
  <si>
    <t>Kuwait</t>
  </si>
  <si>
    <t>Primera A</t>
  </si>
  <si>
    <t>Colombia</t>
  </si>
  <si>
    <t>Elite One</t>
  </si>
  <si>
    <t>J2 League</t>
  </si>
  <si>
    <t>Football Association</t>
  </si>
  <si>
    <t>Ligue 1 - Tunisia</t>
  </si>
  <si>
    <t>Liga Pro Serie B</t>
  </si>
  <si>
    <t>Primera Division - Uruguay</t>
  </si>
  <si>
    <t>1. Division - Crypus</t>
  </si>
  <si>
    <t>World Cup Groups</t>
  </si>
  <si>
    <t>Match Category</t>
  </si>
  <si>
    <t>Action</t>
  </si>
  <si>
    <t>Player No</t>
  </si>
  <si>
    <t>Player Name</t>
  </si>
  <si>
    <t>Goal</t>
  </si>
  <si>
    <t>Assist</t>
  </si>
  <si>
    <t>Yellow Card</t>
  </si>
  <si>
    <t>Red Card</t>
  </si>
  <si>
    <t>Minutes of Action</t>
  </si>
  <si>
    <t>Total</t>
  </si>
  <si>
    <t>National Team</t>
  </si>
  <si>
    <t>FIFA Region</t>
  </si>
  <si>
    <t>Match 1</t>
  </si>
  <si>
    <t>Match 2</t>
  </si>
  <si>
    <t>Match 3</t>
  </si>
  <si>
    <t>Shoot-out Score</t>
  </si>
  <si>
    <t>Shoot-out Miss</t>
  </si>
  <si>
    <t>Players Represented At World Cup</t>
  </si>
  <si>
    <t>Area</t>
  </si>
  <si>
    <t>Europe</t>
  </si>
  <si>
    <t>Africa</t>
  </si>
  <si>
    <t>Asia</t>
  </si>
  <si>
    <t>South America</t>
  </si>
  <si>
    <t>North &amp; Central America</t>
  </si>
  <si>
    <t>Jhegson Méndez</t>
  </si>
  <si>
    <t>Current League of Club</t>
  </si>
  <si>
    <t>Clubs with Representation at World Cup</t>
  </si>
  <si>
    <t>Player_No</t>
  </si>
  <si>
    <t>Grand Total</t>
  </si>
  <si>
    <t>Clubs</t>
  </si>
  <si>
    <t>Mean:</t>
  </si>
  <si>
    <t>Median:</t>
  </si>
  <si>
    <t>Mode:</t>
  </si>
  <si>
    <t>Club with Highest Representation:</t>
  </si>
  <si>
    <t>Club with Lowest Representation:</t>
  </si>
  <si>
    <t>Range:</t>
  </si>
  <si>
    <t>Skew:</t>
  </si>
  <si>
    <t>Club Statistics</t>
  </si>
  <si>
    <t>Quartile 1</t>
  </si>
  <si>
    <t>Quartile 3</t>
  </si>
  <si>
    <t>inter Quartile Range</t>
  </si>
  <si>
    <t>Football Association Statistics</t>
  </si>
  <si>
    <t>FA with Highest Representation:</t>
  </si>
  <si>
    <t>The Table Below, shows the breakdown Professional Clubs. With each club, I have listed their respective League and Football Association, along with the number of their club players drafted to the World Cup 2022</t>
  </si>
  <si>
    <t>ALB</t>
  </si>
  <si>
    <t>AND</t>
  </si>
  <si>
    <t>ARM</t>
  </si>
  <si>
    <t>AUT</t>
  </si>
  <si>
    <t>AZE</t>
  </si>
  <si>
    <t>BLR</t>
  </si>
  <si>
    <t>BEL</t>
  </si>
  <si>
    <t>BIH</t>
  </si>
  <si>
    <t>BUL</t>
  </si>
  <si>
    <t>CRO</t>
  </si>
  <si>
    <t>CYP</t>
  </si>
  <si>
    <t>CZE</t>
  </si>
  <si>
    <t>DEN</t>
  </si>
  <si>
    <t>ENG</t>
  </si>
  <si>
    <t>EST</t>
  </si>
  <si>
    <t>FRO</t>
  </si>
  <si>
    <t>FIN</t>
  </si>
  <si>
    <t>FRA</t>
  </si>
  <si>
    <t>GEO</t>
  </si>
  <si>
    <t>GER</t>
  </si>
  <si>
    <t>GIB</t>
  </si>
  <si>
    <t>GRE</t>
  </si>
  <si>
    <t>HUN</t>
  </si>
  <si>
    <t>ISL</t>
  </si>
  <si>
    <t>ISR</t>
  </si>
  <si>
    <t>ITA</t>
  </si>
  <si>
    <t>KAZ</t>
  </si>
  <si>
    <t>KOS</t>
  </si>
  <si>
    <t>LVA</t>
  </si>
  <si>
    <t>LIE</t>
  </si>
  <si>
    <t>LTU</t>
  </si>
  <si>
    <t>LUX</t>
  </si>
  <si>
    <t>MLT</t>
  </si>
  <si>
    <t>MDA</t>
  </si>
  <si>
    <t>MNE</t>
  </si>
  <si>
    <t>NED</t>
  </si>
  <si>
    <t>MKD</t>
  </si>
  <si>
    <t>NIR</t>
  </si>
  <si>
    <t>NOR</t>
  </si>
  <si>
    <t>POL</t>
  </si>
  <si>
    <t>POR</t>
  </si>
  <si>
    <t>IRL</t>
  </si>
  <si>
    <t>ROU</t>
  </si>
  <si>
    <t>RUS</t>
  </si>
  <si>
    <t>SMR</t>
  </si>
  <si>
    <t>SCO</t>
  </si>
  <si>
    <t>SRB</t>
  </si>
  <si>
    <t>SVK</t>
  </si>
  <si>
    <t>SVN</t>
  </si>
  <si>
    <t>ESP</t>
  </si>
  <si>
    <t>SWE</t>
  </si>
  <si>
    <t>SUI</t>
  </si>
  <si>
    <t>TUR</t>
  </si>
  <si>
    <t>UKR</t>
  </si>
  <si>
    <t>WAL</t>
  </si>
  <si>
    <t>FIFA Ranking</t>
  </si>
  <si>
    <t>World Cup 2022 Qualification Status</t>
  </si>
  <si>
    <t>Qualified</t>
  </si>
  <si>
    <t>Not Qualified</t>
  </si>
  <si>
    <t>Nation Code</t>
  </si>
  <si>
    <t>ARG</t>
  </si>
  <si>
    <t>BOL</t>
  </si>
  <si>
    <t>BRA</t>
  </si>
  <si>
    <t>CHI</t>
  </si>
  <si>
    <t>COL</t>
  </si>
  <si>
    <t>ECU</t>
  </si>
  <si>
    <t>PAR</t>
  </si>
  <si>
    <t>PER</t>
  </si>
  <si>
    <t>URU</t>
  </si>
  <si>
    <t>VEN</t>
  </si>
  <si>
    <t>AUS</t>
  </si>
  <si>
    <t>BRU</t>
  </si>
  <si>
    <t>CAM</t>
  </si>
  <si>
    <t>LAO</t>
  </si>
  <si>
    <t>INA</t>
  </si>
  <si>
    <t>MAS</t>
  </si>
  <si>
    <t>MYA</t>
  </si>
  <si>
    <t>PHI</t>
  </si>
  <si>
    <t>SIN</t>
  </si>
  <si>
    <t>THA</t>
  </si>
  <si>
    <t>TLS</t>
  </si>
  <si>
    <t>VIE</t>
  </si>
  <si>
    <t>AFG</t>
  </si>
  <si>
    <t>IRN</t>
  </si>
  <si>
    <t>KGZ</t>
  </si>
  <si>
    <t>TJK</t>
  </si>
  <si>
    <t>TKM</t>
  </si>
  <si>
    <t>UZB</t>
  </si>
  <si>
    <t>CHN</t>
  </si>
  <si>
    <t>TPE</t>
  </si>
  <si>
    <t>PRK</t>
  </si>
  <si>
    <t>GUM</t>
  </si>
  <si>
    <t>HKG</t>
  </si>
  <si>
    <t>JPN</t>
  </si>
  <si>
    <t>KOR</t>
  </si>
  <si>
    <t>MAC</t>
  </si>
  <si>
    <t>MNG</t>
  </si>
  <si>
    <t>NMI</t>
  </si>
  <si>
    <t>BAN</t>
  </si>
  <si>
    <t>BHU</t>
  </si>
  <si>
    <t>IND</t>
  </si>
  <si>
    <t>MDV</t>
  </si>
  <si>
    <t>NEP</t>
  </si>
  <si>
    <t>PAK</t>
  </si>
  <si>
    <t>SRI</t>
  </si>
  <si>
    <t>BHR</t>
  </si>
  <si>
    <t>IRQ</t>
  </si>
  <si>
    <t>JOR</t>
  </si>
  <si>
    <t>KUW</t>
  </si>
  <si>
    <t>LBN</t>
  </si>
  <si>
    <t>OMA</t>
  </si>
  <si>
    <t>PLE</t>
  </si>
  <si>
    <t>QAT</t>
  </si>
  <si>
    <t>KSA</t>
  </si>
  <si>
    <t>SYR</t>
  </si>
  <si>
    <t>UAE</t>
  </si>
  <si>
    <t>YEM</t>
  </si>
  <si>
    <t>ALG</t>
  </si>
  <si>
    <t>EGY</t>
  </si>
  <si>
    <t>LBY</t>
  </si>
  <si>
    <t>MAR</t>
  </si>
  <si>
    <t>TUN</t>
  </si>
  <si>
    <t>BEN</t>
  </si>
  <si>
    <t>BFA</t>
  </si>
  <si>
    <t>CPV</t>
  </si>
  <si>
    <t>GAM</t>
  </si>
  <si>
    <t>GHA</t>
  </si>
  <si>
    <t>GUI</t>
  </si>
  <si>
    <t>GNB</t>
  </si>
  <si>
    <t>CIV</t>
  </si>
  <si>
    <t>LBR</t>
  </si>
  <si>
    <t>MLI</t>
  </si>
  <si>
    <t>MTN</t>
  </si>
  <si>
    <t>NIG</t>
  </si>
  <si>
    <t>NGA</t>
  </si>
  <si>
    <t>SEN</t>
  </si>
  <si>
    <t>SLE</t>
  </si>
  <si>
    <t>TOG</t>
  </si>
  <si>
    <t>CMR</t>
  </si>
  <si>
    <t>CTA</t>
  </si>
  <si>
    <t>CHA</t>
  </si>
  <si>
    <t>CGO</t>
  </si>
  <si>
    <t>COD</t>
  </si>
  <si>
    <t>EQG</t>
  </si>
  <si>
    <t>GAB</t>
  </si>
  <si>
    <t>STP</t>
  </si>
  <si>
    <t>BDI</t>
  </si>
  <si>
    <t>DJI</t>
  </si>
  <si>
    <t>ERI</t>
  </si>
  <si>
    <t>ETH</t>
  </si>
  <si>
    <t>KEN</t>
  </si>
  <si>
    <t>RWA</t>
  </si>
  <si>
    <t>SOM</t>
  </si>
  <si>
    <t>SSD</t>
  </si>
  <si>
    <t>SDN</t>
  </si>
  <si>
    <t>TAN</t>
  </si>
  <si>
    <t>UGA</t>
  </si>
  <si>
    <t>ZAN</t>
  </si>
  <si>
    <t>ANG</t>
  </si>
  <si>
    <t>BOT</t>
  </si>
  <si>
    <t>COM</t>
  </si>
  <si>
    <t>SWZ</t>
  </si>
  <si>
    <t>LES</t>
  </si>
  <si>
    <t>MAD</t>
  </si>
  <si>
    <t>MWI</t>
  </si>
  <si>
    <t>MRI</t>
  </si>
  <si>
    <t>MOZ</t>
  </si>
  <si>
    <t>NAM</t>
  </si>
  <si>
    <t>SEY</t>
  </si>
  <si>
    <t>RSA</t>
  </si>
  <si>
    <t>ZAM</t>
  </si>
  <si>
    <t>ZIM</t>
  </si>
  <si>
    <t>REU</t>
  </si>
  <si>
    <t>CAN</t>
  </si>
  <si>
    <t>MEX</t>
  </si>
  <si>
    <t>BLZ</t>
  </si>
  <si>
    <t>CRC</t>
  </si>
  <si>
    <t>SLV</t>
  </si>
  <si>
    <t>GUA</t>
  </si>
  <si>
    <t>HON</t>
  </si>
  <si>
    <t>NCA</t>
  </si>
  <si>
    <t>PAN</t>
  </si>
  <si>
    <t>AIA</t>
  </si>
  <si>
    <t>ATG</t>
  </si>
  <si>
    <t>ARU</t>
  </si>
  <si>
    <t>BAH</t>
  </si>
  <si>
    <t>BRB</t>
  </si>
  <si>
    <t>BER</t>
  </si>
  <si>
    <t>BOE</t>
  </si>
  <si>
    <t>VGB</t>
  </si>
  <si>
    <t>CAY</t>
  </si>
  <si>
    <t>CUB</t>
  </si>
  <si>
    <t>CUW</t>
  </si>
  <si>
    <t>DMA</t>
  </si>
  <si>
    <t>DOM</t>
  </si>
  <si>
    <t>GUF</t>
  </si>
  <si>
    <t>GRN</t>
  </si>
  <si>
    <t>GLP</t>
  </si>
  <si>
    <t>GUY</t>
  </si>
  <si>
    <t>HAI</t>
  </si>
  <si>
    <t>JAM</t>
  </si>
  <si>
    <t>MTQ</t>
  </si>
  <si>
    <t>MSR</t>
  </si>
  <si>
    <t>PUR</t>
  </si>
  <si>
    <t>SKN</t>
  </si>
  <si>
    <t>LCA</t>
  </si>
  <si>
    <t>SMN</t>
  </si>
  <si>
    <t>VIN</t>
  </si>
  <si>
    <t>SMA</t>
  </si>
  <si>
    <t>SUR</t>
  </si>
  <si>
    <t>TRI</t>
  </si>
  <si>
    <t>TCA</t>
  </si>
  <si>
    <t>VIR</t>
  </si>
  <si>
    <t>OFC</t>
  </si>
  <si>
    <t>Oceania</t>
  </si>
  <si>
    <t>ASA</t>
  </si>
  <si>
    <t>COK</t>
  </si>
  <si>
    <t>FIJ</t>
  </si>
  <si>
    <t>KIR</t>
  </si>
  <si>
    <t>NCL</t>
  </si>
  <si>
    <t>NZL</t>
  </si>
  <si>
    <t>PNG</t>
  </si>
  <si>
    <t>SAM</t>
  </si>
  <si>
    <t>SOL</t>
  </si>
  <si>
    <t>TAH</t>
  </si>
  <si>
    <t>TGA</t>
  </si>
  <si>
    <t>TUV</t>
  </si>
  <si>
    <t>VAN</t>
  </si>
  <si>
    <t>LS</t>
  </si>
  <si>
    <t>ABS</t>
  </si>
  <si>
    <t>KIS</t>
  </si>
  <si>
    <t>974S</t>
  </si>
  <si>
    <t>ECS</t>
  </si>
  <si>
    <t>ATS</t>
  </si>
  <si>
    <t>AJS</t>
  </si>
  <si>
    <t>Stadium_No</t>
  </si>
  <si>
    <t>AHBS</t>
  </si>
  <si>
    <t>World Cup Group</t>
  </si>
  <si>
    <t/>
  </si>
  <si>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</si>
  <si>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</si>
  <si>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</si>
  <si>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</si>
  <si>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</si>
  <si>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</si>
  <si>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</si>
  <si>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</si>
  <si>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Armenia</t>
  </si>
  <si>
    <t>Aruba</t>
  </si>
  <si>
    <t>Azerbaijan</t>
  </si>
  <si>
    <t>Bahamas</t>
  </si>
  <si>
    <t>Bahrain</t>
  </si>
  <si>
    <t>Bangladesh</t>
  </si>
  <si>
    <t>Barbados</t>
  </si>
  <si>
    <t>Belarus</t>
  </si>
  <si>
    <t>Belize</t>
  </si>
  <si>
    <t>Benin</t>
  </si>
  <si>
    <t>Bermuda</t>
  </si>
  <si>
    <t>Bhutan</t>
  </si>
  <si>
    <t>Bolivia</t>
  </si>
  <si>
    <t>Bonaire</t>
  </si>
  <si>
    <t>Bosnia and Herzegovina</t>
  </si>
  <si>
    <t>Botswana</t>
  </si>
  <si>
    <t>British Virgin Islands</t>
  </si>
  <si>
    <t>Brunei Darussalam</t>
  </si>
  <si>
    <t>Bulgaria</t>
  </si>
  <si>
    <t>Burkina Faso</t>
  </si>
  <si>
    <t>Burundi</t>
  </si>
  <si>
    <t>Cambodia</t>
  </si>
  <si>
    <t>Cape Verde</t>
  </si>
  <si>
    <t>Cayman Islands</t>
  </si>
  <si>
    <t>Central African Republic</t>
  </si>
  <si>
    <t>Chad</t>
  </si>
  <si>
    <t>Chile</t>
  </si>
  <si>
    <t>Chinese Taipei</t>
  </si>
  <si>
    <t>Comoros</t>
  </si>
  <si>
    <t>Congo</t>
  </si>
  <si>
    <t>Cook Islands</t>
  </si>
  <si>
    <t>Cuba</t>
  </si>
  <si>
    <t>Curaçao</t>
  </si>
  <si>
    <t>Cyprus</t>
  </si>
  <si>
    <t>Czech Republic</t>
  </si>
  <si>
    <t>Djibouti</t>
  </si>
  <si>
    <t>Dominica</t>
  </si>
  <si>
    <t>Dominican Republic</t>
  </si>
  <si>
    <t>DPR Korea</t>
  </si>
  <si>
    <t>DR Congo</t>
  </si>
  <si>
    <t>Egypt </t>
  </si>
  <si>
    <t>El Salvador</t>
  </si>
  <si>
    <t>Equatorial Guinea</t>
  </si>
  <si>
    <t>Eritrea</t>
  </si>
  <si>
    <t>Estonia</t>
  </si>
  <si>
    <t>Eswatini</t>
  </si>
  <si>
    <t>Ethiopia</t>
  </si>
  <si>
    <t>Faroe Islands</t>
  </si>
  <si>
    <t>Fiji</t>
  </si>
  <si>
    <t>Finland</t>
  </si>
  <si>
    <t>French Guiana</t>
  </si>
  <si>
    <t>Gabon</t>
  </si>
  <si>
    <t>Gambia</t>
  </si>
  <si>
    <t>Georgia</t>
  </si>
  <si>
    <t>Gibraltar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</si>
  <si>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</si>
  <si>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</si>
  <si>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</si>
  <si>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</si>
  <si>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</si>
  <si>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</si>
  <si>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</si>
  <si>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</si>
  <si>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Honduras</t>
  </si>
  <si>
    <t>Hong Kong</t>
  </si>
  <si>
    <t>Hungary</t>
  </si>
  <si>
    <t>Iceland</t>
  </si>
  <si>
    <t>India</t>
  </si>
  <si>
    <t>Indonesia</t>
  </si>
  <si>
    <t>Iraq</t>
  </si>
  <si>
    <t>Israel</t>
  </si>
  <si>
    <t>Ivory Coast</t>
  </si>
  <si>
    <t>Jamaica</t>
  </si>
  <si>
    <t>Jordan</t>
  </si>
  <si>
    <t>Kazakhstan</t>
  </si>
  <si>
    <t>Kenya</t>
  </si>
  <si>
    <t>Kiribati</t>
  </si>
  <si>
    <t>Kosovo</t>
  </si>
  <si>
    <t>Kyrgyz Republic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</si>
  <si>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</si>
  <si>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</si>
  <si>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</si>
  <si>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</si>
  <si>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</si>
  <si>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</si>
  <si>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</si>
  <si>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</si>
  <si>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</si>
  <si>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Macau</t>
  </si>
  <si>
    <t>Madagascar</t>
  </si>
  <si>
    <t>Malawi</t>
  </si>
  <si>
    <t>Malaysia</t>
  </si>
  <si>
    <t>Maldives</t>
  </si>
  <si>
    <t>Mali</t>
  </si>
  <si>
    <t>Malta</t>
  </si>
  <si>
    <t>Martinique</t>
  </si>
  <si>
    <t>Mauritania</t>
  </si>
  <si>
    <t>Mauritius</t>
  </si>
  <si>
    <t>Moldova</t>
  </si>
  <si>
    <t>Mongolia</t>
  </si>
  <si>
    <t>Montenegro</t>
  </si>
  <si>
    <t>Montserrat</t>
  </si>
  <si>
    <t>Mozambique</t>
  </si>
  <si>
    <t>Myanmar</t>
  </si>
  <si>
    <t>Namibia</t>
  </si>
  <si>
    <t>Nepal</t>
  </si>
  <si>
    <t>New Caledonia</t>
  </si>
  <si>
    <t>New Zealand</t>
  </si>
  <si>
    <t>Nicaragua</t>
  </si>
  <si>
    <t>Niger</t>
  </si>
  <si>
    <t>Nigeria</t>
  </si>
  <si>
    <t>North Macedonia</t>
  </si>
  <si>
    <t>Northern Ireland</t>
  </si>
  <si>
    <t>Northern Mariana Islands</t>
  </si>
  <si>
    <t>Norway</t>
  </si>
  <si>
    <t>Oman</t>
  </si>
  <si>
    <t>Pakistan</t>
  </si>
  <si>
    <t>Palestine</t>
  </si>
  <si>
    <t>Panama</t>
  </si>
  <si>
    <t>Papua New Guinea</t>
  </si>
  <si>
    <t>Paraguay</t>
  </si>
  <si>
    <t>Peru</t>
  </si>
  <si>
    <t>Philippines</t>
  </si>
  <si>
    <t>Puerto Rico</t>
  </si>
  <si>
    <t>Republic of Ireland</t>
  </si>
  <si>
    <t>Réunion</t>
  </si>
  <si>
    <t>Romania</t>
  </si>
  <si>
    <t>Rwanda</t>
  </si>
  <si>
    <t>Saint Kitts and Nevis</t>
  </si>
  <si>
    <t>Saint Lucia</t>
  </si>
  <si>
    <t>Saint Martin</t>
  </si>
  <si>
    <t>Saint Vincent and the Grenadines</t>
  </si>
  <si>
    <t>Samoa</t>
  </si>
  <si>
    <t>San Marino</t>
  </si>
  <si>
    <t>São Tomé and Príncipe</t>
  </si>
  <si>
    <t>Seychelles</t>
  </si>
  <si>
    <t>Sierra Leone</t>
  </si>
  <si>
    <t>Singapore</t>
  </si>
  <si>
    <t>Sint Maarten</t>
  </si>
  <si>
    <t>Slovakia</t>
  </si>
  <si>
    <t>Slovenia</t>
  </si>
  <si>
    <t>Solomon Islands</t>
  </si>
  <si>
    <t>Somalia</t>
  </si>
  <si>
    <t>South Africa</t>
  </si>
  <si>
    <t>South Sudan</t>
  </si>
  <si>
    <t>Sri Lanka</t>
  </si>
  <si>
    <t>Sudan</t>
  </si>
  <si>
    <t>Suriname</t>
  </si>
  <si>
    <t>Sweden</t>
  </si>
  <si>
    <t>Syria</t>
  </si>
  <si>
    <t>Tahiti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</si>
  <si>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</si>
  <si>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</si>
  <si>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</si>
  <si>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</si>
  <si>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</si>
  <si>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</si>
  <si>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</si>
  <si>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Turkmenistan</t>
  </si>
  <si>
    <t>Turks and Caicos Islands</t>
  </si>
  <si>
    <t>Tuvalu</t>
  </si>
  <si>
    <t>U.S. Virgin Islands</t>
  </si>
  <si>
    <t>Uganda</t>
  </si>
  <si>
    <t>Ukraine</t>
  </si>
  <si>
    <t>Uzbekistan</t>
  </si>
  <si>
    <t>Vanuatu</t>
  </si>
  <si>
    <t>Vietnam</t>
  </si>
  <si>
    <t>Yemen</t>
  </si>
  <si>
    <t>Zambia</t>
  </si>
  <si>
    <t>Zanzibar </t>
  </si>
  <si>
    <t>Zimbabwe</t>
  </si>
  <si>
    <t>Venezuela</t>
  </si>
  <si>
    <t>Knock Out Rounds Home2</t>
  </si>
  <si>
    <t>Missed Penalty</t>
  </si>
  <si>
    <t>Own Goal</t>
  </si>
  <si>
    <t>Row Labels</t>
  </si>
  <si>
    <t>Count of Action</t>
  </si>
  <si>
    <t>Age</t>
  </si>
  <si>
    <t>Player Age  Statistics</t>
  </si>
  <si>
    <t>Oldest Player:</t>
  </si>
  <si>
    <t>Youngest Player</t>
  </si>
  <si>
    <t>Player Match Experience (Caps)  Statistics</t>
  </si>
  <si>
    <t>Most Caps: Prior to World Cup</t>
  </si>
  <si>
    <t>Least Caps: Prior to World Cup</t>
  </si>
  <si>
    <t xml:space="preserve">Show Pivot Table of Player Age by Range </t>
  </si>
  <si>
    <t>Total Caps by Player</t>
  </si>
  <si>
    <t>No of Players with Total Caps</t>
  </si>
  <si>
    <t>Assess Players at World Cup by Age, prior to World Cup</t>
  </si>
  <si>
    <t>&gt;200</t>
  </si>
  <si>
    <t>0-19</t>
  </si>
  <si>
    <t>20-39</t>
  </si>
  <si>
    <t>40-59</t>
  </si>
  <si>
    <t>60-79</t>
  </si>
  <si>
    <t>80-99</t>
  </si>
  <si>
    <t>100-119</t>
  </si>
  <si>
    <t>120-139</t>
  </si>
  <si>
    <t>140-159</t>
  </si>
  <si>
    <t>160-179</t>
  </si>
  <si>
    <t>180-199</t>
  </si>
  <si>
    <t>Show Pivot Table of Player Caps by Range of 20</t>
  </si>
  <si>
    <t>Age Range</t>
  </si>
  <si>
    <t>Total Players by Age Range</t>
  </si>
  <si>
    <t>Assess Players at World cup by caps (international match appearance), prior to World Cup</t>
  </si>
  <si>
    <t>Total Players from Each Club at World Cup</t>
  </si>
  <si>
    <t>Standard Deviation</t>
  </si>
  <si>
    <t>Variance</t>
  </si>
  <si>
    <t>Inter Quartile Range</t>
  </si>
  <si>
    <t>Coefficient of Variation</t>
  </si>
  <si>
    <t>Average Attendance at Group Stage</t>
  </si>
  <si>
    <t>&lt;18</t>
  </si>
  <si>
    <t>18-21</t>
  </si>
  <si>
    <t>22-25</t>
  </si>
  <si>
    <t>26-29</t>
  </si>
  <si>
    <t>30-33</t>
  </si>
  <si>
    <t>34-37</t>
  </si>
  <si>
    <t>38-41</t>
  </si>
  <si>
    <t>&gt;42</t>
  </si>
  <si>
    <t>Qualified Teams</t>
  </si>
  <si>
    <t>FA</t>
  </si>
  <si>
    <t>Argentina (ARG)</t>
  </si>
  <si>
    <t>Australia (AUS)</t>
  </si>
  <si>
    <t>Belgium (BEL)</t>
  </si>
  <si>
    <t>Brasil (BRA)</t>
  </si>
  <si>
    <t>Cameroon (CMR)</t>
  </si>
  <si>
    <t>Canada (CAN)</t>
  </si>
  <si>
    <t>Costa Rica (CRC)</t>
  </si>
  <si>
    <t>Croatia (CRO)</t>
  </si>
  <si>
    <t>Denmark (DEN)</t>
  </si>
  <si>
    <t>Ecuador (ECU)</t>
  </si>
  <si>
    <t>England (ENG)</t>
  </si>
  <si>
    <t>France (FRA)</t>
  </si>
  <si>
    <t>Germany (GER)</t>
  </si>
  <si>
    <t>Ghana (GHA)</t>
  </si>
  <si>
    <t>Iran (IRN)</t>
  </si>
  <si>
    <t>Japan (JPN)</t>
  </si>
  <si>
    <t>Korea Rep (KOR)</t>
  </si>
  <si>
    <t>Mexico (MEX)</t>
  </si>
  <si>
    <t>Morocco (MAR)</t>
  </si>
  <si>
    <t>Netherlands (NED)</t>
  </si>
  <si>
    <t>Poland (POL)</t>
  </si>
  <si>
    <t>Portugal (POR)</t>
  </si>
  <si>
    <t>Qatar (QAT)</t>
  </si>
  <si>
    <t>Saudi Arabia (KSA)</t>
  </si>
  <si>
    <t>Senegal (SEN)</t>
  </si>
  <si>
    <t>Serbia (SRB)</t>
  </si>
  <si>
    <t>Spain (ESP)</t>
  </si>
  <si>
    <t>Switzerland (SUI)</t>
  </si>
  <si>
    <t>Tunisia (TUN)</t>
  </si>
  <si>
    <t>Uruguay (URU)</t>
  </si>
  <si>
    <t>USA (USA)</t>
  </si>
  <si>
    <t>Wales (WAL)</t>
  </si>
  <si>
    <t>Sum of Players Represented At World Cup</t>
  </si>
  <si>
    <t>Runner Up</t>
  </si>
  <si>
    <t>Clubs.Club - League</t>
  </si>
  <si>
    <t>Clubs.Football Association</t>
  </si>
  <si>
    <t>Legend</t>
  </si>
  <si>
    <t>Master</t>
  </si>
  <si>
    <t>Newcomer</t>
  </si>
  <si>
    <t>Novice</t>
  </si>
  <si>
    <t>Regular</t>
  </si>
  <si>
    <t>Experience</t>
  </si>
  <si>
    <t>Players By Experience Level</t>
  </si>
  <si>
    <t>Third</t>
  </si>
  <si>
    <t>Fourth</t>
  </si>
  <si>
    <t>Mean</t>
  </si>
  <si>
    <t>Player Age Normal Distribution</t>
  </si>
  <si>
    <t>Player Caps Normal Distribution</t>
  </si>
  <si>
    <t>Player</t>
  </si>
  <si>
    <t>Age - Z Score Calculator</t>
  </si>
  <si>
    <t>Z Score</t>
  </si>
  <si>
    <t xml:space="preserve">Player Age  </t>
  </si>
  <si>
    <t xml:space="preserve">Normal Distribution &lt;= to above Age </t>
  </si>
  <si>
    <t>Sample</t>
  </si>
  <si>
    <t>Confidence Level</t>
  </si>
  <si>
    <t>Alpha</t>
  </si>
  <si>
    <t>Margin of Error</t>
  </si>
  <si>
    <t>Lower Limit</t>
  </si>
  <si>
    <t>Upper Limit</t>
  </si>
  <si>
    <t>Player Age Confidence sample</t>
  </si>
  <si>
    <t>Group Stage</t>
  </si>
  <si>
    <t>World Cup Result</t>
  </si>
  <si>
    <t>Winner</t>
  </si>
  <si>
    <t>Last 16</t>
  </si>
  <si>
    <t>Group stage</t>
  </si>
  <si>
    <t>All Players</t>
  </si>
  <si>
    <t>Last Four</t>
  </si>
  <si>
    <t>Squads Age</t>
  </si>
  <si>
    <t>Mean Age</t>
  </si>
  <si>
    <t>Barcelona</t>
  </si>
  <si>
    <t>Bayern Munich</t>
  </si>
  <si>
    <t>Manchester City</t>
  </si>
  <si>
    <t>Al-Sadd</t>
  </si>
  <si>
    <t>Manchester United</t>
  </si>
  <si>
    <t>Real Madrid</t>
  </si>
  <si>
    <t>Al-Hilal</t>
  </si>
  <si>
    <t>Atlético Madrid</t>
  </si>
  <si>
    <t>Chelsea</t>
  </si>
  <si>
    <t>Ajax</t>
  </si>
  <si>
    <t>Borussia Dortmund</t>
  </si>
  <si>
    <t>Juventus</t>
  </si>
  <si>
    <t>Paris Saint-Germain</t>
  </si>
  <si>
    <t>Tottenham Hotspur</t>
  </si>
  <si>
    <t>Arsenal</t>
  </si>
  <si>
    <t>Sevilla</t>
  </si>
  <si>
    <t>Brighton &amp; Hove Albion</t>
  </si>
  <si>
    <t>Club Brugge</t>
  </si>
  <si>
    <t>Rennes</t>
  </si>
  <si>
    <t>Al-Duhail</t>
  </si>
  <si>
    <t>Al-Nassr</t>
  </si>
  <si>
    <t>Eintracht Frankfurt</t>
  </si>
  <si>
    <t>Leicester City</t>
  </si>
  <si>
    <t>Liverpool</t>
  </si>
  <si>
    <t>Milan</t>
  </si>
  <si>
    <t>RB Leipzig</t>
  </si>
  <si>
    <t>Benfica</t>
  </si>
  <si>
    <t>Borussia Mönchengladbach</t>
  </si>
  <si>
    <t>Brentford</t>
  </si>
  <si>
    <t>CF Montréal</t>
  </si>
  <si>
    <t>Fulham</t>
  </si>
  <si>
    <t>Herediano</t>
  </si>
  <si>
    <t>Internazionale</t>
  </si>
  <si>
    <t>Jeonbuk Hyundai Motors</t>
  </si>
  <si>
    <t>Monaco</t>
  </si>
  <si>
    <t>Porto</t>
  </si>
  <si>
    <t>AEK Athens</t>
  </si>
  <si>
    <t>Al-Shabab</t>
  </si>
  <si>
    <t>Dinamo Zagreb</t>
  </si>
  <si>
    <t>Galatasaray</t>
  </si>
  <si>
    <t>Los Angeles FC</t>
  </si>
  <si>
    <t>Marseille</t>
  </si>
  <si>
    <t>Monterrey</t>
  </si>
  <si>
    <t>Napoli</t>
  </si>
  <si>
    <t>Newcastle United</t>
  </si>
  <si>
    <t>Nottingham Forest</t>
  </si>
  <si>
    <t>Real Betis</t>
  </si>
  <si>
    <t>SC Freiburg</t>
  </si>
  <si>
    <t>Torino</t>
  </si>
  <si>
    <t>Villarreal</t>
  </si>
  <si>
    <t>West Ham United</t>
  </si>
  <si>
    <t>Wolverhampton Wanderers</t>
  </si>
  <si>
    <t>Aston Villa</t>
  </si>
  <si>
    <t>Atalanta</t>
  </si>
  <si>
    <t>Bayer Leverkusen</t>
  </si>
  <si>
    <t>Beşiktaş</t>
  </si>
  <si>
    <t>Celtic</t>
  </si>
  <si>
    <t>Everton</t>
  </si>
  <si>
    <t>Fiorentina</t>
  </si>
  <si>
    <t>Flamengo</t>
  </si>
  <si>
    <t>Hellas Verona</t>
  </si>
  <si>
    <t>Olympiacos</t>
  </si>
  <si>
    <t>Persepolis</t>
  </si>
  <si>
    <t>PSV Eindhoven</t>
  </si>
  <si>
    <t>Red Bull Salzburg</t>
  </si>
  <si>
    <t>Roma</t>
  </si>
  <si>
    <t>Seattle Sounders FC</t>
  </si>
  <si>
    <t>Sporting CP</t>
  </si>
  <si>
    <t>Valencia</t>
  </si>
  <si>
    <t>Alajuelense</t>
  </si>
  <si>
    <t>Al-Gharafa</t>
  </si>
  <si>
    <t>América</t>
  </si>
  <si>
    <t>Antwerp</t>
  </si>
  <si>
    <t>Athletic Bilbao</t>
  </si>
  <si>
    <t>Central Coast Mariners</t>
  </si>
  <si>
    <t>Copenhagen</t>
  </si>
  <si>
    <t>Cruz Azul</t>
  </si>
  <si>
    <t>Espérance de Tunis</t>
  </si>
  <si>
    <t>Esteghlal</t>
  </si>
  <si>
    <t>FC Augsburg</t>
  </si>
  <si>
    <t>Feyenoord</t>
  </si>
  <si>
    <t>Genk</t>
  </si>
  <si>
    <t>Heart of Midlothian</t>
  </si>
  <si>
    <t>Leeds United</t>
  </si>
  <si>
    <t>Lens</t>
  </si>
  <si>
    <t>León</t>
  </si>
  <si>
    <t>Mainz 05</t>
  </si>
  <si>
    <t>Nacional</t>
  </si>
  <si>
    <t>Pachuca</t>
  </si>
  <si>
    <t>Reading</t>
  </si>
  <si>
    <t>Red Star Belgrade</t>
  </si>
  <si>
    <t>Salernitana</t>
  </si>
  <si>
    <t>Sampdoria</t>
  </si>
  <si>
    <t>Saprissa</t>
  </si>
  <si>
    <t>Swansea City</t>
  </si>
  <si>
    <t>Toronto FC</t>
  </si>
  <si>
    <t>Ulsan Hyundai</t>
  </si>
  <si>
    <t>VfB Stuttgart</t>
  </si>
  <si>
    <t>VfL Wolfsburg</t>
  </si>
  <si>
    <t>Wydad AC</t>
  </si>
  <si>
    <t>Young Boys</t>
  </si>
  <si>
    <t>1899 Hoffenheim</t>
  </si>
  <si>
    <t>Abha</t>
  </si>
  <si>
    <t>Al-Ahli</t>
  </si>
  <si>
    <t>Al-Ahli Doha</t>
  </si>
  <si>
    <t>Al-Arabi</t>
  </si>
  <si>
    <t>Al-Ittihad</t>
  </si>
  <si>
    <t>Al-Rayyan</t>
  </si>
  <si>
    <t>Al-Wehda</t>
  </si>
  <si>
    <t>Anderlecht</t>
  </si>
  <si>
    <t>Angers</t>
  </si>
  <si>
    <t>Basel</t>
  </si>
  <si>
    <t>Birmingham City</t>
  </si>
  <si>
    <t>Bologna</t>
  </si>
  <si>
    <t>Bournemouth</t>
  </si>
  <si>
    <t>Braga</t>
  </si>
  <si>
    <t>Brøndby</t>
  </si>
  <si>
    <t>Burnley</t>
  </si>
  <si>
    <t>Cardiff City</t>
  </si>
  <si>
    <t>Celta Vigo</t>
  </si>
  <si>
    <t>Clermont</t>
  </si>
  <si>
    <t>Club Africain</t>
  </si>
  <si>
    <t>Crystal Palace</t>
  </si>
  <si>
    <t>Dundee United</t>
  </si>
  <si>
    <t>FC Seoul</t>
  </si>
  <si>
    <t>Fenerbahçe</t>
  </si>
  <si>
    <t>Getafe</t>
  </si>
  <si>
    <t>Guadalajara</t>
  </si>
  <si>
    <t>Kawasaki Frontale</t>
  </si>
  <si>
    <t>Kayserispor</t>
  </si>
  <si>
    <t>Kuwait SC</t>
  </si>
  <si>
    <t>Lazio</t>
  </si>
  <si>
    <t>Legia Warsaw</t>
  </si>
  <si>
    <t>Lille</t>
  </si>
  <si>
    <t>Luton Town</t>
  </si>
  <si>
    <t>Luzern</t>
  </si>
  <si>
    <t>Lyon</t>
  </si>
  <si>
    <t>Mallorca</t>
  </si>
  <si>
    <t>Melbourne City</t>
  </si>
  <si>
    <t>Montpellier</t>
  </si>
  <si>
    <t>Nashville SC</t>
  </si>
  <si>
    <t>Nice</t>
  </si>
  <si>
    <t>OB</t>
  </si>
  <si>
    <t>Osasuna</t>
  </si>
  <si>
    <t>Queens Park Rangers</t>
  </si>
  <si>
    <t>River Plate</t>
  </si>
  <si>
    <t>Santos Laguna</t>
  </si>
  <si>
    <t>Sepahan</t>
  </si>
  <si>
    <t>Sheffield United</t>
  </si>
  <si>
    <t>Southampton</t>
  </si>
  <si>
    <t>Spezia</t>
  </si>
  <si>
    <t>Strasbourg</t>
  </si>
  <si>
    <t>Sunderland</t>
  </si>
  <si>
    <t>Trabzonspor</t>
  </si>
  <si>
    <t>Troyes</t>
  </si>
  <si>
    <t>Valladolid</t>
  </si>
  <si>
    <t>Werder Bremen</t>
  </si>
  <si>
    <t>1. FC Köln</t>
  </si>
  <si>
    <t>Adelaide United</t>
  </si>
  <si>
    <t>AFC Wimbledon</t>
  </si>
  <si>
    <t>Al Ahly</t>
  </si>
  <si>
    <t>Alanyaspor</t>
  </si>
  <si>
    <t>Albirex Niigata</t>
  </si>
  <si>
    <t>Al-Ettifaq</t>
  </si>
  <si>
    <t>Al-Fateh</t>
  </si>
  <si>
    <t>Almería</t>
  </si>
  <si>
    <t>Al-Tai</t>
  </si>
  <si>
    <t>Al-Wakrah</t>
  </si>
  <si>
    <t>Amiens</t>
  </si>
  <si>
    <t>Antalyaspor</t>
  </si>
  <si>
    <t>Aris</t>
  </si>
  <si>
    <t>Asante Kotoko</t>
  </si>
  <si>
    <t>Athletico Paranaense</t>
  </si>
  <si>
    <t>Atlanta United FC</t>
  </si>
  <si>
    <t>Atromitos</t>
  </si>
  <si>
    <t>Aucas</t>
  </si>
  <si>
    <t>Auxerre</t>
  </si>
  <si>
    <t>Bari</t>
  </si>
  <si>
    <t>Benevento</t>
  </si>
  <si>
    <t>Brescia</t>
  </si>
  <si>
    <t>Brest</t>
  </si>
  <si>
    <t>Bristol City</t>
  </si>
  <si>
    <t>Cádiz</t>
  </si>
  <si>
    <t>Caen</t>
  </si>
  <si>
    <t>Cartaginés</t>
  </si>
  <si>
    <t>Cercle Brugge</t>
  </si>
  <si>
    <t>Charleroi</t>
  </si>
  <si>
    <t>Charlotte FC</t>
  </si>
  <si>
    <t>Chaves</t>
  </si>
  <si>
    <t>Chicago Fire FC</t>
  </si>
  <si>
    <t>Colombe Sportive</t>
  </si>
  <si>
    <t>Columbus Crew</t>
  </si>
  <si>
    <t>Coton Sport</t>
  </si>
  <si>
    <t>Cremonese</t>
  </si>
  <si>
    <t>CS Sfaxien</t>
  </si>
  <si>
    <t>Daegu FC</t>
  </si>
  <si>
    <t>Daejeon Hana Citizen</t>
  </si>
  <si>
    <t>Deinze</t>
  </si>
  <si>
    <t>Dynamo Moscow</t>
  </si>
  <si>
    <t>Espanyol</t>
  </si>
  <si>
    <t>Étoile du Sahel</t>
  </si>
  <si>
    <t>Eupen</t>
  </si>
  <si>
    <t>Fagiano Okayama</t>
  </si>
  <si>
    <t>FC Cincinnati</t>
  </si>
  <si>
    <t>FC Dallas</t>
  </si>
  <si>
    <t>FC St. Pauli</t>
  </si>
  <si>
    <t>FC Tokyo</t>
  </si>
  <si>
    <t>Ferencváros</t>
  </si>
  <si>
    <t>Fortuna Düsseldorf</t>
  </si>
  <si>
    <t>Gamba Osaka</t>
  </si>
  <si>
    <t>Gent</t>
  </si>
  <si>
    <t>Gimcheon Sangmu</t>
  </si>
  <si>
    <t>Guanacasteca</t>
  </si>
  <si>
    <t>Hajduk Split</t>
  </si>
  <si>
    <t>Hannover 96</t>
  </si>
  <si>
    <t>Hatayspor</t>
  </si>
  <si>
    <t>Hearts of Oak</t>
  </si>
  <si>
    <t>Heerenveen</t>
  </si>
  <si>
    <t>Hertha BSC</t>
  </si>
  <si>
    <t>Hibernian</t>
  </si>
  <si>
    <t>Houston Dynamo FC</t>
  </si>
  <si>
    <t>Huddersfield Town</t>
  </si>
  <si>
    <t>Imbabura</t>
  </si>
  <si>
    <t>Independiente</t>
  </si>
  <si>
    <t>Independiente del Valle</t>
  </si>
  <si>
    <t>Inter Miami CF</t>
  </si>
  <si>
    <t>Juárez</t>
  </si>
  <si>
    <t>Konyaspor</t>
  </si>
  <si>
    <t>LA Galaxy</t>
  </si>
  <si>
    <t>LDU Quito</t>
  </si>
  <si>
    <t>Lech Poznań</t>
  </si>
  <si>
    <t>Leganés</t>
  </si>
  <si>
    <t>Lorient</t>
  </si>
  <si>
    <t>Lugano</t>
  </si>
  <si>
    <t>Lugo</t>
  </si>
  <si>
    <t>Mechelen</t>
  </si>
  <si>
    <t>Middlesbrough</t>
  </si>
  <si>
    <t>Millonarios</t>
  </si>
  <si>
    <t>Milton Keynes Dons</t>
  </si>
  <si>
    <t>Minnesota United FC</t>
  </si>
  <si>
    <t>Municipal Grecia</t>
  </si>
  <si>
    <t>Nagoya Grampus</t>
  </si>
  <si>
    <t>Nantes</t>
  </si>
  <si>
    <t>New York City FC</t>
  </si>
  <si>
    <t>New York Red Bulls</t>
  </si>
  <si>
    <t>Newell's Old Boys</t>
  </si>
  <si>
    <t>Norwich City</t>
  </si>
  <si>
    <t>Omonia</t>
  </si>
  <si>
    <t>Orlando City SC</t>
  </si>
  <si>
    <t>Osijek</t>
  </si>
  <si>
    <t>Pafos</t>
  </si>
  <si>
    <t>Palmeiras</t>
  </si>
  <si>
    <t>Panetolikos</t>
  </si>
  <si>
    <t>PAOK</t>
  </si>
  <si>
    <t>Philadelphia Union</t>
  </si>
  <si>
    <t>Pogoń Szczecin</t>
  </si>
  <si>
    <t>Ponferradina</t>
  </si>
  <si>
    <t>Portsmouth</t>
  </si>
  <si>
    <t>Puntarenas</t>
  </si>
  <si>
    <t>Qatar SC</t>
  </si>
  <si>
    <t>Rangers</t>
  </si>
  <si>
    <t>Rayo Vallecano</t>
  </si>
  <si>
    <t>Real Salt Lake</t>
  </si>
  <si>
    <t>Real Sociedad</t>
  </si>
  <si>
    <t>Reims</t>
  </si>
  <si>
    <t>San Carlos</t>
  </si>
  <si>
    <t>São Paulo</t>
  </si>
  <si>
    <t>Sassuolo</t>
  </si>
  <si>
    <t>Schalke 04</t>
  </si>
  <si>
    <t>Shabab Al-Ahli</t>
  </si>
  <si>
    <t>Shandong Taishan</t>
  </si>
  <si>
    <t>Shanghai Shenhua</t>
  </si>
  <si>
    <t>Shimizu S-Pulse</t>
  </si>
  <si>
    <t>Shonan Bellmare</t>
  </si>
  <si>
    <t>Sint-Truiden</t>
  </si>
  <si>
    <t>St Johnstone</t>
  </si>
  <si>
    <t>St Mirren</t>
  </si>
  <si>
    <t>St. Gallen</t>
  </si>
  <si>
    <t>Standard Liège</t>
  </si>
  <si>
    <t>Stoke City</t>
  </si>
  <si>
    <t>Swindon Town</t>
  </si>
  <si>
    <t>Sydney FC</t>
  </si>
  <si>
    <t>Talleres</t>
  </si>
  <si>
    <t>Toulouse</t>
  </si>
  <si>
    <t>Udinese</t>
  </si>
  <si>
    <t>UNAM</t>
  </si>
  <si>
    <t>Union Berlin</t>
  </si>
  <si>
    <t>Urawa Red Diamonds</t>
  </si>
  <si>
    <t>US Monastir</t>
  </si>
  <si>
    <t>Vancouver Whitecaps FC</t>
  </si>
  <si>
    <t>Vejle</t>
  </si>
  <si>
    <t>Vélez Sarsfield</t>
  </si>
  <si>
    <t>VfL Bochum</t>
  </si>
  <si>
    <t>Watford</t>
  </si>
  <si>
    <t>Zamalek</t>
  </si>
  <si>
    <t>Zenit Saint Petersburg</t>
  </si>
  <si>
    <t>0</t>
  </si>
  <si>
    <t>1</t>
  </si>
  <si>
    <t>Average Attendance at Knock Out Stage</t>
  </si>
  <si>
    <t>Round</t>
  </si>
  <si>
    <t>Merged</t>
  </si>
  <si>
    <t>('Group A',</t>
  </si>
  <si>
    <t>'Match 1',</t>
  </si>
  <si>
    <t>1,</t>
  </si>
  <si>
    <t>'2022-11-20',</t>
  </si>
  <si>
    <t>'16:00',</t>
  </si>
  <si>
    <t>'Qatar',</t>
  </si>
  <si>
    <t>0,</t>
  </si>
  <si>
    <t>2,</t>
  </si>
  <si>
    <t>'Ecuador',</t>
  </si>
  <si>
    <t>'Al Bayt Stadium',</t>
  </si>
  <si>
    <t>67372,</t>
  </si>
  <si>
    <t>2)</t>
  </si>
  <si>
    <t>('Group A', 'Match 1', 1, '2022-11-20', '16:00', 'Qatar', 0, 2, 'Ecuador', 'Al Bayt Stadium', 67372, 2)</t>
  </si>
  <si>
    <t>'2022-11-21',</t>
  </si>
  <si>
    <t>'Senegal',</t>
  </si>
  <si>
    <t>'Netherlands',</t>
  </si>
  <si>
    <t>'Al Thumama Stadium',</t>
  </si>
  <si>
    <t>41721,</t>
  </si>
  <si>
    <t>('Group A', 'Match 1', 2, '2022-11-21', '16:00', 'Senegal', 0, 2, 'Netherlands', 'Al Thumama Stadium', 41721, 2)</t>
  </si>
  <si>
    <t>('Group B',</t>
  </si>
  <si>
    <t>3,</t>
  </si>
  <si>
    <t>'13:00',</t>
  </si>
  <si>
    <t>'England',</t>
  </si>
  <si>
    <t>6,</t>
  </si>
  <si>
    <t>'Iran',</t>
  </si>
  <si>
    <t>'Khalifa International Stadium',</t>
  </si>
  <si>
    <t>45334,</t>
  </si>
  <si>
    <t>8)</t>
  </si>
  <si>
    <t>('Group B', 'Match 1', 3, '2022-11-21', '13:00', 'England', 6, 2, 'Iran', 'Khalifa International Stadium', 45334, 8)</t>
  </si>
  <si>
    <t>4,</t>
  </si>
  <si>
    <t>'19:00',</t>
  </si>
  <si>
    <t>'USA',</t>
  </si>
  <si>
    <t>'Wales',</t>
  </si>
  <si>
    <t>'Ahmad Bin Stadium',</t>
  </si>
  <si>
    <t>43418,</t>
  </si>
  <si>
    <t>('Group B', 'Match 1', 4, '2022-11-21', '19:00', 'USA', 1, 1, 'Wales', 'Ahmad Bin Stadium', 43418, 2)</t>
  </si>
  <si>
    <t>('Group C',</t>
  </si>
  <si>
    <t>5,</t>
  </si>
  <si>
    <t>'2022-11-22',</t>
  </si>
  <si>
    <t>'10:00',</t>
  </si>
  <si>
    <t>'Argentina',</t>
  </si>
  <si>
    <t>'Saudi Arabia',</t>
  </si>
  <si>
    <t>'Lisail Stadium',</t>
  </si>
  <si>
    <t>88012,</t>
  </si>
  <si>
    <t>3)</t>
  </si>
  <si>
    <t>('Group C', 'Match 1', 5, '2022-11-22', '10:00', 'Argentina', 1, 2, 'Saudi Arabia', 'Lisail Stadium', 88012, 3)</t>
  </si>
  <si>
    <t>('Group D',</t>
  </si>
  <si>
    <t>'Denmark',</t>
  </si>
  <si>
    <t>'Tunisia',</t>
  </si>
  <si>
    <t>'Education City Stadium',</t>
  </si>
  <si>
    <t>42925,</t>
  </si>
  <si>
    <t>0)</t>
  </si>
  <si>
    <t>('Group D', 'Match 1', 6, '2022-11-22', '13:00', 'Denmark', 0, 0, 'Tunisia', 'Education City Stadium', 42925, 0)</t>
  </si>
  <si>
    <t>7,</t>
  </si>
  <si>
    <t>'Mexico',</t>
  </si>
  <si>
    <t>'Poland',</t>
  </si>
  <si>
    <t>'974 Stadium',</t>
  </si>
  <si>
    <t>39369,</t>
  </si>
  <si>
    <t>('Group C', 'Match 1', 7, '2022-11-22', '16:00', 'Mexico', 0, 0, 'Poland', '974 Stadium', 39369, 0)</t>
  </si>
  <si>
    <t>8,</t>
  </si>
  <si>
    <t>'France',</t>
  </si>
  <si>
    <t>'Australia',</t>
  </si>
  <si>
    <t>'Al Janoub Stadium',</t>
  </si>
  <si>
    <t>40875,</t>
  </si>
  <si>
    <t>5)</t>
  </si>
  <si>
    <t>('Group D', 'Match 1', 8, '2022-11-22', '19:00', 'France', 4, 1, 'Australia', 'Al Janoub Stadium', 40875, 5)</t>
  </si>
  <si>
    <t>('Group F',</t>
  </si>
  <si>
    <t>9,</t>
  </si>
  <si>
    <t>'2022-11-23',</t>
  </si>
  <si>
    <t>'Morocco',</t>
  </si>
  <si>
    <t>'Croatia',</t>
  </si>
  <si>
    <t>59407,</t>
  </si>
  <si>
    <t>('Group F', 'Match 1', 9, '2022-11-23', '10:00', 'Morocco', 0, 0, 'Croatia', 'Al Bayt Stadium', 59407, 0)</t>
  </si>
  <si>
    <t>('Group E',</t>
  </si>
  <si>
    <t>10,</t>
  </si>
  <si>
    <t>'Germany',</t>
  </si>
  <si>
    <t>'Japan',</t>
  </si>
  <si>
    <t>42608,</t>
  </si>
  <si>
    <t>('Group E', 'Match 1', 10, '2022-11-23', '13:00', 'Germany', 1, 2, 'Japan', 'Khalifa International Stadium', 42608, 3)</t>
  </si>
  <si>
    <t>11,</t>
  </si>
  <si>
    <t>'Spain',</t>
  </si>
  <si>
    <t>'Costa Rica',</t>
  </si>
  <si>
    <t>40013,</t>
  </si>
  <si>
    <t>7)</t>
  </si>
  <si>
    <t>('Group E', 'Match 1', 11, '2022-11-23', '16:00', 'Spain', 7, 0, 'Costa Rica', 'Al Thumama Stadium', 40013, 7)</t>
  </si>
  <si>
    <t>12,</t>
  </si>
  <si>
    <t>'Belgium',</t>
  </si>
  <si>
    <t>'Canada',</t>
  </si>
  <si>
    <t>40432,</t>
  </si>
  <si>
    <t>1)</t>
  </si>
  <si>
    <t>('Group F', 'Match 1', 12, '2022-11-23', '19:00', 'Belgium', 1, 0, 'Canada', 'Ahmad Bin Stadium', 40432, 1)</t>
  </si>
  <si>
    <t>('Group G',</t>
  </si>
  <si>
    <t>13,</t>
  </si>
  <si>
    <t>'2022-11-24',</t>
  </si>
  <si>
    <t>'Switzerland',</t>
  </si>
  <si>
    <t>'Cameroon',</t>
  </si>
  <si>
    <t>39089,</t>
  </si>
  <si>
    <t>('Group G', 'Match 1', 13, '2022-11-24', '10:00', 'Switzerland', 1, 0, 'Cameroon', 'Al Janoub Stadium', 39089, 1)</t>
  </si>
  <si>
    <t>('Group H',</t>
  </si>
  <si>
    <t>14,</t>
  </si>
  <si>
    <t>'Uruguay',</t>
  </si>
  <si>
    <t>'Korea Rep',</t>
  </si>
  <si>
    <t>41663,</t>
  </si>
  <si>
    <t>('Group H', 'Match 1', 14, '2022-11-24', '13:00', 'Uruguay', 0, 0, 'Korea Rep', 'Education City Stadium', 41663, 0)</t>
  </si>
  <si>
    <t>15,</t>
  </si>
  <si>
    <t>'Portugal',</t>
  </si>
  <si>
    <t>'Ghana',</t>
  </si>
  <si>
    <t>42662,</t>
  </si>
  <si>
    <t>('Group H', 'Match 1', 15, '2022-11-24', '16:00', 'Portugal', 3, 2, 'Ghana', '974 Stadium', 42662, 5)</t>
  </si>
  <si>
    <t>16,</t>
  </si>
  <si>
    <t>'Brasil',</t>
  </si>
  <si>
    <t>'Serbia',</t>
  </si>
  <si>
    <t>88103,</t>
  </si>
  <si>
    <t>('Group G', 'Match 1', 16, '2022-11-24', '19:00', 'Brasil', 2, 0, 'Serbia', 'Lisail Stadium', 88103, 2)</t>
  </si>
  <si>
    <t>'Match 2',</t>
  </si>
  <si>
    <t>17,</t>
  </si>
  <si>
    <t>'2022-11-25',</t>
  </si>
  <si>
    <t>('Group B', 'Match 2', 17, '2022-11-25', '10:00', 'Wales', 0, 2, 'Iran', 'Ahmad Bin Stadium', 40875, 2)</t>
  </si>
  <si>
    <t>18,</t>
  </si>
  <si>
    <t>41797,</t>
  </si>
  <si>
    <t>4)</t>
  </si>
  <si>
    <t>('Group A', 'Match 2', 18, '2022-11-25', '13:00', 'Qatar', 1, 3, 'Senegal', 'Al Thumama Stadium', 41797, 4)</t>
  </si>
  <si>
    <t>19,</t>
  </si>
  <si>
    <t>44833,</t>
  </si>
  <si>
    <t>('Group A', 'Match 2', 19, '2022-11-25', '16:00', 'Netherlands', 1, 1, 'Ecuador', 'Khalifa International Stadium', 44833, 2)</t>
  </si>
  <si>
    <t>20,</t>
  </si>
  <si>
    <t>68463,</t>
  </si>
  <si>
    <t>('Group B', 'Match 2', 20, '2022-11-25', '19:00', 'England', 0, 0, 'USA', 'Al Bayt Stadium', 68463, 0)</t>
  </si>
  <si>
    <t>21,</t>
  </si>
  <si>
    <t>'2022-11-26',</t>
  </si>
  <si>
    <t>41823,</t>
  </si>
  <si>
    <t>('Group D', 'Match 2', 21, '2022-11-26', '10:00', 'Tunisia', 0, 1, 'Australia', 'Al Janoub Stadium', 41823, 1)</t>
  </si>
  <si>
    <t>22,</t>
  </si>
  <si>
    <t>44259,</t>
  </si>
  <si>
    <t>('Group C', 'Match 2', 22, '2022-11-26', '13:00', 'Poland', 2, 0, 'Saudi Arabia', 'Education City Stadium', 44259, 2)</t>
  </si>
  <si>
    <t>23,</t>
  </si>
  <si>
    <t>42860,</t>
  </si>
  <si>
    <t>('Group D', 'Match 2', 23, '2022-11-26', '16:00', 'France', 2, 1, 'Denmark', '974 Stadium', 42860, 3)</t>
  </si>
  <si>
    <t>24,</t>
  </si>
  <si>
    <t>88966,</t>
  </si>
  <si>
    <t>('Group C', 'Match 2', 24, '2022-11-26', '19:00', 'Argentina', 2, 0, 'Mexico', 'Lisail Stadium', 88966, 2)</t>
  </si>
  <si>
    <t>25,</t>
  </si>
  <si>
    <t>'2022-11-27',</t>
  </si>
  <si>
    <t>41479,</t>
  </si>
  <si>
    <t>('Group E', 'Match 2', 25, '2022-11-27', '10:00', 'Japan', 0, 1, 'Costa Rica', 'Ahmad Bin Stadium', 41479, 1)</t>
  </si>
  <si>
    <t>26,</t>
  </si>
  <si>
    <t>43738,</t>
  </si>
  <si>
    <t>('Group F', 'Match 2', 26, '2022-11-27', '13:00', 'Belgium', 0, 2, 'Morocco', 'Al Thumama Stadium', 43738, 2)</t>
  </si>
  <si>
    <t>27,</t>
  </si>
  <si>
    <t>44374,</t>
  </si>
  <si>
    <t>('Group F', 'Match 2', 27, '2022-11-27', '16:00', 'Croatia', 4, 1, 'Canada', 'Khalifa International Stadium', 44374, 5)</t>
  </si>
  <si>
    <t>28,</t>
  </si>
  <si>
    <t>68895,</t>
  </si>
  <si>
    <t>('Group E', 'Match 2', 28, '2022-11-27', '19:00', 'Spain', 1, 1, 'Germany', 'Al Bayt Stadium', 68895, 2)</t>
  </si>
  <si>
    <t>29,</t>
  </si>
  <si>
    <t>'2022-11-28',</t>
  </si>
  <si>
    <t>39789,</t>
  </si>
  <si>
    <t>6)</t>
  </si>
  <si>
    <t>('Group G', 'Match 2', 29, '2022-11-28', '10:00', 'Cameroon', 3, 3, 'Serbia', 'Al Janoub Stadium', 39789, 6)</t>
  </si>
  <si>
    <t>30,</t>
  </si>
  <si>
    <t>43983,</t>
  </si>
  <si>
    <t>('Group H', 'Match 2', 30, '2022-11-28', '13:00', 'Korea Rep', 2, 3, 'Ghana', 'Education City Stadium', 43983, 5)</t>
  </si>
  <si>
    <t>31,</t>
  </si>
  <si>
    <t>43649,</t>
  </si>
  <si>
    <t>('Group G', 'Match 2', 31, '2022-11-28', '16:00', 'Brasil', 1, 0, 'Switzerland', '974 Stadium', 43649, 1)</t>
  </si>
  <si>
    <t>32,</t>
  </si>
  <si>
    <t>88668,</t>
  </si>
  <si>
    <t>('Group H', 'Match 2', 32, '2022-11-28', '19:00', 'Portugal', 2, 0, 'Uruguay', 'Lisail Stadium', 88668, 2)</t>
  </si>
  <si>
    <t>'Match 3',</t>
  </si>
  <si>
    <t>33,</t>
  </si>
  <si>
    <t>'2022-11-29',</t>
  </si>
  <si>
    <t>'15:00',</t>
  </si>
  <si>
    <t>44569,</t>
  </si>
  <si>
    <t>('Group A', 'Match 3', 33, '2022-11-29', '15:00', 'Ecuador', 1, 2, 'Senegal', 'Khalifa International Stadium', 44569, 3)</t>
  </si>
  <si>
    <t>34,</t>
  </si>
  <si>
    <t>66784,</t>
  </si>
  <si>
    <t>('Group A', 'Match 3', 34, '2022-11-29', '15:00', 'Netherlands', 2, 0, 'Qatar', 'Al Bayt Stadium', 66784, 2)</t>
  </si>
  <si>
    <t>35,</t>
  </si>
  <si>
    <t>42127,</t>
  </si>
  <si>
    <t>('Group B', 'Match 3', 35, '2022-11-29', '19:00', 'Iran', 0, 1, 'USA', 'Al Thumama Stadium', 42127, 1)</t>
  </si>
  <si>
    <t>36,</t>
  </si>
  <si>
    <t>44297,</t>
  </si>
  <si>
    <t>('Group B', 'Match 3', 36, '2022-11-29', '19:00', 'Wales', 0, 3, 'England', 'Ahmad Bin Stadium', 44297, 3)</t>
  </si>
  <si>
    <t>37,</t>
  </si>
  <si>
    <t>'2022-11-30',</t>
  </si>
  <si>
    <t>41232,</t>
  </si>
  <si>
    <t>('Group D', 'Match 3', 37, '2022-11-30', '15:00', 'Australia', 1, 0, 'Denmark', 'Al Janoub Stadium', 41232, 1)</t>
  </si>
  <si>
    <t>38,</t>
  </si>
  <si>
    <t>43627,</t>
  </si>
  <si>
    <t>('Group D', 'Match 3', 38, '2022-11-30', '15:00', 'Tunisia', 1, 0, 'France', 'Education City Stadium', 43627, 1)</t>
  </si>
  <si>
    <t>39,</t>
  </si>
  <si>
    <t>44089,</t>
  </si>
  <si>
    <t>('Group C', 'Match 3', 39, '2022-11-30', '19:00', 'Poland', 0, 2, 'Argentina', '974 Stadium', 44089, 2)</t>
  </si>
  <si>
    <t>40,</t>
  </si>
  <si>
    <t>84985,</t>
  </si>
  <si>
    <t>('Group C', 'Match 3', 40, '2022-11-30', '19:00', 'Saudi Arabia', 1, 2, 'Mexico', 'Lisail Stadium', 84985, 3)</t>
  </si>
  <si>
    <t>41,</t>
  </si>
  <si>
    <t>'2022-12-01',</t>
  </si>
  <si>
    <t>43102,</t>
  </si>
  <si>
    <t>('Group F', 'Match 3', 41, '2022-12-01', '15:00', 'Canada', 1, 2, 'Morocco', 'Al Thumama Stadium', 43102, 3)</t>
  </si>
  <si>
    <t>42,</t>
  </si>
  <si>
    <t>43984,</t>
  </si>
  <si>
    <t>('Group F', 'Match 3', 42, '2022-12-01', '15:00', 'Croatia', 0, 0, 'Belgium', 'Ahmad Bin Stadium', 43984, 0)</t>
  </si>
  <si>
    <t>43,</t>
  </si>
  <si>
    <t>67054,</t>
  </si>
  <si>
    <t>('Group E', 'Match 3', 43, '2022-12-01', '19:00', 'Costa Rica', 2, 4, 'Germany', 'Al Bayt Stadium', 67054, 6)</t>
  </si>
  <si>
    <t>44,</t>
  </si>
  <si>
    <t>44851,</t>
  </si>
  <si>
    <t>('Group E', 'Match 3', 44, '2022-12-01', '19:00', 'Japan', 2, 1, 'Spain', 'Khalifa International Stadium', 44851, 3)</t>
  </si>
  <si>
    <t>45,</t>
  </si>
  <si>
    <t>'2022-12-02',</t>
  </si>
  <si>
    <t>43443,</t>
  </si>
  <si>
    <t>('Group H', 'Match 3', 45, '2022-12-02', '15:00', 'Ghana', 0, 2, 'Uruguay', 'Al Janoub Stadium', 43443, 2)</t>
  </si>
  <si>
    <t>46,</t>
  </si>
  <si>
    <t>44097,</t>
  </si>
  <si>
    <t>('Group H', 'Match 3', 46, '2022-12-02', '15:00', 'Korea Rep', 2, 1, 'Portugal', 'Education City Stadium', 44097, 3)</t>
  </si>
  <si>
    <t>47,</t>
  </si>
  <si>
    <t>85986,</t>
  </si>
  <si>
    <t>('Group G', 'Match 3', 47, '2022-12-02', '19:00', 'Cameroon', 1, 0, 'Brasil', 'Lisail Stadium', 85986, 1)</t>
  </si>
  <si>
    <t>48,</t>
  </si>
  <si>
    <t>41378,</t>
  </si>
  <si>
    <t>('Group G', 'Match 3', 48, '2022-12-02', '19:00', 'Serbia', 2, 3, 'Switzerland', '974 Stadium', 41378, 5)</t>
  </si>
  <si>
    <t>('Knockout',</t>
  </si>
  <si>
    <t>'Round of 16',</t>
  </si>
  <si>
    <t>49,</t>
  </si>
  <si>
    <t>'2022-12-03',</t>
  </si>
  <si>
    <t>44846,</t>
  </si>
  <si>
    <t>('Knockout', 'Round of 16', 49, '2022-12-03', '15:00', 'Netherlands', 3, 1, 'USA', 'Khalifa International Stadium', 44846, 4)</t>
  </si>
  <si>
    <t>50,</t>
  </si>
  <si>
    <t>45032,</t>
  </si>
  <si>
    <t>('Knockout', 'Round of 16', 50, '2022-12-03', '19:00', 'Argentina', 2, 1, 'Australia', 'Ahmad Bin Stadium', 45032, 3)</t>
  </si>
  <si>
    <t>51,</t>
  </si>
  <si>
    <t>'2022-12-04',</t>
  </si>
  <si>
    <t>40989,</t>
  </si>
  <si>
    <t>('Knockout', 'Round of 16', 51, '2022-12-04', '15:00', 'France', 3, 1, 'Poland', 'Al Thumama Stadium', 40989, 4)</t>
  </si>
  <si>
    <t>52,</t>
  </si>
  <si>
    <t>65985,</t>
  </si>
  <si>
    <t>('Knockout', 'Round of 16', 52, '2022-12-04', '19:00', 'England', 3, 0, 'Senegal', 'Al Bayt Stadium', 65985, 3)</t>
  </si>
  <si>
    <t>53,</t>
  </si>
  <si>
    <t>'2022-12-05',</t>
  </si>
  <si>
    <t>42523,</t>
  </si>
  <si>
    <t>('Knockout', 'Round of 16', 53, '2022-12-05', '15:00', 'Japan', 1, 1, 'Croatia', 'Al Janoub Stadium', 42523, 2)</t>
  </si>
  <si>
    <t>54,</t>
  </si>
  <si>
    <t>43847,</t>
  </si>
  <si>
    <t>('Knockout', 'Round of 16', 54, '2022-12-05', '19:00', 'Brasil', 4, 1, 'Korea Rep', '974 Stadium', 43847, 5)</t>
  </si>
  <si>
    <t>55,</t>
  </si>
  <si>
    <t>'2022-12-06',</t>
  </si>
  <si>
    <t>44667,</t>
  </si>
  <si>
    <t>('Knockout', 'Round of 16', 55, '2022-12-06', '15:00', 'Morocco', 0, 0, 'Spain', 'Education City Stadium', 44667, 0)</t>
  </si>
  <si>
    <t>56,</t>
  </si>
  <si>
    <t>83720,</t>
  </si>
  <si>
    <t>('Knockout', 'Round of 16', 56, '2022-12-06', '19:00', 'Portugal', 6, 1, 'Switzerland', 'Lisail Stadium', 83720, 7)</t>
  </si>
  <si>
    <t>'Quarter Finals',</t>
  </si>
  <si>
    <t>57,</t>
  </si>
  <si>
    <t>'2022-12-09',</t>
  </si>
  <si>
    <t>43893,</t>
  </si>
  <si>
    <t>('Knockout', 'Quarter Finals', 57, '2022-12-09', '15:00', 'Croatia', 1, 1, 'Brasil', 'Education City Stadium', 43893, 2)</t>
  </si>
  <si>
    <t>58,</t>
  </si>
  <si>
    <t>88235,</t>
  </si>
  <si>
    <t>('Knockout', 'Quarter Finals', 58, '2022-12-09', '19:00', 'Netherlands', 2, 2, 'Argentina', 'Lisail Stadium', 88235, 4)</t>
  </si>
  <si>
    <t>59,</t>
  </si>
  <si>
    <t>'2022-12-10',</t>
  </si>
  <si>
    <t>44198,</t>
  </si>
  <si>
    <t>('Knockout', 'Quarter Finals', 59, '2022-12-10', '15:00', 'Morocco', 1, 0, 'Portugal', 'Al Thumama Stadium', 44198, 1)</t>
  </si>
  <si>
    <t>60,</t>
  </si>
  <si>
    <t>('Knockout', 'Quarter Finals', 60, '2022-12-10', '19:00', 'France', 2, 1, 'England', 'Al Bayt Stadium', 68895, 3)</t>
  </si>
  <si>
    <t>'Semi Finals',</t>
  </si>
  <si>
    <t>61,</t>
  </si>
  <si>
    <t>'2022-12-13',</t>
  </si>
  <si>
    <t>('Knockout', 'Semi Finals', 61, '2022-12-13', '19:00', 'Croatia', 0, 3, 'Argentina', 'Lisail Stadium', 88966, 3)</t>
  </si>
  <si>
    <t>62,</t>
  </si>
  <si>
    <t>'2022-12-14',</t>
  </si>
  <si>
    <t>68294,</t>
  </si>
  <si>
    <t>('Knockout', 'Semi Finals', 62, '2022-12-14', '19:00', 'Morocco', 0, 2, 'France', 'Al Bayt Stadium', 68294, 2)</t>
  </si>
  <si>
    <t>'3rd Place',</t>
  </si>
  <si>
    <t>63,</t>
  </si>
  <si>
    <t>'2022-12-17',</t>
  </si>
  <si>
    <t>44137,</t>
  </si>
  <si>
    <t>('Knockout', '3rd Place', 63, '2022-12-17', '15:00', 'Croatia', 2, 1, 'Morocco', 'Khalifa International Stadium', 44137, 3)</t>
  </si>
  <si>
    <t>'World Cup Final',</t>
  </si>
  <si>
    <t>64,</t>
  </si>
  <si>
    <t>'2022-12-18',</t>
  </si>
  <si>
    <t>('Knockout', 'World Cup Final', 64, '2022-12-18', '15:00', 'Argentina', 3, 3, 'France', 'Lisail Stadium', 88966, 6)</t>
  </si>
  <si>
    <t>('Total',</t>
  </si>
  <si>
    <t>'--',</t>
  </si>
  <si>
    <t>53191.4375,</t>
  </si>
  <si>
    <t>('Total', '--', 53191.4375,</t>
  </si>
  <si>
    <t>Club_ID</t>
  </si>
  <si>
    <t>ARG-01</t>
  </si>
  <si>
    <t>ARG-02</t>
  </si>
  <si>
    <t>ARG-03</t>
  </si>
  <si>
    <t>ARG-04</t>
  </si>
  <si>
    <t>ARG-05</t>
  </si>
  <si>
    <t>AUS-01</t>
  </si>
  <si>
    <t>BEL-01</t>
  </si>
  <si>
    <t>BRA-01</t>
  </si>
  <si>
    <t>CAM-01</t>
  </si>
  <si>
    <t>CHI-01</t>
  </si>
  <si>
    <t>AUS-02</t>
  </si>
  <si>
    <t>AUS-03</t>
  </si>
  <si>
    <t>AUS-04</t>
  </si>
  <si>
    <t>AST-01</t>
  </si>
  <si>
    <t>BEL-02</t>
  </si>
  <si>
    <t>BEL-03</t>
  </si>
  <si>
    <t>BEL-04</t>
  </si>
  <si>
    <t>BEL-05</t>
  </si>
  <si>
    <t>BEL-06</t>
  </si>
  <si>
    <t>BEL-07</t>
  </si>
  <si>
    <t>BEL-08</t>
  </si>
  <si>
    <t>BEL-09</t>
  </si>
  <si>
    <t>BEL-10</t>
  </si>
  <si>
    <t>BEL-11</t>
  </si>
  <si>
    <t>BEL-12</t>
  </si>
  <si>
    <t>BRA-02</t>
  </si>
  <si>
    <t>BRA-03</t>
  </si>
  <si>
    <t>BRA-04</t>
  </si>
  <si>
    <t>CAM-02</t>
  </si>
  <si>
    <t>CHI-02</t>
  </si>
  <si>
    <t>Col-01</t>
  </si>
  <si>
    <t>CRA-01</t>
  </si>
  <si>
    <t>CRA-02</t>
  </si>
  <si>
    <t>CRA-03</t>
  </si>
  <si>
    <t>CRA-04</t>
  </si>
  <si>
    <t>CRA-05</t>
  </si>
  <si>
    <t>CRA-06</t>
  </si>
  <si>
    <t>CRA-07</t>
  </si>
  <si>
    <t>CRA-08</t>
  </si>
  <si>
    <t>CRO-01</t>
  </si>
  <si>
    <t>CYP-01</t>
  </si>
  <si>
    <t>DEN-01</t>
  </si>
  <si>
    <t>ECU-01</t>
  </si>
  <si>
    <t>CRO-02</t>
  </si>
  <si>
    <t>CRO-03</t>
  </si>
  <si>
    <t>DEN-03</t>
  </si>
  <si>
    <t>DEN-02</t>
  </si>
  <si>
    <t>CYP-02</t>
  </si>
  <si>
    <t>DEN-04</t>
  </si>
  <si>
    <t>EGY-01</t>
  </si>
  <si>
    <t>ECU-02</t>
  </si>
  <si>
    <t>ECU-03</t>
  </si>
  <si>
    <t>ECU-04</t>
  </si>
  <si>
    <t>EGY-02</t>
  </si>
  <si>
    <t>ENG-01</t>
  </si>
  <si>
    <t>ENG-02</t>
  </si>
  <si>
    <t>ENG-03</t>
  </si>
  <si>
    <t>ENG-04</t>
  </si>
  <si>
    <t>ENG-05</t>
  </si>
  <si>
    <t>ENG-06</t>
  </si>
  <si>
    <t>ENG-07</t>
  </si>
  <si>
    <t>ENG-08</t>
  </si>
  <si>
    <t>ENG-09</t>
  </si>
  <si>
    <t>ENG-10</t>
  </si>
  <si>
    <t>ENG-11</t>
  </si>
  <si>
    <t>ENG-12</t>
  </si>
  <si>
    <t>ENG-13</t>
  </si>
  <si>
    <t>ENG-14</t>
  </si>
  <si>
    <t>ENG-15</t>
  </si>
  <si>
    <t>ENG-16</t>
  </si>
  <si>
    <t>ENG-17</t>
  </si>
  <si>
    <t>ENG-18</t>
  </si>
  <si>
    <t>ENG-19</t>
  </si>
  <si>
    <t>ENG-20</t>
  </si>
  <si>
    <t>ENG-21</t>
  </si>
  <si>
    <t>ENG-22</t>
  </si>
  <si>
    <t>ENG-23</t>
  </si>
  <si>
    <t>ENG-24</t>
  </si>
  <si>
    <t>ENG-25</t>
  </si>
  <si>
    <t>ENG-26</t>
  </si>
  <si>
    <t>ENG-27</t>
  </si>
  <si>
    <t>ENG-28</t>
  </si>
  <si>
    <t>ENG-29</t>
  </si>
  <si>
    <t>ENG-30</t>
  </si>
  <si>
    <t>ENG-31</t>
  </si>
  <si>
    <t>ENG-32</t>
  </si>
  <si>
    <t>ENG-33</t>
  </si>
  <si>
    <t>ENG-34</t>
  </si>
  <si>
    <t>ENG-35</t>
  </si>
  <si>
    <t>ENG-36</t>
  </si>
  <si>
    <t>ENG-37</t>
  </si>
  <si>
    <t>ENG-38</t>
  </si>
  <si>
    <t>ENG-39</t>
  </si>
  <si>
    <t>FRA-01</t>
  </si>
  <si>
    <t>FRA-02</t>
  </si>
  <si>
    <t>FRA-03</t>
  </si>
  <si>
    <t>FRA-04</t>
  </si>
  <si>
    <t>FRA-05</t>
  </si>
  <si>
    <t>FRA-06</t>
  </si>
  <si>
    <t>FRA-07</t>
  </si>
  <si>
    <t>FRA-08</t>
  </si>
  <si>
    <t>FRA-09</t>
  </si>
  <si>
    <t>FRA-10</t>
  </si>
  <si>
    <t>FRA-11</t>
  </si>
  <si>
    <t>FRA-12</t>
  </si>
  <si>
    <t>FRA-13</t>
  </si>
  <si>
    <t>FRA-14</t>
  </si>
  <si>
    <t>FRA-15</t>
  </si>
  <si>
    <t>FRA-16</t>
  </si>
  <si>
    <t>FRA-17</t>
  </si>
  <si>
    <t>FRA-18</t>
  </si>
  <si>
    <t>FRA-19</t>
  </si>
  <si>
    <t>FRA-20</t>
  </si>
  <si>
    <t>FRA-21</t>
  </si>
  <si>
    <t>GER-01</t>
  </si>
  <si>
    <t>GER-02</t>
  </si>
  <si>
    <t>GER-03</t>
  </si>
  <si>
    <t>GER-04</t>
  </si>
  <si>
    <t>GER-05</t>
  </si>
  <si>
    <t>GER-06</t>
  </si>
  <si>
    <t>GER-07</t>
  </si>
  <si>
    <t>GER-08</t>
  </si>
  <si>
    <t>GER-09</t>
  </si>
  <si>
    <t>GER-10</t>
  </si>
  <si>
    <t>GER-11</t>
  </si>
  <si>
    <t>GER-12</t>
  </si>
  <si>
    <t>GER-13</t>
  </si>
  <si>
    <t>GER-14</t>
  </si>
  <si>
    <t>GER-15</t>
  </si>
  <si>
    <t>GER-16</t>
  </si>
  <si>
    <t>GER-17</t>
  </si>
  <si>
    <t>GER-18</t>
  </si>
  <si>
    <t>GER-19</t>
  </si>
  <si>
    <t>GER-20</t>
  </si>
  <si>
    <t>GER-21</t>
  </si>
  <si>
    <t>GNA-01</t>
  </si>
  <si>
    <t>GNA-02</t>
  </si>
  <si>
    <t>GRE-01</t>
  </si>
  <si>
    <t>ITA-01</t>
  </si>
  <si>
    <t>GRE-02</t>
  </si>
  <si>
    <t>GRE-03</t>
  </si>
  <si>
    <t>GRE-04</t>
  </si>
  <si>
    <t>GRE-05</t>
  </si>
  <si>
    <t>GRE-06</t>
  </si>
  <si>
    <t>IRN-01</t>
  </si>
  <si>
    <t>IRN-02</t>
  </si>
  <si>
    <t>IRN-03</t>
  </si>
  <si>
    <t>ITA-02</t>
  </si>
  <si>
    <t>ITA-03</t>
  </si>
  <si>
    <t>ITA-04</t>
  </si>
  <si>
    <t>ITA-05</t>
  </si>
  <si>
    <t>ITA-06</t>
  </si>
  <si>
    <t>ITA-07</t>
  </si>
  <si>
    <t>ITA-08</t>
  </si>
  <si>
    <t>ITA-09</t>
  </si>
  <si>
    <t>ITA-10</t>
  </si>
  <si>
    <t>ITA-11</t>
  </si>
  <si>
    <t>ITA-12</t>
  </si>
  <si>
    <t>ITA-13</t>
  </si>
  <si>
    <t>ITA-14</t>
  </si>
  <si>
    <t>ITA-15</t>
  </si>
  <si>
    <t>ITA-16</t>
  </si>
  <si>
    <t>ITA-17</t>
  </si>
  <si>
    <t>ITA-18</t>
  </si>
  <si>
    <t>ITA-19</t>
  </si>
  <si>
    <t>ITA-20</t>
  </si>
  <si>
    <t>JPN-01</t>
  </si>
  <si>
    <t>JPN-02</t>
  </si>
  <si>
    <t>JPN-03</t>
  </si>
  <si>
    <t>JPN-04</t>
  </si>
  <si>
    <t>JPN-05</t>
  </si>
  <si>
    <t>JPN-06</t>
  </si>
  <si>
    <t>JPN-07</t>
  </si>
  <si>
    <t>JPN-08</t>
  </si>
  <si>
    <t>JPN-09</t>
  </si>
  <si>
    <t>KOR-01</t>
  </si>
  <si>
    <t>KOR-02</t>
  </si>
  <si>
    <t>KOR-03</t>
  </si>
  <si>
    <t>KOR-04</t>
  </si>
  <si>
    <t>KOR-05</t>
  </si>
  <si>
    <t>KOR-06</t>
  </si>
  <si>
    <t>KUW-01</t>
  </si>
  <si>
    <t>MEX-01</t>
  </si>
  <si>
    <t>MEX-02</t>
  </si>
  <si>
    <t>MEX-03</t>
  </si>
  <si>
    <t>MEX-04</t>
  </si>
  <si>
    <t>MEX-05</t>
  </si>
  <si>
    <t>MEX-06</t>
  </si>
  <si>
    <t>MEX-07</t>
  </si>
  <si>
    <t>MEX-08</t>
  </si>
  <si>
    <t>MEX-09</t>
  </si>
  <si>
    <t>MEX-10</t>
  </si>
  <si>
    <t>MOR-01</t>
  </si>
  <si>
    <t>NET-01</t>
  </si>
  <si>
    <t>NET-02</t>
  </si>
  <si>
    <t>NET-03</t>
  </si>
  <si>
    <t>NET-04</t>
  </si>
  <si>
    <t>POL-01</t>
  </si>
  <si>
    <t>POR-01</t>
  </si>
  <si>
    <t>POL-02</t>
  </si>
  <si>
    <t>POL-03</t>
  </si>
  <si>
    <t>POR-02</t>
  </si>
  <si>
    <t>POR-03</t>
  </si>
  <si>
    <t>POR-04</t>
  </si>
  <si>
    <t>POR-05</t>
  </si>
  <si>
    <t>QTR-01</t>
  </si>
  <si>
    <t>QTR-02</t>
  </si>
  <si>
    <t>QTR-03</t>
  </si>
  <si>
    <t>QTR-04</t>
  </si>
  <si>
    <t>QTR-05</t>
  </si>
  <si>
    <t>QTR-06</t>
  </si>
  <si>
    <t>QTR-07</t>
  </si>
  <si>
    <t>QTR-08</t>
  </si>
  <si>
    <t>RUS-01</t>
  </si>
  <si>
    <t>RUS-02</t>
  </si>
  <si>
    <t>SAU-01</t>
  </si>
  <si>
    <t>SAU-02</t>
  </si>
  <si>
    <t>SAU-03</t>
  </si>
  <si>
    <t>SAU-04</t>
  </si>
  <si>
    <t>SAU-05</t>
  </si>
  <si>
    <t>SAU-06</t>
  </si>
  <si>
    <t>SAU-07</t>
  </si>
  <si>
    <t>SAU-08</t>
  </si>
  <si>
    <t>SAU-09</t>
  </si>
  <si>
    <t>SAU-10</t>
  </si>
  <si>
    <t>SCO-01</t>
  </si>
  <si>
    <t>SCO-02</t>
  </si>
  <si>
    <t>SCO-03</t>
  </si>
  <si>
    <t>SCO-04</t>
  </si>
  <si>
    <t>SCO-05</t>
  </si>
  <si>
    <t>SCO-06</t>
  </si>
  <si>
    <t>SCO-07</t>
  </si>
  <si>
    <t>SER-01</t>
  </si>
  <si>
    <t>ESP-01</t>
  </si>
  <si>
    <t>ESP-02</t>
  </si>
  <si>
    <t>ESP-03</t>
  </si>
  <si>
    <t>ESP-04</t>
  </si>
  <si>
    <t>ESP-05</t>
  </si>
  <si>
    <t>ESP-06</t>
  </si>
  <si>
    <t>ESP-07</t>
  </si>
  <si>
    <t>ESP-08</t>
  </si>
  <si>
    <t>ESP-09</t>
  </si>
  <si>
    <t>ESP-10</t>
  </si>
  <si>
    <t>ESP-11</t>
  </si>
  <si>
    <t>ESP-12</t>
  </si>
  <si>
    <t>ESP-13</t>
  </si>
  <si>
    <t>ESP-14</t>
  </si>
  <si>
    <t>ESP-15</t>
  </si>
  <si>
    <t>ESP-16</t>
  </si>
  <si>
    <t>ESP-17</t>
  </si>
  <si>
    <t>ESP-18</t>
  </si>
  <si>
    <t>ESP-19</t>
  </si>
  <si>
    <t>ESP-20</t>
  </si>
  <si>
    <t>SWI-01</t>
  </si>
  <si>
    <t>TUN-01</t>
  </si>
  <si>
    <t>SWI-02</t>
  </si>
  <si>
    <t>SWI-03</t>
  </si>
  <si>
    <t>SWI-04</t>
  </si>
  <si>
    <t>SWI-05</t>
  </si>
  <si>
    <t>TUN-02</t>
  </si>
  <si>
    <t>TUN-03</t>
  </si>
  <si>
    <t>TUN-04</t>
  </si>
  <si>
    <t>TUN-05</t>
  </si>
  <si>
    <t>TUR-01</t>
  </si>
  <si>
    <t>TUR-02</t>
  </si>
  <si>
    <t>TUR-03</t>
  </si>
  <si>
    <t>TUR-04</t>
  </si>
  <si>
    <t>TUR-05</t>
  </si>
  <si>
    <t>TUR-06</t>
  </si>
  <si>
    <t>TUR-07</t>
  </si>
  <si>
    <t>TUR-08</t>
  </si>
  <si>
    <t>TUR-09</t>
  </si>
  <si>
    <t>TUR-10</t>
  </si>
  <si>
    <t>UAE-01</t>
  </si>
  <si>
    <t>USA-06</t>
  </si>
  <si>
    <t>USA-05</t>
  </si>
  <si>
    <t>USA-04</t>
  </si>
  <si>
    <t>URU-01</t>
  </si>
  <si>
    <t>USA-01</t>
  </si>
  <si>
    <t>USA-02</t>
  </si>
  <si>
    <t>USA-03</t>
  </si>
  <si>
    <t>USA-07</t>
  </si>
  <si>
    <t>USA-08</t>
  </si>
  <si>
    <t>USA-09</t>
  </si>
  <si>
    <t>USA-10</t>
  </si>
  <si>
    <t>USA-11</t>
  </si>
  <si>
    <t>USA-12</t>
  </si>
  <si>
    <t>USA-13</t>
  </si>
  <si>
    <t>USA-14</t>
  </si>
  <si>
    <t>USA-15</t>
  </si>
  <si>
    <t>USA-16</t>
  </si>
  <si>
    <t>USA-17</t>
  </si>
  <si>
    <t>USA-18</t>
  </si>
  <si>
    <t>USA-19</t>
  </si>
  <si>
    <t>USA-20</t>
  </si>
  <si>
    <t>USA-21</t>
  </si>
  <si>
    <t>ClubID</t>
  </si>
  <si>
    <t>FullFA</t>
  </si>
  <si>
    <t>FullPlayerData</t>
  </si>
  <si>
    <t>('Belgium ',</t>
  </si>
  <si>
    <t>'1056',</t>
  </si>
  <si>
    <t>'4',</t>
  </si>
  <si>
    <t>'DF',</t>
  </si>
  <si>
    <t>'Wout Faes',</t>
  </si>
  <si>
    <t>'24',</t>
  </si>
  <si>
    <t>'1',</t>
  </si>
  <si>
    <t>'0',</t>
  </si>
  <si>
    <t>'ENG-07'),</t>
  </si>
  <si>
    <t>('Belgium ', '1056', '4', 'DF', 'Wout Faes', '24', '1', '0', 'ENG-07'),</t>
  </si>
  <si>
    <t>'1078',</t>
  </si>
  <si>
    <t>'26',</t>
  </si>
  <si>
    <t>'Zeno Debast',</t>
  </si>
  <si>
    <t>'19',</t>
  </si>
  <si>
    <t>'3',</t>
  </si>
  <si>
    <t>'BEL-04'),</t>
  </si>
  <si>
    <t>('Belgium ', '1078', '26', 'DF', 'Zeno Debast', '19', '3', '0', 'BEL-04'),</t>
  </si>
  <si>
    <t>'1065',</t>
  </si>
  <si>
    <t>'13',</t>
  </si>
  <si>
    <t>'GK',</t>
  </si>
  <si>
    <t>'Koen Casteels',</t>
  </si>
  <si>
    <t>'30',</t>
  </si>
  <si>
    <t>'GER-11'),</t>
  </si>
  <si>
    <t>('Belgium ', '1065', '13', 'GK', 'Koen Casteels', '30', '4', '0', 'GER-11'),</t>
  </si>
  <si>
    <t>'1064',</t>
  </si>
  <si>
    <t>'12',</t>
  </si>
  <si>
    <t>'Simon Mignolet',</t>
  </si>
  <si>
    <t>'34',</t>
  </si>
  <si>
    <t>'35',</t>
  </si>
  <si>
    <t>'BEL-01'),</t>
  </si>
  <si>
    <t>('Belgium ', '1064', '12', 'GK', 'Simon Mignolet', '34', '35', '0', 'BEL-01'),</t>
  </si>
  <si>
    <t>'1053',</t>
  </si>
  <si>
    <t>'Thibaut Courtois',</t>
  </si>
  <si>
    <t>'97',</t>
  </si>
  <si>
    <t>'ESP-02'),</t>
  </si>
  <si>
    <t>('Belgium ', '1053', '1', 'GK', 'Thibaut Courtois', '30', '97', '0', 'ESP-02'),</t>
  </si>
  <si>
    <t>'1055',</t>
  </si>
  <si>
    <t>'Arthur Theate',</t>
  </si>
  <si>
    <t>'22',</t>
  </si>
  <si>
    <t>'FRA-02'),</t>
  </si>
  <si>
    <t>('Belgium ', '1055', '3', 'DF', 'Arthur Theate', '22', '4', '0', 'FRA-02'),</t>
  </si>
  <si>
    <t>'1070',</t>
  </si>
  <si>
    <t>'18',</t>
  </si>
  <si>
    <t>'MF',</t>
  </si>
  <si>
    <t>'Amadou Onana',</t>
  </si>
  <si>
    <t>'21',</t>
  </si>
  <si>
    <t>'2',</t>
  </si>
  <si>
    <t>'ENG-16'),</t>
  </si>
  <si>
    <t>('Belgium ', '1070', '18', 'MF', 'Amadou Onana', '21', '2', '0', 'ENG-16'),</t>
  </si>
  <si>
    <t>('Canada ',</t>
  </si>
  <si>
    <t>'1136',</t>
  </si>
  <si>
    <t>'6',</t>
  </si>
  <si>
    <t>'Samuel Piette',</t>
  </si>
  <si>
    <t>'28',</t>
  </si>
  <si>
    <t>'66',</t>
  </si>
  <si>
    <t>'USA-01'),</t>
  </si>
  <si>
    <t>('Canada ', '1136', '6', 'MF', 'Samuel Piette', '28', '66', '0', 'USA-01'),</t>
  </si>
  <si>
    <t>'1155',</t>
  </si>
  <si>
    <t>'25',</t>
  </si>
  <si>
    <t>'Derek Cornelius',</t>
  </si>
  <si>
    <t>'14',</t>
  </si>
  <si>
    <t>'GRE-05'),</t>
  </si>
  <si>
    <t>('Canada ', '1155', '25', 'DF', 'Derek Cornelius', '24', '14', '0', 'GRE-05'),</t>
  </si>
  <si>
    <t>'1156',</t>
  </si>
  <si>
    <t>'Joel Waterman',</t>
  </si>
  <si>
    <t>('Canada ', '1156', '26', 'DF', 'Joel Waterman', '26', '2', '0', 'USA-01'),</t>
  </si>
  <si>
    <t>'1138',</t>
  </si>
  <si>
    <t>'8',</t>
  </si>
  <si>
    <t>'Liam Fraser',</t>
  </si>
  <si>
    <t>'15',</t>
  </si>
  <si>
    <t>'BEL-07'),</t>
  </si>
  <si>
    <t>('Canada ', '1138', '8', 'MF', 'Liam Fraser', '24', '15', '0', 'BEL-07'),</t>
  </si>
  <si>
    <t>'1146',</t>
  </si>
  <si>
    <t>'16',</t>
  </si>
  <si>
    <t>'James Pantemis',</t>
  </si>
  <si>
    <t>('Canada ', '1146', '16', 'GK', 'James Pantemis', '25', '0', '0', 'USA-01'),</t>
  </si>
  <si>
    <t>'1131',</t>
  </si>
  <si>
    <t>'Dayne St. Clair',</t>
  </si>
  <si>
    <t>'USA-15'),</t>
  </si>
  <si>
    <t>('Canada ', '1131', '1', 'GK', 'Dayne St. Clair', '25', '2', '0', 'USA-15'),</t>
  </si>
  <si>
    <t>'1148',</t>
  </si>
  <si>
    <t>'Milan Borjan',</t>
  </si>
  <si>
    <t>'68',</t>
  </si>
  <si>
    <t>'SER-01'),</t>
  </si>
  <si>
    <t>('Canada ', '1148', '18', 'GK', 'Milan Borjan', '35', '68', '0', 'SER-01'),</t>
  </si>
  <si>
    <t>'1153',</t>
  </si>
  <si>
    <t>'23',</t>
  </si>
  <si>
    <t>'Liam Millar',</t>
  </si>
  <si>
    <t>'SWI-02'),</t>
  </si>
  <si>
    <t>('Canada ', '1153', '23', 'MF', 'Liam Millar', '23', '16', '0', 'SWI-02'),</t>
  </si>
  <si>
    <t>'1134',</t>
  </si>
  <si>
    <t>'Kamal Miller',</t>
  </si>
  <si>
    <t>'29',</t>
  </si>
  <si>
    <t>('Canada ', '1134', '4', 'DF', 'Kamal Miller', '25', '29', '0', 'USA-01'),</t>
  </si>
  <si>
    <t>'1142',</t>
  </si>
  <si>
    <t>'FW',</t>
  </si>
  <si>
    <t>'Iké Ugbo',</t>
  </si>
  <si>
    <t>'FRA-13'),</t>
  </si>
  <si>
    <t>('Canada ', '1142', '12', 'FW', 'Iké Ugbo', '24', '8', '0', 'FRA-13'),</t>
  </si>
  <si>
    <t>('Cameroon ',</t>
  </si>
  <si>
    <t>'1128',</t>
  </si>
  <si>
    <t>'Enzo Ebosse',</t>
  </si>
  <si>
    <t>'ITA-20'),</t>
  </si>
  <si>
    <t>('Cameroon ', '1128', '24', 'DF', 'Enzo Ebosse', '23', '2', '0', 'ITA-20'),</t>
  </si>
  <si>
    <t>'1113',</t>
  </si>
  <si>
    <t>'9',</t>
  </si>
  <si>
    <t>'Jean-Pierre Nsame',</t>
  </si>
  <si>
    <t>'SWI-01'),</t>
  </si>
  <si>
    <t>('Cameroon ', '1113', '9', 'FW', 'Jean-Pierre Nsame', '29', '4', '0', 'SWI-01'),</t>
  </si>
  <si>
    <t>'1109',</t>
  </si>
  <si>
    <t>'5',</t>
  </si>
  <si>
    <t>'Gaël Ondoua',</t>
  </si>
  <si>
    <t>'27',</t>
  </si>
  <si>
    <t>'GER-17'),</t>
  </si>
  <si>
    <t>('Cameroon ', '1109', '5', 'MF', 'Gaël Ondoua', '27', '4', '0', 'GER-17'),</t>
  </si>
  <si>
    <t>'1111',</t>
  </si>
  <si>
    <t>'7',</t>
  </si>
  <si>
    <t>'Georges-Kévin Nkoudou',</t>
  </si>
  <si>
    <t>'TUR-02'),</t>
  </si>
  <si>
    <t>('Cameroon ', '1111', '7', 'MF', 'Georges-Kévin Nkoudou', '27', '2', '0', 'TUR-02'),</t>
  </si>
  <si>
    <t>'1120',</t>
  </si>
  <si>
    <t>'Devis Epassy',</t>
  </si>
  <si>
    <t>'SAU-04'),</t>
  </si>
  <si>
    <t>('Cameroon ', '1120', '16', 'GK', 'Devis Epassy', '29', '5', '0', 'SAU-04'),</t>
  </si>
  <si>
    <t>'1118',</t>
  </si>
  <si>
    <t>'Samuel Gouet',</t>
  </si>
  <si>
    <t>'BEL-10'),</t>
  </si>
  <si>
    <t>('Cameroon ', '1118', '14', 'MF', 'Samuel Gouet', '24', '22', '0', 'BEL-10'),</t>
  </si>
  <si>
    <t>'1124',</t>
  </si>
  <si>
    <t>'20',</t>
  </si>
  <si>
    <t>'Bryan Mbeumo',</t>
  </si>
  <si>
    <t>'ENG-09'),</t>
  </si>
  <si>
    <t>('Cameroon ', '1124', '20', 'FW', 'Bryan Mbeumo', '23', '3', '0', 'ENG-09'),</t>
  </si>
  <si>
    <t>'1125',</t>
  </si>
  <si>
    <t>'Jean-Charles Castelletto',</t>
  </si>
  <si>
    <t>'FRA-19'),</t>
  </si>
  <si>
    <t>('Cameroon ', '1125', '21', 'DF', 'Jean-Charles Castelletto', '27', '14', '0', 'FRA-19'),</t>
  </si>
  <si>
    <t>'1121',</t>
  </si>
  <si>
    <t>'17',</t>
  </si>
  <si>
    <t>'Olivier Mbaizo',</t>
  </si>
  <si>
    <t>'11',</t>
  </si>
  <si>
    <t>'USA-19'),</t>
  </si>
  <si>
    <t>('Cameroon ', '1121', '17', 'DF', 'Olivier Mbaizo', '25', '11', '0', 'USA-19'),</t>
  </si>
  <si>
    <t>'1106',</t>
  </si>
  <si>
    <t>'Jerome Ngom Mbekeli',</t>
  </si>
  <si>
    <t>'CAM-01'),</t>
  </si>
  <si>
    <t>('Cameroon ', '1106', '2', 'DF', 'Jerome Ngom Mbekeli', '24', '2', '0', 'CAM-01'),</t>
  </si>
  <si>
    <t>'1126',</t>
  </si>
  <si>
    <t>'Olivier Ntcham',</t>
  </si>
  <si>
    <t>'ENG-19'),</t>
  </si>
  <si>
    <t>('Cameroon ', '1126', '22', 'MF', 'Olivier Ntcham', '26', '3', '0', 'ENG-19'),</t>
  </si>
  <si>
    <t>'1105',</t>
  </si>
  <si>
    <t>'Simon Ngapandouetnbu',</t>
  </si>
  <si>
    <t>'FRA-04'),</t>
  </si>
  <si>
    <t>('Cameroon ', '1105', '1', 'GK', 'Simon Ngapandouetnbu', '19', '0', '0', 'FRA-04'),</t>
  </si>
  <si>
    <t>'1123',</t>
  </si>
  <si>
    <t>'Collins Fai',</t>
  </si>
  <si>
    <t>'52',</t>
  </si>
  <si>
    <t>'SAU-10'),</t>
  </si>
  <si>
    <t>('Cameroon ', '1123', '19', 'DF', 'Collins Fai', '30', '52', '0', 'SAU-10'),</t>
  </si>
  <si>
    <t>'1127',</t>
  </si>
  <si>
    <t>'André Onana',</t>
  </si>
  <si>
    <t>'33',</t>
  </si>
  <si>
    <t>'ITA-03'),</t>
  </si>
  <si>
    <t>('Cameroon ', '1127', '23', 'GK', 'André Onana', '26', '33', '0', 'ITA-03'),</t>
  </si>
  <si>
    <t>'1122',</t>
  </si>
  <si>
    <t>'Martin Hongla',</t>
  </si>
  <si>
    <t>'ITA-08'),</t>
  </si>
  <si>
    <t>('Cameroon ', '1122', '18', 'MF', 'Martin Hongla', '24', '19', '0', 'ITA-08'),</t>
  </si>
  <si>
    <t>'1108',</t>
  </si>
  <si>
    <t>'Christopher Wooh',</t>
  </si>
  <si>
    <t>('Cameroon ', '1108', '4', 'DF', 'Christopher Wooh', '21', '3', '0', 'FRA-02'),</t>
  </si>
  <si>
    <t>'1129',</t>
  </si>
  <si>
    <t>'Nouhou Tolo',</t>
  </si>
  <si>
    <t>'USA-03'),</t>
  </si>
  <si>
    <t>('Cameroon ', '1129', '25', 'DF', 'Nouhou Tolo', '25', '18', '0', 'USA-03'),</t>
  </si>
  <si>
    <t>('Costa Rica ',</t>
  </si>
  <si>
    <t>'1158',</t>
  </si>
  <si>
    <t>'Daniel Chacón',</t>
  </si>
  <si>
    <t>'CRA-04'),</t>
  </si>
  <si>
    <t>('Costa Rica ', '1158', '2', 'MF', 'Daniel Chacón', '21', '8', '0', 'CRA-04'),</t>
  </si>
  <si>
    <t>'1173',</t>
  </si>
  <si>
    <t>'Yeltsin Tejeda',</t>
  </si>
  <si>
    <t>'73',</t>
  </si>
  <si>
    <t>'CRA-01'),</t>
  </si>
  <si>
    <t>('Costa Rica ', '1173', '17', 'MF', 'Yeltsin Tejeda', '30', '73', '0', 'CRA-01'),</t>
  </si>
  <si>
    <t>'1177',</t>
  </si>
  <si>
    <t>'Douglas López',</t>
  </si>
  <si>
    <t>('Costa Rica ', '1177', '21', 'MF', 'Douglas López', '24', '3', '0', 'CRA-01'),</t>
  </si>
  <si>
    <t>'1174',</t>
  </si>
  <si>
    <t>'Esteban Alvarado',</t>
  </si>
  <si>
    <t>('Costa Rica ', '1174', '18', 'GK', 'Esteban Alvarado', '33', '25', '0', 'CRA-01'),</t>
  </si>
  <si>
    <t>'1176',</t>
  </si>
  <si>
    <t>'Brandon Aguilera',</t>
  </si>
  <si>
    <t>'CRA-05'),</t>
  </si>
  <si>
    <t>('Costa Rica ', '1176', '20', 'MF', 'Brandon Aguilera', '19', '4', '0', 'CRA-05'),</t>
  </si>
  <si>
    <t>'1172',</t>
  </si>
  <si>
    <t>'Carlos Martínez',</t>
  </si>
  <si>
    <t>'CRA-08'),</t>
  </si>
  <si>
    <t>('Costa Rica ', '1172', '16', 'DF', 'Carlos Martínez', '23', '7', '0', 'CRA-08'),</t>
  </si>
  <si>
    <t>'1180',</t>
  </si>
  <si>
    <t>'Roan Wilson',</t>
  </si>
  <si>
    <t>'CRA-06'),</t>
  </si>
  <si>
    <t>('Costa Rica ', '1180', '24', 'MF', 'Roan Wilson', '20', '3', '0', 'CRA-06'),</t>
  </si>
  <si>
    <t>'1179',</t>
  </si>
  <si>
    <t>'Patrick Sequeira',</t>
  </si>
  <si>
    <t>'MEX-09'),</t>
  </si>
  <si>
    <t>('Costa Rica ', '1179', '23', 'GK', 'Patrick Sequeira', '23', '2', '0', 'MEX-09'),</t>
  </si>
  <si>
    <t>'1182',</t>
  </si>
  <si>
    <t>'Álvaro Zamora',</t>
  </si>
  <si>
    <t>'CRA-03'),</t>
  </si>
  <si>
    <t>('Costa Rica ', '1182', '26', 'MF', 'Álvaro Zamora', '20', '3', '0', 'CRA-03'),</t>
  </si>
  <si>
    <t>'1170',</t>
  </si>
  <si>
    <t>'Youstin Salas',</t>
  </si>
  <si>
    <t>('Costa Rica ', '1170', '14', 'MF', 'Youstin Salas', '26', '4', '0', 'CRA-03'),</t>
  </si>
  <si>
    <t>'1157',</t>
  </si>
  <si>
    <t>'Keylor Navas',</t>
  </si>
  <si>
    <t>'107',</t>
  </si>
  <si>
    <t>'FRA-01'),</t>
  </si>
  <si>
    <t>('Costa Rica ', '1157', '1', 'GK', 'Keylor Navas', '35', '107', '0', 'FRA-01'),</t>
  </si>
  <si>
    <t>('Denmark ',</t>
  </si>
  <si>
    <t>'1210',</t>
  </si>
  <si>
    <t>'Joachim Andersen',</t>
  </si>
  <si>
    <t>'ENG-24'),</t>
  </si>
  <si>
    <t>('Denmark ', '1210', '2', 'DF', 'Joachim Andersen', '26', '19', '0', 'ENG-24'),</t>
  </si>
  <si>
    <t>'1224',</t>
  </si>
  <si>
    <t>'Oliver Christensen',</t>
  </si>
  <si>
    <t>'GER-18'),</t>
  </si>
  <si>
    <t>('Denmark ', '1224', '16', 'GK', 'Oliver Christensen', '23', '1', '0', 'GER-18'),</t>
  </si>
  <si>
    <t>'1211',</t>
  </si>
  <si>
    <t>'Victor Nelsson',</t>
  </si>
  <si>
    <t>'TUR-01'),</t>
  </si>
  <si>
    <t>('Denmark ', '1211', '3', 'DF', 'Victor Nelsson', '24', '7', '0', 'TUR-01'),</t>
  </si>
  <si>
    <t>'1221',</t>
  </si>
  <si>
    <t>'Rasmus Kristensen',</t>
  </si>
  <si>
    <t>'10',</t>
  </si>
  <si>
    <t>'ENG-17'),</t>
  </si>
  <si>
    <t>('Denmark ', '1221', '13', 'DF', 'Rasmus Kristensen', '25', '10', '0', 'ENG-17'),</t>
  </si>
  <si>
    <t>'1209',</t>
  </si>
  <si>
    <t>'Kasper Schmeichel',</t>
  </si>
  <si>
    <t>'36',</t>
  </si>
  <si>
    <t>'86',</t>
  </si>
  <si>
    <t>'FRA-11'),</t>
  </si>
  <si>
    <t>('Denmark ', '1209', '1', 'GK', 'Kasper Schmeichel', '36', '86', '0', 'FRA-11'),</t>
  </si>
  <si>
    <t>'1230',</t>
  </si>
  <si>
    <t>'Frederik Rønnow',</t>
  </si>
  <si>
    <t>'GER-20'),</t>
  </si>
  <si>
    <t>('Denmark ', '1230', '22', 'GK', 'Frederik Rønnow', '30', '8', '0', 'GER-20'),</t>
  </si>
  <si>
    <t>('Ecuador ',</t>
  </si>
  <si>
    <t>'1260',</t>
  </si>
  <si>
    <t>'Kevin Rodríguez',</t>
  </si>
  <si>
    <t>'ECU-02'),</t>
  </si>
  <si>
    <t>('Ecuador ', '1260', '26', 'FW', 'Kevin Rodríguez', '22', '1', '0', 'ECU-02'),</t>
  </si>
  <si>
    <t>'1251',</t>
  </si>
  <si>
    <t>'Ángelo Preciado',</t>
  </si>
  <si>
    <t>'BEL-03'),</t>
  </si>
  <si>
    <t>('Ecuador ', '1251', '17', 'DF', 'Ángelo Preciado', '24', '24', '0', 'BEL-03'),</t>
  </si>
  <si>
    <t>'1256',</t>
  </si>
  <si>
    <t>'Alexander Domínguez',</t>
  </si>
  <si>
    <t>'ECU-04'),</t>
  </si>
  <si>
    <t>('Ecuador ', '1256', '22', 'GK', 'Alexander Domínguez', '35', '68', '0', 'ECU-04'),</t>
  </si>
  <si>
    <t>'1258',</t>
  </si>
  <si>
    <t>'Djorkaeff Reasco',</t>
  </si>
  <si>
    <t>'ARG-03'),</t>
  </si>
  <si>
    <t>('Ecuador ', '1258', '24', 'FW', 'Djorkaeff Reasco', '23', '4', '0', 'ARG-03'),</t>
  </si>
  <si>
    <t>'1246',</t>
  </si>
  <si>
    <t>'Moisés Ramírez',</t>
  </si>
  <si>
    <t>'ECU-03'),</t>
  </si>
  <si>
    <t>('Ecuador ', '1246', '12', 'GK', 'Moisés Ramírez', '22', '2', '0', 'ECU-03'),</t>
  </si>
  <si>
    <t>'1259',</t>
  </si>
  <si>
    <t>'Jackson Porozo',</t>
  </si>
  <si>
    <t>('Ecuador ', '1259', '25', 'DF', 'Jackson Porozo', '22', '5', '0', 'FRA-13'),</t>
  </si>
  <si>
    <t>'1235',</t>
  </si>
  <si>
    <t>'Hernán Galíndez',</t>
  </si>
  <si>
    <t>'ECU-01'),</t>
  </si>
  <si>
    <t>('Ecuador ', '1235', '1', 'GK', 'Hernán Galíndez', '35', '12', '0', 'ECU-01'),</t>
  </si>
  <si>
    <t>'1240',</t>
  </si>
  <si>
    <t>'William Pacho',</t>
  </si>
  <si>
    <t>'BEL-02'),</t>
  </si>
  <si>
    <t>('Ecuador ', '1240', '6', 'DF', 'William Pacho', '21', '0', '0', 'BEL-02'),</t>
  </si>
  <si>
    <t>'1250',</t>
  </si>
  <si>
    <t>'Jeremy Sarmiento',</t>
  </si>
  <si>
    <t>'ENG-06'),</t>
  </si>
  <si>
    <t>('Ecuador ', '1250', '16', 'MF', 'Jeremy Sarmiento', '20', '9', '0', 'ENG-06'),</t>
  </si>
  <si>
    <t>'1252',</t>
  </si>
  <si>
    <t>'Diego Palacios',</t>
  </si>
  <si>
    <t>'USA-02'),</t>
  </si>
  <si>
    <t>('Ecuador ', '1252', '18', 'DF', 'Diego Palacios', '23', '12', '0', 'USA-02'),</t>
  </si>
  <si>
    <t>'1254',</t>
  </si>
  <si>
    <t>'Jhegson Méndez',</t>
  </si>
  <si>
    <t>'32',</t>
  </si>
  <si>
    <t>('Ecuador ', '1254', '20', 'MF', 'Jhegson Méndez', '25', '32', '0', 'USA-02'),</t>
  </si>
  <si>
    <t>'1239',</t>
  </si>
  <si>
    <t>'José Cifuentes',</t>
  </si>
  <si>
    <t>('Ecuador ', '1239', '5', 'MF', 'José Cifuentes', '23', '11', '0', 'USA-02'),</t>
  </si>
  <si>
    <t>('Germany ',</t>
  </si>
  <si>
    <t>'1315',</t>
  </si>
  <si>
    <t>'David Raum',</t>
  </si>
  <si>
    <t>'GER-04'),</t>
  </si>
  <si>
    <t>('Germany ', '1315', '3', 'DF', 'David Raum', '24', '12', '0', 'GER-04'),</t>
  </si>
  <si>
    <t>'1313',</t>
  </si>
  <si>
    <t>'Manuel Neuer ',</t>
  </si>
  <si>
    <t>'114',</t>
  </si>
  <si>
    <t>'GER-01'),</t>
  </si>
  <si>
    <t>('Germany ', '1313', '1', 'GK', 'Manuel Neuer ', '36', '114', '0', 'GER-01'),</t>
  </si>
  <si>
    <t>'1328',</t>
  </si>
  <si>
    <t>'Lukas Klostermann',</t>
  </si>
  <si>
    <t>('Germany ', '1328', '16', 'DF', 'Lukas Klostermann', '26', '19', '0', 'GER-04'),</t>
  </si>
  <si>
    <t>'1324',</t>
  </si>
  <si>
    <t>'Kevin Trapp',</t>
  </si>
  <si>
    <t>'GER-03'),</t>
  </si>
  <si>
    <t>('Germany ', '1324', '12', 'GK', 'Kevin Trapp', '32', '6', '0', 'GER-03'),</t>
  </si>
  <si>
    <t>'1317',</t>
  </si>
  <si>
    <t>'Thilo Kehrer',</t>
  </si>
  <si>
    <t>'ENG-13'),</t>
  </si>
  <si>
    <t>('Germany ', '1317', '5', 'DF', 'Thilo Kehrer', '26', '23', '0', 'ENG-13'),</t>
  </si>
  <si>
    <t>'1335',</t>
  </si>
  <si>
    <t>'Nico Schlotterbeck',</t>
  </si>
  <si>
    <t>'GER-02'),</t>
  </si>
  <si>
    <t>('Germany ', '1335', '23', 'DF', 'Nico Schlotterbeck', '22', '6', '0', 'GER-02'),</t>
  </si>
  <si>
    <t>'1337',</t>
  </si>
  <si>
    <t>'Armel Bella-Kotchap',</t>
  </si>
  <si>
    <t>'ENG-28'),</t>
  </si>
  <si>
    <t>('Germany ', '1337', '25', 'DF', 'Armel Bella-Kotchap', '20', '2', '0', 'ENG-28'),</t>
  </si>
  <si>
    <t>'1338',</t>
  </si>
  <si>
    <t>'Youssoufa Moukoko',</t>
  </si>
  <si>
    <t>('Germany ', '1338', '26', 'FW', 'Youssoufa Moukoko', '18', '1', '0', 'GER-02'),</t>
  </si>
  <si>
    <t>'1332',</t>
  </si>
  <si>
    <t>'Christian Günter',</t>
  </si>
  <si>
    <t>'GER-06'),</t>
  </si>
  <si>
    <t>('Germany ', '1332', '20', 'DF', 'Christian Günter', '29', '7', '0', 'GER-06'),</t>
  </si>
  <si>
    <t>'1334',</t>
  </si>
  <si>
    <t>'Marc-André ter Stegen',</t>
  </si>
  <si>
    <t>'ESP-01'),</t>
  </si>
  <si>
    <t>('Germany ', '1334', '22', 'GK', 'Marc-André ter Stegen', '30', '30', '0', 'ESP-01'),</t>
  </si>
  <si>
    <t>('Ghana ',</t>
  </si>
  <si>
    <t>'1341',</t>
  </si>
  <si>
    <t>'Denis Odoi',</t>
  </si>
  <si>
    <t>('Ghana ', '1341', '3', 'DF', 'Denis Odoi', '34', '4', '0', 'BEL-01'),</t>
  </si>
  <si>
    <t>'1339',</t>
  </si>
  <si>
    <t>'Lawrence Ati-Zigi',</t>
  </si>
  <si>
    <t>'SWI-05'),</t>
  </si>
  <si>
    <t>('Ghana ', '1339', '1', 'GK', 'Lawrence Ati-Zigi', '25', '11', '0', 'SWI-05'),</t>
  </si>
  <si>
    <t>'1340',</t>
  </si>
  <si>
    <t>'Tariq Lamptey',</t>
  </si>
  <si>
    <t>('Ghana ', '1340', '2', 'DF', 'Tariq Lamptey', '22', '2', '0', 'ENG-06'),</t>
  </si>
  <si>
    <t>'1350',</t>
  </si>
  <si>
    <t>'Ibrahim Danlad',</t>
  </si>
  <si>
    <t>'GNA-01'),</t>
  </si>
  <si>
    <t>('Ghana ', '1350', '12', 'GK', 'Ibrahim Danlad', '19', '4', '0', 'GNA-01'),</t>
  </si>
  <si>
    <t>'1352',</t>
  </si>
  <si>
    <t>'Gideon Mensah',</t>
  </si>
  <si>
    <t>'FRA-15'),</t>
  </si>
  <si>
    <t>('Ghana ', '1352', '14', 'DF', 'Gideon Mensah', '24', '12', '0', 'FRA-15'),</t>
  </si>
  <si>
    <t>'1354',</t>
  </si>
  <si>
    <t>'Abdul Manaf Nurudeen',</t>
  </si>
  <si>
    <t>'BEL-08'),</t>
  </si>
  <si>
    <t>('Ghana ', '1354', '16', 'GK', 'Abdul Manaf Nurudeen', '23', '2', '0', 'BEL-08'),</t>
  </si>
  <si>
    <t>'1353',</t>
  </si>
  <si>
    <t>'Joseph Aidoo',</t>
  </si>
  <si>
    <t>'ESP-09'),</t>
  </si>
  <si>
    <t>('Ghana ', '1353', '15', 'DF', 'Joseph Aidoo', '27', '11', '0', 'ESP-09'),</t>
  </si>
  <si>
    <t>'1344',</t>
  </si>
  <si>
    <t>'Elisha Owusu',</t>
  </si>
  <si>
    <t>'BEL-09'),</t>
  </si>
  <si>
    <t>('Ghana ', '1344', '6', 'MF', 'Elisha Owusu', '25', '3', '0', 'BEL-09'),</t>
  </si>
  <si>
    <t>'1346',</t>
  </si>
  <si>
    <t>'Daniel-Kofi Kyereh',</t>
  </si>
  <si>
    <t>('Ghana ', '1346', '8', 'MF', 'Daniel-Kofi Kyereh', '26', '15', '0', 'GER-06'),</t>
  </si>
  <si>
    <t>'1362',</t>
  </si>
  <si>
    <t>'Kamal Sowah',</t>
  </si>
  <si>
    <t>('Ghana ', '1362', '24', 'MF', 'Kamal Sowah', '22', '1', '0', 'BEL-01'),</t>
  </si>
  <si>
    <t>'1364',</t>
  </si>
  <si>
    <t>'Alidu Seidu',</t>
  </si>
  <si>
    <t>'FRA-07'),</t>
  </si>
  <si>
    <t>('Ghana ', '1364', '26', 'DF', 'Alidu Seidu', '22', '4', '0', 'FRA-07'),</t>
  </si>
  <si>
    <t>'1360',</t>
  </si>
  <si>
    <t>'Kamaldeen Sulemana',</t>
  </si>
  <si>
    <t>('Ghana ', '1360', '22', 'MF', 'Kamaldeen Sulemana', '20', '13', '0', 'FRA-02'),</t>
  </si>
  <si>
    <t>'1356',</t>
  </si>
  <si>
    <t>'Daniel Amartey',</t>
  </si>
  <si>
    <t>'46',</t>
  </si>
  <si>
    <t>('Ghana ', '1356', '18', 'DF', 'Daniel Amartey', '27', '46', '0', 'ENG-07'),</t>
  </si>
  <si>
    <t>'1357',</t>
  </si>
  <si>
    <t>'Iñaki Williams',</t>
  </si>
  <si>
    <t>'ESP-08'),</t>
  </si>
  <si>
    <t>('Ghana ', '1357', '19', 'FW', 'Iñaki Williams', '28', '3', '0', 'ESP-08'),</t>
  </si>
  <si>
    <t>'1359',</t>
  </si>
  <si>
    <t>'Salis Abdul Samed',</t>
  </si>
  <si>
    <t>'FRA-05'),</t>
  </si>
  <si>
    <t>('Ghana ', '1359', '21', 'MF', 'Salis Abdul Samed', '22', '1', '0', 'FRA-05'),</t>
  </si>
  <si>
    <t>('Iran ',</t>
  </si>
  <si>
    <t>'1382',</t>
  </si>
  <si>
    <t>'Ali Karimi',</t>
  </si>
  <si>
    <t>'TUR-04'),</t>
  </si>
  <si>
    <t>('Iran ', '1382', '18', 'MF', 'Ali Karimi', '28', '13', '0', 'TUR-04'),</t>
  </si>
  <si>
    <t>'1389',</t>
  </si>
  <si>
    <t>'Abolfazl Jalali',</t>
  </si>
  <si>
    <t>'IRN-02'),</t>
  </si>
  <si>
    <t>('Iran ', '1389', '25', 'DF', 'Abolfazl Jalali', '24', '3', '0', 'IRN-02'),</t>
  </si>
  <si>
    <t>'1386',</t>
  </si>
  <si>
    <t>'Amir Abedzadeh',</t>
  </si>
  <si>
    <t>'ESP-18'),</t>
  </si>
  <si>
    <t>('Iran ', '1386', '22', 'GK', 'Amir Abedzadeh', '29', '11', '0', 'ESP-18'),</t>
  </si>
  <si>
    <t>'1388',</t>
  </si>
  <si>
    <t>'Hossein Hosseini',</t>
  </si>
  <si>
    <t>('Iran ', '1388', '24', 'GK', 'Hossein Hosseini', '30', '6', '0', 'IRN-02'),</t>
  </si>
  <si>
    <t>'1383',</t>
  </si>
  <si>
    <t>'Majid Hosseini',</t>
  </si>
  <si>
    <t>('Iran ', '1383', '19', 'DF', 'Majid Hosseini', '26', '18', '0', 'TUR-04'),</t>
  </si>
  <si>
    <t>'1376',</t>
  </si>
  <si>
    <t>'Payam Niazmand',</t>
  </si>
  <si>
    <t>'IRN-03'),</t>
  </si>
  <si>
    <t>('Iran ', '1376', '12', 'GK', 'Payam Niazmand', '27', '1', '0', 'IRN-03'),</t>
  </si>
  <si>
    <t>'1365',</t>
  </si>
  <si>
    <t>'Alireza Beiranvand',</t>
  </si>
  <si>
    <t>'IRN-01'),</t>
  </si>
  <si>
    <t>('Iran ', '1365', '1', 'GK', 'Alireza Beiranvand', '30', '52', '0', 'IRN-01'),</t>
  </si>
  <si>
    <t>'1366',</t>
  </si>
  <si>
    <t>'Sadegh Moharrami',</t>
  </si>
  <si>
    <t>'CRO-01'),</t>
  </si>
  <si>
    <t>('Iran ', '1366', '2', 'DF', 'Sadegh Moharrami', '26', '21', '0', 'CRO-01'),</t>
  </si>
  <si>
    <t>('Saudi Arabia ',</t>
  </si>
  <si>
    <t>'1617',</t>
  </si>
  <si>
    <t>'Abdulrahman Al-Aboud',</t>
  </si>
  <si>
    <t>'SAU-06'),</t>
  </si>
  <si>
    <t>('Saudi Arabia ', '1617', '20', 'FW', 'Abdulrahman Al-Aboud', '27', '3', '0', 'SAU-06'),</t>
  </si>
  <si>
    <t>'1618',</t>
  </si>
  <si>
    <t>'Mohammed Al-Owais',</t>
  </si>
  <si>
    <t>'31',</t>
  </si>
  <si>
    <t>'42',</t>
  </si>
  <si>
    <t>'SAU-01'),</t>
  </si>
  <si>
    <t>('Saudi Arabia ', '1618', '21', 'GK', 'Mohammed Al-Owais', '31', '42', '0', 'SAU-01'),</t>
  </si>
  <si>
    <t>'1614',</t>
  </si>
  <si>
    <t>'Hassan Al-Tambakti',</t>
  </si>
  <si>
    <t>'SAU-03'),</t>
  </si>
  <si>
    <t>('Saudi Arabia ', '1614', '17', 'DF', 'Hassan Al-Tambakti', '23', '19', '0', 'SAU-03'),</t>
  </si>
  <si>
    <t>'1623',</t>
  </si>
  <si>
    <t>'Riyadh Sharahili',</t>
  </si>
  <si>
    <t>('Saudi Arabia ', '1623', '26', 'MF', 'Riyadh Sharahili', '29', '5', '0', 'SAU-04'),</t>
  </si>
  <si>
    <t>'1599',</t>
  </si>
  <si>
    <t>'Sultan Al-Ghannam',</t>
  </si>
  <si>
    <t>'SAU-02'),</t>
  </si>
  <si>
    <t>('Saudi Arabia ', '1599', '2', 'DF', 'Sultan Al-Ghannam', '28', '24', '0', 'SAU-02'),</t>
  </si>
  <si>
    <t>'1619',</t>
  </si>
  <si>
    <t>'Nawaf Al-Aqidi',</t>
  </si>
  <si>
    <t>('Saudi Arabia ', '1619', '22', 'GK', 'Nawaf Al-Aqidi', '22', '0', '0', 'SAU-02'),</t>
  </si>
  <si>
    <t>'1621',</t>
  </si>
  <si>
    <t>'Nasser Al-Dawsari',</t>
  </si>
  <si>
    <t>('Saudi Arabia ', '1621', '24', 'MF', 'Nasser Al-Dawsari', '23', '10', '0', 'SAU-01'),</t>
  </si>
  <si>
    <t>'1605',</t>
  </si>
  <si>
    <t>'Abdulellah Al-Malki',</t>
  </si>
  <si>
    <t>('Saudi Arabia ', '1605', '8', 'MF', 'Abdulellah Al-Malki', '28', '27', '0', 'SAU-01'),</t>
  </si>
  <si>
    <t>'1600',</t>
  </si>
  <si>
    <t>'Abdullah Madu',</t>
  </si>
  <si>
    <t>('Saudi Arabia ', '1600', '3', 'DF', 'Abdullah Madu', '29', '15', '0', 'SAU-02'),</t>
  </si>
  <si>
    <t>'1602',</t>
  </si>
  <si>
    <t>'Ali Al-Bulaihi',</t>
  </si>
  <si>
    <t>'37',</t>
  </si>
  <si>
    <t>('Saudi Arabia ', '1602', '5', 'DF', 'Ali Al-Bulaihi', '32', '37', '0', 'SAU-01'),</t>
  </si>
  <si>
    <t>'1598',</t>
  </si>
  <si>
    <t>'Mohammed Al-Rubaie',</t>
  </si>
  <si>
    <t>'SAU-05'),</t>
  </si>
  <si>
    <t>('Saudi Arabia ', '1598', '1', 'GK', 'Mohammed Al-Rubaie', '25', '7', '0', 'SAU-05'),</t>
  </si>
  <si>
    <t>('Mexico ',</t>
  </si>
  <si>
    <t>'1442',</t>
  </si>
  <si>
    <t>'Alfredo Talavera',</t>
  </si>
  <si>
    <t>'40',</t>
  </si>
  <si>
    <t>'MEX-08'),</t>
  </si>
  <si>
    <t>('Mexico ', '1442', '1', 'GK', 'Alfredo Talavera', '40', '40', '0', 'MEX-08'),</t>
  </si>
  <si>
    <t>'1467',</t>
  </si>
  <si>
    <t>'Kevin Álvarez',</t>
  </si>
  <si>
    <t>'MEX-05'),</t>
  </si>
  <si>
    <t>('Mexico ', '1467', '26', 'DF', 'Kevin Álvarez', '23', '8', '0', 'MEX-05'),</t>
  </si>
  <si>
    <t>'1465',</t>
  </si>
  <si>
    <t>'Luis Chávez',</t>
  </si>
  <si>
    <t>('Mexico ', '1465', '24', 'MF', 'Luis Chávez', '26', '9', '0', 'MEX-05'),</t>
  </si>
  <si>
    <t>'1449',</t>
  </si>
  <si>
    <t>'Carlos Rodríguez',</t>
  </si>
  <si>
    <t>'MEX-03'),</t>
  </si>
  <si>
    <t>('Mexico ', '1449', '8', 'MF', 'Carlos Rodríguez', '25', '36', '0', 'MEX-03'),</t>
  </si>
  <si>
    <t>'1446',</t>
  </si>
  <si>
    <t>'Johan Vásquez',</t>
  </si>
  <si>
    <t>'ITA-18'),</t>
  </si>
  <si>
    <t>('Mexico ', '1446', '5', 'DF', 'Johan Vásquez', '24', '7', '0', 'ITA-18'),</t>
  </si>
  <si>
    <t>'1453',</t>
  </si>
  <si>
    <t>'Rodolfo Cota',</t>
  </si>
  <si>
    <t>'MEX-04'),</t>
  </si>
  <si>
    <t>('Mexico ', '1453', '12', 'GK', 'Rodolfo Cota', '35', '8', '0', 'MEX-04'),</t>
  </si>
  <si>
    <t>'1454',</t>
  </si>
  <si>
    <t>'Guillermo Ochoa',</t>
  </si>
  <si>
    <t>'131',</t>
  </si>
  <si>
    <t>'MEX-02'),</t>
  </si>
  <si>
    <t>('Mexico ', '1454', '13', 'GK', 'Guillermo Ochoa', '37', '131', '0', 'MEX-02'),</t>
  </si>
  <si>
    <t>('Qatar ',</t>
  </si>
  <si>
    <t>'1589',</t>
  </si>
  <si>
    <t>'Khalid Muneer',</t>
  </si>
  <si>
    <t>'QTR-07'),</t>
  </si>
  <si>
    <t>('Qatar ', '1589', '18', 'FW', 'Khalid Muneer', '24', '2', '0', 'QTR-07'),</t>
  </si>
  <si>
    <t>'1584',</t>
  </si>
  <si>
    <t>'Musab Kheder',</t>
  </si>
  <si>
    <t>'QTR-01'),</t>
  </si>
  <si>
    <t>('Qatar ', '1584', '13', 'DF', 'Musab Kheder', '29', '30', '0', 'QTR-01'),</t>
  </si>
  <si>
    <t>'1575',</t>
  </si>
  <si>
    <t>'Mohammed Waad',</t>
  </si>
  <si>
    <t>('Qatar ', '1575', '4', 'DF', 'Mohammed Waad', '23', '21', '0', 'QTR-01'),</t>
  </si>
  <si>
    <t>'1576',</t>
  </si>
  <si>
    <t>'Tarek Salman',</t>
  </si>
  <si>
    <t>'58',</t>
  </si>
  <si>
    <t>('Qatar ', '1576', '5', 'DF', 'Tarek Salman', '24', '58', '0', 'QTR-01'),</t>
  </si>
  <si>
    <t>'1572',</t>
  </si>
  <si>
    <t>'Saad Al-Sheeb',</t>
  </si>
  <si>
    <t>'76',</t>
  </si>
  <si>
    <t>('Qatar ', '1572', '1', 'GK', 'Saad Al-Sheeb', '32', '76', '0', 'QTR-01'),</t>
  </si>
  <si>
    <t>'1597',</t>
  </si>
  <si>
    <t>'Mostafa Meshaal',</t>
  </si>
  <si>
    <t>('Qatar ', '1597', '26', 'MF', 'Mostafa Meshaal', '21', '1', '0', 'QTR-01'),</t>
  </si>
  <si>
    <t>'1593',</t>
  </si>
  <si>
    <t>'Meshaal Barsham',</t>
  </si>
  <si>
    <t>('Qatar ', '1593', '22', 'GK', 'Meshaal Barsham', '24', '20', '0', 'QTR-01'),</t>
  </si>
  <si>
    <t>'1592',</t>
  </si>
  <si>
    <t>'Yousef Hassan',</t>
  </si>
  <si>
    <t>'QTR-03'),</t>
  </si>
  <si>
    <t>('Qatar ', '1592', '21', 'GK', 'Yousef Hassan', '26', '7', '0', 'QTR-03'),</t>
  </si>
  <si>
    <t>'1591',</t>
  </si>
  <si>
    <t>'Salem Al-Hajri',</t>
  </si>
  <si>
    <t>('Qatar ', '1591', '20', 'MF', 'Salem Al-Hajri', '26', '22', '0', 'QTR-01'),</t>
  </si>
  <si>
    <t>'1596',</t>
  </si>
  <si>
    <t>'Jassem Gaber',</t>
  </si>
  <si>
    <t>'QTR-05'),</t>
  </si>
  <si>
    <t>('Qatar ', '1596', '25', 'MF', 'Jassem Gaber', '20', '0', '0', 'QTR-05'),</t>
  </si>
  <si>
    <t>'1595',</t>
  </si>
  <si>
    <t>'Naif Al-Hadhrami',</t>
  </si>
  <si>
    <t>'QTR-06'),</t>
  </si>
  <si>
    <t>('Qatar ', '1595', '24', 'MF', 'Naif Al-Hadhrami', '21', '1', '0', 'QTR-06'),</t>
  </si>
  <si>
    <t>'1594',</t>
  </si>
  <si>
    <t>'Assim Madibo',</t>
  </si>
  <si>
    <t>'43',</t>
  </si>
  <si>
    <t>'QTR-02'),</t>
  </si>
  <si>
    <t>('Qatar ', '1594', '23', 'MF', 'Assim Madibo', '26', '43', '0', 'QTR-02'),</t>
  </si>
  <si>
    <t>('Serbia ',</t>
  </si>
  <si>
    <t>'1649',</t>
  </si>
  <si>
    <t>'Marko Dmitrović',</t>
  </si>
  <si>
    <t>'ESP-04'),</t>
  </si>
  <si>
    <t>('Serbia ', '1649', '1', 'GK', 'Marko Dmitrović', '30', '19', '0', 'ESP-04'),</t>
  </si>
  <si>
    <t>'1661',</t>
  </si>
  <si>
    <t>'Stefan Mitrović',</t>
  </si>
  <si>
    <t>'ESP-10'),</t>
  </si>
  <si>
    <t>('Serbia ', '1661', '13', 'DF', 'Stefan Mitrović', '32', '35', '0', 'ESP-10'),</t>
  </si>
  <si>
    <t>'1660',</t>
  </si>
  <si>
    <t>'Predrag Rajković',</t>
  </si>
  <si>
    <t>'ESP-11'),</t>
  </si>
  <si>
    <t>('Serbia ', '1660', '12', 'GK', 'Predrag Rajković', '27', '28', '0', 'ESP-11'),</t>
  </si>
  <si>
    <t>'1663',</t>
  </si>
  <si>
    <t>'Srđan Babić',</t>
  </si>
  <si>
    <t>'ESP-14'),</t>
  </si>
  <si>
    <t>('Serbia ', '1663', '15', 'DF', 'Srđan Babić', '26', '2', '0', 'ESP-14'),</t>
  </si>
  <si>
    <t>'1654',</t>
  </si>
  <si>
    <t>'Nemanja Maksimović',</t>
  </si>
  <si>
    <t>('Serbia ', '1654', '6', 'MF', 'Nemanja Maksimović', '27', '40', '0', 'ESP-10'),</t>
  </si>
  <si>
    <t>'1653',</t>
  </si>
  <si>
    <t>'Miloš Veljković',</t>
  </si>
  <si>
    <t>'GER-13'),</t>
  </si>
  <si>
    <t>('Serbia ', '1653', '5', 'DF', 'Miloš Veljković', '27', '21', '0', 'GER-13'),</t>
  </si>
  <si>
    <t>'1672',</t>
  </si>
  <si>
    <t>'Ivan Ilić',</t>
  </si>
  <si>
    <t>('Serbia ', '1672', '24', 'MF', 'Ivan Ilić', '21', '6', '0', 'ITA-08'),</t>
  </si>
  <si>
    <t>'1671',</t>
  </si>
  <si>
    <t>'Vanja Milinković-Savić',</t>
  </si>
  <si>
    <t>'ITA-05'),</t>
  </si>
  <si>
    <t>('Serbia ', '1671', '23', 'GK', 'Vanja Milinković-Savić', '25', '7', '0', 'ITA-05'),</t>
  </si>
  <si>
    <t>'1651',</t>
  </si>
  <si>
    <t>'Strahinja Eraković',</t>
  </si>
  <si>
    <t>('Serbia ', '1651', '3', 'DF', 'Strahinja Eraković', '21', '2', '0', 'SER-01'),</t>
  </si>
  <si>
    <t>'1674',</t>
  </si>
  <si>
    <t>'Marko Grujić',</t>
  </si>
  <si>
    <t>'POR-02'),</t>
  </si>
  <si>
    <t>('Serbia ', '1674', '26', 'MF', 'Marko Grujić', '26', '18', '0', 'POR-02'),</t>
  </si>
  <si>
    <t>'1667',</t>
  </si>
  <si>
    <t>'Uroš Račić',</t>
  </si>
  <si>
    <t>'POR-04'),</t>
  </si>
  <si>
    <t>('Serbia ', '1667', '19', 'MF', 'Uroš Račić', '24', '9', '0', 'POR-04'),</t>
  </si>
  <si>
    <t>('Tunisia ',</t>
  </si>
  <si>
    <t>'1742',</t>
  </si>
  <si>
    <t>'Aymen Dahmen',</t>
  </si>
  <si>
    <t>'TUN-03'),</t>
  </si>
  <si>
    <t>('Tunisia ', '1742', '16', 'GK', 'Aymen Dahmen', '25', '5', '0', 'TUN-03'),</t>
  </si>
  <si>
    <t>'1752',</t>
  </si>
  <si>
    <t>'Mouez Hassen',</t>
  </si>
  <si>
    <t>'TUN-02'),</t>
  </si>
  <si>
    <t>('Tunisia ', '1752', '26', 'GK', 'Mouez Hassen', '27', '20', '0', 'TUN-02'),</t>
  </si>
  <si>
    <t>'1747',</t>
  </si>
  <si>
    <t>'Wajdi Kechrida',</t>
  </si>
  <si>
    <t>'GRE-04'),</t>
  </si>
  <si>
    <t>('Tunisia ', '1747', '21', 'DF', 'Wajdi Kechrida', '27', '19', '0', 'GRE-04'),</t>
  </si>
  <si>
    <t>'1748',</t>
  </si>
  <si>
    <t>'Bechir Ben Saïd',</t>
  </si>
  <si>
    <t>'TUN-05'),</t>
  </si>
  <si>
    <t>('Tunisia ', '1748', '22', 'GK', 'Bechir Ben Saïd', '29', '10', '0', 'TUN-05'),</t>
  </si>
  <si>
    <t>'1731',</t>
  </si>
  <si>
    <t>'Nader Ghandri',</t>
  </si>
  <si>
    <t>('Tunisia ', '1731', '5', 'MF', 'Nader Ghandri', '27', '8', '0', 'TUN-02'),</t>
  </si>
  <si>
    <t>'1727',</t>
  </si>
  <si>
    <t>'Aymen Mathlouthi',</t>
  </si>
  <si>
    <t>'38',</t>
  </si>
  <si>
    <t>'TUN-04'),</t>
  </si>
  <si>
    <t>('Tunisia ', '1727', '1', 'GK', 'Aymen Mathlouthi', '38', '73', '0', 'TUN-04'),</t>
  </si>
  <si>
    <t>'1728',</t>
  </si>
  <si>
    <t>'Bilel Ifa',</t>
  </si>
  <si>
    <t>'KUW-01'),</t>
  </si>
  <si>
    <t>('Tunisia ', '1728', '2', 'DF', 'Bilel Ifa', '32', '37', '0', 'KUW-01'),</t>
  </si>
  <si>
    <t>'1734',</t>
  </si>
  <si>
    <t>'Hannibal Mejbri',</t>
  </si>
  <si>
    <t>'ENG-20'),</t>
  </si>
  <si>
    <t>('Tunisia ', '1734', '8', 'MF', 'Hannibal Mejbri', '19', '19', '0', 'ENG-20'),</t>
  </si>
  <si>
    <t>('Uruguay ',</t>
  </si>
  <si>
    <t>'1772',</t>
  </si>
  <si>
    <t>'Facundo Torres',</t>
  </si>
  <si>
    <t>'USA-18'),</t>
  </si>
  <si>
    <t>('Uruguay ', '1772', '20', 'FW', 'Facundo Torres', '22', '10', '0', 'USA-18'),</t>
  </si>
  <si>
    <t>'1768',</t>
  </si>
  <si>
    <t>'Mathías Olivera',</t>
  </si>
  <si>
    <t>'ITA-04'),</t>
  </si>
  <si>
    <t>('Uruguay ', '1768', '16', 'DF', 'Mathías Olivera', '25', '8', '0', 'ITA-04'),</t>
  </si>
  <si>
    <t>'1769',</t>
  </si>
  <si>
    <t>'Matías Viña',</t>
  </si>
  <si>
    <t>'ITA-09'),</t>
  </si>
  <si>
    <t>('Uruguay ', '1769', '17', 'DF', 'Matías Viña', '25', '26', '0', 'ITA-09'),</t>
  </si>
  <si>
    <t>'1777',</t>
  </si>
  <si>
    <t>'Manuel Ugarte',</t>
  </si>
  <si>
    <t>'POR-03'),</t>
  </si>
  <si>
    <t>('Uruguay ', '1777', '25', 'MF', 'Manuel Ugarte', '21', '6', '0', 'POR-03'),</t>
  </si>
  <si>
    <t>'1778',</t>
  </si>
  <si>
    <t>'José Luis Rodríguez',</t>
  </si>
  <si>
    <t>'URU-01'),</t>
  </si>
  <si>
    <t>('Uruguay ', '1778', '26', 'DF', 'José Luis Rodríguez', '25', '0', '0', 'URU-01'),</t>
  </si>
  <si>
    <t>'1775',</t>
  </si>
  <si>
    <t>'Sergio Rochet',</t>
  </si>
  <si>
    <t>('Uruguay ', '1775', '23', 'GK', 'Sergio Rochet', '29', '8', '0', 'URU-01'),</t>
  </si>
  <si>
    <t>'1776',</t>
  </si>
  <si>
    <t>'Agustín Canobbio',</t>
  </si>
  <si>
    <t>'BRA-02'),</t>
  </si>
  <si>
    <t>('Uruguay ', '1776', '24', 'MF', 'Agustín Canobbio', '24', '3', '0', 'BRA-02'),</t>
  </si>
  <si>
    <t>'1766',</t>
  </si>
  <si>
    <t>'Lucas Torreira',</t>
  </si>
  <si>
    <t>('Uruguay ', '1766', '14', 'MF', 'Lucas Torreira', '26', '40', '0', 'TUR-01'),</t>
  </si>
  <si>
    <t>'1756',</t>
  </si>
  <si>
    <t>'Ronald Araújo',</t>
  </si>
  <si>
    <t>('Uruguay ', '1756', '4', 'DF', 'Ronald Araújo', '23', '12', '0', 'ESP-01'),</t>
  </si>
  <si>
    <t>'1753',</t>
  </si>
  <si>
    <t>'Fernando Muslera',</t>
  </si>
  <si>
    <t>'133',</t>
  </si>
  <si>
    <t>('Uruguay ', '1753', '1', 'GK', 'Fernando Muslera', '36', '133', '0', 'TUR-01'),</t>
  </si>
  <si>
    <t>'1764',</t>
  </si>
  <si>
    <t>'Sebastián Sosa',</t>
  </si>
  <si>
    <t>'ARG-02'),</t>
  </si>
  <si>
    <t>('Uruguay ', '1764', '12', 'GK', 'Sebastián Sosa', '36', '1', '0', 'ARG-02'),</t>
  </si>
  <si>
    <t>'1765',</t>
  </si>
  <si>
    <t>'Guillermo Varela',</t>
  </si>
  <si>
    <t>'BRA-01'),</t>
  </si>
  <si>
    <t>('Uruguay ', '1765', '13', 'DF', 'Guillermo Varela', '29', '9', '0', 'BRA-01'),</t>
  </si>
  <si>
    <t>'1760',</t>
  </si>
  <si>
    <t>'Facundo Pellistri',</t>
  </si>
  <si>
    <t>'ENG-02'),</t>
  </si>
  <si>
    <t>('Uruguay ', '1760', '8', 'FW', 'Facundo Pellistri', '20', '7', '0', 'ENG-02'),</t>
  </si>
  <si>
    <t>('Wales ',</t>
  </si>
  <si>
    <t>'1823',</t>
  </si>
  <si>
    <t>'Mark Harris',</t>
  </si>
  <si>
    <t>'ENG-23'),</t>
  </si>
  <si>
    <t>('Wales ', '1823', '19', 'FW', 'Mark Harris', '23', '5', '0', 'ENG-23'),</t>
  </si>
  <si>
    <t>'1819',</t>
  </si>
  <si>
    <t>'Ethan Ampadu',</t>
  </si>
  <si>
    <t>'ITA-14'),</t>
  </si>
  <si>
    <t>('Wales ', '1819', '15', 'DF', 'Ethan Ampadu', '22', '37', '0', 'ITA-14'),</t>
  </si>
  <si>
    <t>'1820',</t>
  </si>
  <si>
    <t>'Joe Morrell',</t>
  </si>
  <si>
    <t>'ENG-36'),</t>
  </si>
  <si>
    <t>('Wales ', '1820', '16', 'MF', 'Joe Morrell', '25', '30', '0', 'ENG-36'),</t>
  </si>
  <si>
    <t>'1821',</t>
  </si>
  <si>
    <t>'Tom Lockyer',</t>
  </si>
  <si>
    <t>'ENG-25'),</t>
  </si>
  <si>
    <t>('Wales ', '1821', '17', 'DF', 'Tom Lockyer', '27', '14', '0', 'ENG-25'),</t>
  </si>
  <si>
    <t>'1830',</t>
  </si>
  <si>
    <t>'Matthew Smith',</t>
  </si>
  <si>
    <t>'ENG-34'),</t>
  </si>
  <si>
    <t>('Wales ', '1830', '26', 'MF', 'Matthew Smith', '22', '19', '0', 'ENG-34'),</t>
  </si>
  <si>
    <t>'1828',</t>
  </si>
  <si>
    <t>'Ben Cabango',</t>
  </si>
  <si>
    <t>('Wales ', '1828', '24', 'DF', 'Ben Cabango', '22', '5', '0', 'ENG-19'),</t>
  </si>
  <si>
    <t>'1825',</t>
  </si>
  <si>
    <t>'Adam Davies',</t>
  </si>
  <si>
    <t>'ENG-27'),</t>
  </si>
  <si>
    <t>('Wales ', '1825', '21', 'GK', 'Adam Davies', '30', '4', '0', 'ENG-27'),</t>
  </si>
  <si>
    <t>'1826',</t>
  </si>
  <si>
    <t>'Sorba Thomas',</t>
  </si>
  <si>
    <t>'ENG-32'),</t>
  </si>
  <si>
    <t>('Wales ', '1826', '22', 'MF', 'Sorba Thomas', '23', '6', '0', 'ENG-32'),</t>
  </si>
  <si>
    <t>'1827',</t>
  </si>
  <si>
    <t>'Dylan Levitt',</t>
  </si>
  <si>
    <t>'SCO-03'),</t>
  </si>
  <si>
    <t>('Wales ', '1827', '23', 'MF', 'Dylan Levitt', '22', '13', '0', 'SCO-03'),</t>
  </si>
  <si>
    <t>'1809',</t>
  </si>
  <si>
    <t>'Chris Mepham',</t>
  </si>
  <si>
    <t>'ENG-21'),</t>
  </si>
  <si>
    <t>('Wales ', '1809', '5', 'DF', 'Chris Mepham', '25', '33', '0', 'ENG-21'),</t>
  </si>
  <si>
    <t>'1810',</t>
  </si>
  <si>
    <t>'Joe Rodon',</t>
  </si>
  <si>
    <t>('Wales ', '1810', '6', 'DF', 'Joe Rodon', '25', '30', '0', 'FRA-02'),</t>
  </si>
  <si>
    <t>'1805',</t>
  </si>
  <si>
    <t>'Wayne Hennessey',</t>
  </si>
  <si>
    <t>'106',</t>
  </si>
  <si>
    <t>'ENG-12'),</t>
  </si>
  <si>
    <t>('Wales ', '1805', '1', 'GK', 'Wayne Hennessey', '35', '106', '0', 'ENG-12'),</t>
  </si>
  <si>
    <t>'1806',</t>
  </si>
  <si>
    <t>'Chris Gunter',</t>
  </si>
  <si>
    <t>'109',</t>
  </si>
  <si>
    <t>'ENG-30'),</t>
  </si>
  <si>
    <t>('Wales ', '1806', '2', 'DF', 'Chris Gunter', '33', '109', '0', 'ENG-30'),</t>
  </si>
  <si>
    <t>'1816',</t>
  </si>
  <si>
    <t>'Danny Ward',</t>
  </si>
  <si>
    <t>('Wales ', '1816', '12', 'GK', 'Danny Ward', '29', '26', '0', 'ENG-07'),</t>
  </si>
  <si>
    <t>('Australia ',</t>
  </si>
  <si>
    <t>'1030',</t>
  </si>
  <si>
    <t>'Kye Rowles',</t>
  </si>
  <si>
    <t>'SCO-02'),</t>
  </si>
  <si>
    <t>('Australia ', '1030', '4', 'DF', 'Kye Rowles', '24', '3', '0', 'SCO-02'),</t>
  </si>
  <si>
    <t>'1043',</t>
  </si>
  <si>
    <t>'Cameron Devlin',</t>
  </si>
  <si>
    <t>('Australia ', '1043', '17', 'MF', 'Cameron Devlin', '24', '1', '0', 'SCO-02'),</t>
  </si>
  <si>
    <t>'1029',</t>
  </si>
  <si>
    <t>'Nathaniel Atkinson',</t>
  </si>
  <si>
    <t>('Australia ', '1029', '3', 'DF', 'Nathaniel Atkinson', '23', '5', '0', 'SCO-02'),</t>
  </si>
  <si>
    <t>'1050',</t>
  </si>
  <si>
    <t>'Joel King',</t>
  </si>
  <si>
    <t>'DEN-03'),</t>
  </si>
  <si>
    <t>('Australia ', '1050', '24', 'DF', 'Joel King', '22', '4', '0', 'DEN-03'),</t>
  </si>
  <si>
    <t>'1052',</t>
  </si>
  <si>
    <t>'Keanu Baccus',</t>
  </si>
  <si>
    <t>'SCO-07'),</t>
  </si>
  <si>
    <t>('Australia ', '1052', '26', 'MF', 'Keanu Baccus', '24', '1', '0', 'SCO-07'),</t>
  </si>
  <si>
    <t>'1027',</t>
  </si>
  <si>
    <t>'Mathew Ryan ',</t>
  </si>
  <si>
    <t>'75',</t>
  </si>
  <si>
    <t>'DEN-01'),</t>
  </si>
  <si>
    <t>('Australia ', '1027', '1', 'GK', 'Mathew Ryan ', '30', '75', '0', 'DEN-01'),</t>
  </si>
  <si>
    <t>'1044',</t>
  </si>
  <si>
    <t>'Danny Vukovic',</t>
  </si>
  <si>
    <t>'AUS-01'),</t>
  </si>
  <si>
    <t>('Australia ', '1044', '18', 'GK', 'Danny Vukovic', '37', '4', '0', 'AUS-01'),</t>
  </si>
  <si>
    <t>'1047',</t>
  </si>
  <si>
    <t>'Garang Kuol',</t>
  </si>
  <si>
    <t>('Australia ', '1047', '21', 'FW', 'Garang Kuol', '18', '1', '0', 'AUS-01'),</t>
  </si>
  <si>
    <t>'1046',</t>
  </si>
  <si>
    <t>'Thomas Deng',</t>
  </si>
  <si>
    <t>'JPN-02'),</t>
  </si>
  <si>
    <t>('Australia ', '1046', '20', 'DF', 'Thomas Deng', '25', '2', '0', 'JPN-02'),</t>
  </si>
  <si>
    <t>'1038',</t>
  </si>
  <si>
    <t>'Andrew Redmayne',</t>
  </si>
  <si>
    <t>'AUS-04'),</t>
  </si>
  <si>
    <t>('Australia ', '1038', '12', 'GK', 'Andrew Redmayne', '33', '4', '0', 'AUS-04'),</t>
  </si>
  <si>
    <t>('Spain ',</t>
  </si>
  <si>
    <t>'1697',</t>
  </si>
  <si>
    <t>'Unai Simón',</t>
  </si>
  <si>
    <t>('Spain ', '1697', '23', 'GK', 'Unai Simón', '25', '27', '0', 'ESP-08'),</t>
  </si>
  <si>
    <t>'1700',</t>
  </si>
  <si>
    <t>'Pedri',</t>
  </si>
  <si>
    <t>('Spain ', '1700', '26', 'MF', 'Pedri', '19', '14', '0', 'ESP-01'),</t>
  </si>
  <si>
    <t>'1694',</t>
  </si>
  <si>
    <t>'Dani Carvajal',</t>
  </si>
  <si>
    <t>('Spain ', '1694', '20', 'DF', 'Dani Carvajal', '30', '31', '0', 'ESP-02'),</t>
  </si>
  <si>
    <t>'1675',</t>
  </si>
  <si>
    <t>'Robert Sánchez',</t>
  </si>
  <si>
    <t>('Spain ', '1675', '1', 'GK', 'Robert Sánchez', '25', '2', '0', 'ENG-06'),</t>
  </si>
  <si>
    <t>'1688',</t>
  </si>
  <si>
    <t>'Alejandro Balde',</t>
  </si>
  <si>
    <t>('Spain ', '1688', '14', 'DF', 'Alejandro Balde', '19', '0', '0', 'ESP-01'),</t>
  </si>
  <si>
    <t>'1680',</t>
  </si>
  <si>
    <t>'Marcos Llorente',</t>
  </si>
  <si>
    <t>'ESP-03'),</t>
  </si>
  <si>
    <t>('Spain ', '1680', '6', 'MF', 'Marcos Llorente', '27', '17', '0', 'ESP-03'),</t>
  </si>
  <si>
    <t>'1682',</t>
  </si>
  <si>
    <t>'Koke',</t>
  </si>
  <si>
    <t>('Spain ', '1682', '8', 'MF', 'Koke', '30', '68', '0', 'ESP-03'),</t>
  </si>
  <si>
    <t>'1687',</t>
  </si>
  <si>
    <t>'David Raya',</t>
  </si>
  <si>
    <t>('Spain ', '1687', '13', 'GK', 'David Raya', '27', '2', '0', 'ENG-09'),</t>
  </si>
  <si>
    <t>'1677',</t>
  </si>
  <si>
    <t>'Eric García',</t>
  </si>
  <si>
    <t>('Spain ', '1677', '3', 'DF', 'Eric García', '21', '19', '0', 'ESP-01'),</t>
  </si>
  <si>
    <t>('Japan ',</t>
  </si>
  <si>
    <t>'1390',</t>
  </si>
  <si>
    <t>'Eiji Kawashima',</t>
  </si>
  <si>
    <t>'39',</t>
  </si>
  <si>
    <t>'95',</t>
  </si>
  <si>
    <t>'FRA-12'),</t>
  </si>
  <si>
    <t>('Japan ', '1390', '1', 'GK', 'Eiji Kawashima', '39', '95', '0', 'FRA-12'),</t>
  </si>
  <si>
    <t>'1401',</t>
  </si>
  <si>
    <t>'Shūichi Gonda',</t>
  </si>
  <si>
    <t>'JPN-07'),</t>
  </si>
  <si>
    <t>('Japan ', '1401', '12', 'GK', 'Shūichi Gonda', '33', '34', '0', 'JPN-07'),</t>
  </si>
  <si>
    <t>'1392',</t>
  </si>
  <si>
    <t>'Shogo Taniguchi',</t>
  </si>
  <si>
    <t>'JPN-01'),</t>
  </si>
  <si>
    <t>('Japan ', '1392', '3', 'DF', 'Shogo Taniguchi', '31', '14', '0', 'JPN-01'),</t>
  </si>
  <si>
    <t>'1412',</t>
  </si>
  <si>
    <t>'Daniel Schmidt',</t>
  </si>
  <si>
    <t>'BEL-11'),</t>
  </si>
  <si>
    <t>('Japan ', '1412', '23', 'GK', 'Daniel Schmidt', '30', '11', '0', 'BEL-11'),</t>
  </si>
  <si>
    <t>'1415',</t>
  </si>
  <si>
    <t>'Hiroki Ito',</t>
  </si>
  <si>
    <t>'GER-10'),</t>
  </si>
  <si>
    <t>('Japan ', '1415', '26', 'DF', 'Hiroki Ito', '23', '6', '0', 'GER-10'),</t>
  </si>
  <si>
    <t>'1410',</t>
  </si>
  <si>
    <t>'Ayase Ueda',</t>
  </si>
  <si>
    <t>'BEL-05'),</t>
  </si>
  <si>
    <t>('Japan ', '1410', '21', 'FW', 'Ayase Ueda', '24', '11', '0', 'BEL-05'),</t>
  </si>
  <si>
    <t>('Korea Rep ',</t>
  </si>
  <si>
    <t>'1416',</t>
  </si>
  <si>
    <t>'Kim Seung-gyu',</t>
  </si>
  <si>
    <t>'67',</t>
  </si>
  <si>
    <t>('Korea Rep ', '1416', '1', 'GK', 'Kim Seung-gyu', '32', '67', '0', 'SAU-03'),</t>
  </si>
  <si>
    <t>'1433',</t>
  </si>
  <si>
    <t>'Lee Kang-in',</t>
  </si>
  <si>
    <t>('Korea Rep ', '1433', '18', 'MF', 'Lee Kang-in', '21', '6', '0', 'ESP-11'),</t>
  </si>
  <si>
    <t>'1430',</t>
  </si>
  <si>
    <t>'Kim Moon-hwan',</t>
  </si>
  <si>
    <t>'KOR-01'),</t>
  </si>
  <si>
    <t>('Korea Rep ', '1430', '15', 'DF', 'Kim Moon-hwan', '27', '22', '0', 'KOR-01'),</t>
  </si>
  <si>
    <t>'1439',</t>
  </si>
  <si>
    <t>'Cho Yu-min',</t>
  </si>
  <si>
    <t>'KOR-05'),</t>
  </si>
  <si>
    <t>('Korea Rep ', '1439', '24', 'DF', 'Cho Yu-min', '26', '4', '0', 'KOR-05'),</t>
  </si>
  <si>
    <t>'1436',</t>
  </si>
  <si>
    <t>'Jo Hyeon-woo',</t>
  </si>
  <si>
    <t>'KOR-02'),</t>
  </si>
  <si>
    <t>('Korea Rep ', '1436', '21', 'GK', 'Jo Hyeon-woo', '31', '22', '0', 'KOR-02'),</t>
  </si>
  <si>
    <t>'1438',</t>
  </si>
  <si>
    <t>'Kim Tae-hwan',</t>
  </si>
  <si>
    <t>('Korea Rep ', '1438', '23', 'DF', 'Kim Tae-hwan', '33', '19', '0', 'KOR-02'),</t>
  </si>
  <si>
    <t>'1417',</t>
  </si>
  <si>
    <t>'Yoon Jong-gyu',</t>
  </si>
  <si>
    <t>'KOR-03'),</t>
  </si>
  <si>
    <t>('Korea Rep ', '1417', '2', 'DF', 'Yoon Jong-gyu', '24', '4', '0', 'KOR-03'),</t>
  </si>
  <si>
    <t>'1427',</t>
  </si>
  <si>
    <t>'Song Bum-keun',</t>
  </si>
  <si>
    <t>('Korea Rep ', '1427', '12', 'GK', 'Song Bum-keun', '25', '1', '0', 'KOR-01'),</t>
  </si>
  <si>
    <t>'1428',</t>
  </si>
  <si>
    <t>'Son Jun-ho',</t>
  </si>
  <si>
    <t>'CHI-01'),</t>
  </si>
  <si>
    <t>('Korea Rep ', '1428', '13', 'MF', 'Son Jun-ho', '30', '15', '0', 'CHI-01'),</t>
  </si>
  <si>
    <t>('Poland ',</t>
  </si>
  <si>
    <t>'1523',</t>
  </si>
  <si>
    <t>'Mateusz Wieteska',</t>
  </si>
  <si>
    <t>('Poland ', '1523', '4', 'DF', 'Mateusz Wieteska', '25', '2', '0', 'FRA-07'),</t>
  </si>
  <si>
    <t>'1520',</t>
  </si>
  <si>
    <t>'Wojciech Szczęsny',</t>
  </si>
  <si>
    <t>'ITA-01'),</t>
  </si>
  <si>
    <t>('Poland ', '1520', '1', 'GK', 'Wojciech Szczęsny', '32', '66', '0', 'ITA-01'),</t>
  </si>
  <si>
    <t>'1536',</t>
  </si>
  <si>
    <t>'Szymon Żurkowski',</t>
  </si>
  <si>
    <t>'ITA-07'),</t>
  </si>
  <si>
    <t>('Poland ', '1536', '17', 'MF', 'Szymon Żurkowski', '25', '7', '0', 'ITA-07'),</t>
  </si>
  <si>
    <t>'1537',</t>
  </si>
  <si>
    <t>'Bartosz Bereszyński',</t>
  </si>
  <si>
    <t>'ITA-11'),</t>
  </si>
  <si>
    <t>('Poland ', '1537', '18', 'DF', 'Bartosz Bereszyński', '30', '46', '0', 'ITA-11'),</t>
  </si>
  <si>
    <t>'1531',</t>
  </si>
  <si>
    <t>'Łukasz Skorupski',</t>
  </si>
  <si>
    <t>'ITA-12'),</t>
  </si>
  <si>
    <t>('Poland ', '1531', '12', 'GK', 'Łukasz Skorupski', '31', '8', '0', 'ITA-12'),</t>
  </si>
  <si>
    <t>'1545',</t>
  </si>
  <si>
    <t>'Michał Skóraś',</t>
  </si>
  <si>
    <t>'POL-02'),</t>
  </si>
  <si>
    <t>('Poland ', '1545', '26', 'MF', 'Michał Skóraś', '22', '1', '0', 'POL-02'),</t>
  </si>
  <si>
    <t>'1544',</t>
  </si>
  <si>
    <t>'Robert Gumny',</t>
  </si>
  <si>
    <t>'GER-08'),</t>
  </si>
  <si>
    <t>('Poland ', '1544', '25', 'DF', 'Robert Gumny', '24', '5', '0', 'GER-08'),</t>
  </si>
  <si>
    <t>'1533',</t>
  </si>
  <si>
    <t>'Jakub Kiwior',</t>
  </si>
  <si>
    <t>('Poland ', '1533', '14', 'DF', 'Jakub Kiwior', '22', '5', '0', 'ITA-14'),</t>
  </si>
  <si>
    <t>'1525',</t>
  </si>
  <si>
    <t>'Krystian Bielik',</t>
  </si>
  <si>
    <t>('Poland ', '1525', '6', 'MF', 'Krystian Bielik', '24', '5', '0', 'ENG-20'),</t>
  </si>
  <si>
    <t>'1540',</t>
  </si>
  <si>
    <t>'Nicola Zalewski',</t>
  </si>
  <si>
    <t>('Poland ', '1540', '21', 'MF', 'Nicola Zalewski', '20', '7', '0', 'ITA-09'),</t>
  </si>
  <si>
    <t>'1541',</t>
  </si>
  <si>
    <t>'Kamil Grabara',</t>
  </si>
  <si>
    <t>('Poland ', '1541', '22', 'GK', 'Kamil Grabara', '23', '1', '0', 'DEN-01'),</t>
  </si>
  <si>
    <t>('Senegal ',</t>
  </si>
  <si>
    <t>'1639',</t>
  </si>
  <si>
    <t>'Pape Matar Sarr',</t>
  </si>
  <si>
    <t>'ENG-04'),</t>
  </si>
  <si>
    <t>('Senegal ', '1639', '17', 'MF', 'Pape Matar Sarr', '20', '10', '0', 'ENG-04'),</t>
  </si>
  <si>
    <t>'1635',</t>
  </si>
  <si>
    <t>'Iliman Ndiaye',</t>
  </si>
  <si>
    <t>('Senegal ', '1635', '13', 'FW', 'Iliman Ndiaye', '22', '2', '0', 'ENG-27'),</t>
  </si>
  <si>
    <t>'1636',</t>
  </si>
  <si>
    <t>'Ismail Jakobs',</t>
  </si>
  <si>
    <t>'FRA-03'),</t>
  </si>
  <si>
    <t>('Senegal ', '1636', '14', 'DF', 'Ismail Jakobs', '23', '2', '0', 'FRA-03'),</t>
  </si>
  <si>
    <t>'1638',</t>
  </si>
  <si>
    <t>'Édouard Mendy',</t>
  </si>
  <si>
    <t>'ENG-03'),</t>
  </si>
  <si>
    <t>('Senegal ', '1638', '16', 'GK', 'Édouard Mendy', '30', '25', '0', 'ENG-03'),</t>
  </si>
  <si>
    <t>'1646',</t>
  </si>
  <si>
    <t>'Moustapha Name',</t>
  </si>
  <si>
    <t>'CYP-02'),</t>
  </si>
  <si>
    <t>('Senegal ', '1646', '24', 'DF', 'Moustapha Name', '27', '6', '0', 'CYP-02'),</t>
  </si>
  <si>
    <t>'1647',</t>
  </si>
  <si>
    <t>'Mamadou Loum',</t>
  </si>
  <si>
    <t>'ENG-18'),</t>
  </si>
  <si>
    <t>('Senegal ', '1647', '25', 'MF', 'Mamadou Loum', '25', '3', '0', 'ENG-18'),</t>
  </si>
  <si>
    <t>'1648',</t>
  </si>
  <si>
    <t>'Pape Gueye',</t>
  </si>
  <si>
    <t>('Senegal ', '1648', '26', 'MF', 'Pape Gueye', '23', '12', '0', 'FRA-04'),</t>
  </si>
  <si>
    <t>'1645',</t>
  </si>
  <si>
    <t>'Alfred Gomis',</t>
  </si>
  <si>
    <t>('Senegal ', '1645', '23', 'GK', 'Alfred Gomis', '29', '14', '0', 'FRA-02'),</t>
  </si>
  <si>
    <t>'1626',</t>
  </si>
  <si>
    <t>'Kalidou Koulibaly ',</t>
  </si>
  <si>
    <t>'64',</t>
  </si>
  <si>
    <t>('Senegal ', '1626', '3', 'DF', 'Kalidou Koulibaly ', '31', '64', '0', 'ENG-03'),</t>
  </si>
  <si>
    <t>'1643',</t>
  </si>
  <si>
    <t>'Youssouf Sabaly',</t>
  </si>
  <si>
    <t>'ESP-05'),</t>
  </si>
  <si>
    <t>('Senegal ', '1643', '21', 'DF', 'Youssouf Sabaly', '29', '24', '0', 'ESP-05'),</t>
  </si>
  <si>
    <t>'1624',</t>
  </si>
  <si>
    <t>'Seny Dieng',</t>
  </si>
  <si>
    <t>'ENG-26'),</t>
  </si>
  <si>
    <t>('Senegal ', '1624', '1', 'GK', 'Seny Dieng', '27', '4', '0', 'ENG-26'),</t>
  </si>
  <si>
    <t>'1625',</t>
  </si>
  <si>
    <t>'Formose Mendy',</t>
  </si>
  <si>
    <t>'FRA-14'),</t>
  </si>
  <si>
    <t>('Senegal ', '1625', '2', 'DF', 'Formose Mendy', '21', '2', '0', 'FRA-14'),</t>
  </si>
  <si>
    <t>'1633',</t>
  </si>
  <si>
    <t>'Pathé Ciss',</t>
  </si>
  <si>
    <t>'ESP-19'),</t>
  </si>
  <si>
    <t>('Senegal ', '1633', '11', 'MF', 'Pathé Ciss', '28', '1', '0', 'ESP-19'),</t>
  </si>
  <si>
    <t>'1634',</t>
  </si>
  <si>
    <t>'Fodé Ballo-Touré',</t>
  </si>
  <si>
    <t>'ITA-02'),</t>
  </si>
  <si>
    <t>('Senegal ', '1634', '12', 'DF', 'Fodé Ballo-Touré', '25', '14', '0', 'ITA-02'),</t>
  </si>
  <si>
    <t>'1629',</t>
  </si>
  <si>
    <t>'Nampalys Mendy',</t>
  </si>
  <si>
    <t>('Senegal ', '1629', '6', 'MF', 'Nampalys Mendy', '30', '19', '0', 'ENG-07'),</t>
  </si>
  <si>
    <t>'1630',</t>
  </si>
  <si>
    <t>'Nicolas Jackson',</t>
  </si>
  <si>
    <t>'ESP-06'),</t>
  </si>
  <si>
    <t>('Senegal ', '1630', '7', 'FW', 'Nicolas Jackson', '21', '0', '0', 'ESP-06'),</t>
  </si>
  <si>
    <t>('Switzerland ',</t>
  </si>
  <si>
    <t>'1718',</t>
  </si>
  <si>
    <t>'Eray Cömert',</t>
  </si>
  <si>
    <t>'ESP-07'),</t>
  </si>
  <si>
    <t>('Switzerland ', '1718', '18', 'DF', 'Eray Cömert', '24', '10', '0', 'ESP-07'),</t>
  </si>
  <si>
    <t>'1715',</t>
  </si>
  <si>
    <t>'Djibril Sow',</t>
  </si>
  <si>
    <t>('Switzerland ', '1715', '15', 'MF', 'Djibril Sow', '25', '32', '0', 'GER-03'),</t>
  </si>
  <si>
    <t>'1721',</t>
  </si>
  <si>
    <t>'Gregor Kobel',</t>
  </si>
  <si>
    <t>('Switzerland ', '1721', '21', 'GK', 'Gregor Kobel', '24', '3', '0', 'GER-02'),</t>
  </si>
  <si>
    <t>'1725',</t>
  </si>
  <si>
    <t>'Fabian Rieder',</t>
  </si>
  <si>
    <t>('Switzerland ', '1725', '25', 'MF', 'Fabian Rieder', '20', '0', '0', 'SWI-01'),</t>
  </si>
  <si>
    <t>'1726',</t>
  </si>
  <si>
    <t>'Ardon Jashari',</t>
  </si>
  <si>
    <t>'SWI-03'),</t>
  </si>
  <si>
    <t>('Switzerland ', '1726', '26', 'MF', 'Ardon Jashari', '20', '1', '0', 'SWI-03'),</t>
  </si>
  <si>
    <t>'1724',</t>
  </si>
  <si>
    <t>'Philipp Köhn',</t>
  </si>
  <si>
    <t>'AST-01'),</t>
  </si>
  <si>
    <t>('Switzerland ', '1724', '24', 'GK', 'Philipp Köhn', '24', '0', '0', 'AST-01'),</t>
  </si>
  <si>
    <t>'1701',</t>
  </si>
  <si>
    <t>'Yann Sommer',</t>
  </si>
  <si>
    <t>'77',</t>
  </si>
  <si>
    <t>'GER-05'),</t>
  </si>
  <si>
    <t>('Switzerland ', '1701', '1', 'GK', 'Yann Sommer', '33', '77', '0', 'GER-05'),</t>
  </si>
  <si>
    <t>'1712',</t>
  </si>
  <si>
    <t>'Jonas Omlin',</t>
  </si>
  <si>
    <t>'FRA-10'),</t>
  </si>
  <si>
    <t>('Switzerland ', '1712', '12', 'GK', 'Jonas Omlin', '28', '4', '0', 'FRA-10'),</t>
  </si>
  <si>
    <t>'1714',</t>
  </si>
  <si>
    <t>'Michel Aebischer',</t>
  </si>
  <si>
    <t>('Switzerland ', '1714', '14', 'MF', 'Michel Aebischer', '25', '12', '0', 'ITA-12'),</t>
  </si>
  <si>
    <t>('USA ',</t>
  </si>
  <si>
    <t>'1798',</t>
  </si>
  <si>
    <t>'Cameron Carter-Vickers',</t>
  </si>
  <si>
    <t>'SCO-01'),</t>
  </si>
  <si>
    <t>('USA ', '1798', '20', 'DF', 'Cameron Carter-Vickers', '24', '11', '0', 'SCO-01'),</t>
  </si>
  <si>
    <t>'1795',</t>
  </si>
  <si>
    <t>'Cristian Roldan',</t>
  </si>
  <si>
    <t>('USA ', '1795', '17', 'MF', 'Cristian Roldan', '27', '32', '0', 'USA-03'),</t>
  </si>
  <si>
    <t>'1803',</t>
  </si>
  <si>
    <t>'Sean Johnson',</t>
  </si>
  <si>
    <t>'USA-16'),</t>
  </si>
  <si>
    <t>('USA ', '1803', '25', 'GK', 'Sean Johnson', '33', '10', '0', 'USA-16'),</t>
  </si>
  <si>
    <t>'1804',</t>
  </si>
  <si>
    <t>'Joe Scally',</t>
  </si>
  <si>
    <t>('USA ', '1804', '26', 'DF', 'Joe Scally', '19', '3', '0', 'GER-05'),</t>
  </si>
  <si>
    <t>'1800',</t>
  </si>
  <si>
    <t>'DeAndre Yedlin',</t>
  </si>
  <si>
    <t>'USA-13'),</t>
  </si>
  <si>
    <t>('USA ', '1800', '22', 'DF', 'DeAndre Yedlin', '29', '75', '0', 'USA-13'),</t>
  </si>
  <si>
    <t>'1784',</t>
  </si>
  <si>
    <t>'Yunus Musah',</t>
  </si>
  <si>
    <t>('USA ', '1784', '6', 'MF', 'Yunus Musah', '19', '19', '0', 'ESP-07'),</t>
  </si>
  <si>
    <t>'1779',</t>
  </si>
  <si>
    <t>'Matt Turner',</t>
  </si>
  <si>
    <t>'ENG-05'),</t>
  </si>
  <si>
    <t>('USA ', '1779', '1', 'GK', 'Matt Turner', '28', '20', '0', 'ENG-05'),</t>
  </si>
  <si>
    <t>'1790',</t>
  </si>
  <si>
    <t>'Ethan Horvath',</t>
  </si>
  <si>
    <t>('USA ', '1790', '12', 'GK', 'Ethan Horvath', '27', '8', '0', 'ENG-25'),</t>
  </si>
  <si>
    <t>'1792',</t>
  </si>
  <si>
    <t>'Luca de la Torre',</t>
  </si>
  <si>
    <t>('USA ', '1792', '14', 'MF', 'Luca de la Torre', '24', '12', '0', 'ESP-09'),</t>
  </si>
  <si>
    <t>('Argentina ',</t>
  </si>
  <si>
    <t>'1016',</t>
  </si>
  <si>
    <t>'Thiago Almada',</t>
  </si>
  <si>
    <t>'USA-06'),</t>
  </si>
  <si>
    <t>('Argentina ', '1016', '16', 'MF', 'Thiago Almada', '21', '1', '0', 'USA-06'),</t>
  </si>
  <si>
    <t>'1014',</t>
  </si>
  <si>
    <t>'Exequiel Palacios',</t>
  </si>
  <si>
    <t>'GER-07'),</t>
  </si>
  <si>
    <t>('Argentina ', '1014', '14', 'MF', 'Exequiel Palacios', '24', '20', '0', 'GER-07'),</t>
  </si>
  <si>
    <t>'1026',</t>
  </si>
  <si>
    <t>'Nahuel Molina',</t>
  </si>
  <si>
    <t>('Argentina ', '1026', '26', 'DF', 'Nahuel Molina', '24', '20', '0', 'ESP-03'),</t>
  </si>
  <si>
    <t>'1023',</t>
  </si>
  <si>
    <t>'Emiliano Martínez',</t>
  </si>
  <si>
    <t>'ENG-15'),</t>
  </si>
  <si>
    <t>('Argentina ', '1023', '23', 'GK', 'Emiliano Martínez', '30', '19', '0', 'ENG-15'),</t>
  </si>
  <si>
    <t>'1001',</t>
  </si>
  <si>
    <t>'Franco Armani',</t>
  </si>
  <si>
    <t>'ARG-01'),</t>
  </si>
  <si>
    <t>('Argentina ', '1001', '1', 'GK', 'Franco Armani', '36', '18', '0', 'ARG-01'),</t>
  </si>
  <si>
    <t>'1025',</t>
  </si>
  <si>
    <t>'Lisandro Martínez',</t>
  </si>
  <si>
    <t>('Argentina ', '1025', '25', 'DF', 'Lisandro Martínez', '24', '10', '0', 'ENG-02'),</t>
  </si>
  <si>
    <t>'1024',</t>
  </si>
  <si>
    <t>'Enzo Fernández',</t>
  </si>
  <si>
    <t>'POR-01'),</t>
  </si>
  <si>
    <t>('Argentina ', '1024', '24', 'MF', 'Enzo Fernández', '21', '3', '0', 'POR-01'),</t>
  </si>
  <si>
    <t>'1020',</t>
  </si>
  <si>
    <t>'Alexis Mac Allister',</t>
  </si>
  <si>
    <t>('Argentina ', '1020', '20', 'MF', 'Alexis Mac Allister', '23', '8', '0', 'ENG-06'),</t>
  </si>
  <si>
    <t>'1004',</t>
  </si>
  <si>
    <t>'Gonzalo Montiel',</t>
  </si>
  <si>
    <t>('Argentina ', '1004', '4', 'DF', 'Gonzalo Montiel', '25', '18', '0', 'ESP-04'),</t>
  </si>
  <si>
    <t>'1012',</t>
  </si>
  <si>
    <t>'Gerónimo Rulli',</t>
  </si>
  <si>
    <t>('Argentina ', '1012', '12', 'GK', 'Gerónimo Rulli', '30', '4', '0', 'ESP-06'),</t>
  </si>
  <si>
    <t>'1008',</t>
  </si>
  <si>
    <t>'Marcos Acuña',</t>
  </si>
  <si>
    <t>('Argentina ', '1008', '8', 'MF', 'Marcos Acuña', '31', '43', '0', 'ESP-04'),</t>
  </si>
  <si>
    <t>'1003',</t>
  </si>
  <si>
    <t>'Nicolás Tagliafico',</t>
  </si>
  <si>
    <t>'FRA-09'),</t>
  </si>
  <si>
    <t>('Argentina ', '1003', '3', 'DF', 'Nicolás Tagliafico', '30', '42', '0', 'FRA-09'),</t>
  </si>
  <si>
    <t>'1002',</t>
  </si>
  <si>
    <t>'Juan Foyth',</t>
  </si>
  <si>
    <t>('Argentina ', '1002', '2', 'DF', 'Juan Foyth', '24', '16', '0', 'ESP-06'),</t>
  </si>
  <si>
    <t>('Brasil ',</t>
  </si>
  <si>
    <t>'1101',</t>
  </si>
  <si>
    <t>'Ederson',</t>
  </si>
  <si>
    <t>'ENG-01'),</t>
  </si>
  <si>
    <t>('Brasil ', '1101', '23', 'GK', 'Ederson', '29', '18', '0', 'ENG-01'),</t>
  </si>
  <si>
    <t>'1102',</t>
  </si>
  <si>
    <t>'Bremer',</t>
  </si>
  <si>
    <t>('Brasil ', '1102', '24', 'DF', 'Bremer', '25', '1', '0', 'ITA-01'),</t>
  </si>
  <si>
    <t>'1079',</t>
  </si>
  <si>
    <t>'Alisson',</t>
  </si>
  <si>
    <t>'57',</t>
  </si>
  <si>
    <t>'ENG-08'),</t>
  </si>
  <si>
    <t>('Brasil ', '1079', '1', 'GK', 'Alisson', '30', '57', '0', 'ENG-08'),</t>
  </si>
  <si>
    <t>'1093',</t>
  </si>
  <si>
    <t>'Fabinho',</t>
  </si>
  <si>
    <t>('Brasil ', '1093', '15', 'MF', 'Fabinho', '29', '28', '0', 'ENG-08'),</t>
  </si>
  <si>
    <t>'1090',</t>
  </si>
  <si>
    <t>'Weverton',</t>
  </si>
  <si>
    <t>'BRA-03'),</t>
  </si>
  <si>
    <t>('Brasil ', '1090', '12', 'GK', 'Weverton', '34', '8', '0', 'BRA-03'),</t>
  </si>
  <si>
    <t>'1086',</t>
  </si>
  <si>
    <t>'Fred',</t>
  </si>
  <si>
    <t>('Brasil ', '1086', '8', 'MF', 'Fred', '29', '28', '0', 'ENG-02'),</t>
  </si>
  <si>
    <t>'1104',</t>
  </si>
  <si>
    <t>'Gabriel Martinelli',</t>
  </si>
  <si>
    <t>('Brasil ', '1104', '26', 'FW', 'Gabriel Martinelli', '21', '3', '0', 'ENG-05'),</t>
  </si>
  <si>
    <t>'1094',</t>
  </si>
  <si>
    <t>'Alex Telles',</t>
  </si>
  <si>
    <t>('Brasil ', '1094', '16', 'DF', 'Alex Telles', '29', '8', '0', 'ESP-04'),</t>
  </si>
  <si>
    <t>('Croatia ',</t>
  </si>
  <si>
    <t>'1207',</t>
  </si>
  <si>
    <t>'Luka Sučić',</t>
  </si>
  <si>
    <t>('Croatia ', '1207', '25', 'MF', 'Luka Sučić', '20', '4', '0', 'AST-01'),</t>
  </si>
  <si>
    <t>'1205',</t>
  </si>
  <si>
    <t>'Ivica Ivušić',</t>
  </si>
  <si>
    <t>'CRO-03'),</t>
  </si>
  <si>
    <t>('Croatia ', '1205', '23', 'GK', 'Ivica Ivušić', '27', '5', '0', 'CRO-03'),</t>
  </si>
  <si>
    <t>'1204',</t>
  </si>
  <si>
    <t>'Josip Juranović',</t>
  </si>
  <si>
    <t>('Croatia ', '1204', '22', 'DF', 'Josip Juranović', '27', '21', '0', 'SCO-01'),</t>
  </si>
  <si>
    <t>'1208',</t>
  </si>
  <si>
    <t>'Kristijan Jakić',</t>
  </si>
  <si>
    <t>('Croatia ', '1208', '26', 'MF', 'Kristijan Jakić', '25', '4', '0', 'GER-03'),</t>
  </si>
  <si>
    <t>'1194',</t>
  </si>
  <si>
    <t>'Ivo Grbić',</t>
  </si>
  <si>
    <t>('Croatia ', '1194', '12', 'GK', 'Ivo Grbić', '26', '2', '0', 'ESP-03'),</t>
  </si>
  <si>
    <t>'1187',</t>
  </si>
  <si>
    <t>'Martin Erlić',</t>
  </si>
  <si>
    <t>'ITA-19'),</t>
  </si>
  <si>
    <t>('Croatia ', '1187', '5', 'DF', 'Martin Erlić', '24', '4', '0', 'ITA-19'),</t>
  </si>
  <si>
    <t>'1183',</t>
  </si>
  <si>
    <t>'Dominik Livaković',</t>
  </si>
  <si>
    <t>('Croatia ', '1183', '1', 'GK', 'Dominik Livaković', '27', '34', '0', 'CRO-01'),</t>
  </si>
  <si>
    <t>'1206',</t>
  </si>
  <si>
    <t>'Josip Šutalo',</t>
  </si>
  <si>
    <t>('Croatia ', '1206', '24', 'DF', 'Josip Šutalo', '22', '3', '0', 'CRO-01'),</t>
  </si>
  <si>
    <t>'1184',</t>
  </si>
  <si>
    <t>'Josip Stanišić',</t>
  </si>
  <si>
    <t>('Croatia ', '1184', '2', 'DF', 'Josip Stanišić', '22', '7', '0', 'GER-01'),</t>
  </si>
  <si>
    <t>('England ',</t>
  </si>
  <si>
    <t>'1285',</t>
  </si>
  <si>
    <t>'James Maddison',</t>
  </si>
  <si>
    <t>('England ', '1285', '25', 'MF', 'James Maddison', '25', '1', '0', 'ENG-07'),</t>
  </si>
  <si>
    <t>'1282',</t>
  </si>
  <si>
    <t>'Jude Bellingham',</t>
  </si>
  <si>
    <t>('England ', '1282', '22', 'MF', 'Jude Bellingham', '19', '17', '0', 'GER-02'),</t>
  </si>
  <si>
    <t>'1261',</t>
  </si>
  <si>
    <t>'Jordan Pickford',</t>
  </si>
  <si>
    <t>'45',</t>
  </si>
  <si>
    <t>('England ', '1261', '1', 'GK', 'Jordan Pickford', '28', '45', '0', 'ENG-16'),</t>
  </si>
  <si>
    <t>'1281',</t>
  </si>
  <si>
    <t>'Ben White',</t>
  </si>
  <si>
    <t>('England ', '1281', '21', 'DF', 'Ben White', '25', '4', '0', 'ENG-05'),</t>
  </si>
  <si>
    <t>'1283',</t>
  </si>
  <si>
    <t>'Aaron Ramsdale',</t>
  </si>
  <si>
    <t>('England ', '1283', '23', 'GK', 'Aaron Ramsdale', '24', '3', '0', 'ENG-05'),</t>
  </si>
  <si>
    <t>'1286',</t>
  </si>
  <si>
    <t>'Conor Gallagher',</t>
  </si>
  <si>
    <t>('England ', '1286', '26', 'MF', 'Conor Gallagher', '22', '4', '0', 'ENG-03'),</t>
  </si>
  <si>
    <t>'1273',</t>
  </si>
  <si>
    <t>'Nick Pope',</t>
  </si>
  <si>
    <t>'ENG-11'),</t>
  </si>
  <si>
    <t>('England ', '1273', '13', 'GK', 'Nick Pope', '30', '10', '0', 'ENG-11'),</t>
  </si>
  <si>
    <t>'1274',</t>
  </si>
  <si>
    <t>'Kalvin Phillips',</t>
  </si>
  <si>
    <t>('England ', '1274', '14', 'MF', 'Kalvin Phillips', '26', '23', '0', 'ENG-01'),</t>
  </si>
  <si>
    <t>'1262',</t>
  </si>
  <si>
    <t>'Kyle Walker',</t>
  </si>
  <si>
    <t>'70',</t>
  </si>
  <si>
    <t>('England ', '1262', '2', 'DF', 'Kyle Walker', '32', '70', '0', 'ENG-01'),</t>
  </si>
  <si>
    <t>('France ',</t>
  </si>
  <si>
    <t>'1301',</t>
  </si>
  <si>
    <t>'Jordan Veretout',</t>
  </si>
  <si>
    <t>('France ', '1301', '15', 'MF', 'Jordan Veretout', '29', '5', '0', 'FRA-04'),</t>
  </si>
  <si>
    <t>'1302',</t>
  </si>
  <si>
    <t>'Steve Mandanda',</t>
  </si>
  <si>
    <t>('France ', '1302', '16', 'GK', 'Steve Mandanda', '37', '34', '0', 'FRA-02'),</t>
  </si>
  <si>
    <t>'1303',</t>
  </si>
  <si>
    <t>'William Saliba',</t>
  </si>
  <si>
    <t>('France ', '1303', '17', 'DF', 'William Saliba', '21', '7', '0', 'ENG-05'),</t>
  </si>
  <si>
    <t>'1310',</t>
  </si>
  <si>
    <t>'Ibrahima Konaté',</t>
  </si>
  <si>
    <t>('France ', '1310', '24', 'DF', 'Ibrahima Konaté', '23', '2', '0', 'ENG-08'),</t>
  </si>
  <si>
    <t>'1312',</t>
  </si>
  <si>
    <t>'Marcus Thuram',</t>
  </si>
  <si>
    <t>('France ', '1312', '26', 'FW', 'Marcus Thuram', '25', '4', '0', 'GER-05'),</t>
  </si>
  <si>
    <t>'1307',</t>
  </si>
  <si>
    <t>'Lucas Hernandez',</t>
  </si>
  <si>
    <t>('France ', '1307', '21', 'DF', 'Lucas Hernandez', '26', '32', '0', 'GER-01'),</t>
  </si>
  <si>
    <t>'1309',</t>
  </si>
  <si>
    <t>'Alphonse Areola',</t>
  </si>
  <si>
    <t>('France ', '1309', '23', 'GK', 'Alphonse Areola', '29', '5', '0', 'ENG-13'),</t>
  </si>
  <si>
    <t>'1291',</t>
  </si>
  <si>
    <t>'Jules Koundé',</t>
  </si>
  <si>
    <t>('France ', '1291', '5', 'DF', 'Jules Koundé', '24', '12', '0', 'ESP-01'),</t>
  </si>
  <si>
    <t>'1298',</t>
  </si>
  <si>
    <t>'Randal Kolo Muani',</t>
  </si>
  <si>
    <t>('France ', '1298', '12', 'FW', 'Randal Kolo Muani', '23', '2', '0', 'GER-03'),</t>
  </si>
  <si>
    <t>'1289',</t>
  </si>
  <si>
    <t>'Axel Disasi',</t>
  </si>
  <si>
    <t>('France ', '1289', '3', 'DF', 'Axel Disasi', '24', '0', '0', 'FRA-03'),</t>
  </si>
  <si>
    <t>'1299',</t>
  </si>
  <si>
    <t>'Youssouf Fofana',</t>
  </si>
  <si>
    <t>('France ', '1299', '13', 'MF', 'Youssouf Fofana', '23', '2', '0', 'FRA-03'),</t>
  </si>
  <si>
    <t>'1287',</t>
  </si>
  <si>
    <t>'Hugo Lloris ',</t>
  </si>
  <si>
    <t>'139',</t>
  </si>
  <si>
    <t>('France ', '1287', '1', 'GK', 'Hugo Lloris ', '35', '139', '0', 'ENG-04'),</t>
  </si>
  <si>
    <t>('Morocco ',</t>
  </si>
  <si>
    <t>'1477',</t>
  </si>
  <si>
    <t>'Anass Zaroury',</t>
  </si>
  <si>
    <t>'ENG-22'),</t>
  </si>
  <si>
    <t>('Morocco ', '1477', '10', 'MF', 'Anass Zaroury', '22', '1', '0', 'ENG-22'),</t>
  </si>
  <si>
    <t>'1479',</t>
  </si>
  <si>
    <t>'Munir Mohamedi',</t>
  </si>
  <si>
    <t>'SAU-07'),</t>
  </si>
  <si>
    <t>('Morocco ', '1479', '12', 'GK', 'Munir Mohamedi', '33', '43', '0', 'SAU-07'),</t>
  </si>
  <si>
    <t>'1468',</t>
  </si>
  <si>
    <t>'Yassine Bounou',</t>
  </si>
  <si>
    <t>('Morocco ', '1468', '1', 'GK', 'Yassine Bounou', '31', '46', '0', 'ESP-04'),</t>
  </si>
  <si>
    <t>'1483',</t>
  </si>
  <si>
    <t>'Abde Ezzalzouli',</t>
  </si>
  <si>
    <t>'ESP-12'),</t>
  </si>
  <si>
    <t>('Morocco ', '1483', '16', 'FW', 'Abde Ezzalzouli', '20', '2', '0', 'ESP-12'),</t>
  </si>
  <si>
    <t>'1471',</t>
  </si>
  <si>
    <t>'Sofyan Amrabat',</t>
  </si>
  <si>
    <t>('Morocco ', '1471', '4', 'MF', 'Sofyan Amrabat', '26', '39', '0', 'ITA-07'),</t>
  </si>
  <si>
    <t>'1490',</t>
  </si>
  <si>
    <t>'Bilal El Khannous',</t>
  </si>
  <si>
    <t>('Morocco ', '1490', '23', 'MF', 'Bilal El Khannous', '18', '0', '0', 'BEL-03'),</t>
  </si>
  <si>
    <t>'1489',</t>
  </si>
  <si>
    <t>'Ahmed Reda Tagnaouti',</t>
  </si>
  <si>
    <t>'MOR-01'),</t>
  </si>
  <si>
    <t>('Morocco ', '1489', '22', 'GK', 'Ahmed Reda Tagnaouti', '26', '3', '0', 'MOR-01'),</t>
  </si>
  <si>
    <t>'1491',</t>
  </si>
  <si>
    <t>'Badr Benoun',</t>
  </si>
  <si>
    <t>'QTR-08'),</t>
  </si>
  <si>
    <t>('Morocco ', '1491', '24', 'DF', 'Badr Benoun', '29', '3', '0', 'QTR-08'),</t>
  </si>
  <si>
    <t>'1493',</t>
  </si>
  <si>
    <t>'Yahya Jabrane',</t>
  </si>
  <si>
    <t>('Morocco ', '1493', '26', 'MF', 'Yahya Jabrane', '31', '5', '0', 'MOR-01'),</t>
  </si>
  <si>
    <t>'1492',</t>
  </si>
  <si>
    <t>'Yahia Attiyat Allah',</t>
  </si>
  <si>
    <t>('Morocco ', '1492', '25', 'DF', 'Yahia Attiyat Allah', '27', '2', '0', 'MOR-01'),</t>
  </si>
  <si>
    <t>'1488',</t>
  </si>
  <si>
    <t>'Walid Cheddira',</t>
  </si>
  <si>
    <t>'ITA-15'),</t>
  </si>
  <si>
    <t>('Morocco ', '1488', '21', 'FW', 'Walid Cheddira', '24', '2', '0', 'ITA-15'),</t>
  </si>
  <si>
    <t>'1487',</t>
  </si>
  <si>
    <t>'Achraf Dari',</t>
  </si>
  <si>
    <t>'FRA-16'),</t>
  </si>
  <si>
    <t>('Morocco ', '1487', '20', 'DF', 'Achraf Dari', '23', '4', '0', 'FRA-16'),</t>
  </si>
  <si>
    <t>('Netherlands ',</t>
  </si>
  <si>
    <t>'1508',</t>
  </si>
  <si>
    <t>'Marten de Roon',</t>
  </si>
  <si>
    <t>'ITA-06'),</t>
  </si>
  <si>
    <t>('Netherlands ', '1508', '15', 'MF', 'Marten de Roon', '31', '30', '0', 'ITA-06'),</t>
  </si>
  <si>
    <t>'1509',</t>
  </si>
  <si>
    <t>'Tyrell Malacia',</t>
  </si>
  <si>
    <t>('Netherlands ', '1509', '16', 'DF', 'Tyrell Malacia', '23', '6', '0', 'ENG-02'),</t>
  </si>
  <si>
    <t>'1517',</t>
  </si>
  <si>
    <t>'Kenneth Taylor',</t>
  </si>
  <si>
    <t>'NET-01'),</t>
  </si>
  <si>
    <t>('Netherlands ', '1517', '24', 'MF', 'Kenneth Taylor', '20', '2', '0', 'NET-01'),</t>
  </si>
  <si>
    <t>'1518',</t>
  </si>
  <si>
    <t>'Xavi Simons',</t>
  </si>
  <si>
    <t>'NET-02'),</t>
  </si>
  <si>
    <t>('Netherlands ', '1518', '25', 'MF', 'Xavi Simons', '19', '0', '0', 'NET-02'),</t>
  </si>
  <si>
    <t>'1519',</t>
  </si>
  <si>
    <t>'Jeremie Frimpong',</t>
  </si>
  <si>
    <t>('Netherlands ', '1519', '26', 'DF', 'Jeremie Frimpong', '21', '0', '0', 'GER-07'),</t>
  </si>
  <si>
    <t>'1516',</t>
  </si>
  <si>
    <t>'Andries Noppert',</t>
  </si>
  <si>
    <t>'NET-04'),</t>
  </si>
  <si>
    <t>('Netherlands ', '1516', '23', 'GK', 'Andries Noppert', '28', '0', '0', 'NET-04'),</t>
  </si>
  <si>
    <t>'1506',</t>
  </si>
  <si>
    <t>'Justin Bijlow',</t>
  </si>
  <si>
    <t>'NET-03'),</t>
  </si>
  <si>
    <t>('Netherlands ', '1506', '13', 'GK', 'Justin Bijlow', '24', '6', '0', 'NET-03'),</t>
  </si>
  <si>
    <t>'1494',</t>
  </si>
  <si>
    <t>'Remko Pasveer',</t>
  </si>
  <si>
    <t>('Netherlands ', '1494', '1', 'GK', 'Remko Pasveer', '39', '2', '0', 'NET-01'),</t>
  </si>
  <si>
    <t>'1495',</t>
  </si>
  <si>
    <t>'Jurriën Timber',</t>
  </si>
  <si>
    <t>('Netherlands ', '1495', '2', 'DF', 'Jurriën Timber', '21', '10', '0', 'NET-01'),</t>
  </si>
  <si>
    <t>('Portugal ',</t>
  </si>
  <si>
    <t>'1560',</t>
  </si>
  <si>
    <t>'Rafael Leão',</t>
  </si>
  <si>
    <t>('Portugal ', '1560', '15', 'FW', 'Rafael Leão', '23', '11', '0', 'ITA-02'),</t>
  </si>
  <si>
    <t>'1557',</t>
  </si>
  <si>
    <t>'José Sá',</t>
  </si>
  <si>
    <t>'ENG-14'),</t>
  </si>
  <si>
    <t>('Portugal ', '1557', '12', 'GK', 'José Sá', '29', '0', '0', 'ENG-14'),</t>
  </si>
  <si>
    <t>'1546',</t>
  </si>
  <si>
    <t>'Rui Patrício',</t>
  </si>
  <si>
    <t>'105',</t>
  </si>
  <si>
    <t>('Portugal ', '1546', '1', 'GK', 'Rui Patrício', '34', '105', '0', 'ITA-09'),</t>
  </si>
  <si>
    <t>'1569',</t>
  </si>
  <si>
    <t>'António Silva',</t>
  </si>
  <si>
    <t>('Portugal ', '1569', '24', 'DF', 'António Silva', '19', '1', '0', 'POR-01'),</t>
  </si>
  <si>
    <t>'1561',</t>
  </si>
  <si>
    <t>'Vitinha',</t>
  </si>
  <si>
    <t>('Portugal ', '1561', '16', 'MF', 'Vitinha', '22', '5', '0', 'FRA-01'),</t>
  </si>
  <si>
    <t>'1567',</t>
  </si>
  <si>
    <t>'Diogo Costa',</t>
  </si>
  <si>
    <t>('Portugal ', '1567', '22', 'GK', 'Diogo Costa', '23', '7', '0', 'POR-02'),</t>
  </si>
  <si>
    <t>'1563',</t>
  </si>
  <si>
    <t>'Rúben Neves',</t>
  </si>
  <si>
    <t>('Portugal ', '1563', '18', 'MF', 'Rúben Neves', '25', '32', '0', 'ENG-14'),</t>
  </si>
  <si>
    <t>'1564',</t>
  </si>
  <si>
    <t>'Nuno Mendes',</t>
  </si>
  <si>
    <t>('Portugal ', '1564', '19', 'DF', 'Nuno Mendes', '20', '17', '0', 'FRA-01'),</t>
  </si>
  <si>
    <t>'1013',</t>
  </si>
  <si>
    <t>'Cristian Romero',</t>
  </si>
  <si>
    <t>('Argentina ', '1013', '13', 'DF', 'Cristian Romero', '24', '12', '1', 'ENG-04'),</t>
  </si>
  <si>
    <t>'1018',</t>
  </si>
  <si>
    <t>'Guido Rodríguez',</t>
  </si>
  <si>
    <t>('Argentina ', '1018', '18', 'MF', 'Guido Rodríguez', '28', '26', '1', 'ESP-05'),</t>
  </si>
  <si>
    <t>'1031',</t>
  </si>
  <si>
    <t>'Fran Karačić',</t>
  </si>
  <si>
    <t>'ITA-17'),</t>
  </si>
  <si>
    <t>('Australia ', '1031', '5', 'DF', 'Fran Karačić', '26', '11', '1', 'ITA-17'),</t>
  </si>
  <si>
    <t>'1028',</t>
  </si>
  <si>
    <t>'Miloš Degenek',</t>
  </si>
  <si>
    <t>'USA-09'),</t>
  </si>
  <si>
    <t>('Australia ', '1028', '2', 'DF', 'Miloš Degenek', '28', '38', '1', 'USA-09'),</t>
  </si>
  <si>
    <t>'1049',</t>
  </si>
  <si>
    <t>'Craig Goodwin',</t>
  </si>
  <si>
    <t>'AUS-03'),</t>
  </si>
  <si>
    <t>('Australia ', '1049', '23', 'FW', 'Craig Goodwin', '30', '10', '1', 'AUS-03'),</t>
  </si>
  <si>
    <t>'1051',</t>
  </si>
  <si>
    <t>'Jason Cummings',</t>
  </si>
  <si>
    <t>('Australia ', '1051', '25', 'FW', 'Jason Cummings', '27', '1', '1', 'AUS-01'),</t>
  </si>
  <si>
    <t>'1040',</t>
  </si>
  <si>
    <t>'Riley McGree',</t>
  </si>
  <si>
    <t>'ENG-33'),</t>
  </si>
  <si>
    <t>('Australia ', '1040', '14', 'MF', 'Riley McGree', '24', '11', '1', 'ENG-33'),</t>
  </si>
  <si>
    <t>'1071',</t>
  </si>
  <si>
    <t>'Leander Dendoncker',</t>
  </si>
  <si>
    <t>('Belgium ', '1071', '19', 'DF', 'Leander Dendoncker', '27', '29', '1', 'ENG-15'),</t>
  </si>
  <si>
    <t>'1074',</t>
  </si>
  <si>
    <t>'Charles De Ketelaere',</t>
  </si>
  <si>
    <t>('Belgium ', '1074', '22', 'FW', 'Charles De Ketelaere', '21', '10', '1', 'ITA-02'),</t>
  </si>
  <si>
    <t>'1080',</t>
  </si>
  <si>
    <t>'Danilo',</t>
  </si>
  <si>
    <t>('Brasil ', '1080', '2', 'DF', 'Danilo', '31', '46', '1', 'ITA-01'),</t>
  </si>
  <si>
    <t>'1099',</t>
  </si>
  <si>
    <t>'Rodrygo',</t>
  </si>
  <si>
    <t>('Brasil ', '1099', '21', 'FW', 'Rodrygo', '21', '7', '1', 'ESP-02'),</t>
  </si>
  <si>
    <t>'1092',</t>
  </si>
  <si>
    <t>'Éder Militão',</t>
  </si>
  <si>
    <t>('Brasil ', '1092', '14', 'DF', 'Éder Militão', '24', '23', '1', 'ESP-02'),</t>
  </si>
  <si>
    <t>'1098',</t>
  </si>
  <si>
    <t>'Vinícius Júnior',</t>
  </si>
  <si>
    <t>('Brasil ', '1098', '20', 'FW', 'Vinícius Júnior', '22', '16', '1', 'ESP-02'),</t>
  </si>
  <si>
    <t>'1103',</t>
  </si>
  <si>
    <t>'Pedro',</t>
  </si>
  <si>
    <t>('Brasil ', '1103', '25', 'FW', 'Pedro', '25', '2', '1', 'BRA-01'),</t>
  </si>
  <si>
    <t>'1095',</t>
  </si>
  <si>
    <t>'Bruno Guimarães',</t>
  </si>
  <si>
    <t>('Brasil ', '1095', '17', 'MF', 'Bruno Guimarães', '25', '8', '1', 'ENG-11'),</t>
  </si>
  <si>
    <t>'1154',</t>
  </si>
  <si>
    <t>'David Wotherspoon',</t>
  </si>
  <si>
    <t>'SCO-06'),</t>
  </si>
  <si>
    <t>('Canada ', '1154', '24', 'MF', 'David Wotherspoon', '32', '10', '1', 'SCO-06'),</t>
  </si>
  <si>
    <t>'1133',</t>
  </si>
  <si>
    <t>'Sam Adekugbe',</t>
  </si>
  <si>
    <t>'TUR-09'),</t>
  </si>
  <si>
    <t>('Canada ', '1133', '3', 'DF', 'Sam Adekugbe', '27', '34', '1', 'TUR-09'),</t>
  </si>
  <si>
    <t>'1145',</t>
  </si>
  <si>
    <t>'Ismaël Koné',</t>
  </si>
  <si>
    <t>('Canada ', '1145', '15', 'MF', 'Ismaël Koné', '20', '6', '1', 'USA-01'),</t>
  </si>
  <si>
    <t>'1152',</t>
  </si>
  <si>
    <t>'Richie Laryea',</t>
  </si>
  <si>
    <t>'USA-04'),</t>
  </si>
  <si>
    <t>('Canada ', '1152', '22', 'DF', 'Richie Laryea', '27', '34', '1', 'USA-04'),</t>
  </si>
  <si>
    <t>'1132',</t>
  </si>
  <si>
    <t>'Alistair Johnston',</t>
  </si>
  <si>
    <t>('Canada ', '1132', '2', 'DF', 'Alistair Johnston', '24', '30', '1', 'USA-01'),</t>
  </si>
  <si>
    <t>'1119',</t>
  </si>
  <si>
    <t>'Pierre Kunde',</t>
  </si>
  <si>
    <t>'GRE-02'),</t>
  </si>
  <si>
    <t>('Cameroon ', '1119', '15', 'MF', 'Pierre Kunde', '27', '32', '1', 'GRE-02'),</t>
  </si>
  <si>
    <t>'1130',</t>
  </si>
  <si>
    <t>'Souaibou Marou',</t>
  </si>
  <si>
    <t>'CAM-02'),</t>
  </si>
  <si>
    <t>('Cameroon ', '1130', '26', 'MF', 'Souaibou Marou', '21', '3', '1', 'CAM-02'),</t>
  </si>
  <si>
    <t>'1159',</t>
  </si>
  <si>
    <t>'Juan Pablo Vargas',</t>
  </si>
  <si>
    <t>'Col-01'),</t>
  </si>
  <si>
    <t>('Costa Rica ', '1159', '3', 'DF', 'Juan Pablo Vargas', '27', '12', '1', 'Col-01'),</t>
  </si>
  <si>
    <t>'1169',</t>
  </si>
  <si>
    <t>'Gerson Torres',</t>
  </si>
  <si>
    <t>('Costa Rica ', '1169', '13', 'MF', 'Gerson Torres', '25', '13', '1', 'CRA-01'),</t>
  </si>
  <si>
    <t>'1181',</t>
  </si>
  <si>
    <t>'Anthony Hernández',</t>
  </si>
  <si>
    <t>'CRA-07'),</t>
  </si>
  <si>
    <t>('Costa Rica ', '1181', '25', 'MF', 'Anthony Hernández', '21', '3', '1', 'CRA-07'),</t>
  </si>
  <si>
    <t>'1202',</t>
  </si>
  <si>
    <t>'Joško Gvardiol',</t>
  </si>
  <si>
    <t>('Croatia ', '1202', '20', 'DF', 'Joško Gvardiol', '20', '12', '1', 'GER-04'),</t>
  </si>
  <si>
    <t>'1201',</t>
  </si>
  <si>
    <t>'Borna Sosa',</t>
  </si>
  <si>
    <t>('Croatia ', '1201', '19', 'DF', 'Borna Sosa', '24', '8', '1', 'GER-10'),</t>
  </si>
  <si>
    <t>'1199',</t>
  </si>
  <si>
    <t>'Ante Budimir',</t>
  </si>
  <si>
    <t>('Croatia ', '1199', '17', 'FW', 'Ante Budimir', '31', '15', '1', 'ESP-12'),</t>
  </si>
  <si>
    <t>'1185',</t>
  </si>
  <si>
    <t>'Borna Barišić',</t>
  </si>
  <si>
    <t>'SCO-05'),</t>
  </si>
  <si>
    <t>('Croatia ', '1185', '3', 'DF', 'Borna Barišić', '30', '28', '1', 'SCO-05'),</t>
  </si>
  <si>
    <t>'1200',</t>
  </si>
  <si>
    <t>'Mislav Oršić',</t>
  </si>
  <si>
    <t>('Croatia ', '1200', '18', 'FW', 'Mislav Oršić', '29', '21', '1', 'CRO-01'),</t>
  </si>
  <si>
    <t>'1234',</t>
  </si>
  <si>
    <t>'Alexander Bah',</t>
  </si>
  <si>
    <t>('Denmark ', '1234', '26', 'DF', 'Alexander Bah', '24', '4', '1', 'POR-01'),</t>
  </si>
  <si>
    <t>'1223',</t>
  </si>
  <si>
    <t>'Christian Nørgaard',</t>
  </si>
  <si>
    <t>('Denmark ', '1223', '15', 'MF', 'Christian Nørgaard', '28', '17', '1', 'ENG-09'),</t>
  </si>
  <si>
    <t>'1233',</t>
  </si>
  <si>
    <t>'Jesper Lindstrøm',</t>
  </si>
  <si>
    <t>('Denmark ', '1233', '25', 'MF', 'Jesper Lindstrøm', '22', '6', '1', 'GER-03'),</t>
  </si>
  <si>
    <t>'1215',</t>
  </si>
  <si>
    <t>'Mathias Jensen',</t>
  </si>
  <si>
    <t>('Denmark ', '1215', '7', 'MF', 'Mathias Jensen', '26', '20', '1', 'ENG-09'),</t>
  </si>
  <si>
    <t>'1226',</t>
  </si>
  <si>
    <t>'Daniel Wass',</t>
  </si>
  <si>
    <t>'44',</t>
  </si>
  <si>
    <t>'DEN-02'),</t>
  </si>
  <si>
    <t>('Denmark ', '1226', '18', 'DF', 'Daniel Wass', '33', '44', '1', 'DEN-02'),</t>
  </si>
  <si>
    <t>'1255',</t>
  </si>
  <si>
    <t>'Alan Franco',</t>
  </si>
  <si>
    <t>'ARG-04'),</t>
  </si>
  <si>
    <t>('Ecuador ', '1255', '21', 'MF', 'Alan Franco', '24', '25', '1', 'ARG-04'),</t>
  </si>
  <si>
    <t>'1248',</t>
  </si>
  <si>
    <t>'Xavier Arreaga',</t>
  </si>
  <si>
    <t>('Ecuador ', '1248', '14', 'DF', 'Xavier Arreaga', '28', '18', '1', 'USA-03'),</t>
  </si>
  <si>
    <t>'1242',</t>
  </si>
  <si>
    <t>'Carlos Gruezo',</t>
  </si>
  <si>
    <t>('Ecuador ', '1242', '8', 'MF', 'Carlos Gruezo', '27', '46', '1', 'GER-08'),</t>
  </si>
  <si>
    <t>'1237',</t>
  </si>
  <si>
    <t>'Piero Hincapié',</t>
  </si>
  <si>
    <t>('Ecuador ', '1237', '3', 'DF', 'Piero Hincapié', '20', '21', '1', 'GER-07'),</t>
  </si>
  <si>
    <t>'1278',</t>
  </si>
  <si>
    <t>'Trent Alexander-Arnold',</t>
  </si>
  <si>
    <t>('England ', '1278', '18', 'DF', 'Trent Alexander-Arnold', '24', '17', '1', 'ENG-08'),</t>
  </si>
  <si>
    <t>'1276',</t>
  </si>
  <si>
    <t>'Conor Coady',</t>
  </si>
  <si>
    <t>('England ', '1276', '16', 'DF', 'Conor Coady', '29', '10', '1', 'ENG-16'),</t>
  </si>
  <si>
    <t>'1284',</t>
  </si>
  <si>
    <t>'Callum Wilson',</t>
  </si>
  <si>
    <t>('England ', '1284', '24', 'FW', 'Callum Wilson', '30', '4', '1', 'ENG-11'),</t>
  </si>
  <si>
    <t>'1272',</t>
  </si>
  <si>
    <t>'Kieran Trippier',</t>
  </si>
  <si>
    <t>('England ', '1272', '12', 'DF', 'Kieran Trippier', '32', '37', '1', 'ENG-11'),</t>
  </si>
  <si>
    <t>'1267',</t>
  </si>
  <si>
    <t>'Jack Grealish',</t>
  </si>
  <si>
    <t>('England ', '1267', '7', 'FW', 'Jack Grealish', '27', '24', '1', 'ENG-01'),</t>
  </si>
  <si>
    <t>'1689',</t>
  </si>
  <si>
    <t>'Hugo Guillamón',</t>
  </si>
  <si>
    <t>('Spain ', '1689', '15', 'DF', 'Hugo Guillamón', '22', '3', '1', 'ESP-07'),</t>
  </si>
  <si>
    <t>'1690',</t>
  </si>
  <si>
    <t>'Rodri',</t>
  </si>
  <si>
    <t>('Spain ', '1690', '16', 'MF', 'Rodri', '26', '35', '1', 'ENG-01'),</t>
  </si>
  <si>
    <t>'1691',</t>
  </si>
  <si>
    <t>'Yeremy Pino',</t>
  </si>
  <si>
    <t>('Spain ', '1691', '17', 'FW', 'Yeremy Pino', '20', '7', '1', 'ESP-06'),</t>
  </si>
  <si>
    <t>'1698',</t>
  </si>
  <si>
    <t>'Aymeric Laporte',</t>
  </si>
  <si>
    <t>('Spain ', '1698', '24', 'DF', 'Aymeric Laporte', '28', '16', '1', 'ENG-01'),</t>
  </si>
  <si>
    <t>'1678',</t>
  </si>
  <si>
    <t>'Pau Torres',</t>
  </si>
  <si>
    <t>('Spain ', '1678', '4', 'DF', 'Pau Torres', '25', '22', '1', 'ESP-06'),</t>
  </si>
  <si>
    <t>'1684',</t>
  </si>
  <si>
    <t>'Marco Asensio',</t>
  </si>
  <si>
    <t>('Spain ', '1684', '10', 'FW', 'Marco Asensio', '26', '31', '1', 'ESP-02'),</t>
  </si>
  <si>
    <t>'1686',</t>
  </si>
  <si>
    <t>'Nico Williams',</t>
  </si>
  <si>
    <t>('Spain ', '1686', '12', 'FW', 'Nico Williams', '20', '3', '1', 'ESP-08'),</t>
  </si>
  <si>
    <t>'1676',</t>
  </si>
  <si>
    <t>'César Azpilicueta',</t>
  </si>
  <si>
    <t>('Spain ', '1676', '2', 'DF', 'César Azpilicueta', '33', '42', '1', 'ENG-03'),</t>
  </si>
  <si>
    <t>'1292',</t>
  </si>
  <si>
    <t>'Matteo Guendouzi',</t>
  </si>
  <si>
    <t>('France ', '1292', '6', 'MF', 'Matteo Guendouzi', '23', '6', '1', 'FRA-04'),</t>
  </si>
  <si>
    <t>'1304',</t>
  </si>
  <si>
    <t>'Dayot Upamecano',</t>
  </si>
  <si>
    <t>('France ', '1304', '18', 'DF', 'Dayot Upamecano', '24', '7', '1', 'GER-01'),</t>
  </si>
  <si>
    <t>'1311',</t>
  </si>
  <si>
    <t>'Eduardo Camavinga',</t>
  </si>
  <si>
    <t>('France ', '1311', '25', 'MF', 'Eduardo Camavinga', '20', '4', '1', 'ESP-02'),</t>
  </si>
  <si>
    <t>'1308',</t>
  </si>
  <si>
    <t>'Theo Hernandez',</t>
  </si>
  <si>
    <t>('France ', '1308', '22', 'DF', 'Theo Hernandez', '25', '7', '1', 'ITA-02'),</t>
  </si>
  <si>
    <t>'1294',</t>
  </si>
  <si>
    <t>'Aurélien Tchouaméni',</t>
  </si>
  <si>
    <t>('France ', '1294', '8', 'MF', 'Aurélien Tchouaméni', '22', '14', '1', 'ESP-02'),</t>
  </si>
  <si>
    <t>'1327',</t>
  </si>
  <si>
    <t>'Niklas Süle',</t>
  </si>
  <si>
    <t>('Germany ', '1327', '15', 'DF', 'Niklas Süle', '27', '42', '1', 'GER-02'),</t>
  </si>
  <si>
    <t>'1326',</t>
  </si>
  <si>
    <t>'Jamal Musiala',</t>
  </si>
  <si>
    <t>('Germany ', '1326', '14', 'MF', 'Jamal Musiala', '19', '17', '1', 'GER-01'),</t>
  </si>
  <si>
    <t>'1321',</t>
  </si>
  <si>
    <t>'Niclas Füllkrug',</t>
  </si>
  <si>
    <t>('Germany ', '1321', '9', 'FW', 'Niclas Füllkrug', '29', '1', '1', 'GER-13'),</t>
  </si>
  <si>
    <t>'1336',</t>
  </si>
  <si>
    <t>'Karim Adeyemi',</t>
  </si>
  <si>
    <t>('Germany ', '1336', '24', 'FW', 'Karim Adeyemi', '20', '4', '1', 'GER-02'),</t>
  </si>
  <si>
    <t>'1342',</t>
  </si>
  <si>
    <t>'Mohammed Salisu',</t>
  </si>
  <si>
    <t>('Ghana ', '1342', '4', 'DF', 'Mohammed Salisu', '23', '3', '1', 'ENG-28'),</t>
  </si>
  <si>
    <t>'1349',</t>
  </si>
  <si>
    <t>'Osman Bukari',</t>
  </si>
  <si>
    <t>('Ghana ', '1349', '11', 'MF', 'Osman Bukari', '23', '7', '1', 'SER-01'),</t>
  </si>
  <si>
    <t>'1345',</t>
  </si>
  <si>
    <t>'Abdul Fatawu Issahaku',</t>
  </si>
  <si>
    <t>('Ghana ', '1345', '7', 'MF', 'Abdul Fatawu Issahaku', '18', '13', '1', 'POR-03'),</t>
  </si>
  <si>
    <t>'1361',</t>
  </si>
  <si>
    <t>'Alexander Djiku',</t>
  </si>
  <si>
    <t>('Ghana ', '1361', '23', 'DF', 'Alexander Djiku', '28', '18', '1', 'FRA-12'),</t>
  </si>
  <si>
    <t>'1363',</t>
  </si>
  <si>
    <t>'Antoine Semenyo',</t>
  </si>
  <si>
    <t>'ENG-31'),</t>
  </si>
  <si>
    <t>('Ghana ', '1363', '25', 'FW', 'Antoine Semenyo', '22', '4', '1', 'ENG-31'),</t>
  </si>
  <si>
    <t>'1355',</t>
  </si>
  <si>
    <t>'Baba Rahman',</t>
  </si>
  <si>
    <t>'48',</t>
  </si>
  <si>
    <t>('Ghana ', '1355', '17', 'DF', 'Baba Rahman', '28', '48', '1', 'ENG-18'),</t>
  </si>
  <si>
    <t>'1379',</t>
  </si>
  <si>
    <t>'Rouzbeh Cheshmi',</t>
  </si>
  <si>
    <t>('Iran ', '1379', '15', 'DF', 'Rouzbeh Cheshmi', '29', '19', '1', 'IRN-02'),</t>
  </si>
  <si>
    <t>'1368',</t>
  </si>
  <si>
    <t>'Shojae Khalilzadeh',</t>
  </si>
  <si>
    <t>'QTR-04'),</t>
  </si>
  <si>
    <t>('Iran ', '1368', '4', 'DF', 'Shojae Khalilzadeh', '33', '25', '1', 'QTR-04'),</t>
  </si>
  <si>
    <t>'1369',</t>
  </si>
  <si>
    <t>'Milad Mohammadi',</t>
  </si>
  <si>
    <t>'GRE-01'),</t>
  </si>
  <si>
    <t>('Iran ', '1369', '5', 'DF', 'Milad Mohammadi', '29', '45', '1', 'GRE-01'),</t>
  </si>
  <si>
    <t>'1370',</t>
  </si>
  <si>
    <t>'Saeid Ezatolahi',</t>
  </si>
  <si>
    <t>'47',</t>
  </si>
  <si>
    <t>'DEN-04'),</t>
  </si>
  <si>
    <t>('Iran ', '1370', '6', 'MF', 'Saeid Ezatolahi', '26', '47', '1', 'DEN-04'),</t>
  </si>
  <si>
    <t>'1393',</t>
  </si>
  <si>
    <t>'Ko Itakura',</t>
  </si>
  <si>
    <t>('Japan ', '1393', '4', 'DF', 'Ko Itakura', '25', '13', '1', 'GER-05'),</t>
  </si>
  <si>
    <t>'1400',</t>
  </si>
  <si>
    <t>'Takefusa Kubo',</t>
  </si>
  <si>
    <t>'ESP-20'),</t>
  </si>
  <si>
    <t>('Japan ', '1400', '11', 'MF', 'Takefusa Kubo', '21', '20', '1', 'ESP-20'),</t>
  </si>
  <si>
    <t>'1414',</t>
  </si>
  <si>
    <t>'Daizen Maeda',</t>
  </si>
  <si>
    <t>('Japan ', '1414', '25', 'FW', 'Daizen Maeda', '25', '8', '1', 'SCO-01'),</t>
  </si>
  <si>
    <t>'1405',</t>
  </si>
  <si>
    <t>'Takehiro Tomiyasu',</t>
  </si>
  <si>
    <t>('Japan ', '1405', '16', 'DF', 'Takehiro Tomiyasu', '24', '29', '1', 'ENG-05'),</t>
  </si>
  <si>
    <t>'1408',</t>
  </si>
  <si>
    <t>'Hiroki Sakai',</t>
  </si>
  <si>
    <t>'72',</t>
  </si>
  <si>
    <t>'JPN-09'),</t>
  </si>
  <si>
    <t>('Japan ', '1408', '19', 'DF', 'Hiroki Sakai', '32', '72', '1', 'JPN-09'),</t>
  </si>
  <si>
    <t>'1441',</t>
  </si>
  <si>
    <t>'Song Min-kyu',</t>
  </si>
  <si>
    <t>('Korea Rep ', '1441', '26', 'MF', 'Song Min-kyu', '23', '13', '1', 'KOR-01'),</t>
  </si>
  <si>
    <t>'1429',</t>
  </si>
  <si>
    <t>'Hong Chul',</t>
  </si>
  <si>
    <t>'KOR-04'),</t>
  </si>
  <si>
    <t>('Korea Rep ', '1429', '14', 'DF', 'Hong Chul', '32', '46', '1', 'KOR-04'),</t>
  </si>
  <si>
    <t>'1622',</t>
  </si>
  <si>
    <t>'Haitham Asiri',</t>
  </si>
  <si>
    <t>('Saudi Arabia ', '1622', '25', 'FW', 'Haitham Asiri', '21', '8', '1', 'SAU-05'),</t>
  </si>
  <si>
    <t>'1620',</t>
  </si>
  <si>
    <t>'Mohamed Kanno',</t>
  </si>
  <si>
    <t>('Saudi Arabia ', '1620', '23', 'MF', 'Mohamed Kanno', '28', '38', '1', 'SAU-01'),</t>
  </si>
  <si>
    <t>'1612',</t>
  </si>
  <si>
    <t>'Ali Al-Hassan',</t>
  </si>
  <si>
    <t>('Saudi Arabia ', '1612', '15', 'MF', 'Ali Al-Hassan', '25', '13', '1', 'SAU-02'),</t>
  </si>
  <si>
    <t>'1603',</t>
  </si>
  <si>
    <t>'Mohammed Al-Breik',</t>
  </si>
  <si>
    <t>('Saudi Arabia ', '1603', '6', 'DF', 'Mohammed Al-Breik', '30', '40', '1', 'SAU-01'),</t>
  </si>
  <si>
    <t>'1601',</t>
  </si>
  <si>
    <t>'Abdulelah Al-Amri',</t>
  </si>
  <si>
    <t>('Saudi Arabia ', '1601', '4', 'DF', 'Abdulelah Al-Amri', '25', '20', '1', 'SAU-02'),</t>
  </si>
  <si>
    <t>'1609',</t>
  </si>
  <si>
    <t>'Saud Abdulhamid',</t>
  </si>
  <si>
    <t>('Saudi Arabia ', '1609', '12', 'DF', 'Saud Abdulhamid', '23', '23', '1', 'SAU-01'),</t>
  </si>
  <si>
    <t>'1611',</t>
  </si>
  <si>
    <t>'Abdullah Otayf',</t>
  </si>
  <si>
    <t>('Saudi Arabia ', '1611', '14', 'MF', 'Abdullah Otayf', '30', '45', '1', 'SAU-01'),</t>
  </si>
  <si>
    <t>'1480',</t>
  </si>
  <si>
    <t>'Ilias Chair',</t>
  </si>
  <si>
    <t>('Morocco ', '1480', '13', 'MF', 'Ilias Chair', '25', '11', '1', 'ENG-26'),</t>
  </si>
  <si>
    <t>'1478',</t>
  </si>
  <si>
    <t>'Abdelhamid Sabiri',</t>
  </si>
  <si>
    <t>('Morocco ', '1478', '11', 'FW', 'Abdelhamid Sabiri', '25', '2', '1', 'ITA-11'),</t>
  </si>
  <si>
    <t>'1473',</t>
  </si>
  <si>
    <t>'Romain Saïss ',</t>
  </si>
  <si>
    <t>('Morocco ', '1473', '6', 'DF', 'Romain Saïss ', '32', '66', '1', 'TUR-02'),</t>
  </si>
  <si>
    <t>'1472',</t>
  </si>
  <si>
    <t>'Nayef Aguerd',</t>
  </si>
  <si>
    <t>('Morocco ', '1472', '5', 'DF', 'Nayef Aguerd', '26', '22', '1', 'ENG-13'),</t>
  </si>
  <si>
    <t>'1444',</t>
  </si>
  <si>
    <t>'César Montes',</t>
  </si>
  <si>
    <t>'MEX-01'),</t>
  </si>
  <si>
    <t>('Mexico ', '1444', '3', 'DF', 'César Montes', '25', '30', '1', 'MEX-01'),</t>
  </si>
  <si>
    <t>'1460',</t>
  </si>
  <si>
    <t>'Jorge Sánchez',</t>
  </si>
  <si>
    <t>('Mexico ', '1460', '19', 'DF', 'Jorge Sánchez', '24', '26', '1', 'NET-01'),</t>
  </si>
  <si>
    <t>'1464',</t>
  </si>
  <si>
    <t>'Jesús Gallardo',</t>
  </si>
  <si>
    <t>'78',</t>
  </si>
  <si>
    <t>('Mexico ', '1464', '23', 'DF', 'Jesús Gallardo', '28', '78', '1', 'MEX-01'),</t>
  </si>
  <si>
    <t>'1455',</t>
  </si>
  <si>
    <t>'Érick Gutiérrez',</t>
  </si>
  <si>
    <t>('Mexico ', '1455', '14', 'MF', 'Érick Gutiérrez', '27', '34', '1', 'NET-02'),</t>
  </si>
  <si>
    <t>'1447',</t>
  </si>
  <si>
    <t>'Gerardo Arteaga',</t>
  </si>
  <si>
    <t>('Mexico ', '1447', '6', 'DF', 'Gerardo Arteaga', '24', '17', '1', 'BEL-03'),</t>
  </si>
  <si>
    <t>'1448',</t>
  </si>
  <si>
    <t>'Luis Romo',</t>
  </si>
  <si>
    <t>('Mexico ', '1448', '7', 'MF', 'Luis Romo', '27', '27', '1', 'MEX-01'),</t>
  </si>
  <si>
    <t>'1513',</t>
  </si>
  <si>
    <t>'Teun Koopmeiners',</t>
  </si>
  <si>
    <t>('Netherlands ', '1513', '20', 'MF', 'Teun Koopmeiners', '24', '10', '1', 'ITA-06'),</t>
  </si>
  <si>
    <t>'1514',</t>
  </si>
  <si>
    <t>'Frenkie de Jong',</t>
  </si>
  <si>
    <t>('Netherlands ', '1514', '21', 'MF', 'Frenkie de Jong', '25', '45', '1', 'ESP-01'),</t>
  </si>
  <si>
    <t>'1505',</t>
  </si>
  <si>
    <t>'Noa Lang',</t>
  </si>
  <si>
    <t>('Netherlands ', '1505', '12', 'FW', 'Noa Lang', '23', '5', '1', 'BEL-01'),</t>
  </si>
  <si>
    <t>'1521',</t>
  </si>
  <si>
    <t>'Matty Cash',</t>
  </si>
  <si>
    <t>('Poland ', '1521', '2', 'DF', 'Matty Cash', '25', '7', '1', 'ENG-15'),</t>
  </si>
  <si>
    <t>'1524',</t>
  </si>
  <si>
    <t>'Jan Bednarek',</t>
  </si>
  <si>
    <t>('Poland ', '1524', '5', 'DF', 'Jan Bednarek', '26', '45', '1', 'ENG-15'),</t>
  </si>
  <si>
    <t>'1527',</t>
  </si>
  <si>
    <t>'Damian Szymański',</t>
  </si>
  <si>
    <t>('Poland ', '1527', '8', 'MF', 'Damian Szymański', '27', '9', '1', 'GRE-01'),</t>
  </si>
  <si>
    <t>'1532',</t>
  </si>
  <si>
    <t>'Jakub Kamiński',</t>
  </si>
  <si>
    <t>('Poland ', '1532', '13', 'MF', 'Jakub Kamiński', '20', '4', '1', 'GER-11'),</t>
  </si>
  <si>
    <t>'1538',</t>
  </si>
  <si>
    <t>'Sebastian Szymański',</t>
  </si>
  <si>
    <t>('Poland ', '1538', '19', 'MF', 'Sebastian Szymański', '23', '18', '1', 'NET-03'),</t>
  </si>
  <si>
    <t>'1543',</t>
  </si>
  <si>
    <t>'Przemysław Frankowski',</t>
  </si>
  <si>
    <t>('Poland ', '1543', '24', 'MF', 'Przemysław Frankowski', '27', '26', '1', 'FRA-05'),</t>
  </si>
  <si>
    <t>'1568',</t>
  </si>
  <si>
    <t>'Matheus Nunes',</t>
  </si>
  <si>
    <t>('Portugal ', '1568', '23', 'MF', 'Matheus Nunes', '24', '9', '1', 'ENG-14'),</t>
  </si>
  <si>
    <t>'1571',</t>
  </si>
  <si>
    <t>'Gonçalo Ramos',</t>
  </si>
  <si>
    <t>('Portugal ', '1571', '26', 'FW', 'Gonçalo Ramos', '21', '1', '1', 'POR-01'),</t>
  </si>
  <si>
    <t>'1566',</t>
  </si>
  <si>
    <t>'Ricardo Horta',</t>
  </si>
  <si>
    <t>('Portugal ', '1566', '21', 'FW', 'Ricardo Horta', '28', '6', '1', 'POR-04'),</t>
  </si>
  <si>
    <t>'1573',</t>
  </si>
  <si>
    <t>'Ró-Ró',</t>
  </si>
  <si>
    <t>'80',</t>
  </si>
  <si>
    <t>('Qatar ', '1573', '2', 'DF', 'Ró-Ró', '32', '80', '1', 'QTR-01'),</t>
  </si>
  <si>
    <t>'1642',</t>
  </si>
  <si>
    <t>'Bamba Dieng',</t>
  </si>
  <si>
    <t>('Senegal ', '1642', '20', 'FW', 'Bamba Dieng', '22', '13', '1', 'FRA-04'),</t>
  </si>
  <si>
    <t>'1627',</t>
  </si>
  <si>
    <t>'Pape Abou Cissé',</t>
  </si>
  <si>
    <t>('Senegal ', '1627', '4', 'DF', 'Pape Abou Cissé', '27', '13', '1', 'GRE-02'),</t>
  </si>
  <si>
    <t>'1662',</t>
  </si>
  <si>
    <t>'Andrija Živković',</t>
  </si>
  <si>
    <t>'GRE-06'),</t>
  </si>
  <si>
    <t>('Serbia ', '1662', '14', 'MF', 'Andrija Živković', '26', '29', '1', 'GRE-06'),</t>
  </si>
  <si>
    <t>'1656',</t>
  </si>
  <si>
    <t>'Nemanja Gudelj',</t>
  </si>
  <si>
    <t>'49',</t>
  </si>
  <si>
    <t>('Serbia ', '1656', '8', 'MF', 'Nemanja Gudelj', '31', '49', '1', 'ESP-04'),</t>
  </si>
  <si>
    <t>'1673',</t>
  </si>
  <si>
    <t>'Filip Mladenović',</t>
  </si>
  <si>
    <t>'POL-01'),</t>
  </si>
  <si>
    <t>('Serbia ', '1673', '25', 'DF', 'Filip Mladenović', '31', '20', '1', 'POL-01'),</t>
  </si>
  <si>
    <t>'1650',</t>
  </si>
  <si>
    <t>'Strahinja Pavlović',</t>
  </si>
  <si>
    <t>('Serbia ', '1650', '2', 'DF', 'Strahinja Pavlović', '21', '22', '1', 'AST-01'),</t>
  </si>
  <si>
    <t>'1670',</t>
  </si>
  <si>
    <t>'Darko Lazović',</t>
  </si>
  <si>
    <t>('Serbia ', '1670', '22', 'MF', 'Darko Lazović', '32', '26', '1', 'ITA-08'),</t>
  </si>
  <si>
    <t>'1704',</t>
  </si>
  <si>
    <t>'Nico Elvedi',</t>
  </si>
  <si>
    <t>'41',</t>
  </si>
  <si>
    <t>('Switzerland ', '1704', '4', 'DF', 'Nico Elvedi', '26', '41', '1', 'GER-05'),</t>
  </si>
  <si>
    <t>'1705',</t>
  </si>
  <si>
    <t>'Manuel Akanji',</t>
  </si>
  <si>
    <t>('Switzerland ', '1705', '5', 'DF', 'Manuel Akanji', '27', '43', '1', 'ENG-01'),</t>
  </si>
  <si>
    <t>'1711',</t>
  </si>
  <si>
    <t>'Renato Steffen',</t>
  </si>
  <si>
    <t>'SWI-04'),</t>
  </si>
  <si>
    <t>('Switzerland ', '1711', '11', 'DF', 'Renato Steffen', '31', '28', '1', 'SWI-04'),</t>
  </si>
  <si>
    <t>'1744',</t>
  </si>
  <si>
    <t>'Ghailene Chaalali',</t>
  </si>
  <si>
    <t>'TUN-01'),</t>
  </si>
  <si>
    <t>('Tunisia ', '1744', '18', 'MF', 'Ghailene Chaalali', '28', '31', '1', 'TUN-01'),</t>
  </si>
  <si>
    <t>'1741',</t>
  </si>
  <si>
    <t>'Mohamed Ali Ben Romdhane',</t>
  </si>
  <si>
    <t>('Tunisia ', '1741', '15', 'MF', 'Mohamed Ali Ben Romdhane', '23', '23', '1', 'TUN-01'),</t>
  </si>
  <si>
    <t>'1740',</t>
  </si>
  <si>
    <t>'Aïssa Laïdouni',</t>
  </si>
  <si>
    <t>'TUR-08'),</t>
  </si>
  <si>
    <t>('Tunisia ', '1740', '14', 'MF', 'Aïssa Laïdouni', '25', '25', '1', 'TUR-08'),</t>
  </si>
  <si>
    <t>'1729',</t>
  </si>
  <si>
    <t>'Montassar Talbi',</t>
  </si>
  <si>
    <t>'FRA-18'),</t>
  </si>
  <si>
    <t>('Tunisia ', '1729', '3', 'DF', 'Montassar Talbi', '24', '23', '1', 'FRA-18'),</t>
  </si>
  <si>
    <t>'1771',</t>
  </si>
  <si>
    <t>'Sebastián Coates',</t>
  </si>
  <si>
    <t>('Uruguay ', '1771', '19', 'DF', 'Sebastián Coates', '32', '47', '1', 'POR-03'),</t>
  </si>
  <si>
    <t>'1758',</t>
  </si>
  <si>
    <t>'Rodrigo Bentancur',</t>
  </si>
  <si>
    <t>'51',</t>
  </si>
  <si>
    <t>('Uruguay ', '1758', '6', 'MF', 'Rodrigo Bentancur', '25', '51', '1', 'ENG-04'),</t>
  </si>
  <si>
    <t>'1797',</t>
  </si>
  <si>
    <t>'Haji Wright',</t>
  </si>
  <si>
    <t>'TUR-07'),</t>
  </si>
  <si>
    <t>('USA ', '1797', '19', 'FW', 'Haji Wright', '24', '3', '1', 'TUR-07'),</t>
  </si>
  <si>
    <t>'1796',</t>
  </si>
  <si>
    <t>'Shaq Moore',</t>
  </si>
  <si>
    <t>'USA-05'),</t>
  </si>
  <si>
    <t>('USA ', '1796', '18', 'DF', 'Shaq Moore', '26', '15', '1', 'USA-05'),</t>
  </si>
  <si>
    <t>'1782',</t>
  </si>
  <si>
    <t>'Tyler Adams',</t>
  </si>
  <si>
    <t>('USA ', '1782', '4', 'MF', 'Tyler Adams', '23', '32', '1', 'ENG-17'),</t>
  </si>
  <si>
    <t>'1791',</t>
  </si>
  <si>
    <t>'Tim Ream',</t>
  </si>
  <si>
    <t>'ENG-10'),</t>
  </si>
  <si>
    <t>('USA ', '1791', '13', 'DF', 'Tim Ream', '35', '46', '1', 'ENG-10'),</t>
  </si>
  <si>
    <t>'1829',</t>
  </si>
  <si>
    <t>'Rubin Colwill',</t>
  </si>
  <si>
    <t>('Wales ', '1829', '25', 'MF', 'Rubin Colwill', '20', '7', '1', 'ENG-23'),</t>
  </si>
  <si>
    <t>'1808',</t>
  </si>
  <si>
    <t>'Ben Davies',</t>
  </si>
  <si>
    <t>'74',</t>
  </si>
  <si>
    <t>('Wales ', '1808', '4', 'DF', 'Ben Davies', '29', '74', '1', 'ENG-04'),</t>
  </si>
  <si>
    <t>'1010',</t>
  </si>
  <si>
    <t>'Lionel Messi',</t>
  </si>
  <si>
    <t>'165',</t>
  </si>
  <si>
    <t>'91',</t>
  </si>
  <si>
    <t>('Argentina ', '1010', '10', 'FW', 'Lionel Messi', '35', '165', '91', 'FRA-01'),</t>
  </si>
  <si>
    <t>'1015',</t>
  </si>
  <si>
    <t>'Ángel Correa',</t>
  </si>
  <si>
    <t>('Argentina ', '1015', '15', 'FW', 'Ángel Correa', '27', '22', '3', 'ESP-03'),</t>
  </si>
  <si>
    <t>'1007',</t>
  </si>
  <si>
    <t>'Rodrigo De Paul',</t>
  </si>
  <si>
    <t>('Argentina ', '1007', '7', 'MF', 'Rodrigo De Paul', '28', '44', '2', 'ESP-03'),</t>
  </si>
  <si>
    <t>'1009',</t>
  </si>
  <si>
    <t>'Julián Álvarez',</t>
  </si>
  <si>
    <t>('Argentina ', '1009', '9', 'FW', 'Julián Álvarez', '22', '12', '3', 'ENG-01'),</t>
  </si>
  <si>
    <t>'1022',</t>
  </si>
  <si>
    <t>'Lautaro Martínez',</t>
  </si>
  <si>
    <t>('Argentina ', '1022', '22', 'FW', 'Lautaro Martínez', '25', '40', '21', 'ITA-03'),</t>
  </si>
  <si>
    <t>'1019',</t>
  </si>
  <si>
    <t>'Nicolás Otamendi',</t>
  </si>
  <si>
    <t>'93',</t>
  </si>
  <si>
    <t>('Argentina ', '1019', '19', 'DF', 'Nicolás Otamendi', '34', '93', '4', 'POR-01'),</t>
  </si>
  <si>
    <t>'1021',</t>
  </si>
  <si>
    <t>'Paulo Dybala',</t>
  </si>
  <si>
    <t>('Argentina ', '1021', '21', 'FW', 'Paulo Dybala', '29', '34', '3', 'ITA-09'),</t>
  </si>
  <si>
    <t>'1005',</t>
  </si>
  <si>
    <t>'Leandro Paredes',</t>
  </si>
  <si>
    <t>('Argentina ', '1005', '5', 'MF', 'Leandro Paredes', '28', '46', '4', 'ITA-01'),</t>
  </si>
  <si>
    <t>'1011',</t>
  </si>
  <si>
    <t>'Ángel Di María',</t>
  </si>
  <si>
    <t>'124',</t>
  </si>
  <si>
    <t>('Argentina ', '1011', '11', 'FW', 'Ángel Di María', '34', '124', '27', 'ITA-01'),</t>
  </si>
  <si>
    <t>'1017',</t>
  </si>
  <si>
    <t>'Papu Gómez',</t>
  </si>
  <si>
    <t>('Argentina ', '1017', '17', 'MF', 'Papu Gómez', '34', '15', '3', 'ESP-04'),</t>
  </si>
  <si>
    <t>'1006',</t>
  </si>
  <si>
    <t>'Germán Pezzella',</t>
  </si>
  <si>
    <t>('Argentina ', '1006', '6', 'DF', 'Germán Pezzella', '31', '32', '2', 'ESP-05'),</t>
  </si>
  <si>
    <t>'1084',</t>
  </si>
  <si>
    <t>'Alex Sandro',</t>
  </si>
  <si>
    <t>('Brasil ', '1084', '6', 'DF', 'Alex Sandro', '31', '37', '2', 'ITA-01'),</t>
  </si>
  <si>
    <t>'1081',</t>
  </si>
  <si>
    <t>'Thiago Silva ',</t>
  </si>
  <si>
    <t>('Brasil ', '1081', '3', 'DF', 'Thiago Silva ', '38', '109', '7', 'ENG-03'),</t>
  </si>
  <si>
    <t>'1085',</t>
  </si>
  <si>
    <t>'Lucas Paquetá',</t>
  </si>
  <si>
    <t>('Brasil ', '1085', '7', 'MF', 'Lucas Paquetá', '25', '35', '7', 'ENG-13'),</t>
  </si>
  <si>
    <t>'1089',</t>
  </si>
  <si>
    <t>'Raphinha',</t>
  </si>
  <si>
    <t>('Brasil ', '1089', '11', 'FW', 'Raphinha', '25', '11', '5', 'ESP-01'),</t>
  </si>
  <si>
    <t>'1097',</t>
  </si>
  <si>
    <t>'Antony',</t>
  </si>
  <si>
    <t>('Brasil ', '1097', '19', 'FW', 'Antony', '22', '11', '2', 'ENG-02'),</t>
  </si>
  <si>
    <t>'1087',</t>
  </si>
  <si>
    <t>'Richarlison',</t>
  </si>
  <si>
    <t>('Brasil ', '1087', '9', 'FW', 'Richarlison', '25', '38', '17', 'ENG-04'),</t>
  </si>
  <si>
    <t>'1083',</t>
  </si>
  <si>
    <t>'Casemiro',</t>
  </si>
  <si>
    <t>'65',</t>
  </si>
  <si>
    <t>('Brasil ', '1083', '5', 'MF', 'Casemiro', '30', '65', '5', 'ENG-02'),</t>
  </si>
  <si>
    <t>'1100',</t>
  </si>
  <si>
    <t>'Éverton Ribeiro',</t>
  </si>
  <si>
    <t>('Brasil ', '1100', '22', 'MF', 'Éverton Ribeiro', '33', '21', '3', 'BRA-01'),</t>
  </si>
  <si>
    <t>'1096',</t>
  </si>
  <si>
    <t>'Gabriel Jesus',</t>
  </si>
  <si>
    <t>'56',</t>
  </si>
  <si>
    <t>('Brasil ', '1096', '18', 'FW', 'Gabriel Jesus', '25', '56', '19', 'ENG-05'),</t>
  </si>
  <si>
    <t>'1091',</t>
  </si>
  <si>
    <t>'Dani Alves',</t>
  </si>
  <si>
    <t>'MEX-10'),</t>
  </si>
  <si>
    <t>('Brasil ', '1091', '13', 'DF', 'Dani Alves', '39', '124', '8', 'MEX-10'),</t>
  </si>
  <si>
    <t>'1082',</t>
  </si>
  <si>
    <t>'Marquinhos',</t>
  </si>
  <si>
    <t>'71',</t>
  </si>
  <si>
    <t>('Brasil ', '1082', '4', 'DF', 'Marquinhos', '28', '71', '5', 'FRA-01'),</t>
  </si>
  <si>
    <t>'1088',</t>
  </si>
  <si>
    <t>'Neymar',</t>
  </si>
  <si>
    <t>'121',</t>
  </si>
  <si>
    <t>('Brasil ', '1088', '10', 'FW', 'Neymar', '30', '121', '75', 'FRA-01'),</t>
  </si>
  <si>
    <t>'1186',</t>
  </si>
  <si>
    <t>'Ivan Perišić',</t>
  </si>
  <si>
    <t>'116',</t>
  </si>
  <si>
    <t>('Croatia ', '1186', '4', 'FW', 'Ivan Perišić', '33', '116', '32', 'ENG-04'),</t>
  </si>
  <si>
    <t>'1203',</t>
  </si>
  <si>
    <t>'Domagoj Vida',</t>
  </si>
  <si>
    <t>'100',</t>
  </si>
  <si>
    <t>('Croatia ', '1203', '21', 'DF', 'Domagoj Vida', '33', '100', '4', 'GRE-01'),</t>
  </si>
  <si>
    <t>'1192',</t>
  </si>
  <si>
    <t>'Luka Modrić ',</t>
  </si>
  <si>
    <t>'155',</t>
  </si>
  <si>
    <t>('Croatia ', '1192', '10', 'MF', 'Luka Modrić ', '37', '155', '23', 'ESP-02'),</t>
  </si>
  <si>
    <t>'1189',</t>
  </si>
  <si>
    <t>'Lovro Majer',</t>
  </si>
  <si>
    <t>('Croatia ', '1189', '7', 'MF', 'Lovro Majer', '24', '11', '3', 'FRA-02'),</t>
  </si>
  <si>
    <t>'1193',</t>
  </si>
  <si>
    <t>'Marcelo Brozović',</t>
  </si>
  <si>
    <t>('Croatia ', '1193', '11', 'MF', 'Marcelo Brozović', '30', '77', '7', 'ITA-03'),</t>
  </si>
  <si>
    <t>'1191',</t>
  </si>
  <si>
    <t>'Andrej Kramarić',</t>
  </si>
  <si>
    <t>'GER-12'),</t>
  </si>
  <si>
    <t>('Croatia ', '1191', '9', 'FW', 'Andrej Kramarić', '31', '74', '20', 'GER-12'),</t>
  </si>
  <si>
    <t>'1188',</t>
  </si>
  <si>
    <t>'Dejan Lovren',</t>
  </si>
  <si>
    <t>'RUS-02'),</t>
  </si>
  <si>
    <t>('Croatia ', '1188', '6', 'DF', 'Dejan Lovren', '33', '72', '5', 'RUS-02'),</t>
  </si>
  <si>
    <t>'1197',</t>
  </si>
  <si>
    <t>'Mario Pašalić',</t>
  </si>
  <si>
    <t>('Croatia ', '1197', '15', 'MF', 'Mario Pašalić', '27', '43', '7', 'ITA-06'),</t>
  </si>
  <si>
    <t>'1196',</t>
  </si>
  <si>
    <t>'Marko Livaja',</t>
  </si>
  <si>
    <t>'CRO-02'),</t>
  </si>
  <si>
    <t>('Croatia ', '1196', '14', 'FW', 'Marko Livaja', '29', '14', '3', 'CRO-02'),</t>
  </si>
  <si>
    <t>'1195',</t>
  </si>
  <si>
    <t>'Nikola Vlašić',</t>
  </si>
  <si>
    <t>('Croatia ', '1195', '13', 'MF', 'Nikola Vlašić', '25', '42', '7', 'ITA-05'),</t>
  </si>
  <si>
    <t>'1198',</t>
  </si>
  <si>
    <t>'Bruno Petković',</t>
  </si>
  <si>
    <t>('Croatia ', '1198', '16', 'FW', 'Bruno Petković', '28', '23', '6', 'CRO-01'),</t>
  </si>
  <si>
    <t>'1190',</t>
  </si>
  <si>
    <t>'Mateo Kovačić',</t>
  </si>
  <si>
    <t>'84',</t>
  </si>
  <si>
    <t>('Croatia ', '1190', '8', 'MF', 'Mateo Kovačić', '28', '84', '3', 'ENG-03'),</t>
  </si>
  <si>
    <t>'1268',</t>
  </si>
  <si>
    <t>'Jordan Henderson',</t>
  </si>
  <si>
    <t>('England ', '1268', '8', 'MF', 'Jordan Henderson', '32', '70', '2', 'ENG-08'),</t>
  </si>
  <si>
    <t>'1270',</t>
  </si>
  <si>
    <t>'Raheem Sterling',</t>
  </si>
  <si>
    <t>'79',</t>
  </si>
  <si>
    <t>('England ', '1270', '10', 'FW', 'Raheem Sterling', '27', '79', '19', 'ENG-03'),</t>
  </si>
  <si>
    <t>'1279',</t>
  </si>
  <si>
    <t>'Mason Mount',</t>
  </si>
  <si>
    <t>('England ', '1279', '19', 'MF', 'Mason Mount', '23', '32', '5', 'ENG-03'),</t>
  </si>
  <si>
    <t>'1277',</t>
  </si>
  <si>
    <t>'Bukayo Saka',</t>
  </si>
  <si>
    <t>('England ', '1277', '17', 'FW', 'Bukayo Saka', '21', '20', '4', 'ENG-05'),</t>
  </si>
  <si>
    <t>'1269',</t>
  </si>
  <si>
    <t>'Harry Kane ',</t>
  </si>
  <si>
    <t>('England ', '1269', '9', 'FW', 'Harry Kane ', '29', '75', '51', 'ENG-04'),</t>
  </si>
  <si>
    <t>'1275',</t>
  </si>
  <si>
    <t>'Eric Dier',</t>
  </si>
  <si>
    <t>('England ', '1275', '15', 'DF', 'Eric Dier', '28', '47', '3', 'ENG-04'),</t>
  </si>
  <si>
    <t>'1280',</t>
  </si>
  <si>
    <t>'Phil Foden',</t>
  </si>
  <si>
    <t>('England ', '1280', '20', 'MF', 'Phil Foden', '22', '18', '2', 'ENG-01'),</t>
  </si>
  <si>
    <t>'1265',</t>
  </si>
  <si>
    <t>'John Stones',</t>
  </si>
  <si>
    <t>'59',</t>
  </si>
  <si>
    <t>('England ', '1265', '5', 'DF', 'John Stones', '28', '59', '3', 'ENG-01'),</t>
  </si>
  <si>
    <t>'1264',</t>
  </si>
  <si>
    <t>'Declan Rice',</t>
  </si>
  <si>
    <t>('England ', '1264', '4', 'MF', 'Declan Rice', '23', '34', '2', 'ENG-13'),</t>
  </si>
  <si>
    <t>'1271',</t>
  </si>
  <si>
    <t>'Marcus Rashford',</t>
  </si>
  <si>
    <t>('England ', '1271', '11', 'FW', 'Marcus Rashford', '25', '46', '12', 'ENG-02'),</t>
  </si>
  <si>
    <t>'1266',</t>
  </si>
  <si>
    <t>'Harry Maguire',</t>
  </si>
  <si>
    <t>('England ', '1266', '6', 'DF', 'Harry Maguire', '29', '48', '7', 'ENG-02'),</t>
  </si>
  <si>
    <t>'1263',</t>
  </si>
  <si>
    <t>'Luke Shaw',</t>
  </si>
  <si>
    <t>('England ', '1263', '3', 'DF', 'Luke Shaw', '27', '23', '3', 'ENG-02'),</t>
  </si>
  <si>
    <t>'1305',</t>
  </si>
  <si>
    <t>'Karim Benzema',</t>
  </si>
  <si>
    <t>('France ', '1305', '19', 'FW', 'Karim Benzema', '34', '97', '37', 'ESP-02'),</t>
  </si>
  <si>
    <t>'1306',</t>
  </si>
  <si>
    <t>'Kingsley Coman',</t>
  </si>
  <si>
    <t>('France ', '1306', '20', 'FW', 'Kingsley Coman', '26', '40', '5', 'GER-01'),</t>
  </si>
  <si>
    <t>'1300',</t>
  </si>
  <si>
    <t>'Adrien Rabiot',</t>
  </si>
  <si>
    <t>('France ', '1300', '14', 'MF', 'Adrien Rabiot', '27', '29', '2', 'ITA-01'),</t>
  </si>
  <si>
    <t>'1295',</t>
  </si>
  <si>
    <t>'Olivier Giroud',</t>
  </si>
  <si>
    <t>('France ', '1295', '9', 'FW', 'Olivier Giroud', '36', '114', '49', 'ITA-02'),</t>
  </si>
  <si>
    <t>'1290',</t>
  </si>
  <si>
    <t>'Raphaël Varane',</t>
  </si>
  <si>
    <t>'87',</t>
  </si>
  <si>
    <t>('France ', '1290', '4', 'DF', 'Raphaël Varane', '29', '87', '5', 'ENG-02'),</t>
  </si>
  <si>
    <t>'1288',</t>
  </si>
  <si>
    <t>'Benjamin Pavard',</t>
  </si>
  <si>
    <t>('France ', '1288', '2', 'DF', 'Benjamin Pavard', '26', '46', '2', 'GER-01'),</t>
  </si>
  <si>
    <t>'1297',</t>
  </si>
  <si>
    <t>'Ousmane Dembélé',</t>
  </si>
  <si>
    <t>('France ', '1297', '11', 'FW', 'Ousmane Dembélé', '25', '28', '4', 'ESP-01'),</t>
  </si>
  <si>
    <t>'1296',</t>
  </si>
  <si>
    <t>'Kylian Mbappé',</t>
  </si>
  <si>
    <t>('France ', '1296', '10', 'FW', 'Kylian Mbappé', '23', '59', '28', 'FRA-01'),</t>
  </si>
  <si>
    <t>'1293',</t>
  </si>
  <si>
    <t>'Antoine Griezmann',</t>
  </si>
  <si>
    <t>'110',</t>
  </si>
  <si>
    <t>('France ', '1293', '7', 'FW', 'Antoine Griezmann', '31', '110', '42', 'ESP-03'),</t>
  </si>
  <si>
    <t>'1476',</t>
  </si>
  <si>
    <t>'Abderrazak Hamdallah',</t>
  </si>
  <si>
    <t>('Morocco ', '1476', '9', 'FW', 'Abderrazak Hamdallah', '31', '18', '6', 'SAU-06'),</t>
  </si>
  <si>
    <t>'1475',</t>
  </si>
  <si>
    <t>'Azzedine Ounahi',</t>
  </si>
  <si>
    <t>'FRA-06'),</t>
  </si>
  <si>
    <t>('Morocco ', '1475', '8', 'MF', 'Azzedine Ounahi', '22', '10', '2', 'FRA-06'),</t>
  </si>
  <si>
    <t>'1474',</t>
  </si>
  <si>
    <t>'Hakim Ziyech',</t>
  </si>
  <si>
    <t>('Morocco ', '1474', '7', 'MF', 'Hakim Ziyech', '29', '43', '18', 'ENG-03'),</t>
  </si>
  <si>
    <t>'1469',</t>
  </si>
  <si>
    <t>'Achraf Hakimi',</t>
  </si>
  <si>
    <t>'54',</t>
  </si>
  <si>
    <t>('Morocco ', '1469', '2', 'DF', 'Achraf Hakimi', '24', '54', '8', 'FRA-01'),</t>
  </si>
  <si>
    <t>'1470',</t>
  </si>
  <si>
    <t>'Noussair Mazraoui',</t>
  </si>
  <si>
    <t>('Morocco ', '1470', '3', 'DF', 'Noussair Mazraoui', '25', '15', '2', 'GER-01'),</t>
  </si>
  <si>
    <t>'1481',</t>
  </si>
  <si>
    <t>'Zakaria Aboukhlal',</t>
  </si>
  <si>
    <t>'FRA-21'),</t>
  </si>
  <si>
    <t>('Morocco ', '1481', '14', 'MF', 'Zakaria Aboukhlal', '22', '12', '2', 'FRA-21'),</t>
  </si>
  <si>
    <t>'1484',</t>
  </si>
  <si>
    <t>'Sofiane Boufal',</t>
  </si>
  <si>
    <t>('Morocco ', '1484', '17', 'MF', 'Sofiane Boufal', '29', '32', '6', 'FRA-06'),</t>
  </si>
  <si>
    <t>'1482',</t>
  </si>
  <si>
    <t>'Selim Amallah',</t>
  </si>
  <si>
    <t>'BEL-12'),</t>
  </si>
  <si>
    <t>('Morocco ', '1482', '15', 'MF', 'Selim Amallah', '26', '24', '4', 'BEL-12'),</t>
  </si>
  <si>
    <t>'1485',</t>
  </si>
  <si>
    <t>'Jawad El Yamiq',</t>
  </si>
  <si>
    <t>'ESP-13'),</t>
  </si>
  <si>
    <t>('Morocco ', '1485', '18', 'DF', 'Jawad El Yamiq', '30', '12', '2', 'ESP-13'),</t>
  </si>
  <si>
    <t>'1486',</t>
  </si>
  <si>
    <t>'Youssef En-Nesyri',</t>
  </si>
  <si>
    <t>'50',</t>
  </si>
  <si>
    <t>('Morocco ', '1486', '19', 'FW', 'Youssef En-Nesyri', '25', '50', '15', 'ESP-04'),</t>
  </si>
  <si>
    <t>'1510',</t>
  </si>
  <si>
    <t>'Daley Blind',</t>
  </si>
  <si>
    <t>'94',</t>
  </si>
  <si>
    <t>('Netherlands ', '1510', '17', 'DF', 'Daley Blind', '32', '94', '2', 'NET-01'),</t>
  </si>
  <si>
    <t>'1511',</t>
  </si>
  <si>
    <t>'Vincent Janssen',</t>
  </si>
  <si>
    <t>('Netherlands ', '1511', '18', 'FW', 'Vincent Janssen', '28', '20', '7', 'BEL-02'),</t>
  </si>
  <si>
    <t>'1512',</t>
  </si>
  <si>
    <t>'Wout Weghorst',</t>
  </si>
  <si>
    <t>('Netherlands ', '1512', '19', 'FW', 'Wout Weghorst', '30', '15', '3', 'TUR-02'),</t>
  </si>
  <si>
    <t>'1507',</t>
  </si>
  <si>
    <t>'Davy Klaassen',</t>
  </si>
  <si>
    <t>('Netherlands ', '1507', '14', 'MF', 'Davy Klaassen', '29', '35', '9', 'NET-01'),</t>
  </si>
  <si>
    <t>'1515',</t>
  </si>
  <si>
    <t>'Denzel Dumfries',</t>
  </si>
  <si>
    <t>('Netherlands ', '1515', '22', 'DF', 'Denzel Dumfries', '26', '37', '5', 'ITA-03'),</t>
  </si>
  <si>
    <t>'1497',</t>
  </si>
  <si>
    <t>'Virgil van Dijk ',</t>
  </si>
  <si>
    <t>('Netherlands ', '1497', '4', 'DF', 'Virgil van Dijk ', '31', '49', '6', 'ENG-08'),</t>
  </si>
  <si>
    <t>'1498',</t>
  </si>
  <si>
    <t>'Nathan Aké',</t>
  </si>
  <si>
    <t>('Netherlands ', '1498', '5', 'DF', 'Nathan Aké', '27', '29', '3', 'ENG-01'),</t>
  </si>
  <si>
    <t>'1499',</t>
  </si>
  <si>
    <t>'Stefan de Vrij',</t>
  </si>
  <si>
    <t>('Netherlands ', '1499', '6', 'DF', 'Stefan de Vrij', '30', '59', '3', 'ITA-03'),</t>
  </si>
  <si>
    <t>'1496',</t>
  </si>
  <si>
    <t>'Matthijs de Ligt',</t>
  </si>
  <si>
    <t>('Netherlands ', '1496', '3', 'DF', 'Matthijs de Ligt', '23', '38', '2', 'GER-01'),</t>
  </si>
  <si>
    <t>'1503',</t>
  </si>
  <si>
    <t>'Memphis Depay',</t>
  </si>
  <si>
    <t>'81',</t>
  </si>
  <si>
    <t>('Netherlands ', '1503', '10', 'FW', 'Memphis Depay', '28', '81', '42', 'ESP-01'),</t>
  </si>
  <si>
    <t>'1504',</t>
  </si>
  <si>
    <t>'Steven Berghuis',</t>
  </si>
  <si>
    <t>('Netherlands ', '1504', '11', 'MF', 'Steven Berghuis', '30', '39', '2', 'NET-01'),</t>
  </si>
  <si>
    <t>'1500',</t>
  </si>
  <si>
    <t>'Steven Bergwijn',</t>
  </si>
  <si>
    <t>('Netherlands ', '1500', '7', 'FW', 'Steven Bergwijn', '25', '24', '7', 'NET-01'),</t>
  </si>
  <si>
    <t>'1501',</t>
  </si>
  <si>
    <t>'Cody Gakpo',</t>
  </si>
  <si>
    <t>('Netherlands ', '1501', '8', 'FW', 'Cody Gakpo', '23', '9', '3', 'NET-02'),</t>
  </si>
  <si>
    <t>'1502',</t>
  </si>
  <si>
    <t>'Luuk de Jong',</t>
  </si>
  <si>
    <t>('Netherlands ', '1502', '9', 'FW', 'Luuk de Jong', '32', '38', '8', 'NET-02'),</t>
  </si>
  <si>
    <t>'1556',</t>
  </si>
  <si>
    <t>'João Félix',</t>
  </si>
  <si>
    <t>('Portugal ', '1556', '11', 'FW', 'João Félix', '23', '24', '3', 'ESP-03'),</t>
  </si>
  <si>
    <t>'1555',</t>
  </si>
  <si>
    <t>'Bernardo Silva',</t>
  </si>
  <si>
    <t>('Portugal ', '1555', '10', 'FW', 'Bernardo Silva', '28', '73', '8', 'ENG-01'),</t>
  </si>
  <si>
    <t>'1550',</t>
  </si>
  <si>
    <t>'Raphaël Guerreiro',</t>
  </si>
  <si>
    <t>('Portugal ', '1550', '5', 'DF', 'Raphaël Guerreiro', '28', '57', '3', 'GER-02'),</t>
  </si>
  <si>
    <t>'1559',</t>
  </si>
  <si>
    <t>'William Carvalho',</t>
  </si>
  <si>
    <t>('Portugal ', '1559', '14', 'MF', 'William Carvalho', '30', '76', '5', 'ESP-05'),</t>
  </si>
  <si>
    <t>'1558',</t>
  </si>
  <si>
    <t>'Danilo Pereira',</t>
  </si>
  <si>
    <t>'63',</t>
  </si>
  <si>
    <t>('Portugal ', '1558', '13', 'DF', 'Danilo Pereira', '31', '63', '2', 'FRA-01'),</t>
  </si>
  <si>
    <t>'1554',</t>
  </si>
  <si>
    <t>'André Silva',</t>
  </si>
  <si>
    <t>('Portugal ', '1554', '9', 'FW', 'André Silva', '27', '52', '19', 'GER-04'),</t>
  </si>
  <si>
    <t>'1547',</t>
  </si>
  <si>
    <t>'Diogo Dalot',</t>
  </si>
  <si>
    <t>('Portugal ', '1547', '2', 'DF', 'Diogo Dalot', '23', '7', '2', 'ENG-02'),</t>
  </si>
  <si>
    <t>'1548',</t>
  </si>
  <si>
    <t>'Pepe',</t>
  </si>
  <si>
    <t>'129',</t>
  </si>
  <si>
    <t>('Portugal ', '1548', '3', 'DF', 'Pepe', '39', '129', '7', 'POR-02'),</t>
  </si>
  <si>
    <t>'1551',</t>
  </si>
  <si>
    <t>'João Palhinha',</t>
  </si>
  <si>
    <t>('Portugal ', '1551', '6', 'MF', 'João Palhinha', '27', '15', '2', 'ENG-10'),</t>
  </si>
  <si>
    <t>'1553',</t>
  </si>
  <si>
    <t>'Bruno Fernandes',</t>
  </si>
  <si>
    <t>('Portugal ', '1553', '8', 'MF', 'Bruno Fernandes', '28', '49', '11', 'ENG-02'),</t>
  </si>
  <si>
    <t>'1552',</t>
  </si>
  <si>
    <t>'Cristiano Ronaldo ',</t>
  </si>
  <si>
    <t>'191',</t>
  </si>
  <si>
    <t>'117',</t>
  </si>
  <si>
    <t>('Portugal ', '1552', '7', 'FW', 'Cristiano Ronaldo ', '37', '191', '117', 'ENG-02'),</t>
  </si>
  <si>
    <t>'1549',</t>
  </si>
  <si>
    <t>'Rúben Dias',</t>
  </si>
  <si>
    <t>('Portugal ', '1549', '4', 'DF', 'Rúben Dias', '25', '40', '2', 'ENG-01'),</t>
  </si>
  <si>
    <t>'1570',</t>
  </si>
  <si>
    <t>'Otávio',</t>
  </si>
  <si>
    <t>('Portugal ', '1570', '25', 'MF', 'Otávio', '27', '8', '2', 'POR-02'),</t>
  </si>
  <si>
    <t>'1562',</t>
  </si>
  <si>
    <t>'João Mário',</t>
  </si>
  <si>
    <t>'53',</t>
  </si>
  <si>
    <t>('Portugal ', '1562', '17', 'MF', 'João Mário', '29', '53', '3', 'POR-01'),</t>
  </si>
  <si>
    <t>'1565',</t>
  </si>
  <si>
    <t>'João Cancelo',</t>
  </si>
  <si>
    <t>('Portugal ', '1565', '20', 'DF', 'João Cancelo', '28', '37', '7', 'ENG-01'),</t>
  </si>
  <si>
    <t>'1033',</t>
  </si>
  <si>
    <t>'Mathew Leckie',</t>
  </si>
  <si>
    <t>'AUS-02'),</t>
  </si>
  <si>
    <t>('Australia ', '1033', '7', 'FW', 'Mathew Leckie', '31', '73', '13', 'AUS-02'),</t>
  </si>
  <si>
    <t>'1032',</t>
  </si>
  <si>
    <t>'Martin Boyle',</t>
  </si>
  <si>
    <t>'SCO-04'),</t>
  </si>
  <si>
    <t>('Australia ', '1032', '6', 'FW', 'Martin Boyle', '29', '19', '5', 'SCO-04'),</t>
  </si>
  <si>
    <t>'1037',</t>
  </si>
  <si>
    <t>'Awer Mabil',</t>
  </si>
  <si>
    <t>'ESP-15'),</t>
  </si>
  <si>
    <t>('Australia ', '1037', '11', 'FW', 'Awer Mabil', '27', '29', '8', 'ESP-15'),</t>
  </si>
  <si>
    <t>'1035',</t>
  </si>
  <si>
    <t>'Jamie Maclaren',</t>
  </si>
  <si>
    <t>('Australia ', '1035', '9', 'FW', 'Jamie Maclaren', '29', '26', '8', 'AUS-02'),</t>
  </si>
  <si>
    <t>'1042',</t>
  </si>
  <si>
    <t>'Aziz Behich',</t>
  </si>
  <si>
    <t>('Australia ', '1042', '16', 'DF', 'Aziz Behich', '31', '53', '2', 'SCO-03'),</t>
  </si>
  <si>
    <t>'1041',</t>
  </si>
  <si>
    <t>'Mitchell Duke',</t>
  </si>
  <si>
    <t>'JPN-03'),</t>
  </si>
  <si>
    <t>('Australia ', '1041', '15', 'FW', 'Mitchell Duke', '31', '21', '8', 'JPN-03'),</t>
  </si>
  <si>
    <t>'1045',</t>
  </si>
  <si>
    <t>'Harry Souttar',</t>
  </si>
  <si>
    <t>'ENG-37'),</t>
  </si>
  <si>
    <t>('Australia ', '1045', '19', 'DF', 'Harry Souttar', '24', '10', '6', 'ENG-37'),</t>
  </si>
  <si>
    <t>'1036',</t>
  </si>
  <si>
    <t>'Ajdin Hrustic',</t>
  </si>
  <si>
    <t>('Australia ', '1036', '10', 'MF', 'Ajdin Hrustic', '26', '20', '3', 'ITA-08'),</t>
  </si>
  <si>
    <t>'1034',</t>
  </si>
  <si>
    <t>'Bailey Wright',</t>
  </si>
  <si>
    <t>'ENG-29'),</t>
  </si>
  <si>
    <t>('Australia ', '1034', '8', 'DF', 'Bailey Wright', '30', '27', '2', 'ENG-29'),</t>
  </si>
  <si>
    <t>'1048',</t>
  </si>
  <si>
    <t>'Jackson Irvine',</t>
  </si>
  <si>
    <t>'GER-15'),</t>
  </si>
  <si>
    <t>('Australia ', '1048', '22', 'MF', 'Jackson Irvine', '29', '49', '7', 'GER-15'),</t>
  </si>
  <si>
    <t>'1039',</t>
  </si>
  <si>
    <t>'Aaron Mooy',</t>
  </si>
  <si>
    <t>('Australia ', '1039', '13', 'MF', 'Aaron Mooy', '32', '53', '7', 'SCO-01'),</t>
  </si>
  <si>
    <t>'1692',</t>
  </si>
  <si>
    <t>'Jordi Alba',</t>
  </si>
  <si>
    <t>('Spain ', '1692', '18', 'DF', 'Jordi Alba', '33', '87', '9', 'ESP-01'),</t>
  </si>
  <si>
    <t>'1696',</t>
  </si>
  <si>
    <t>'Pablo Sarabia',</t>
  </si>
  <si>
    <t>('Spain ', '1696', '22', 'FW', 'Pablo Sarabia', '30', '25', '9', 'FRA-01'),</t>
  </si>
  <si>
    <t>'1699',</t>
  </si>
  <si>
    <t>'Ansu Fati',</t>
  </si>
  <si>
    <t>('Spain ', '1699', '25', 'FW', 'Ansu Fati', '20', '5', '2', 'ESP-01'),</t>
  </si>
  <si>
    <t>'1693',</t>
  </si>
  <si>
    <t>'Carlos Soler',</t>
  </si>
  <si>
    <t>('Spain ', '1693', '19', 'MF', 'Carlos Soler', '25', '12', '3', 'FRA-01'),</t>
  </si>
  <si>
    <t>'1695',</t>
  </si>
  <si>
    <t>'Dani Olmo',</t>
  </si>
  <si>
    <t>('Spain ', '1695', '21', 'FW', 'Dani Olmo', '24', '25', '4', 'GER-04'),</t>
  </si>
  <si>
    <t>'1679',</t>
  </si>
  <si>
    <t>'Sergio Busquets ',</t>
  </si>
  <si>
    <t>('Spain ', '1679', '5', 'MF', 'Sergio Busquets ', '34', '139', '2', 'ESP-01'),</t>
  </si>
  <si>
    <t>'1681',</t>
  </si>
  <si>
    <t>'Álvaro Morata',</t>
  </si>
  <si>
    <t>('Spain ', '1681', '7', 'FW', 'Álvaro Morata', '30', '57', '27', 'ESP-03'),</t>
  </si>
  <si>
    <t>'1683',</t>
  </si>
  <si>
    <t>'Gavi',</t>
  </si>
  <si>
    <t>('Spain ', '1683', '9', 'MF', 'Gavi', '18', '13', '2', 'ESP-01'),</t>
  </si>
  <si>
    <t>'1685',</t>
  </si>
  <si>
    <t>'Ferran Torres',</t>
  </si>
  <si>
    <t>('Spain ', '1685', '11', 'FW', 'Ferran Torres', '22', '31', '13', 'ESP-01'),</t>
  </si>
  <si>
    <t>'1402',</t>
  </si>
  <si>
    <t>'Hidemasa Morita',</t>
  </si>
  <si>
    <t>('Japan ', '1402', '13', 'MF', 'Hidemasa Morita', '27', '17', '2', 'POR-03'),</t>
  </si>
  <si>
    <t>'1404',</t>
  </si>
  <si>
    <t>'Daichi Kamada',</t>
  </si>
  <si>
    <t>('Japan ', '1404', '15', 'MF', 'Daichi Kamada', '26', '22', '6', 'GER-03'),</t>
  </si>
  <si>
    <t>'1403',</t>
  </si>
  <si>
    <t>'Junya Ito',</t>
  </si>
  <si>
    <t>'FRA-20'),</t>
  </si>
  <si>
    <t>('Japan ', '1403', '14', 'MF', 'Junya Ito', '29', '38', '9', 'FRA-20'),</t>
  </si>
  <si>
    <t>'1396',</t>
  </si>
  <si>
    <t>'Gaku Shibasaki',</t>
  </si>
  <si>
    <t>'60',</t>
  </si>
  <si>
    <t>'ESP-17'),</t>
  </si>
  <si>
    <t>('Japan ', '1396', '7', 'MF', 'Gaku Shibasaki', '30', '60', '3', 'ESP-17'),</t>
  </si>
  <si>
    <t>'1395',</t>
  </si>
  <si>
    <t>'Wataru Endo',</t>
  </si>
  <si>
    <t>('Japan ', '1395', '6', 'MF', 'Wataru Endo', '29', '43', '2', 'GER-10'),</t>
  </si>
  <si>
    <t>'1394',</t>
  </si>
  <si>
    <t>'Yuto Nagatomo',</t>
  </si>
  <si>
    <t>'138',</t>
  </si>
  <si>
    <t>'JPN-04'),</t>
  </si>
  <si>
    <t>('Japan ', '1394', '5', 'DF', 'Yuto Nagatomo', '36', '138', '4', 'JPN-04'),</t>
  </si>
  <si>
    <t>'1399',</t>
  </si>
  <si>
    <t>'Takumi Minamino',</t>
  </si>
  <si>
    <t>('Japan ', '1399', '10', 'MF', 'Takumi Minamino', '27', '44', '17', 'FRA-03'),</t>
  </si>
  <si>
    <t>'1398',</t>
  </si>
  <si>
    <t>'Kaoru Mitoma',</t>
  </si>
  <si>
    <t>('Japan ', '1398', '9', 'MF', 'Kaoru Mitoma', '25', '9', '5', 'ENG-06'),</t>
  </si>
  <si>
    <t>'1397',</t>
  </si>
  <si>
    <t>'Ritsu Dōan',</t>
  </si>
  <si>
    <t>('Japan ', '1397', '8', 'MF', 'Ritsu Dōan', '24', '29', '3', 'GER-06'),</t>
  </si>
  <si>
    <t>'1413',</t>
  </si>
  <si>
    <t>'Yuki Soma',</t>
  </si>
  <si>
    <t>'JPN-06'),</t>
  </si>
  <si>
    <t>('Japan ', '1413', '24', 'MF', 'Yuki Soma', '25', '8', '4', 'JPN-06'),</t>
  </si>
  <si>
    <t>'1391',</t>
  </si>
  <si>
    <t>'Miki Yamane',</t>
  </si>
  <si>
    <t>('Japan ', '1391', '2', 'DF', 'Miki Yamane', '28', '15', '2', 'JPN-01'),</t>
  </si>
  <si>
    <t>'1407',</t>
  </si>
  <si>
    <t>'Takuma Asano',</t>
  </si>
  <si>
    <t>'GER-21'),</t>
  </si>
  <si>
    <t>('Japan ', '1407', '18', 'FW', 'Takuma Asano', '28', '37', '7', 'GER-21'),</t>
  </si>
  <si>
    <t>'1406',</t>
  </si>
  <si>
    <t>'Ao Tanaka',</t>
  </si>
  <si>
    <t>'GER-16'),</t>
  </si>
  <si>
    <t>('Japan ', '1406', '17', 'MF', 'Ao Tanaka', '24', '15', '2', 'GER-16'),</t>
  </si>
  <si>
    <t>'1411',</t>
  </si>
  <si>
    <t>'Maya Yoshida ',</t>
  </si>
  <si>
    <t>'122',</t>
  </si>
  <si>
    <t>'GER-19'),</t>
  </si>
  <si>
    <t>('Japan ', '1411', '22', 'DF', 'Maya Yoshida ', '34', '122', '12', 'GER-19'),</t>
  </si>
  <si>
    <t>'1409',</t>
  </si>
  <si>
    <t>'Shuto Machino',</t>
  </si>
  <si>
    <t>'JPN-08'),</t>
  </si>
  <si>
    <t>('Japan ', '1409', '20', 'FW', 'Shuto Machino', '23', '4', '3', 'JPN-08'),</t>
  </si>
  <si>
    <t>'1434',</t>
  </si>
  <si>
    <t>'Kim Young-gwon',</t>
  </si>
  <si>
    <t>'96',</t>
  </si>
  <si>
    <t>('Korea Rep ', '1434', '19', 'DF', 'Kim Young-gwon', '32', '96', '6', 'KOR-02'),</t>
  </si>
  <si>
    <t>'1435',</t>
  </si>
  <si>
    <t>'Kwon Kyung-won',</t>
  </si>
  <si>
    <t>'JPN-05'),</t>
  </si>
  <si>
    <t>('Korea Rep ', '1435', '20', 'DF', 'Kwon Kyung-won', '30', '28', '2', 'JPN-05'),</t>
  </si>
  <si>
    <t>'1431',</t>
  </si>
  <si>
    <t>'Hwang Ui-jo',</t>
  </si>
  <si>
    <t>('Korea Rep ', '1431', '16', 'FW', 'Hwang Ui-jo', '30', '49', '16', 'GRE-02'),</t>
  </si>
  <si>
    <t>'1432',</t>
  </si>
  <si>
    <t>'Na Sang-ho',</t>
  </si>
  <si>
    <t>('Korea Rep ', '1432', '17', 'MF', 'Na Sang-ho', '26', '24', '2', 'KOR-03'),</t>
  </si>
  <si>
    <t>'1440',</t>
  </si>
  <si>
    <t>'Jeong Woo-yeong',</t>
  </si>
  <si>
    <t>('Korea Rep ', '1440', '25', 'MF', 'Jeong Woo-yeong', '23', '9', '2', 'GER-06'),</t>
  </si>
  <si>
    <t>'1437',</t>
  </si>
  <si>
    <t>'Kwon Chang-hoon',</t>
  </si>
  <si>
    <t>'KOR-06'),</t>
  </si>
  <si>
    <t>('Korea Rep ', '1437', '22', 'MF', 'Kwon Chang-hoon', '28', '42', '12', 'KOR-06'),</t>
  </si>
  <si>
    <t>'1420',</t>
  </si>
  <si>
    <t>'Jung Woo-young',</t>
  </si>
  <si>
    <t>('Korea Rep ', '1420', '5', 'MF', 'Jung Woo-young', '32', '66', '3', 'QTR-01'),</t>
  </si>
  <si>
    <t>'1421',</t>
  </si>
  <si>
    <t>'Hwang In-beom',</t>
  </si>
  <si>
    <t>('Korea Rep ', '1421', '6', 'MF', 'Hwang In-beom', '26', '37', '4', 'GRE-02'),</t>
  </si>
  <si>
    <t>'1422',</t>
  </si>
  <si>
    <t>'Son Heung-min ',</t>
  </si>
  <si>
    <t>'104',</t>
  </si>
  <si>
    <t>('Korea Rep ', '1422', '7', 'MF', 'Son Heung-min ', '30', '104', '35', 'ENG-04'),</t>
  </si>
  <si>
    <t>'1418',</t>
  </si>
  <si>
    <t>'Kim Jin-su',</t>
  </si>
  <si>
    <t>'61',</t>
  </si>
  <si>
    <t>('Korea Rep ', '1418', '3', 'DF', 'Kim Jin-su', '30', '61', '2', 'KOR-01'),</t>
  </si>
  <si>
    <t>'1419',</t>
  </si>
  <si>
    <t>'Kim Min-jae',</t>
  </si>
  <si>
    <t>('Korea Rep ', '1419', '4', 'DF', 'Kim Min-jae', '26', '44', '3', 'ITA-04'),</t>
  </si>
  <si>
    <t>'1426',</t>
  </si>
  <si>
    <t>'Hwang Hee-chan',</t>
  </si>
  <si>
    <t>('Korea Rep ', '1426', '11', 'MF', 'Hwang Hee-chan', '26', '49', '9', 'ENG-14'),</t>
  </si>
  <si>
    <t>'1423',</t>
  </si>
  <si>
    <t>'Paik Seung-ho',</t>
  </si>
  <si>
    <t>('Korea Rep ', '1423', '8', 'MF', 'Paik Seung-ho', '25', '14', '2', 'KOR-01'),</t>
  </si>
  <si>
    <t>'1424',</t>
  </si>
  <si>
    <t>'Cho Gue-sung',</t>
  </si>
  <si>
    <t>('Korea Rep ', '1424', '9', 'FW', 'Cho Gue-sung', '24', '16', '4', 'KOR-01'),</t>
  </si>
  <si>
    <t>'1425',</t>
  </si>
  <si>
    <t>'Lee Jae-sung',</t>
  </si>
  <si>
    <t>'GER-09'),</t>
  </si>
  <si>
    <t>('Korea Rep ', '1425', '10', 'MF', 'Lee Jae-sung', '30', '64', '9', 'GER-09'),</t>
  </si>
  <si>
    <t>'1522',</t>
  </si>
  <si>
    <t>'Artur Jędrzejczyk',</t>
  </si>
  <si>
    <t>('Poland ', '1522', '3', 'DF', 'Artur Jędrzejczyk', '35', '40', '3', 'POL-01'),</t>
  </si>
  <si>
    <t>'1535',</t>
  </si>
  <si>
    <t>'Karol Świderski',</t>
  </si>
  <si>
    <t>'USA-07'),</t>
  </si>
  <si>
    <t>('Poland ', '1535', '16', 'FW', 'Karol Świderski', '25', '18', '8', 'USA-07'),</t>
  </si>
  <si>
    <t>'1534',</t>
  </si>
  <si>
    <t>'Kamil Glik',</t>
  </si>
  <si>
    <t>'99',</t>
  </si>
  <si>
    <t>'ITA-16'),</t>
  </si>
  <si>
    <t>('Poland ', '1534', '15', 'DF', 'Kamil Glik', '34', '99', '6', 'ITA-16'),</t>
  </si>
  <si>
    <t>'1526',</t>
  </si>
  <si>
    <t>'Arkadiusz Milik',</t>
  </si>
  <si>
    <t>('Poland ', '1526', '7', 'FW', 'Arkadiusz Milik', '28', '64', '16', 'ITA-01'),</t>
  </si>
  <si>
    <t>'1529',</t>
  </si>
  <si>
    <t>'Grzegorz Krychowiak',</t>
  </si>
  <si>
    <t>('Poland ', '1529', '10', 'MF', 'Grzegorz Krychowiak', '32', '94', '5', 'SAU-03'),</t>
  </si>
  <si>
    <t>'1528',</t>
  </si>
  <si>
    <t>'Robert Lewandowski ',</t>
  </si>
  <si>
    <t>'134',</t>
  </si>
  <si>
    <t>('Poland ', '1528', '9', 'FW', 'Robert Lewandowski ', '34', '134', '76', 'ESP-01'),</t>
  </si>
  <si>
    <t>'1530',</t>
  </si>
  <si>
    <t>'Kamil Grosicki',</t>
  </si>
  <si>
    <t>'POL-03'),</t>
  </si>
  <si>
    <t>('Poland ', '1530', '11', 'MF', 'Kamil Grosicki', '34', '87', '17', 'POL-03'),</t>
  </si>
  <si>
    <t>'1539',</t>
  </si>
  <si>
    <t>'Piotr Zieliński',</t>
  </si>
  <si>
    <t>('Poland ', '1539', '20', 'MF', 'Piotr Zieliński', '28', '74', '9', 'ITA-04'),</t>
  </si>
  <si>
    <t>'1542',</t>
  </si>
  <si>
    <t>'Krzysztof Piątek',</t>
  </si>
  <si>
    <t>'ITA-10'),</t>
  </si>
  <si>
    <t>('Poland ', '1542', '23', 'FW', 'Krzysztof Piątek', '27', '25', '11', 'ITA-10'),</t>
  </si>
  <si>
    <t>'1637',</t>
  </si>
  <si>
    <t>'Krépin Diatta',</t>
  </si>
  <si>
    <t>('Senegal ', '1637', '15', 'MF', 'Krépin Diatta', '23', '26', '2', 'FRA-03'),</t>
  </si>
  <si>
    <t>'1640',</t>
  </si>
  <si>
    <t>'Ismaïla Sarr',</t>
  </si>
  <si>
    <t>'ENG-39'),</t>
  </si>
  <si>
    <t>('Senegal ', '1640', '18', 'FW', 'Ismaïla Sarr', '24', '48', '10', 'ENG-39'),</t>
  </si>
  <si>
    <t>'1641',</t>
  </si>
  <si>
    <t>'Famara Diédhiou',</t>
  </si>
  <si>
    <t>'TUR-06'),</t>
  </si>
  <si>
    <t>('Senegal ', '1641', '19', 'FW', 'Famara Diédhiou', '29', '25', '10', 'TUR-06'),</t>
  </si>
  <si>
    <t>'1644',</t>
  </si>
  <si>
    <t>'Abdou Diallo',</t>
  </si>
  <si>
    <t>('Senegal ', '1644', '22', 'DF', 'Abdou Diallo', '26', '18', '2', 'GER-04'),</t>
  </si>
  <si>
    <t>'1628',</t>
  </si>
  <si>
    <t>'Idrissa Gueye',</t>
  </si>
  <si>
    <t>('Senegal ', '1628', '5', 'MF', 'Idrissa Gueye', '33', '96', '7', 'ENG-16'),</t>
  </si>
  <si>
    <t>'1632',</t>
  </si>
  <si>
    <t>'Boulaye Dia',</t>
  </si>
  <si>
    <t>('Senegal ', '1632', '9', 'FW', 'Boulaye Dia', '26', '19', '3', 'ITA-10'),</t>
  </si>
  <si>
    <t>'1631',</t>
  </si>
  <si>
    <t>'Cheikhou Kouyaté',</t>
  </si>
  <si>
    <t>'83',</t>
  </si>
  <si>
    <t>('Senegal ', '1631', '8', 'DF', 'Cheikhou Kouyaté', '32', '83', '4', 'ENG-12'),</t>
  </si>
  <si>
    <t>'1720',</t>
  </si>
  <si>
    <t>'Fabian Frei',</t>
  </si>
  <si>
    <t>('Switzerland ', '1720', '20', 'MF', 'Fabian Frei', '33', '22', '3', 'SWI-02'),</t>
  </si>
  <si>
    <t>'1719',</t>
  </si>
  <si>
    <t>'Noah Okafor',</t>
  </si>
  <si>
    <t>('Switzerland ', '1719', '19', 'FW', 'Noah Okafor', '22', '9', '2', 'AST-01'),</t>
  </si>
  <si>
    <t>'1716',</t>
  </si>
  <si>
    <t>'Christian Fassnacht',</t>
  </si>
  <si>
    <t>('Switzerland ', '1716', '16', 'MF', 'Christian Fassnacht', '29', '16', '4', 'SWI-01'),</t>
  </si>
  <si>
    <t>'1717',</t>
  </si>
  <si>
    <t>'Ruben Vargas',</t>
  </si>
  <si>
    <t>('Switzerland ', '1717', '17', 'FW', 'Ruben Vargas', '24', '27', '4', 'GER-08'),</t>
  </si>
  <si>
    <t>'1722',</t>
  </si>
  <si>
    <t>'Fabian Schär',</t>
  </si>
  <si>
    <t>('Switzerland ', '1722', '22', 'DF', 'Fabian Schär', '30', '73', '8', 'ENG-11'),</t>
  </si>
  <si>
    <t>'1723',</t>
  </si>
  <si>
    <t>'Xherdan Shaqiri',</t>
  </si>
  <si>
    <t>'USA-08'),</t>
  </si>
  <si>
    <t>('Switzerland ', '1723', '23', 'MF', 'Xherdan Shaqiri', '31', '109', '26', 'USA-08'),</t>
  </si>
  <si>
    <t>'1706',</t>
  </si>
  <si>
    <t>'Denis Zakaria',</t>
  </si>
  <si>
    <t>('Switzerland ', '1706', '6', 'MF', 'Denis Zakaria', '26', '43', '3', 'ENG-03'),</t>
  </si>
  <si>
    <t>'1707',</t>
  </si>
  <si>
    <t>'Breel Embolo',</t>
  </si>
  <si>
    <t>('Switzerland ', '1707', '7', 'FW', 'Breel Embolo', '25', '59', '11', 'FRA-03'),</t>
  </si>
  <si>
    <t>'1702',</t>
  </si>
  <si>
    <t>'Edimilson Fernandes',</t>
  </si>
  <si>
    <t>('Switzerland ', '1702', '2', 'DF', 'Edimilson Fernandes', '26', '22', '2', 'GER-09'),</t>
  </si>
  <si>
    <t>'1703',</t>
  </si>
  <si>
    <t>'Silvan Widmer',</t>
  </si>
  <si>
    <t>('Switzerland ', '1703', '3', 'DF', 'Silvan Widmer', '29', '34', '2', 'GER-09'),</t>
  </si>
  <si>
    <t>'1708',</t>
  </si>
  <si>
    <t>'Remo Freuler',</t>
  </si>
  <si>
    <t>('Switzerland ', '1708', '8', 'MF', 'Remo Freuler', '30', '49', '5', 'ENG-12'),</t>
  </si>
  <si>
    <t>'1713',</t>
  </si>
  <si>
    <t>'Ricardo Rodriguez',</t>
  </si>
  <si>
    <t>('Switzerland ', '1713', '13', 'DF', 'Ricardo Rodriguez', '30', '100', '9', 'ITA-05'),</t>
  </si>
  <si>
    <t>'1709',</t>
  </si>
  <si>
    <t>'Haris Seferovic',</t>
  </si>
  <si>
    <t>'89',</t>
  </si>
  <si>
    <t>('Switzerland ', '1709', '9', 'FW', 'Haris Seferovic', '30', '89', '25', 'TUR-01'),</t>
  </si>
  <si>
    <t>'1710',</t>
  </si>
  <si>
    <t>'Granit Xhaka ',</t>
  </si>
  <si>
    <t>('Switzerland ', '1710', '10', 'MF', 'Granit Xhaka ', '30', '107', '12', 'ENG-05'),</t>
  </si>
  <si>
    <t>'1793',</t>
  </si>
  <si>
    <t>'Aaron Long',</t>
  </si>
  <si>
    <t>'USA-17'),</t>
  </si>
  <si>
    <t>('USA ', '1793', '15', 'DF', 'Aaron Long', '30', '29', '3', 'USA-17'),</t>
  </si>
  <si>
    <t>'1794',</t>
  </si>
  <si>
    <t>'Jordan Morris',</t>
  </si>
  <si>
    <t>('USA ', '1794', '16', 'FW', 'Jordan Morris', '28', '49', '11', 'USA-03'),</t>
  </si>
  <si>
    <t>'1786',</t>
  </si>
  <si>
    <t>'Weston McKennie',</t>
  </si>
  <si>
    <t>('USA ', '1786', '8', 'MF', 'Weston McKennie', '24', '37', '9', 'ITA-01'),</t>
  </si>
  <si>
    <t>'1802',</t>
  </si>
  <si>
    <t>'Josh Sargent',</t>
  </si>
  <si>
    <t>'ENG-35'),</t>
  </si>
  <si>
    <t>('USA ', '1802', '24', 'FW', 'Josh Sargent', '22', '20', '5', 'ENG-35'),</t>
  </si>
  <si>
    <t>'1799',</t>
  </si>
  <si>
    <t>'Timothy Weah',</t>
  </si>
  <si>
    <t>'FRA-08'),</t>
  </si>
  <si>
    <t>('USA ', '1799', '21', 'FW', 'Timothy Weah', '22', '25', '3', 'FRA-08'),</t>
  </si>
  <si>
    <t>'1801',</t>
  </si>
  <si>
    <t>'Kellyn Acosta',</t>
  </si>
  <si>
    <t>('USA ', '1801', '23', 'MF', 'Kellyn Acosta', '27', '53', '2', 'USA-02'),</t>
  </si>
  <si>
    <t>'1783',</t>
  </si>
  <si>
    <t>'Antonee Robinson',</t>
  </si>
  <si>
    <t>('USA ', '1783', '5', 'DF', 'Antonee Robinson', '25', '29', '2', 'ENG-10'),</t>
  </si>
  <si>
    <t>'1780',</t>
  </si>
  <si>
    <t>'Sergiño Dest',</t>
  </si>
  <si>
    <t>('USA ', '1780', '2', 'DF', 'Sergiño Dest', '22', '19', '2', 'ITA-02'),</t>
  </si>
  <si>
    <t>'1781',</t>
  </si>
  <si>
    <t>'Walker Zimmerman',</t>
  </si>
  <si>
    <t>('USA ', '1781', '3', 'DF', 'Walker Zimmerman', '29', '33', '3', 'USA-05'),</t>
  </si>
  <si>
    <t>'1785',</t>
  </si>
  <si>
    <t>'Giovanni Reyna',</t>
  </si>
  <si>
    <t>('USA ', '1785', '7', 'FW', 'Giovanni Reyna', '20', '14', '4', 'GER-02'),</t>
  </si>
  <si>
    <t>'1787',</t>
  </si>
  <si>
    <t>'Jesús Ferreira',</t>
  </si>
  <si>
    <t>'USA-11'),</t>
  </si>
  <si>
    <t>('USA ', '1787', '9', 'FW', 'Jesús Ferreira', '21', '15', '7', 'USA-11'),</t>
  </si>
  <si>
    <t>'1788',</t>
  </si>
  <si>
    <t>'Christian Pulisic',</t>
  </si>
  <si>
    <t>('USA ', '1788', '10', 'FW', 'Christian Pulisic', '24', '52', '21', 'ENG-03'),</t>
  </si>
  <si>
    <t>'1789',</t>
  </si>
  <si>
    <t>'Brenden Aaronson',</t>
  </si>
  <si>
    <t>('USA ', '1789', '11', 'FW', 'Brenden Aaronson', '22', '24', '6', 'ENG-17'),</t>
  </si>
  <si>
    <t>'1057',</t>
  </si>
  <si>
    <t>'Jan Vertonghen',</t>
  </si>
  <si>
    <t>'142',</t>
  </si>
  <si>
    <t>('Belgium ', '1057', '5', 'DF', 'Jan Vertonghen', '35', '142', '9', 'BEL-04'),</t>
  </si>
  <si>
    <t>'1073',</t>
  </si>
  <si>
    <t>'Timothy Castagne',</t>
  </si>
  <si>
    <t>('Belgium ', '1073', '21', 'MF', 'Timothy Castagne', '26', '26', '2', 'ENG-07'),</t>
  </si>
  <si>
    <t>'1072',</t>
  </si>
  <si>
    <t>'Hans Vanaken',</t>
  </si>
  <si>
    <t>('Belgium ', '1072', '20', 'MF', 'Hans Vanaken', '30', '23', '5', 'BEL-01'),</t>
  </si>
  <si>
    <t>'1077',</t>
  </si>
  <si>
    <t>'Jérémy Doku',</t>
  </si>
  <si>
    <t>('Belgium ', '1077', '25', 'FW', 'Jérémy Doku', '20', '11', '2', 'FRA-02'),</t>
  </si>
  <si>
    <t>'1058',</t>
  </si>
  <si>
    <t>'Axel Witsel',</t>
  </si>
  <si>
    <t>'127',</t>
  </si>
  <si>
    <t>('Belgium ', '1058', '6', 'MF', 'Axel Witsel', '33', '127', '12', 'ESP-03'),</t>
  </si>
  <si>
    <t>'1063',</t>
  </si>
  <si>
    <t>'Yannick Carrasco',</t>
  </si>
  <si>
    <t>('Belgium ', '1063', '11', 'FW', 'Yannick Carrasco', '29', '60', '8', 'ESP-03'),</t>
  </si>
  <si>
    <t>'1059',</t>
  </si>
  <si>
    <t>'Kevin De Bruyne',</t>
  </si>
  <si>
    <t>('Belgium ', '1059', '7', 'MF', 'Kevin De Bruyne', '31', '94', '25', 'ENG-01'),</t>
  </si>
  <si>
    <t>'1054',</t>
  </si>
  <si>
    <t>'Toby Alderweireld',</t>
  </si>
  <si>
    <t>('Belgium ', '1054', '2', 'DF', 'Toby Alderweireld', '33', '124', '5', 'BEL-02'),</t>
  </si>
  <si>
    <t>'1062',</t>
  </si>
  <si>
    <t>'Eden Hazard ',</t>
  </si>
  <si>
    <t>'123',</t>
  </si>
  <si>
    <t>('Belgium ', '1062', '10', 'FW', 'Eden Hazard ', '31', '123', '33', 'ESP-02'),</t>
  </si>
  <si>
    <t>'1069',</t>
  </si>
  <si>
    <t>'Leandro Trossard',</t>
  </si>
  <si>
    <t>('Belgium ', '1069', '17', 'FW', 'Leandro Trossard', '27', '21', '5', 'ENG-06'),</t>
  </si>
  <si>
    <t>'1075',</t>
  </si>
  <si>
    <t>'Michy Batshuayi',</t>
  </si>
  <si>
    <t>'TUR-03'),</t>
  </si>
  <si>
    <t>('Belgium ', '1075', '23', 'FW', 'Michy Batshuayi', '29', '48', '26', 'TUR-03'),</t>
  </si>
  <si>
    <t>'1076',</t>
  </si>
  <si>
    <t>'Loïs Openda',</t>
  </si>
  <si>
    <t>('Belgium ', '1076', '24', 'FW', 'Loïs Openda', '22', '5', '2', 'FRA-05'),</t>
  </si>
  <si>
    <t>'1061',</t>
  </si>
  <si>
    <t>'Romelu Lukaku',</t>
  </si>
  <si>
    <t>'102',</t>
  </si>
  <si>
    <t>('Belgium ', '1061', '9', 'FW', 'Romelu Lukaku', '29', '102', '68', 'ITA-03'),</t>
  </si>
  <si>
    <t>'1060',</t>
  </si>
  <si>
    <t>'Youri Tielemans',</t>
  </si>
  <si>
    <t>'55',</t>
  </si>
  <si>
    <t>('Belgium ', '1060', '8', 'MF', 'Youri Tielemans', '25', '55', '5', 'ENG-07'),</t>
  </si>
  <si>
    <t>'1067',</t>
  </si>
  <si>
    <t>'Thomas Meunier',</t>
  </si>
  <si>
    <t>('Belgium ', '1067', '15', 'MF', 'Thomas Meunier', '31', '59', '8', 'GER-02'),</t>
  </si>
  <si>
    <t>'1066',</t>
  </si>
  <si>
    <t>'Dries Mertens',</t>
  </si>
  <si>
    <t>('Belgium ', '1066', '14', 'FW', 'Dries Mertens', '35', '107', '21', 'TUR-01'),</t>
  </si>
  <si>
    <t>'1068',</t>
  </si>
  <si>
    <t>'Thorgan Hazard',</t>
  </si>
  <si>
    <t>('Belgium ', '1068', '16', 'MF', 'Thorgan Hazard', '29', '45', '9', 'GER-02'),</t>
  </si>
  <si>
    <t>'1147',</t>
  </si>
  <si>
    <t>'Cyle Larin',</t>
  </si>
  <si>
    <t>('Canada ', '1147', '17', 'FW', 'Cyle Larin', '27', '55', '25', 'BEL-01'),</t>
  </si>
  <si>
    <t>'1139',</t>
  </si>
  <si>
    <t>'Lucas Cavallini',</t>
  </si>
  <si>
    <t>'USA-21'),</t>
  </si>
  <si>
    <t>('Canada ', '1139', '9', 'FW', 'Lucas Cavallini', '29', '34', '18', 'USA-21'),</t>
  </si>
  <si>
    <t>'1141',</t>
  </si>
  <si>
    <t>'Tajon Buchanan',</t>
  </si>
  <si>
    <t>('Canada ', '1141', '11', 'FW', 'Tajon Buchanan', '23', '26', '4', 'BEL-01'),</t>
  </si>
  <si>
    <t>'1135',</t>
  </si>
  <si>
    <t>'Steven Vitória',</t>
  </si>
  <si>
    <t>'POR-05'),</t>
  </si>
  <si>
    <t>('Canada ', '1135', '5', 'DF', 'Steven Vitória', '35', '35', '4', 'POR-05'),</t>
  </si>
  <si>
    <t>'1137',</t>
  </si>
  <si>
    <t>'Stephen Eustáquio',</t>
  </si>
  <si>
    <t>('Canada ', '1137', '7', 'MF', 'Stephen Eustáquio', '25', '26', '3', 'POR-02'),</t>
  </si>
  <si>
    <t>'1140',</t>
  </si>
  <si>
    <t>'Junior Hoilett',</t>
  </si>
  <si>
    <t>('Canada ', '1140', '10', 'MF', 'Junior Hoilett', '32', '50', '14', 'ENG-18'),</t>
  </si>
  <si>
    <t>'1151',</t>
  </si>
  <si>
    <t>'Jonathan Osorio',</t>
  </si>
  <si>
    <t>('Canada ', '1151', '21', 'MF', 'Jonathan Osorio', '30', '57', '7', 'USA-04'),</t>
  </si>
  <si>
    <t>'1144',</t>
  </si>
  <si>
    <t>'Mark-Anthony Kaye',</t>
  </si>
  <si>
    <t>('Canada ', '1144', '14', 'MF', 'Mark-Anthony Kaye', '27', '38', '2', 'USA-04'),</t>
  </si>
  <si>
    <t>'1150',</t>
  </si>
  <si>
    <t>'Jonathan David',</t>
  </si>
  <si>
    <t>('Canada ', '1150', '20', 'FW', 'Jonathan David', '22', '35', '22', 'FRA-08'),</t>
  </si>
  <si>
    <t>'1149',</t>
  </si>
  <si>
    <t>'Alphonso Davies',</t>
  </si>
  <si>
    <t>('Canada ', '1149', '19', 'FW', 'Alphonso Davies', '22', '34', '12', 'GER-01'),</t>
  </si>
  <si>
    <t>'1143',</t>
  </si>
  <si>
    <t>'Atiba Hutchinson ',</t>
  </si>
  <si>
    <t>'98',</t>
  </si>
  <si>
    <t>('Canada ', '1143', '13', 'MF', 'Atiba Hutchinson ', '39', '98', '9', 'TUR-02'),</t>
  </si>
  <si>
    <t>'1112',</t>
  </si>
  <si>
    <t>'André-Frank Zambo Anguissa',</t>
  </si>
  <si>
    <t>('Cameroon ', '1112', '8', 'MF', 'André-Frank Zambo Anguissa', '27', '43', '5', 'ITA-04'),</t>
  </si>
  <si>
    <t>'1110',</t>
  </si>
  <si>
    <t>'Moumi Ngamaleu',</t>
  </si>
  <si>
    <t>'RUS-01'),</t>
  </si>
  <si>
    <t>('Cameroon ', '1110', '6', 'FW', 'Moumi Ngamaleu', '28', '42', '4', 'RUS-01'),</t>
  </si>
  <si>
    <t>'1117',</t>
  </si>
  <si>
    <t>'Eric Maxim Choupo-Moting',</t>
  </si>
  <si>
    <t>'69',</t>
  </si>
  <si>
    <t>('Cameroon ', '1117', '13', 'FW', 'Eric Maxim Choupo-Moting', '33', '69', '19', 'GER-01'),</t>
  </si>
  <si>
    <t>'1115',</t>
  </si>
  <si>
    <t>'Christian Bassogog',</t>
  </si>
  <si>
    <t>'CHI-02'),</t>
  </si>
  <si>
    <t>('Cameroon ', '1115', '11', 'FW', 'Christian Bassogog', '27', '43', '7', 'CHI-02'),</t>
  </si>
  <si>
    <t>'1107',</t>
  </si>
  <si>
    <t>'Nicolas Nkoulou',</t>
  </si>
  <si>
    <t>'GRE-03'),</t>
  </si>
  <si>
    <t>('Cameroon ', '1107', '3', 'DF', 'Nicolas Nkoulou', '32', '78', '2', 'GRE-03'),</t>
  </si>
  <si>
    <t>'1116',</t>
  </si>
  <si>
    <t>'Karl Toko Ekambi',</t>
  </si>
  <si>
    <t>('Cameroon ', '1116', '12', 'FW', 'Karl Toko Ekambi', '30', '51', '12', 'FRA-09'),</t>
  </si>
  <si>
    <t>'1114',</t>
  </si>
  <si>
    <t>'Vincent Aboubakar ',</t>
  </si>
  <si>
    <t>('Cameroon ', '1114', '10', 'FW', 'Vincent Aboubakar ', '30', '91', '33', 'SAU-02'),</t>
  </si>
  <si>
    <t>'1161',</t>
  </si>
  <si>
    <t>'Celso Borges',</t>
  </si>
  <si>
    <t>'CRA-02'),</t>
  </si>
  <si>
    <t>('Costa Rica ', '1161', '5', 'MF', 'Celso Borges', '34', '155', '27', 'CRA-02'),</t>
  </si>
  <si>
    <t>'1167',</t>
  </si>
  <si>
    <t>'Johan Venegas',</t>
  </si>
  <si>
    <t>'82',</t>
  </si>
  <si>
    <t>('Costa Rica ', '1167', '11', 'FW', 'Johan Venegas', '33', '82', '11', 'CRA-02'),</t>
  </si>
  <si>
    <t>'1166',</t>
  </si>
  <si>
    <t>'Bryan Ruiz ',</t>
  </si>
  <si>
    <t>'146',</t>
  </si>
  <si>
    <t>('Costa Rica ', '1166', '10', 'MF', 'Bryan Ruiz ', '37', '146', '29', 'CRA-02'),</t>
  </si>
  <si>
    <t>'1160',</t>
  </si>
  <si>
    <t>'Keysher Fuller',</t>
  </si>
  <si>
    <t>('Costa Rica ', '1160', '4', 'DF', 'Keysher Fuller', '28', '31', '2', 'CRA-01'),</t>
  </si>
  <si>
    <t>'1163',</t>
  </si>
  <si>
    <t>'Anthony Contreras',</t>
  </si>
  <si>
    <t>('Costa Rica ', '1163', '7', 'FW', 'Anthony Contreras', '22', '9', '2', 'CRA-01'),</t>
  </si>
  <si>
    <t>'1178',</t>
  </si>
  <si>
    <t>'Rónald Matarrita',</t>
  </si>
  <si>
    <t>'USA-10'),</t>
  </si>
  <si>
    <t>('Costa Rica ', '1178', '22', 'DF', 'Rónald Matarrita', '28', '52', '3', 'USA-10'),</t>
  </si>
  <si>
    <t>'1171',</t>
  </si>
  <si>
    <t>'Francisco Calvo',</t>
  </si>
  <si>
    <t>'TUR-10'),</t>
  </si>
  <si>
    <t>('Costa Rica ', '1171', '15', 'DF', 'Francisco Calvo', '30', '75', '8', 'TUR-10'),</t>
  </si>
  <si>
    <t>'1168',</t>
  </si>
  <si>
    <t>'Joel Campbell',</t>
  </si>
  <si>
    <t>'119',</t>
  </si>
  <si>
    <t>('Costa Rica ', '1168', '12', 'FW', 'Joel Campbell', '30', '119', '25', 'MEX-04'),</t>
  </si>
  <si>
    <t>'1164',</t>
  </si>
  <si>
    <t>'Bryan Oviedo',</t>
  </si>
  <si>
    <t>'USA-20'),</t>
  </si>
  <si>
    <t>('Costa Rica ', '1164', '8', 'DF', 'Bryan Oviedo', '32', '76', '2', 'USA-20'),</t>
  </si>
  <si>
    <t>'1162',</t>
  </si>
  <si>
    <t>'Óscar Duarte',</t>
  </si>
  <si>
    <t>('Costa Rica ', '1162', '6', 'DF', 'Óscar Duarte', '33', '71', '4', 'SAU-07'),</t>
  </si>
  <si>
    <t>'1175',</t>
  </si>
  <si>
    <t>'Kendall Waston',</t>
  </si>
  <si>
    <t>('Costa Rica ', '1175', '19', 'DF', 'Kendall Waston', '34', '63', '9', 'CRA-03'),</t>
  </si>
  <si>
    <t>'1165',</t>
  </si>
  <si>
    <t>'Jewison Bennette',</t>
  </si>
  <si>
    <t>('Costa Rica ', '1165', '9', 'MF', 'Jewison Bennette', '18', '7', '2', 'ENG-29'),</t>
  </si>
  <si>
    <t>'1216',</t>
  </si>
  <si>
    <t>'Thomas Delaney',</t>
  </si>
  <si>
    <t>('Denmark ', '1216', '8', 'MF', 'Thomas Delaney', '31', '71', '7', 'ESP-04'),</t>
  </si>
  <si>
    <t>'1217',</t>
  </si>
  <si>
    <t>'Martin Braithwaite',</t>
  </si>
  <si>
    <t>'62',</t>
  </si>
  <si>
    <t>'ESP-16'),</t>
  </si>
  <si>
    <t>('Denmark ', '1217', '9', 'FW', 'Martin Braithwaite', '31', '62', '10', 'ESP-16'),</t>
  </si>
  <si>
    <t>'1228',</t>
  </si>
  <si>
    <t>'Yussuf Poulsen',</t>
  </si>
  <si>
    <t>('Denmark ', '1228', '20', 'FW', 'Yussuf Poulsen', '28', '68', '11', 'GER-04'),</t>
  </si>
  <si>
    <t>'1218',</t>
  </si>
  <si>
    <t>'Christian Eriksen',</t>
  </si>
  <si>
    <t>('Denmark ', '1218', '10', 'MF', 'Christian Eriksen', '30', '117', '39', 'ENG-02'),</t>
  </si>
  <si>
    <t>'1220',</t>
  </si>
  <si>
    <t>'Kasper Dolberg',</t>
  </si>
  <si>
    <t>('Denmark ', '1220', '12', 'FW', 'Kasper Dolberg', '25', '37', '11', 'ESP-04'),</t>
  </si>
  <si>
    <t>'1222',</t>
  </si>
  <si>
    <t>'Mikkel Damsgaard',</t>
  </si>
  <si>
    <t>('Denmark ', '1222', '14', 'MF', 'Mikkel Damsgaard', '22', '18', '4', 'ENG-09'),</t>
  </si>
  <si>
    <t>'1214',</t>
  </si>
  <si>
    <t>'Andreas Christensen',</t>
  </si>
  <si>
    <t>('Denmark ', '1214', '6', 'DF', 'Andreas Christensen', '26', '58', '2', 'ESP-01'),</t>
  </si>
  <si>
    <t>'1231',</t>
  </si>
  <si>
    <t>'Pierre-Emile Højbjerg',</t>
  </si>
  <si>
    <t>('Denmark ', '1231', '23', 'MF', 'Pierre-Emile Højbjerg', '27', '60', '5', 'ENG-04'),</t>
  </si>
  <si>
    <t>'1213',</t>
  </si>
  <si>
    <t>'Joakim Mæhle',</t>
  </si>
  <si>
    <t>('Denmark ', '1213', '5', 'DF', 'Joakim Mæhle', '25', '31', '9', 'ITA-06'),</t>
  </si>
  <si>
    <t>'1232',</t>
  </si>
  <si>
    <t>'Robert Skov',</t>
  </si>
  <si>
    <t>('Denmark ', '1232', '24', 'MF', 'Robert Skov', '26', '11', '5', 'GER-12'),</t>
  </si>
  <si>
    <t>'1227',</t>
  </si>
  <si>
    <t>'Jonas Wind',</t>
  </si>
  <si>
    <t>('Denmark ', '1227', '19', 'FW', 'Jonas Wind', '23', '15', '5', 'GER-11'),</t>
  </si>
  <si>
    <t>'1212',</t>
  </si>
  <si>
    <t>'Simon Kjær ',</t>
  </si>
  <si>
    <t>('Denmark ', '1212', '4', 'DF', 'Simon Kjær ', '33', '121', '5', 'ITA-02'),</t>
  </si>
  <si>
    <t>'1225',</t>
  </si>
  <si>
    <t>'Jens Stryger Larsen',</t>
  </si>
  <si>
    <t>'TUR-05'),</t>
  </si>
  <si>
    <t>('Denmark ', '1225', '17', 'DF', 'Jens Stryger Larsen', '31', '49', '3', 'TUR-05'),</t>
  </si>
  <si>
    <t>'1219',</t>
  </si>
  <si>
    <t>'Andreas Skov Olsen',</t>
  </si>
  <si>
    <t>('Denmark ', '1219', '11', 'MF', 'Andreas Skov Olsen', '22', '23', '8', 'BEL-01'),</t>
  </si>
  <si>
    <t>'1229',</t>
  </si>
  <si>
    <t>'Andreas Cornelius',</t>
  </si>
  <si>
    <t>('Denmark ', '1229', '21', 'FW', 'Andreas Cornelius', '29', '41', '9', 'DEN-01'),</t>
  </si>
  <si>
    <t>'1253',</t>
  </si>
  <si>
    <t>'Gonzalo Plata',</t>
  </si>
  <si>
    <t>('Ecuador ', '1253', '19', 'MF', 'Gonzalo Plata', '22', '30', '5', 'ESP-13'),</t>
  </si>
  <si>
    <t>'1244',</t>
  </si>
  <si>
    <t>'Romario Ibarra',</t>
  </si>
  <si>
    <t>('Ecuador ', '1244', '10', 'MF', 'Romario Ibarra', '28', '25', '3', 'MEX-05'),</t>
  </si>
  <si>
    <t>'1245',</t>
  </si>
  <si>
    <t>'Michael Estrada',</t>
  </si>
  <si>
    <t>('Ecuador ', '1245', '11', 'FW', 'Michael Estrada', '26', '36', '8', 'MEX-03'),</t>
  </si>
  <si>
    <t>'1243',</t>
  </si>
  <si>
    <t>'Ayrton Preciado',</t>
  </si>
  <si>
    <t>'MEX-07'),</t>
  </si>
  <si>
    <t>('Ecuador ', '1243', '9', 'MF', 'Ayrton Preciado', '28', '27', '3', 'MEX-07'),</t>
  </si>
  <si>
    <t>'1247',</t>
  </si>
  <si>
    <t>'Enner Valencia',</t>
  </si>
  <si>
    <t>('Ecuador ', '1247', '13', 'FW', 'Enner Valencia', '33', '74', '35', 'TUR-03'),</t>
  </si>
  <si>
    <t>'1257',</t>
  </si>
  <si>
    <t>'Moisés Caicedo',</t>
  </si>
  <si>
    <t>('Ecuador ', '1257', '23', 'MF', 'Moisés Caicedo', '21', '25', '2', 'ENG-06'),</t>
  </si>
  <si>
    <t>'1238',</t>
  </si>
  <si>
    <t>'Robert Arboleda',</t>
  </si>
  <si>
    <t>'BRA-04'),</t>
  </si>
  <si>
    <t>('Ecuador ', '1238', '4', 'DF', 'Robert Arboleda', '31', '33', '2', 'BRA-04'),</t>
  </si>
  <si>
    <t>'1236',</t>
  </si>
  <si>
    <t>'Félix Torres',</t>
  </si>
  <si>
    <t>('Ecuador ', '1236', '2', 'DF', 'Félix Torres', '25', '17', '2', 'MEX-07'),</t>
  </si>
  <si>
    <t>'1241',</t>
  </si>
  <si>
    <t>'Pervis Estupiñán',</t>
  </si>
  <si>
    <t>('Ecuador ', '1241', '7', 'DF', 'Pervis Estupiñán', '24', '28', '3', 'ENG-06'),</t>
  </si>
  <si>
    <t>'1249',</t>
  </si>
  <si>
    <t>'Ángel Mena',</t>
  </si>
  <si>
    <t>('Ecuador ', '1249', '15', 'MF', 'Ángel Mena', '34', '46', '7', 'MEX-04'),</t>
  </si>
  <si>
    <t>'1314',</t>
  </si>
  <si>
    <t>'Antonio Rüdiger',</t>
  </si>
  <si>
    <t>('Germany ', '1314', '2', 'DF', 'Antonio Rüdiger', '29', '54', '2', 'ESP-02'),</t>
  </si>
  <si>
    <t>'1325',</t>
  </si>
  <si>
    <t>'Thomas Müller',</t>
  </si>
  <si>
    <t>'118',</t>
  </si>
  <si>
    <t>('Germany ', '1325', '13', 'MF', 'Thomas Müller', '33', '118', '44', 'GER-01'),</t>
  </si>
  <si>
    <t>'1320',</t>
  </si>
  <si>
    <t>'Leon Goretzka',</t>
  </si>
  <si>
    <t>('Germany ', '1320', '8', 'MF', 'Leon Goretzka', '27', '45', '14', 'GER-01'),</t>
  </si>
  <si>
    <t>'1329',</t>
  </si>
  <si>
    <t>'Julian Brandt',</t>
  </si>
  <si>
    <t>('Germany ', '1329', '17', 'MF', 'Julian Brandt', '26', '39', '3', 'GER-02'),</t>
  </si>
  <si>
    <t>'1319',</t>
  </si>
  <si>
    <t>'Kai Havertz',</t>
  </si>
  <si>
    <t>('Germany ', '1319', '7', 'FW', 'Kai Havertz', '23', '31', '10', 'ENG-03'),</t>
  </si>
  <si>
    <t>'1323',</t>
  </si>
  <si>
    <t>'Mario Götze',</t>
  </si>
  <si>
    <t>('Germany ', '1323', '11', 'MF', 'Mario Götze', '30', '63', '17', 'GER-03'),</t>
  </si>
  <si>
    <t>'1322',</t>
  </si>
  <si>
    <t>'Serge Gnabry',</t>
  </si>
  <si>
    <t>('Germany ', '1322', '10', 'FW', 'Serge Gnabry', '27', '36', '20', 'GER-01'),</t>
  </si>
  <si>
    <t>'1316',</t>
  </si>
  <si>
    <t>'Matthias Ginter',</t>
  </si>
  <si>
    <t>('Germany ', '1316', '4', 'DF', 'Matthias Ginter', '28', '47', '2', 'GER-06'),</t>
  </si>
  <si>
    <t>'1318',</t>
  </si>
  <si>
    <t>'Joshua Kimmich',</t>
  </si>
  <si>
    <t>('Germany ', '1318', '6', 'MF', 'Joshua Kimmich', '27', '71', '5', 'GER-01'),</t>
  </si>
  <si>
    <t>'1331',</t>
  </si>
  <si>
    <t>'Leroy Sané',</t>
  </si>
  <si>
    <t>('Germany ', '1331', '19', 'MF', 'Leroy Sané', '26', '48', '11', 'GER-01'),</t>
  </si>
  <si>
    <t>'1330',</t>
  </si>
  <si>
    <t>'Jonas Hofmann',</t>
  </si>
  <si>
    <t>('Germany ', '1330', '18', 'MF', 'Jonas Hofmann', '30', '17', '4', 'GER-05'),</t>
  </si>
  <si>
    <t>'1333',</t>
  </si>
  <si>
    <t>'İlkay Gündoğan',</t>
  </si>
  <si>
    <t>('Germany ', '1333', '21', 'MF', 'İlkay Gündoğan', '32', '63', '16', 'ENG-01'),</t>
  </si>
  <si>
    <t>'1351',</t>
  </si>
  <si>
    <t>'Daniel Afriyie',</t>
  </si>
  <si>
    <t>'GNA-02'),</t>
  </si>
  <si>
    <t>('Ghana ', '1351', '13', 'MF', 'Daniel Afriyie', '21', '7', '3', 'GNA-02'),</t>
  </si>
  <si>
    <t>'1348',</t>
  </si>
  <si>
    <t>'André Ayew ',</t>
  </si>
  <si>
    <t>('Ghana ', '1348', '10', 'FW', 'André Ayew ', '32', '110', '23', 'QTR-01'),</t>
  </si>
  <si>
    <t>'1347',</t>
  </si>
  <si>
    <t>'Jordan Ayew',</t>
  </si>
  <si>
    <t>('Ghana ', '1347', '9', 'FW', 'Jordan Ayew', '31', '84', '19', 'ENG-24'),</t>
  </si>
  <si>
    <t>'1343',</t>
  </si>
  <si>
    <t>'Thomas Partey',</t>
  </si>
  <si>
    <t>('Ghana ', '1343', '5', 'MF', 'Thomas Partey', '29', '40', '13', 'ENG-05'),</t>
  </si>
  <si>
    <t>'1358',</t>
  </si>
  <si>
    <t>'Mohammed Kudus',</t>
  </si>
  <si>
    <t>('Ghana ', '1358', '20', 'MF', 'Mohammed Kudus', '22', '18', '4', 'NET-01'),</t>
  </si>
  <si>
    <t>'1380',</t>
  </si>
  <si>
    <t>'Mehdi Torabi',</t>
  </si>
  <si>
    <t>('Iran ', '1380', '16', 'MF', 'Mehdi Torabi', '28', '36', '7', 'IRN-01'),</t>
  </si>
  <si>
    <t>'1381',</t>
  </si>
  <si>
    <t>'Ali Gholizadeh',</t>
  </si>
  <si>
    <t>'BEL-06'),</t>
  </si>
  <si>
    <t>('Iran ', '1381', '17', 'MF', 'Ali Gholizadeh', '26', '26', '6', 'BEL-06'),</t>
  </si>
  <si>
    <t>'1377',</t>
  </si>
  <si>
    <t>'Hossein Kanaanizadegan',</t>
  </si>
  <si>
    <t>('Iran ', '1377', '13', 'DF', 'Hossein Kanaanizadegan', '28', '35', '2', 'QTR-04'),</t>
  </si>
  <si>
    <t>'1378',</t>
  </si>
  <si>
    <t>'Saman Ghoddos',</t>
  </si>
  <si>
    <t>('Iran ', '1378', '14', 'MF', 'Saman Ghoddos', '29', '33', '2', 'ENG-09'),</t>
  </si>
  <si>
    <t>'1387',</t>
  </si>
  <si>
    <t>'Ramin Rezaeian',</t>
  </si>
  <si>
    <t>('Iran ', '1387', '23', 'DF', 'Ramin Rezaeian', '32', '46', '2', 'IRN-03'),</t>
  </si>
  <si>
    <t>'1384',</t>
  </si>
  <si>
    <t>'Sardar Azmoun',</t>
  </si>
  <si>
    <t>('Iran ', '1384', '20', 'FW', 'Sardar Azmoun', '27', '65', '41', 'GER-07'),</t>
  </si>
  <si>
    <t>'1385',</t>
  </si>
  <si>
    <t>'Ahmad Nourollahi',</t>
  </si>
  <si>
    <t>'UAE-01'),</t>
  </si>
  <si>
    <t>('Iran ', '1385', '21', 'MF', 'Ahmad Nourollahi', '29', '25', '3', 'UAE-01'),</t>
  </si>
  <si>
    <t>'1367',</t>
  </si>
  <si>
    <t>'Ehsan Hajsafi ',</t>
  </si>
  <si>
    <t>('Iran ', '1367', '3', 'DF', 'Ehsan Hajsafi ', '32', '121', '7', 'GRE-01'),</t>
  </si>
  <si>
    <t>'1373',</t>
  </si>
  <si>
    <t>'Mehdi Taremi',</t>
  </si>
  <si>
    <t>('Iran ', '1373', '9', 'FW', 'Mehdi Taremi', '30', '60', '28', 'POR-02'),</t>
  </si>
  <si>
    <t>'1374',</t>
  </si>
  <si>
    <t>'Karim Ansarifard',</t>
  </si>
  <si>
    <t>'CYP-01'),</t>
  </si>
  <si>
    <t>('Iran ', '1374', '10', 'FW', 'Karim Ansarifard', '32', '94', '29', 'CYP-01'),</t>
  </si>
  <si>
    <t>'1375',</t>
  </si>
  <si>
    <t>'Vahid Amiri',</t>
  </si>
  <si>
    <t>('Iran ', '1375', '11', 'MF', 'Vahid Amiri', '34', '68', '2', 'IRN-01'),</t>
  </si>
  <si>
    <t>'1371',</t>
  </si>
  <si>
    <t>'Alireza Jahanbakhsh',</t>
  </si>
  <si>
    <t>('Iran ', '1371', '7', 'MF', 'Alireza Jahanbakhsh', '29', '64', '13', 'NET-03'),</t>
  </si>
  <si>
    <t>'1372',</t>
  </si>
  <si>
    <t>'Morteza Pouraliganji',</t>
  </si>
  <si>
    <t>('Iran ', '1372', '8', 'DF', 'Morteza Pouraliganji', '30', '46', '3', 'IRN-01'),</t>
  </si>
  <si>
    <t>'1616',</t>
  </si>
  <si>
    <t>'Hattan Bahebri',</t>
  </si>
  <si>
    <t>('Saudi Arabia ', '1616', '19', 'FW', 'Hattan Bahebri', '30', '41', '4', 'SAU-03'),</t>
  </si>
  <si>
    <t>'1613',</t>
  </si>
  <si>
    <t>'Sami Al-Najei',</t>
  </si>
  <si>
    <t>('Saudi Arabia ', '1613', '16', 'MF', 'Sami Al-Najei', '25', '17', '2', 'SAU-02'),</t>
  </si>
  <si>
    <t>'1615',</t>
  </si>
  <si>
    <t>'Nawaf Al-Abed',</t>
  </si>
  <si>
    <t>('Saudi Arabia ', '1615', '18', 'MF', 'Nawaf Al-Abed', '32', '55', '8', 'SAU-03'),</t>
  </si>
  <si>
    <t>'1604',</t>
  </si>
  <si>
    <t>'Salman Al-Faraj ',</t>
  </si>
  <si>
    <t>('Saudi Arabia ', '1604', '7', 'MF', 'Salman Al-Faraj ', '33', '70', '8', 'SAU-01'),</t>
  </si>
  <si>
    <t>'1610',</t>
  </si>
  <si>
    <t>'Yasser Al-Shahrani',</t>
  </si>
  <si>
    <t>('Saudi Arabia ', '1610', '13', 'DF', 'Yasser Al-Shahrani', '30', '72', '2', 'SAU-01'),</t>
  </si>
  <si>
    <t>'1606',</t>
  </si>
  <si>
    <t>'Firas Al-Buraikan',</t>
  </si>
  <si>
    <t>'SAU-09'),</t>
  </si>
  <si>
    <t>('Saudi Arabia ', '1606', '9', 'FW', 'Firas Al-Buraikan', '22', '26', '6', 'SAU-09'),</t>
  </si>
  <si>
    <t>'1607',</t>
  </si>
  <si>
    <t>'Salem Al-Dawsari',</t>
  </si>
  <si>
    <t>('Saudi Arabia ', '1607', '10', 'FW', 'Salem Al-Dawsari', '31', '71', '17', 'SAU-01'),</t>
  </si>
  <si>
    <t>'1608',</t>
  </si>
  <si>
    <t>'Saleh Al-Shehri',</t>
  </si>
  <si>
    <t>('Saudi Arabia ', '1608', '11', 'FW', 'Saleh Al-Shehri', '29', '20', '10', 'SAU-01'),</t>
  </si>
  <si>
    <t>'1443',</t>
  </si>
  <si>
    <t>'Néstor Araujo',</t>
  </si>
  <si>
    <t>('Mexico ', '1443', '2', 'DF', 'Néstor Araujo', '31', '63', '3', 'MEX-02'),</t>
  </si>
  <si>
    <t>'1459',</t>
  </si>
  <si>
    <t>'Andrés Guardado ',</t>
  </si>
  <si>
    <t>'178',</t>
  </si>
  <si>
    <t>('Mexico ', '1459', '18', 'MF', 'Andrés Guardado ', '36', '178', '28', 'ESP-05'),</t>
  </si>
  <si>
    <t>'1458',</t>
  </si>
  <si>
    <t>'Orbelín Pineda',</t>
  </si>
  <si>
    <t>('Mexico ', '1458', '17', 'FW', 'Orbelín Pineda', '26', '50', '6', 'GRE-01'),</t>
  </si>
  <si>
    <t>'1456',</t>
  </si>
  <si>
    <t>'Héctor Moreno',</t>
  </si>
  <si>
    <t>'128',</t>
  </si>
  <si>
    <t>('Mexico ', '1456', '15', 'DF', 'Héctor Moreno', '34', '128', '5', 'MEX-01'),</t>
  </si>
  <si>
    <t>'1457',</t>
  </si>
  <si>
    <t>'Héctor Herrera',</t>
  </si>
  <si>
    <t>'USA-12'),</t>
  </si>
  <si>
    <t>('Mexico ', '1457', '16', 'MF', 'Héctor Herrera', '32', '102', '10', 'USA-12'),</t>
  </si>
  <si>
    <t>'1462',</t>
  </si>
  <si>
    <t>'Uriel Antuna',</t>
  </si>
  <si>
    <t>('Mexico ', '1462', '21', 'FW', 'Uriel Antuna', '25', '36', '9', 'MEX-03'),</t>
  </si>
  <si>
    <t>'1466',</t>
  </si>
  <si>
    <t>'Roberto Alvarado',</t>
  </si>
  <si>
    <t>'MEX-06'),</t>
  </si>
  <si>
    <t>('Mexico ', '1466', '25', 'FW', 'Roberto Alvarado', '24', '31', '4', 'MEX-06'),</t>
  </si>
  <si>
    <t>'1463',</t>
  </si>
  <si>
    <t>'Hirving Lozano',</t>
  </si>
  <si>
    <t>('Mexico ', '1463', '22', 'FW', 'Hirving Lozano', '27', '60', '16', 'ITA-04'),</t>
  </si>
  <si>
    <t>'1461',</t>
  </si>
  <si>
    <t>'Henry Martín',</t>
  </si>
  <si>
    <t>('Mexico ', '1461', '20', 'FW', 'Henry Martín', '30', '27', '6', 'MEX-02'),</t>
  </si>
  <si>
    <t>'1445',</t>
  </si>
  <si>
    <t>'Edson Álvarez',</t>
  </si>
  <si>
    <t>('Mexico ', '1445', '4', 'DF', 'Edson Álvarez', '25', '58', '3', 'NET-01'),</t>
  </si>
  <si>
    <t>'1452',</t>
  </si>
  <si>
    <t>'Rogelio Funes Mori',</t>
  </si>
  <si>
    <t>('Mexico ', '1452', '11', 'FW', 'Rogelio Funes Mori', '31', '16', '6', 'MEX-01'),</t>
  </si>
  <si>
    <t>'1451',</t>
  </si>
  <si>
    <t>'Alexis Vega',</t>
  </si>
  <si>
    <t>('Mexico ', '1451', '10', 'FW', 'Alexis Vega', '24', '22', '6', 'MEX-06'),</t>
  </si>
  <si>
    <t>'1450',</t>
  </si>
  <si>
    <t>'Raúl Jiménez',</t>
  </si>
  <si>
    <t>('Mexico ', '1450', '9', 'FW', 'Raúl Jiménez', '31', '95', '29', 'ENG-14'),</t>
  </si>
  <si>
    <t>'1587',</t>
  </si>
  <si>
    <t>'Boualem Khoukhi',</t>
  </si>
  <si>
    <t>('Qatar ', '1587', '16', 'DF', 'Boualem Khoukhi', '32', '105', '20', 'QTR-01'),</t>
  </si>
  <si>
    <t>'1586',</t>
  </si>
  <si>
    <t>'Bassam Al-Rawi',</t>
  </si>
  <si>
    <t>('Qatar ', '1586', '15', 'DF', 'Bassam Al-Rawi', '24', '58', '2', 'QTR-02'),</t>
  </si>
  <si>
    <t>'1585',</t>
  </si>
  <si>
    <t>'Homam Ahmed',</t>
  </si>
  <si>
    <t>('Qatar ', '1585', '14', 'DF', 'Homam Ahmed', '23', '29', '2', 'QTR-03'),</t>
  </si>
  <si>
    <t>'1590',</t>
  </si>
  <si>
    <t>'Almoez Ali',</t>
  </si>
  <si>
    <t>'85',</t>
  </si>
  <si>
    <t>('Qatar ', '1590', '19', 'FW', 'Almoez Ali', '26', '85', '42', 'QTR-02'),</t>
  </si>
  <si>
    <t>'1588',</t>
  </si>
  <si>
    <t>'Ismaeel Mohammad',</t>
  </si>
  <si>
    <t>('Qatar ', '1588', '17', 'DF', 'Ismaeel Mohammad', '32', '70', '4', 'QTR-02'),</t>
  </si>
  <si>
    <t>'1580',</t>
  </si>
  <si>
    <t>'Mohammed Muntari',</t>
  </si>
  <si>
    <t>('Qatar ', '1580', '9', 'FW', 'Mohammed Muntari', '28', '48', '13', 'QTR-02'),</t>
  </si>
  <si>
    <t>'1579',</t>
  </si>
  <si>
    <t>'Ali Assadalla',</t>
  </si>
  <si>
    <t>('Qatar ', '1579', '8', 'MF', 'Ali Assadalla', '29', '59', '12', 'QTR-01'),</t>
  </si>
  <si>
    <t>'1578',</t>
  </si>
  <si>
    <t>'Ahmed Alaaeldin',</t>
  </si>
  <si>
    <t>('Qatar ', '1578', '7', 'FW', 'Ahmed Alaaeldin', '29', '47', '2', 'QTR-03'),</t>
  </si>
  <si>
    <t>'1583',</t>
  </si>
  <si>
    <t>'Karim Boudiaf',</t>
  </si>
  <si>
    <t>'115',</t>
  </si>
  <si>
    <t>('Qatar ', '1583', '12', 'MF', 'Karim Boudiaf', '32', '115', '6', 'QTR-02'),</t>
  </si>
  <si>
    <t>'1582',</t>
  </si>
  <si>
    <t>'Akram Afif',</t>
  </si>
  <si>
    <t>('Qatar ', '1582', '11', 'FW', 'Akram Afif', '26', '89', '26', 'QTR-01'),</t>
  </si>
  <si>
    <t>'1581',</t>
  </si>
  <si>
    <t>'Hassan Al-Haydos',</t>
  </si>
  <si>
    <t>'169',</t>
  </si>
  <si>
    <t>('Qatar ', '1581', '10', 'MF', 'Hassan Al-Haydos', '31', '169', '36', 'QTR-01'),</t>
  </si>
  <si>
    <t>'1577',</t>
  </si>
  <si>
    <t>'Abdulaziz Hatem',</t>
  </si>
  <si>
    <t>('Qatar ', '1577', '6', 'MF', 'Abdulaziz Hatem', '32', '107', '11', 'QTR-06'),</t>
  </si>
  <si>
    <t>'1574',</t>
  </si>
  <si>
    <t>'Abdelkarim Hassan',</t>
  </si>
  <si>
    <t>'130',</t>
  </si>
  <si>
    <t>('Qatar ', '1574', '3', 'MF', 'Abdelkarim Hassan', '29', '130', '15', 'QTR-01'),</t>
  </si>
  <si>
    <t>'1652',</t>
  </si>
  <si>
    <t>'Nikola Milenković',</t>
  </si>
  <si>
    <t>('Serbia ', '1652', '4', 'DF', 'Nikola Milenković', '25', '39', '3', 'ITA-07'),</t>
  </si>
  <si>
    <t>'1659',</t>
  </si>
  <si>
    <t>'Luka Jović',</t>
  </si>
  <si>
    <t>('Serbia ', '1659', '11', 'FW', 'Luka Jović', '24', '29', '10', 'ITA-07'),</t>
  </si>
  <si>
    <t>'1664',</t>
  </si>
  <si>
    <t>'Saša Lukić',</t>
  </si>
  <si>
    <t>('Serbia ', '1664', '16', 'MF', 'Saša Lukić', '26', '32', '2', 'ITA-05'),</t>
  </si>
  <si>
    <t>'1655',</t>
  </si>
  <si>
    <t>'Nemanja Radonjić',</t>
  </si>
  <si>
    <t>('Serbia ', '1655', '7', 'FW', 'Nemanja Radonjić', '26', '36', '5', 'ITA-05'),</t>
  </si>
  <si>
    <t>'1658',</t>
  </si>
  <si>
    <t>'Dušan Tadić',</t>
  </si>
  <si>
    <t>('Serbia ', '1658', '10', 'FW', 'Dušan Tadić', '34', '91', '20', 'NET-01'),</t>
  </si>
  <si>
    <t>'1657',</t>
  </si>
  <si>
    <t>'Aleksandar Mitrović',</t>
  </si>
  <si>
    <t>('Serbia ', '1657', '9', 'FW', 'Aleksandar Mitrović', '28', '76', '50', 'ENG-10'),</t>
  </si>
  <si>
    <t>'1666',</t>
  </si>
  <si>
    <t>'Dušan Vlahović',</t>
  </si>
  <si>
    <t>('Serbia ', '1666', '18', 'FW', 'Dušan Vlahović', '22', '17', '9', 'ITA-01'),</t>
  </si>
  <si>
    <t>'1665',</t>
  </si>
  <si>
    <t>'Filip Kostić',</t>
  </si>
  <si>
    <t>('Serbia ', '1665', '17', 'MF', 'Filip Kostić', '30', '50', '3', 'ITA-01'),</t>
  </si>
  <si>
    <t>'1669',</t>
  </si>
  <si>
    <t>'Filip Đuričić',</t>
  </si>
  <si>
    <t>('Serbia ', '1669', '21', 'FW', 'Filip Đuričić', '30', '37', '5', 'ITA-11'),</t>
  </si>
  <si>
    <t>'1668',</t>
  </si>
  <si>
    <t>'Sergej Milinković-Savić',</t>
  </si>
  <si>
    <t>'ITA-13'),</t>
  </si>
  <si>
    <t>('Serbia ', '1668', '20', 'MF', 'Sergej Milinković-Savić', '27', '36', '6', 'ITA-13'),</t>
  </si>
  <si>
    <t>'1745',</t>
  </si>
  <si>
    <t>'Seifeddine Jaziri',</t>
  </si>
  <si>
    <t>'EGY-02'),</t>
  </si>
  <si>
    <t>('Tunisia ', '1745', '19', 'FW', 'Seifeddine Jaziri', '29', '29', '10', 'EGY-02'),</t>
  </si>
  <si>
    <t>'1746',</t>
  </si>
  <si>
    <t>'Mohamed Dräger',</t>
  </si>
  <si>
    <t>('Tunisia ', '1746', '20', 'DF', 'Mohamed Dräger', '26', '34', '3', 'SWI-03'),</t>
  </si>
  <si>
    <t>'1743',</t>
  </si>
  <si>
    <t>'Ellyes Skhiri',</t>
  </si>
  <si>
    <t>'GER-14'),</t>
  </si>
  <si>
    <t>('Tunisia ', '1743', '17', 'MF', 'Ellyes Skhiri', '27', '49', '3', 'GER-14'),</t>
  </si>
  <si>
    <t>'1750',</t>
  </si>
  <si>
    <t>'Ali Abdi',</t>
  </si>
  <si>
    <t>'FRA-17'),</t>
  </si>
  <si>
    <t>('Tunisia ', '1750', '24', 'DF', 'Ali Abdi', '28', '10', '2', 'FRA-17'),</t>
  </si>
  <si>
    <t>'1751',</t>
  </si>
  <si>
    <t>'Anis Ben Slimane',</t>
  </si>
  <si>
    <t>('Tunisia ', '1751', '25', 'FW', 'Anis Ben Slimane', '21', '25', '4', 'DEN-02'),</t>
  </si>
  <si>
    <t>'1749',</t>
  </si>
  <si>
    <t>'Naïm Sliti',</t>
  </si>
  <si>
    <t>'SAU-08'),</t>
  </si>
  <si>
    <t>('Tunisia ', '1749', '23', 'FW', 'Naïm Sliti', '30', '69', '14', 'SAU-08'),</t>
  </si>
  <si>
    <t>'1730',</t>
  </si>
  <si>
    <t>'Yassine Meriah',</t>
  </si>
  <si>
    <t>('Tunisia ', '1730', '4', 'DF', 'Yassine Meriah', '29', '61', '3', 'TUN-01'),</t>
  </si>
  <si>
    <t>'1732',</t>
  </si>
  <si>
    <t>'Dylan Bronn',</t>
  </si>
  <si>
    <t>('Tunisia ', '1732', '6', 'DF', 'Dylan Bronn', '27', '36', '2', 'ITA-10'),</t>
  </si>
  <si>
    <t>'1733',</t>
  </si>
  <si>
    <t>'Youssef Msakni ',</t>
  </si>
  <si>
    <t>'88',</t>
  </si>
  <si>
    <t>('Tunisia ', '1733', '7', 'FW', 'Youssef Msakni ', '32', '88', '17', 'QTR-05'),</t>
  </si>
  <si>
    <t>'1737',</t>
  </si>
  <si>
    <t>'Taha Yassine Khenissi',</t>
  </si>
  <si>
    <t>('Tunisia ', '1737', '11', 'FW', 'Taha Yassine Khenissi', '30', '48', '9', 'KUW-01'),</t>
  </si>
  <si>
    <t>'1738',</t>
  </si>
  <si>
    <t>'Ali Maâloul',</t>
  </si>
  <si>
    <t>'EGY-01'),</t>
  </si>
  <si>
    <t>('Tunisia ', '1738', '12', 'DF', 'Ali Maâloul', '32', '83', '2', 'EGY-01'),</t>
  </si>
  <si>
    <t>'1739',</t>
  </si>
  <si>
    <t>'Ferjani Sassi',</t>
  </si>
  <si>
    <t>('Tunisia ', '1739', '13', 'MF', 'Ferjani Sassi', '30', '78', '6', 'QTR-02'),</t>
  </si>
  <si>
    <t>'1735',</t>
  </si>
  <si>
    <t>'Issam Jebali',</t>
  </si>
  <si>
    <t>('Tunisia ', '1735', '9', 'FW', 'Issam Jebali', '30', '10', '2', 'DEN-03'),</t>
  </si>
  <si>
    <t>'1736',</t>
  </si>
  <si>
    <t>'Wahbi Khazri',</t>
  </si>
  <si>
    <t>('Tunisia ', '1736', '10', 'FW', 'Wahbi Khazri', '31', '72', '24', 'FRA-10'),</t>
  </si>
  <si>
    <t>'1767',</t>
  </si>
  <si>
    <t>'Federico Valverde',</t>
  </si>
  <si>
    <t>('Uruguay ', '1767', '15', 'MF', 'Federico Valverde', '24', '44', '4', 'ESP-02'),</t>
  </si>
  <si>
    <t>'1770',</t>
  </si>
  <si>
    <t>'Maxi Gómez',</t>
  </si>
  <si>
    <t>('Uruguay ', '1770', '18', 'FW', 'Maxi Gómez', '26', '27', '4', 'TUR-05'),</t>
  </si>
  <si>
    <t>'1773',</t>
  </si>
  <si>
    <t>'Edinson Cavani',</t>
  </si>
  <si>
    <t>('Uruguay ', '1773', '21', 'FW', 'Edinson Cavani', '35', '133', '58', 'ESP-07'),</t>
  </si>
  <si>
    <t>'1774',</t>
  </si>
  <si>
    <t>'Martín Cáceres',</t>
  </si>
  <si>
    <t>'USA-14'),</t>
  </si>
  <si>
    <t>('Uruguay ', '1774', '22', 'DF', 'Martín Cáceres', '35', '115', '4', 'USA-14'),</t>
  </si>
  <si>
    <t>'1757',</t>
  </si>
  <si>
    <t>'Matías Vecino',</t>
  </si>
  <si>
    <t>('Uruguay ', '1757', '5', 'MF', 'Matías Vecino', '31', '62', '4', 'ITA-13'),</t>
  </si>
  <si>
    <t>'1754',</t>
  </si>
  <si>
    <t>'José Giménez',</t>
  </si>
  <si>
    <t>('Uruguay ', '1754', '2', 'DF', 'José Giménez', '27', '78', '8', 'ESP-03'),</t>
  </si>
  <si>
    <t>'1755',</t>
  </si>
  <si>
    <t>'Diego Godín ',</t>
  </si>
  <si>
    <t>'159',</t>
  </si>
  <si>
    <t>'ARG-05'),</t>
  </si>
  <si>
    <t>('Uruguay ', '1755', '3', 'DF', 'Diego Godín ', '36', '159', '8', 'ARG-05'),</t>
  </si>
  <si>
    <t>'1759',</t>
  </si>
  <si>
    <t>'Nicolás de la Cruz',</t>
  </si>
  <si>
    <t>('Uruguay ', '1759', '7', 'MF', 'Nicolás de la Cruz', '25', '17', '2', 'ARG-01'),</t>
  </si>
  <si>
    <t>'1763',</t>
  </si>
  <si>
    <t>'Darwin Núñez',</t>
  </si>
  <si>
    <t>('Uruguay ', '1763', '11', 'FW', 'Darwin Núñez', '23', '13', '3', 'ENG-08'),</t>
  </si>
  <si>
    <t>'1761',</t>
  </si>
  <si>
    <t>'Luis Suárez',</t>
  </si>
  <si>
    <t>('Uruguay ', '1761', '9', 'FW', 'Luis Suárez', '35', '134', '68', 'URU-01'),</t>
  </si>
  <si>
    <t>'1762',</t>
  </si>
  <si>
    <t>'Giorgian de Arrascaeta',</t>
  </si>
  <si>
    <t>('Uruguay ', '1762', '10', 'MF', 'Giorgian de Arrascaeta', '28', '40', '8', 'BRA-01'),</t>
  </si>
  <si>
    <t>'1824',</t>
  </si>
  <si>
    <t>'Daniel James',</t>
  </si>
  <si>
    <t>('Wales ', '1824', '20', 'FW', 'Daniel James', '25', '38', '5', 'ENG-10'),</t>
  </si>
  <si>
    <t>'1822',</t>
  </si>
  <si>
    <t>'Jonny Williams',</t>
  </si>
  <si>
    <t>'ENG-38'),</t>
  </si>
  <si>
    <t>('Wales ', '1822', '18', 'MF', 'Jonny Williams', '29', '33', '2', 'ENG-38'),</t>
  </si>
  <si>
    <t>'1812',</t>
  </si>
  <si>
    <t>'Harry Wilson',</t>
  </si>
  <si>
    <t>('Wales ', '1812', '8', 'MF', 'Harry Wilson', '25', '39', '5', 'ENG-10'),</t>
  </si>
  <si>
    <t>'1807',</t>
  </si>
  <si>
    <t>'Neco Williams',</t>
  </si>
  <si>
    <t>('Wales ', '1807', '3', 'DF', 'Neco Williams', '21', '23', '2', 'ENG-12'),</t>
  </si>
  <si>
    <t>'1811',</t>
  </si>
  <si>
    <t>'Joe Allen',</t>
  </si>
  <si>
    <t>('Wales ', '1811', '7', 'MF', 'Joe Allen', '32', '72', '2', 'ENG-19'),</t>
  </si>
  <si>
    <t>'1817',</t>
  </si>
  <si>
    <t>'Kieffer Moore',</t>
  </si>
  <si>
    <t>('Wales ', '1817', '13', 'FW', 'Kieffer Moore', '30', '28', '9', 'ENG-21'),</t>
  </si>
  <si>
    <t>'1818',</t>
  </si>
  <si>
    <t>'Connor Roberts',</t>
  </si>
  <si>
    <t>('Wales ', '1818', '14', 'DF', 'Connor Roberts', '27', '41', '3', 'ENG-22'),</t>
  </si>
  <si>
    <t>'1813',</t>
  </si>
  <si>
    <t>'Brennan Johnson',</t>
  </si>
  <si>
    <t>('Wales ', '1813', '9', 'FW', 'Brennan Johnson', '21', '15', '2', 'ENG-12'),</t>
  </si>
  <si>
    <t>'1814',</t>
  </si>
  <si>
    <t>'Aaron Ramsey',</t>
  </si>
  <si>
    <t>('Wales ', '1814', '10', 'MF', 'Aaron Ramsey', '31', '75', '20', 'FRA-11'),</t>
  </si>
  <si>
    <t>'1815',</t>
  </si>
  <si>
    <t>'Gareth Bale ',</t>
  </si>
  <si>
    <t>'108',</t>
  </si>
  <si>
    <t>('Wales ', '1815', '11', 'FW', 'Gareth Bale ', '33', '108', '40', 'USA-02'),</t>
  </si>
  <si>
    <t>This Pivot table below, represents the number of players, currently playing under a particular Football Association, who are currently drafted to the World Cup to represent their National Team</t>
  </si>
  <si>
    <t>The Pivot Table below, represents the number of players, currently playing under a particular Club Team, who are currently drafted to the World Cup, to represent their National Team</t>
  </si>
  <si>
    <t>This Pivot Table is taken from the Squads table, to show the top 20 Goal Scorers, prior to the World Cup 2022</t>
  </si>
  <si>
    <t>Total International Goals</t>
  </si>
  <si>
    <t>PlayerName</t>
  </si>
  <si>
    <t>Goal Action</t>
  </si>
  <si>
    <t>Assist Action</t>
  </si>
  <si>
    <t>Player Performance during the World Cup 2022</t>
  </si>
  <si>
    <t>Team Performance during the World Cup 2022</t>
  </si>
  <si>
    <t>Goal Action per Team</t>
  </si>
  <si>
    <t>Assist Action per Team</t>
  </si>
  <si>
    <t>Yellow Card Action per Team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</si>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</sst>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809]dd\ mmmm\ yyyy;@"/>
    <numFmt numFmtId="165" formatCode="yyyy\-mm\-dd;@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i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2"/>
        <bgColor indexed="0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theme="9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25" fillId="0" borderId="0"/>
  </cellStyleXfs>
  <cellXfs count="126">
    <xf numFmtId="0" fontId="0" fillId="0" borderId="0" xfId="0"/>
    <xf numFmtId="2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center" vertical="justify" wrapText="1"/>
    </xf>
    <xf numFmtId="0" fontId="16" fillId="0" borderId="0" xfId="0" applyFont="1" applyAlignment="1">
      <alignment horizontal="center" vertical="justify" wrapText="1"/>
    </xf>
    <xf numFmtId="0" fontId="0" fillId="34" borderId="14" xfId="0" applyFill="1" applyBorder="1"/>
    <xf numFmtId="0" fontId="0" fillId="34" borderId="10" xfId="0" applyFill="1" applyBorder="1"/>
    <xf numFmtId="0" fontId="0" fillId="34" borderId="15" xfId="0" applyFill="1" applyBorder="1"/>
    <xf numFmtId="0" fontId="0" fillId="0" borderId="14" xfId="0" applyBorder="1"/>
    <xf numFmtId="0" fontId="0" fillId="0" borderId="10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34" borderId="17" xfId="0" applyFill="1" applyBorder="1"/>
    <xf numFmtId="0" fontId="0" fillId="0" borderId="18" xfId="0" applyBorder="1"/>
    <xf numFmtId="0" fontId="0" fillId="34" borderId="16" xfId="0" applyFill="1" applyBorder="1"/>
    <xf numFmtId="0" fontId="0" fillId="34" borderId="18" xfId="0" applyFill="1" applyBorder="1"/>
    <xf numFmtId="1" fontId="0" fillId="0" borderId="0" xfId="0" applyNumberFormat="1"/>
    <xf numFmtId="1" fontId="0" fillId="0" borderId="0" xfId="0" applyNumberFormat="1" applyAlignment="1">
      <alignment horizontal="left"/>
    </xf>
    <xf numFmtId="0" fontId="13" fillId="33" borderId="11" xfId="0" applyFont="1" applyFill="1" applyBorder="1" applyAlignment="1">
      <alignment horizontal="center" vertical="justify" wrapText="1"/>
    </xf>
    <xf numFmtId="0" fontId="13" fillId="33" borderId="12" xfId="0" applyFont="1" applyFill="1" applyBorder="1" applyAlignment="1">
      <alignment horizontal="center" vertical="justify" wrapText="1"/>
    </xf>
    <xf numFmtId="0" fontId="13" fillId="33" borderId="13" xfId="0" applyFont="1" applyFill="1" applyBorder="1" applyAlignment="1">
      <alignment horizontal="center" vertical="justify" wrapText="1"/>
    </xf>
    <xf numFmtId="164" fontId="0" fillId="0" borderId="10" xfId="0" applyNumberFormat="1" applyBorder="1"/>
    <xf numFmtId="0" fontId="20" fillId="36" borderId="10" xfId="0" applyFont="1" applyFill="1" applyBorder="1"/>
    <xf numFmtId="0" fontId="21" fillId="36" borderId="10" xfId="42" applyFont="1" applyFill="1" applyBorder="1"/>
    <xf numFmtId="0" fontId="20" fillId="36" borderId="10" xfId="0" applyFont="1" applyFill="1" applyBorder="1" applyAlignment="1">
      <alignment horizontal="center" vertical="center" wrapText="1"/>
    </xf>
    <xf numFmtId="164" fontId="20" fillId="36" borderId="10" xfId="0" applyNumberFormat="1" applyFont="1" applyFill="1" applyBorder="1" applyAlignment="1">
      <alignment horizontal="left" vertical="center" wrapText="1"/>
    </xf>
    <xf numFmtId="0" fontId="20" fillId="36" borderId="10" xfId="0" applyFont="1" applyFill="1" applyBorder="1" applyAlignment="1">
      <alignment horizontal="left" vertical="center" wrapText="1"/>
    </xf>
    <xf numFmtId="0" fontId="13" fillId="35" borderId="20" xfId="0" applyFont="1" applyFill="1" applyBorder="1" applyAlignment="1">
      <alignment horizontal="left"/>
    </xf>
    <xf numFmtId="0" fontId="13" fillId="35" borderId="21" xfId="0" applyFont="1" applyFill="1" applyBorder="1" applyAlignment="1">
      <alignment horizontal="left"/>
    </xf>
    <xf numFmtId="0" fontId="0" fillId="0" borderId="22" xfId="0" applyBorder="1"/>
    <xf numFmtId="0" fontId="20" fillId="36" borderId="17" xfId="0" applyFont="1" applyFill="1" applyBorder="1" applyAlignment="1">
      <alignment horizontal="left" vertical="center" wrapText="1"/>
    </xf>
    <xf numFmtId="3" fontId="0" fillId="0" borderId="0" xfId="0" applyNumberFormat="1" applyAlignment="1">
      <alignment horizontal="left"/>
    </xf>
    <xf numFmtId="0" fontId="20" fillId="36" borderId="12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justify" wrapText="1"/>
    </xf>
    <xf numFmtId="164" fontId="0" fillId="0" borderId="0" xfId="0" applyNumberFormat="1" applyAlignment="1">
      <alignment horizontal="left"/>
    </xf>
    <xf numFmtId="0" fontId="20" fillId="36" borderId="23" xfId="0" applyFont="1" applyFill="1" applyBorder="1" applyAlignment="1">
      <alignment horizontal="left" vertical="center" wrapText="1"/>
    </xf>
    <xf numFmtId="0" fontId="20" fillId="36" borderId="23" xfId="0" applyFont="1" applyFill="1" applyBorder="1"/>
    <xf numFmtId="0" fontId="20" fillId="36" borderId="23" xfId="0" applyFont="1" applyFill="1" applyBorder="1" applyAlignment="1">
      <alignment horizontal="center" vertical="center" wrapText="1"/>
    </xf>
    <xf numFmtId="0" fontId="21" fillId="36" borderId="23" xfId="0" applyFont="1" applyFill="1" applyBorder="1" applyAlignment="1">
      <alignment horizontal="center" vertical="center" wrapText="1"/>
    </xf>
    <xf numFmtId="0" fontId="21" fillId="36" borderId="23" xfId="0" applyFont="1" applyFill="1" applyBorder="1" applyAlignment="1">
      <alignment horizontal="left" vertical="center" wrapText="1"/>
    </xf>
    <xf numFmtId="3" fontId="0" fillId="0" borderId="0" xfId="0" applyNumberFormat="1"/>
    <xf numFmtId="0" fontId="0" fillId="0" borderId="10" xfId="0" applyBorder="1" applyAlignment="1">
      <alignment horizontal="left"/>
    </xf>
    <xf numFmtId="0" fontId="16" fillId="0" borderId="10" xfId="0" applyFont="1" applyBorder="1" applyAlignment="1">
      <alignment horizontal="center" vertical="justify" wrapText="1"/>
    </xf>
    <xf numFmtId="0" fontId="0" fillId="0" borderId="10" xfId="0" pivotButton="1" applyBorder="1"/>
    <xf numFmtId="0" fontId="23" fillId="0" borderId="10" xfId="0" applyFont="1" applyBorder="1" applyAlignment="1">
      <alignment horizontal="left"/>
    </xf>
    <xf numFmtId="2" fontId="0" fillId="0" borderId="10" xfId="0" applyNumberFormat="1" applyBorder="1"/>
    <xf numFmtId="0" fontId="16" fillId="0" borderId="25" xfId="0" applyFont="1" applyBorder="1" applyAlignment="1">
      <alignment horizontal="left"/>
    </xf>
    <xf numFmtId="0" fontId="24" fillId="0" borderId="14" xfId="43" applyFont="1" applyBorder="1" applyAlignment="1">
      <alignment wrapText="1"/>
    </xf>
    <xf numFmtId="0" fontId="24" fillId="0" borderId="10" xfId="43" applyFont="1" applyBorder="1" applyAlignment="1">
      <alignment wrapText="1"/>
    </xf>
    <xf numFmtId="0" fontId="25" fillId="0" borderId="10" xfId="43" applyBorder="1"/>
    <xf numFmtId="0" fontId="24" fillId="0" borderId="15" xfId="43" applyFont="1" applyBorder="1" applyAlignment="1">
      <alignment wrapText="1"/>
    </xf>
    <xf numFmtId="0" fontId="24" fillId="0" borderId="10" xfId="43" applyFont="1" applyBorder="1" applyAlignment="1">
      <alignment horizontal="right" wrapText="1"/>
    </xf>
    <xf numFmtId="0" fontId="24" fillId="0" borderId="16" xfId="43" applyFont="1" applyBorder="1" applyAlignment="1">
      <alignment wrapText="1"/>
    </xf>
    <xf numFmtId="0" fontId="24" fillId="0" borderId="17" xfId="43" applyFont="1" applyBorder="1" applyAlignment="1">
      <alignment wrapText="1"/>
    </xf>
    <xf numFmtId="0" fontId="25" fillId="0" borderId="17" xfId="43" applyBorder="1"/>
    <xf numFmtId="0" fontId="24" fillId="0" borderId="18" xfId="43" applyFont="1" applyBorder="1" applyAlignment="1">
      <alignment wrapText="1"/>
    </xf>
    <xf numFmtId="0" fontId="24" fillId="38" borderId="11" xfId="43" applyFont="1" applyFill="1" applyBorder="1" applyAlignment="1">
      <alignment horizontal="center" vertical="justify" wrapText="1"/>
    </xf>
    <xf numFmtId="0" fontId="24" fillId="38" borderId="12" xfId="43" applyFont="1" applyFill="1" applyBorder="1" applyAlignment="1">
      <alignment horizontal="center" vertical="justify" wrapText="1"/>
    </xf>
    <xf numFmtId="0" fontId="24" fillId="38" borderId="13" xfId="43" applyFont="1" applyFill="1" applyBorder="1" applyAlignment="1">
      <alignment horizontal="center" vertical="justify" wrapText="1"/>
    </xf>
    <xf numFmtId="0" fontId="26" fillId="0" borderId="0" xfId="0" applyFont="1"/>
    <xf numFmtId="0" fontId="26" fillId="0" borderId="0" xfId="0" applyFont="1" applyAlignment="1">
      <alignment horizontal="left"/>
    </xf>
    <xf numFmtId="1" fontId="26" fillId="0" borderId="0" xfId="0" applyNumberFormat="1" applyFont="1"/>
    <xf numFmtId="20" fontId="26" fillId="0" borderId="0" xfId="0" applyNumberFormat="1" applyFont="1"/>
    <xf numFmtId="3" fontId="26" fillId="0" borderId="0" xfId="0" applyNumberFormat="1" applyFont="1"/>
    <xf numFmtId="1" fontId="20" fillId="36" borderId="10" xfId="0" applyNumberFormat="1" applyFont="1" applyFill="1" applyBorder="1" applyAlignment="1">
      <alignment horizontal="left" vertical="center" wrapText="1"/>
    </xf>
    <xf numFmtId="0" fontId="13" fillId="33" borderId="26" xfId="0" applyFont="1" applyFill="1" applyBorder="1" applyAlignment="1">
      <alignment horizontal="center" vertical="justify" wrapText="1"/>
    </xf>
    <xf numFmtId="0" fontId="13" fillId="33" borderId="27" xfId="0" applyFont="1" applyFill="1" applyBorder="1" applyAlignment="1">
      <alignment horizontal="center" vertical="justify" wrapText="1"/>
    </xf>
    <xf numFmtId="0" fontId="0" fillId="0" borderId="0" xfId="0" applyAlignment="1">
      <alignment horizontal="center"/>
    </xf>
    <xf numFmtId="0" fontId="26" fillId="0" borderId="0" xfId="0" applyFont="1" applyAlignment="1">
      <alignment horizontal="center"/>
    </xf>
    <xf numFmtId="0" fontId="24" fillId="0" borderId="12" xfId="43" applyFont="1" applyBorder="1" applyAlignment="1">
      <alignment wrapText="1"/>
    </xf>
    <xf numFmtId="0" fontId="0" fillId="0" borderId="12" xfId="0" pivotButton="1" applyBorder="1" applyAlignment="1">
      <alignment horizontal="center" vertical="justify" wrapText="1"/>
    </xf>
    <xf numFmtId="0" fontId="0" fillId="0" borderId="12" xfId="0" applyBorder="1" applyAlignment="1">
      <alignment horizontal="center" vertical="justify" wrapText="1"/>
    </xf>
    <xf numFmtId="0" fontId="29" fillId="0" borderId="0" xfId="0" applyFont="1"/>
    <xf numFmtId="14" fontId="0" fillId="0" borderId="0" xfId="0" applyNumberFormat="1"/>
    <xf numFmtId="0" fontId="20" fillId="36" borderId="10" xfId="42" applyFont="1" applyFill="1" applyBorder="1" applyAlignment="1">
      <alignment horizontal="left" vertical="center" wrapText="1"/>
    </xf>
    <xf numFmtId="165" fontId="0" fillId="0" borderId="0" xfId="0" applyNumberFormat="1"/>
    <xf numFmtId="165" fontId="26" fillId="0" borderId="0" xfId="0" applyNumberFormat="1" applyFont="1"/>
    <xf numFmtId="0" fontId="0" fillId="36" borderId="0" xfId="0" applyFill="1"/>
    <xf numFmtId="0" fontId="0" fillId="36" borderId="10" xfId="0" applyFill="1" applyBorder="1" applyAlignment="1">
      <alignment horizontal="left"/>
    </xf>
    <xf numFmtId="1" fontId="0" fillId="36" borderId="10" xfId="0" applyNumberFormat="1" applyFill="1" applyBorder="1"/>
    <xf numFmtId="0" fontId="0" fillId="36" borderId="31" xfId="0" applyFill="1" applyBorder="1" applyAlignment="1">
      <alignment horizontal="center" vertical="justify" wrapText="1"/>
    </xf>
    <xf numFmtId="0" fontId="0" fillId="36" borderId="31" xfId="0" applyFill="1" applyBorder="1"/>
    <xf numFmtId="1" fontId="0" fillId="36" borderId="30" xfId="0" applyNumberFormat="1" applyFill="1" applyBorder="1" applyAlignment="1">
      <alignment horizontal="left"/>
    </xf>
    <xf numFmtId="0" fontId="0" fillId="36" borderId="30" xfId="0" applyFill="1" applyBorder="1" applyAlignment="1">
      <alignment horizontal="right"/>
    </xf>
    <xf numFmtId="0" fontId="0" fillId="36" borderId="10" xfId="0" applyFill="1" applyBorder="1"/>
    <xf numFmtId="0" fontId="23" fillId="36" borderId="10" xfId="0" applyFont="1" applyFill="1" applyBorder="1" applyAlignment="1">
      <alignment horizontal="left"/>
    </xf>
    <xf numFmtId="2" fontId="0" fillId="36" borderId="10" xfId="0" applyNumberFormat="1" applyFill="1" applyBorder="1"/>
    <xf numFmtId="1" fontId="0" fillId="36" borderId="31" xfId="0" applyNumberFormat="1" applyFill="1" applyBorder="1" applyAlignment="1">
      <alignment horizontal="left"/>
    </xf>
    <xf numFmtId="0" fontId="0" fillId="36" borderId="31" xfId="0" applyFill="1" applyBorder="1" applyAlignment="1">
      <alignment horizontal="right"/>
    </xf>
    <xf numFmtId="1" fontId="16" fillId="36" borderId="10" xfId="0" applyNumberFormat="1" applyFont="1" applyFill="1" applyBorder="1" applyAlignment="1">
      <alignment horizontal="left"/>
    </xf>
    <xf numFmtId="0" fontId="16" fillId="36" borderId="10" xfId="0" applyFont="1" applyFill="1" applyBorder="1" applyAlignment="1">
      <alignment horizontal="right"/>
    </xf>
    <xf numFmtId="1" fontId="0" fillId="36" borderId="10" xfId="0" applyNumberFormat="1" applyFill="1" applyBorder="1" applyAlignment="1">
      <alignment horizontal="left"/>
    </xf>
    <xf numFmtId="1" fontId="0" fillId="36" borderId="0" xfId="0" applyNumberFormat="1" applyFill="1" applyAlignment="1">
      <alignment horizontal="left"/>
    </xf>
    <xf numFmtId="0" fontId="0" fillId="36" borderId="0" xfId="0" applyFill="1" applyAlignment="1">
      <alignment horizontal="left"/>
    </xf>
    <xf numFmtId="2" fontId="0" fillId="36" borderId="0" xfId="0" applyNumberFormat="1" applyFill="1" applyAlignment="1">
      <alignment horizontal="right"/>
    </xf>
    <xf numFmtId="0" fontId="16" fillId="36" borderId="0" xfId="0" applyFont="1" applyFill="1"/>
    <xf numFmtId="0" fontId="28" fillId="36" borderId="0" xfId="0" applyFont="1" applyFill="1"/>
    <xf numFmtId="0" fontId="27" fillId="36" borderId="0" xfId="0" applyFont="1" applyFill="1"/>
    <xf numFmtId="0" fontId="0" fillId="36" borderId="30" xfId="0" applyFill="1" applyBorder="1" applyAlignment="1">
      <alignment horizontal="left"/>
    </xf>
    <xf numFmtId="0" fontId="0" fillId="36" borderId="31" xfId="0" applyFill="1" applyBorder="1" applyAlignment="1">
      <alignment horizontal="left"/>
    </xf>
    <xf numFmtId="0" fontId="27" fillId="36" borderId="10" xfId="0" applyFont="1" applyFill="1" applyBorder="1" applyAlignment="1">
      <alignment horizontal="left"/>
    </xf>
    <xf numFmtId="0" fontId="0" fillId="36" borderId="10" xfId="0" applyFill="1" applyBorder="1" applyAlignment="1">
      <alignment horizontal="right"/>
    </xf>
    <xf numFmtId="2" fontId="0" fillId="36" borderId="10" xfId="0" applyNumberFormat="1" applyFill="1" applyBorder="1" applyAlignment="1">
      <alignment horizontal="right"/>
    </xf>
    <xf numFmtId="10" fontId="0" fillId="36" borderId="10" xfId="0" applyNumberFormat="1" applyFill="1" applyBorder="1" applyAlignment="1">
      <alignment horizontal="right"/>
    </xf>
    <xf numFmtId="9" fontId="0" fillId="36" borderId="10" xfId="0" applyNumberFormat="1" applyFill="1" applyBorder="1" applyAlignment="1">
      <alignment horizontal="right"/>
    </xf>
    <xf numFmtId="0" fontId="16" fillId="0" borderId="10" xfId="0" applyFont="1" applyBorder="1" applyAlignment="1">
      <alignment horizontal="center"/>
    </xf>
    <xf numFmtId="0" fontId="16" fillId="0" borderId="15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0" fillId="37" borderId="10" xfId="0" applyFill="1" applyBorder="1" applyAlignment="1">
      <alignment horizontal="center"/>
    </xf>
    <xf numFmtId="0" fontId="23" fillId="0" borderId="24" xfId="0" applyFont="1" applyBorder="1" applyAlignment="1">
      <alignment horizontal="right" vertical="justify" wrapText="1"/>
    </xf>
    <xf numFmtId="0" fontId="23" fillId="0" borderId="24" xfId="0" applyFont="1" applyBorder="1" applyAlignment="1">
      <alignment horizontal="center" vertical="justify" wrapText="1"/>
    </xf>
    <xf numFmtId="0" fontId="23" fillId="36" borderId="10" xfId="0" applyFont="1" applyFill="1" applyBorder="1" applyAlignment="1">
      <alignment horizontal="center"/>
    </xf>
    <xf numFmtId="0" fontId="0" fillId="36" borderId="10" xfId="0" applyFill="1" applyBorder="1" applyAlignment="1">
      <alignment horizontal="center"/>
    </xf>
    <xf numFmtId="0" fontId="0" fillId="36" borderId="15" xfId="0" applyFill="1" applyBorder="1" applyAlignment="1">
      <alignment horizontal="center"/>
    </xf>
    <xf numFmtId="0" fontId="0" fillId="36" borderId="14" xfId="0" applyFill="1" applyBorder="1" applyAlignment="1">
      <alignment horizontal="center"/>
    </xf>
    <xf numFmtId="0" fontId="27" fillId="36" borderId="28" xfId="0" applyFont="1" applyFill="1" applyBorder="1" applyAlignment="1">
      <alignment horizontal="center"/>
    </xf>
    <xf numFmtId="0" fontId="27" fillId="36" borderId="29" xfId="0" applyFont="1" applyFill="1" applyBorder="1" applyAlignment="1">
      <alignment horizontal="center"/>
    </xf>
    <xf numFmtId="0" fontId="27" fillId="36" borderId="10" xfId="0" applyFont="1" applyFill="1" applyBorder="1" applyAlignment="1">
      <alignment horizontal="center"/>
    </xf>
    <xf numFmtId="0" fontId="16" fillId="36" borderId="10" xfId="0" applyFont="1" applyFill="1" applyBorder="1" applyAlignment="1">
      <alignment horizontal="center"/>
    </xf>
    <xf numFmtId="0" fontId="16" fillId="36" borderId="0" xfId="0" applyFont="1" applyFill="1" applyAlignment="1">
      <alignment horizontal="center" vertical="justify" wrapText="1"/>
    </xf>
    <xf numFmtId="0" fontId="28" fillId="36" borderId="0" xfId="0" applyFont="1" applyFill="1" applyAlignment="1">
      <alignment horizontal="center"/>
    </xf>
    <xf numFmtId="0" fontId="27" fillId="0" borderId="0" xfId="0" applyFont="1" applyAlignment="1">
      <alignment horizontal="center"/>
    </xf>
    <xf numFmtId="0" fontId="0" fillId="0" borderId="10" xfId="0" applyNumberFormat="1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_Football Associations" xfId="43" xr:uid="{3742CD6F-D017-4D05-867A-85BAFF108FC2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7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/>
    </dxf>
    <dxf>
      <alignment horizontal="center" vertical="justify" wrapText="1"/>
    </dxf>
    <dxf>
      <alignment horizontal="center" vertical="justify" wrapText="1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/>
    </dxf>
    <dxf>
      <alignment horizontal="right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justify" wrapText="1"/>
    </dxf>
    <dxf>
      <alignment horizontal="center" vertical="justify" wrapText="1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justify" wrapText="1"/>
    </dxf>
    <dxf>
      <alignment horizontal="center" vertical="justify" wrapText="1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justify" wrapText="1"/>
    </dxf>
    <dxf>
      <alignment horizontal="center" vertical="justify" wrapText="1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textRotation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textRotation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textRotation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textRotation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textRotation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textRotation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[$-1809]dd\ mmmm\ yyyy;@"/>
      <alignment horizontal="left" textRotation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left" textRotation="0" indent="0" justifyLastLine="0" shrinkToFit="0" readingOrder="0"/>
    </dxf>
    <dxf>
      <alignment horizontal="left" textRotation="0" indent="0" justifyLastLine="0" shrinkToFit="0" readingOrder="0"/>
    </dxf>
    <dxf>
      <alignment horizontal="left" vertical="justify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[$-1809]dd\ mmmm\ yyyy;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justify" textRotation="0" wrapText="1" indent="0" justifyLastLine="0" shrinkToFit="0" readingOrder="0"/>
    </dxf>
    <dxf>
      <numFmt numFmtId="3" formatCode="#,##0"/>
    </dxf>
    <dxf>
      <numFmt numFmtId="3" formatCode="#,##0"/>
    </dxf>
    <dxf>
      <numFmt numFmtId="1" formatCode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h:mm"/>
    </dxf>
    <dxf>
      <numFmt numFmtId="165" formatCode="yyyy\-mm\-dd;@"/>
    </dxf>
    <dxf>
      <numFmt numFmtId="1" formatCode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justify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1" formatCode="0"/>
      <alignment horizontal="left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166" formatCode="h:mm"/>
    </dxf>
    <dxf>
      <numFmt numFmtId="166" formatCode="h:mm"/>
    </dxf>
    <dxf>
      <numFmt numFmtId="165" formatCode="yyyy\-mm\-dd;@"/>
    </dxf>
    <dxf>
      <numFmt numFmtId="1" formatCode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justify" textRotation="0" wrapText="1" indent="0" justifyLastLine="0" shrinkToFit="0" readingOrder="0"/>
    </dxf>
    <dxf>
      <numFmt numFmtId="0" formatCode="General"/>
    </dxf>
    <dxf>
      <numFmt numFmtId="3" formatCode="#,##0"/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h:mm"/>
    </dxf>
    <dxf>
      <numFmt numFmtId="165" formatCode="yyyy\-mm\-dd;@"/>
    </dxf>
    <dxf>
      <numFmt numFmtId="1" formatCode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justify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justify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justify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justify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justify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justify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justify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justify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justify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top style="thin">
          <color theme="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top style="thin">
          <color theme="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justify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numFmt numFmtId="3" formatCode="#,##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4.xml"/><Relationship Id="rId39" Type="http://schemas.openxmlformats.org/officeDocument/2006/relationships/customXml" Target="../customXml/item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42" Type="http://schemas.openxmlformats.org/officeDocument/2006/relationships/customXml" Target="../customXml/item6.xml"/><Relationship Id="rId47" Type="http://schemas.openxmlformats.org/officeDocument/2006/relationships/customXml" Target="../customXml/item11.xml"/><Relationship Id="rId50" Type="http://schemas.openxmlformats.org/officeDocument/2006/relationships/customXml" Target="../customXml/item14.xml"/><Relationship Id="rId55" Type="http://schemas.openxmlformats.org/officeDocument/2006/relationships/customXml" Target="../customXml/item19.xml"/><Relationship Id="rId63" Type="http://schemas.openxmlformats.org/officeDocument/2006/relationships/customXml" Target="../customXml/item27.xml"/><Relationship Id="rId68" Type="http://schemas.openxmlformats.org/officeDocument/2006/relationships/customXml" Target="../customXml/item32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3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7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openxmlformats.org/officeDocument/2006/relationships/styles" Target="styles.xml"/><Relationship Id="rId37" Type="http://schemas.openxmlformats.org/officeDocument/2006/relationships/customXml" Target="../customXml/item1.xml"/><Relationship Id="rId40" Type="http://schemas.openxmlformats.org/officeDocument/2006/relationships/customXml" Target="../customXml/item4.xml"/><Relationship Id="rId45" Type="http://schemas.openxmlformats.org/officeDocument/2006/relationships/customXml" Target="../customXml/item9.xml"/><Relationship Id="rId53" Type="http://schemas.openxmlformats.org/officeDocument/2006/relationships/customXml" Target="../customXml/item17.xml"/><Relationship Id="rId58" Type="http://schemas.openxmlformats.org/officeDocument/2006/relationships/customXml" Target="../customXml/item22.xml"/><Relationship Id="rId66" Type="http://schemas.openxmlformats.org/officeDocument/2006/relationships/customXml" Target="../customXml/item30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pivotCacheDefinition" Target="pivotCache/pivotCacheDefinition6.xml"/><Relationship Id="rId36" Type="http://schemas.openxmlformats.org/officeDocument/2006/relationships/calcChain" Target="calcChain.xml"/><Relationship Id="rId49" Type="http://schemas.openxmlformats.org/officeDocument/2006/relationships/customXml" Target="../customXml/item13.xml"/><Relationship Id="rId57" Type="http://schemas.openxmlformats.org/officeDocument/2006/relationships/customXml" Target="../customXml/item21.xml"/><Relationship Id="rId61" Type="http://schemas.openxmlformats.org/officeDocument/2006/relationships/customXml" Target="../customXml/item2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4" Type="http://schemas.openxmlformats.org/officeDocument/2006/relationships/customXml" Target="../customXml/item8.xml"/><Relationship Id="rId52" Type="http://schemas.openxmlformats.org/officeDocument/2006/relationships/customXml" Target="../customXml/item16.xml"/><Relationship Id="rId60" Type="http://schemas.openxmlformats.org/officeDocument/2006/relationships/customXml" Target="../customXml/item24.xml"/><Relationship Id="rId65" Type="http://schemas.openxmlformats.org/officeDocument/2006/relationships/customXml" Target="../customXml/item29.xml"/><Relationship Id="rId73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5.xml"/><Relationship Id="rId30" Type="http://schemas.openxmlformats.org/officeDocument/2006/relationships/theme" Target="theme/theme1.xml"/><Relationship Id="rId35" Type="http://schemas.openxmlformats.org/officeDocument/2006/relationships/powerPivotData" Target="model/item.data"/><Relationship Id="rId43" Type="http://schemas.openxmlformats.org/officeDocument/2006/relationships/customXml" Target="../customXml/item7.xml"/><Relationship Id="rId48" Type="http://schemas.openxmlformats.org/officeDocument/2006/relationships/customXml" Target="../customXml/item12.xml"/><Relationship Id="rId56" Type="http://schemas.openxmlformats.org/officeDocument/2006/relationships/customXml" Target="../customXml/item20.xml"/><Relationship Id="rId64" Type="http://schemas.openxmlformats.org/officeDocument/2006/relationships/customXml" Target="../customXml/item28.xml"/><Relationship Id="rId69" Type="http://schemas.openxmlformats.org/officeDocument/2006/relationships/customXml" Target="../customXml/item3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5.xml"/><Relationship Id="rId72" Type="http://schemas.openxmlformats.org/officeDocument/2006/relationships/customXml" Target="../customXml/item3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33" Type="http://schemas.openxmlformats.org/officeDocument/2006/relationships/sharedStrings" Target="sharedStrings.xml"/><Relationship Id="rId38" Type="http://schemas.openxmlformats.org/officeDocument/2006/relationships/customXml" Target="../customXml/item2.xml"/><Relationship Id="rId46" Type="http://schemas.openxmlformats.org/officeDocument/2006/relationships/customXml" Target="../customXml/item10.xml"/><Relationship Id="rId59" Type="http://schemas.openxmlformats.org/officeDocument/2006/relationships/customXml" Target="../customXml/item23.xml"/><Relationship Id="rId67" Type="http://schemas.openxmlformats.org/officeDocument/2006/relationships/customXml" Target="../customXml/item31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5.xml"/><Relationship Id="rId54" Type="http://schemas.openxmlformats.org/officeDocument/2006/relationships/customXml" Target="../customXml/item18.xml"/><Relationship Id="rId62" Type="http://schemas.openxmlformats.org/officeDocument/2006/relationships/customXml" Target="../customXml/item26.xml"/><Relationship Id="rId70" Type="http://schemas.openxmlformats.org/officeDocument/2006/relationships/customXml" Target="../customXml/item3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[World Cup 2022.xlsm]Player info!PivotTable4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Players By Experience Level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'Player info'!$F$49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'Player info'!$E$50:$E$55</c:f>
              <c:strCache>
                <c:ptCount val="5"/>
                <c:pt idx="0">
                  <c:v>Legend</c:v>
                </c:pt>
                <c:pt idx="1">
                  <c:v>Master</c:v>
                </c:pt>
                <c:pt idx="2">
                  <c:v>Newcomer</c:v>
                </c:pt>
                <c:pt idx="3">
                  <c:v>Novice</c:v>
                </c:pt>
                <c:pt idx="4">
                  <c:v>Regular</c:v>
                </c:pt>
              </c:strCache>
            </c:strRef>
          </c:cat>
          <c:val>
            <c:numRef>
              <c:f>'Player info'!$F$50:$F$55</c:f>
              <c:numCache>
                <c:formatCode>General</c:formatCode>
                <c:ptCount val="5"/>
                <c:pt idx="0">
                  <c:v>53</c:v>
                </c:pt>
                <c:pt idx="1">
                  <c:v>32</c:v>
                </c:pt>
                <c:pt idx="2">
                  <c:v>377</c:v>
                </c:pt>
                <c:pt idx="3">
                  <c:v>184</c:v>
                </c:pt>
                <c:pt idx="4">
                  <c:v>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A8-4678-AC2E-5B1128AE665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31104855"/>
        <c:axId val="131106823"/>
        <c:axId val="0"/>
      </c:bar3DChart>
      <c:catAx>
        <c:axId val="131104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106823"/>
        <c:crosses val="autoZero"/>
        <c:auto val="1"/>
        <c:lblAlgn val="ctr"/>
        <c:lblOffset val="100"/>
        <c:noMultiLvlLbl val="0"/>
      </c:catAx>
      <c:valAx>
        <c:axId val="131106823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No Of Players By Level</a:t>
                </a:r>
              </a:p>
              <a:p>
                <a:pPr>
                  <a:defRPr/>
                </a:pPr>
                <a:endParaRPr lang="en-I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131104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[World Cup 2022.xlsm]Player info!PivotTable2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/>
              <a:t>Caps By Category of </a:t>
            </a:r>
          </a:p>
          <a:p>
            <a:pPr>
              <a:defRPr/>
            </a:pPr>
            <a:r>
              <a:rPr lang="en-IE"/>
              <a:t>Players prior to World Cup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'Player info'!$F$33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'Player info'!$E$34:$E$45</c:f>
              <c:strCache>
                <c:ptCount val="11"/>
                <c:pt idx="0">
                  <c:v>0-19</c:v>
                </c:pt>
                <c:pt idx="1">
                  <c:v>20-39</c:v>
                </c:pt>
                <c:pt idx="2">
                  <c:v>40-59</c:v>
                </c:pt>
                <c:pt idx="3">
                  <c:v>60-79</c:v>
                </c:pt>
                <c:pt idx="4">
                  <c:v>80-99</c:v>
                </c:pt>
                <c:pt idx="5">
                  <c:v>100-119</c:v>
                </c:pt>
                <c:pt idx="6">
                  <c:v>120-139</c:v>
                </c:pt>
                <c:pt idx="7">
                  <c:v>140-159</c:v>
                </c:pt>
                <c:pt idx="8">
                  <c:v>160-179</c:v>
                </c:pt>
                <c:pt idx="9">
                  <c:v>180-199</c:v>
                </c:pt>
                <c:pt idx="10">
                  <c:v>&gt;200</c:v>
                </c:pt>
              </c:strCache>
            </c:strRef>
          </c:cat>
          <c:val>
            <c:numRef>
              <c:f>'Player info'!$F$34:$F$45</c:f>
              <c:numCache>
                <c:formatCode>General</c:formatCode>
                <c:ptCount val="11"/>
                <c:pt idx="0">
                  <c:v>363</c:v>
                </c:pt>
                <c:pt idx="1">
                  <c:v>198</c:v>
                </c:pt>
                <c:pt idx="2">
                  <c:v>113</c:v>
                </c:pt>
                <c:pt idx="3">
                  <c:v>71</c:v>
                </c:pt>
                <c:pt idx="4">
                  <c:v>30</c:v>
                </c:pt>
                <c:pt idx="5">
                  <c:v>26</c:v>
                </c:pt>
                <c:pt idx="6">
                  <c:v>20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64-4C6A-A953-5983D18AD7D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19170520"/>
        <c:axId val="619176096"/>
        <c:axId val="0"/>
      </c:bar3DChart>
      <c:catAx>
        <c:axId val="619170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Total Caps </a:t>
                </a:r>
              </a:p>
            </c:rich>
          </c:tx>
          <c:layout>
            <c:manualLayout>
              <c:xMode val="edge"/>
              <c:yMode val="edge"/>
              <c:x val="0.4463745173214605"/>
              <c:y val="0.793077840794376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176096"/>
        <c:crosses val="autoZero"/>
        <c:auto val="1"/>
        <c:lblAlgn val="ctr"/>
        <c:lblOffset val="100"/>
        <c:noMultiLvlLbl val="0"/>
      </c:catAx>
      <c:valAx>
        <c:axId val="61917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Total Players </a:t>
                </a:r>
              </a:p>
              <a:p>
                <a:pPr>
                  <a:defRPr/>
                </a:pPr>
                <a:endParaRPr lang="en-I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9170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Scatterplot on Age / Caps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Squads!$I$1</c:f>
              <c:strCache>
                <c:ptCount val="1"/>
                <c:pt idx="0">
                  <c:v>Caps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0.10868333205922075"/>
                  <c:y val="-0.2746036038424489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1601882288985721"/>
                  <c:y val="-0.3868370494092278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lt1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Squads!$H$2:$H$831</c:f>
              <c:numCache>
                <c:formatCode>0</c:formatCode>
                <c:ptCount val="830"/>
                <c:pt idx="0">
                  <c:v>36</c:v>
                </c:pt>
                <c:pt idx="1">
                  <c:v>24</c:v>
                </c:pt>
                <c:pt idx="2">
                  <c:v>30</c:v>
                </c:pt>
                <c:pt idx="3">
                  <c:v>25</c:v>
                </c:pt>
                <c:pt idx="4">
                  <c:v>28</c:v>
                </c:pt>
                <c:pt idx="5">
                  <c:v>31</c:v>
                </c:pt>
                <c:pt idx="6">
                  <c:v>28</c:v>
                </c:pt>
                <c:pt idx="7">
                  <c:v>31</c:v>
                </c:pt>
                <c:pt idx="8">
                  <c:v>22</c:v>
                </c:pt>
                <c:pt idx="9">
                  <c:v>35</c:v>
                </c:pt>
                <c:pt idx="10">
                  <c:v>34</c:v>
                </c:pt>
                <c:pt idx="11">
                  <c:v>30</c:v>
                </c:pt>
                <c:pt idx="12">
                  <c:v>24</c:v>
                </c:pt>
                <c:pt idx="13">
                  <c:v>24</c:v>
                </c:pt>
                <c:pt idx="14">
                  <c:v>27</c:v>
                </c:pt>
                <c:pt idx="15">
                  <c:v>21</c:v>
                </c:pt>
                <c:pt idx="16">
                  <c:v>34</c:v>
                </c:pt>
                <c:pt idx="17">
                  <c:v>28</c:v>
                </c:pt>
                <c:pt idx="18">
                  <c:v>34</c:v>
                </c:pt>
                <c:pt idx="19">
                  <c:v>23</c:v>
                </c:pt>
                <c:pt idx="20">
                  <c:v>29</c:v>
                </c:pt>
                <c:pt idx="21">
                  <c:v>25</c:v>
                </c:pt>
                <c:pt idx="22">
                  <c:v>30</c:v>
                </c:pt>
                <c:pt idx="23">
                  <c:v>21</c:v>
                </c:pt>
                <c:pt idx="24">
                  <c:v>24</c:v>
                </c:pt>
                <c:pt idx="25">
                  <c:v>24</c:v>
                </c:pt>
                <c:pt idx="26">
                  <c:v>30</c:v>
                </c:pt>
                <c:pt idx="27">
                  <c:v>28</c:v>
                </c:pt>
                <c:pt idx="28">
                  <c:v>23</c:v>
                </c:pt>
                <c:pt idx="29">
                  <c:v>24</c:v>
                </c:pt>
                <c:pt idx="30">
                  <c:v>26</c:v>
                </c:pt>
                <c:pt idx="31">
                  <c:v>29</c:v>
                </c:pt>
                <c:pt idx="32">
                  <c:v>31</c:v>
                </c:pt>
                <c:pt idx="33">
                  <c:v>30</c:v>
                </c:pt>
                <c:pt idx="34">
                  <c:v>29</c:v>
                </c:pt>
                <c:pt idx="35">
                  <c:v>26</c:v>
                </c:pt>
                <c:pt idx="36">
                  <c:v>27</c:v>
                </c:pt>
                <c:pt idx="37">
                  <c:v>33</c:v>
                </c:pt>
                <c:pt idx="38">
                  <c:v>32</c:v>
                </c:pt>
                <c:pt idx="39">
                  <c:v>24</c:v>
                </c:pt>
                <c:pt idx="40">
                  <c:v>31</c:v>
                </c:pt>
                <c:pt idx="41">
                  <c:v>31</c:v>
                </c:pt>
                <c:pt idx="42">
                  <c:v>24</c:v>
                </c:pt>
                <c:pt idx="43">
                  <c:v>37</c:v>
                </c:pt>
                <c:pt idx="44">
                  <c:v>24</c:v>
                </c:pt>
                <c:pt idx="45">
                  <c:v>25</c:v>
                </c:pt>
                <c:pt idx="46">
                  <c:v>18</c:v>
                </c:pt>
                <c:pt idx="47">
                  <c:v>29</c:v>
                </c:pt>
                <c:pt idx="48">
                  <c:v>30</c:v>
                </c:pt>
                <c:pt idx="49">
                  <c:v>22</c:v>
                </c:pt>
                <c:pt idx="50">
                  <c:v>27</c:v>
                </c:pt>
                <c:pt idx="51">
                  <c:v>24</c:v>
                </c:pt>
                <c:pt idx="52">
                  <c:v>30</c:v>
                </c:pt>
                <c:pt idx="53">
                  <c:v>33</c:v>
                </c:pt>
                <c:pt idx="54">
                  <c:v>22</c:v>
                </c:pt>
                <c:pt idx="55">
                  <c:v>24</c:v>
                </c:pt>
                <c:pt idx="56">
                  <c:v>35</c:v>
                </c:pt>
                <c:pt idx="57">
                  <c:v>33</c:v>
                </c:pt>
                <c:pt idx="58">
                  <c:v>31</c:v>
                </c:pt>
                <c:pt idx="59">
                  <c:v>25</c:v>
                </c:pt>
                <c:pt idx="60">
                  <c:v>29</c:v>
                </c:pt>
                <c:pt idx="61">
                  <c:v>31</c:v>
                </c:pt>
                <c:pt idx="62">
                  <c:v>29</c:v>
                </c:pt>
                <c:pt idx="63">
                  <c:v>34</c:v>
                </c:pt>
                <c:pt idx="64">
                  <c:v>30</c:v>
                </c:pt>
                <c:pt idx="65">
                  <c:v>35</c:v>
                </c:pt>
                <c:pt idx="66">
                  <c:v>31</c:v>
                </c:pt>
                <c:pt idx="67">
                  <c:v>29</c:v>
                </c:pt>
                <c:pt idx="68">
                  <c:v>27</c:v>
                </c:pt>
                <c:pt idx="69">
                  <c:v>21</c:v>
                </c:pt>
                <c:pt idx="70">
                  <c:v>27</c:v>
                </c:pt>
                <c:pt idx="71">
                  <c:v>30</c:v>
                </c:pt>
                <c:pt idx="72">
                  <c:v>26</c:v>
                </c:pt>
                <c:pt idx="73">
                  <c:v>21</c:v>
                </c:pt>
                <c:pt idx="74">
                  <c:v>29</c:v>
                </c:pt>
                <c:pt idx="75">
                  <c:v>22</c:v>
                </c:pt>
                <c:pt idx="76">
                  <c:v>20</c:v>
                </c:pt>
                <c:pt idx="77">
                  <c:v>19</c:v>
                </c:pt>
                <c:pt idx="78">
                  <c:v>30</c:v>
                </c:pt>
                <c:pt idx="79">
                  <c:v>31</c:v>
                </c:pt>
                <c:pt idx="80">
                  <c:v>38</c:v>
                </c:pt>
                <c:pt idx="81">
                  <c:v>28</c:v>
                </c:pt>
                <c:pt idx="82">
                  <c:v>30</c:v>
                </c:pt>
                <c:pt idx="83">
                  <c:v>31</c:v>
                </c:pt>
                <c:pt idx="84">
                  <c:v>25</c:v>
                </c:pt>
                <c:pt idx="85">
                  <c:v>29</c:v>
                </c:pt>
                <c:pt idx="86">
                  <c:v>25</c:v>
                </c:pt>
                <c:pt idx="87">
                  <c:v>30</c:v>
                </c:pt>
                <c:pt idx="88">
                  <c:v>25</c:v>
                </c:pt>
                <c:pt idx="89">
                  <c:v>34</c:v>
                </c:pt>
                <c:pt idx="90">
                  <c:v>39</c:v>
                </c:pt>
                <c:pt idx="91">
                  <c:v>24</c:v>
                </c:pt>
                <c:pt idx="92">
                  <c:v>29</c:v>
                </c:pt>
                <c:pt idx="93">
                  <c:v>29</c:v>
                </c:pt>
                <c:pt idx="94">
                  <c:v>25</c:v>
                </c:pt>
                <c:pt idx="95">
                  <c:v>25</c:v>
                </c:pt>
                <c:pt idx="96">
                  <c:v>22</c:v>
                </c:pt>
                <c:pt idx="97">
                  <c:v>22</c:v>
                </c:pt>
                <c:pt idx="98">
                  <c:v>21</c:v>
                </c:pt>
                <c:pt idx="99">
                  <c:v>33</c:v>
                </c:pt>
                <c:pt idx="100">
                  <c:v>29</c:v>
                </c:pt>
                <c:pt idx="101">
                  <c:v>25</c:v>
                </c:pt>
                <c:pt idx="102">
                  <c:v>25</c:v>
                </c:pt>
                <c:pt idx="103">
                  <c:v>21</c:v>
                </c:pt>
                <c:pt idx="104">
                  <c:v>19</c:v>
                </c:pt>
                <c:pt idx="105">
                  <c:v>24</c:v>
                </c:pt>
                <c:pt idx="106">
                  <c:v>32</c:v>
                </c:pt>
                <c:pt idx="107">
                  <c:v>21</c:v>
                </c:pt>
                <c:pt idx="108">
                  <c:v>27</c:v>
                </c:pt>
                <c:pt idx="109">
                  <c:v>28</c:v>
                </c:pt>
                <c:pt idx="110">
                  <c:v>27</c:v>
                </c:pt>
                <c:pt idx="111">
                  <c:v>27</c:v>
                </c:pt>
                <c:pt idx="112">
                  <c:v>29</c:v>
                </c:pt>
                <c:pt idx="113">
                  <c:v>30</c:v>
                </c:pt>
                <c:pt idx="114">
                  <c:v>27</c:v>
                </c:pt>
                <c:pt idx="115">
                  <c:v>30</c:v>
                </c:pt>
                <c:pt idx="116">
                  <c:v>33</c:v>
                </c:pt>
                <c:pt idx="117">
                  <c:v>24</c:v>
                </c:pt>
                <c:pt idx="118">
                  <c:v>27</c:v>
                </c:pt>
                <c:pt idx="119">
                  <c:v>29</c:v>
                </c:pt>
                <c:pt idx="120">
                  <c:v>25</c:v>
                </c:pt>
                <c:pt idx="121">
                  <c:v>24</c:v>
                </c:pt>
                <c:pt idx="122">
                  <c:v>30</c:v>
                </c:pt>
                <c:pt idx="123">
                  <c:v>23</c:v>
                </c:pt>
                <c:pt idx="124">
                  <c:v>27</c:v>
                </c:pt>
                <c:pt idx="125">
                  <c:v>26</c:v>
                </c:pt>
                <c:pt idx="126">
                  <c:v>26</c:v>
                </c:pt>
                <c:pt idx="127">
                  <c:v>23</c:v>
                </c:pt>
                <c:pt idx="128">
                  <c:v>25</c:v>
                </c:pt>
                <c:pt idx="129">
                  <c:v>21</c:v>
                </c:pt>
                <c:pt idx="130">
                  <c:v>25</c:v>
                </c:pt>
                <c:pt idx="131">
                  <c:v>24</c:v>
                </c:pt>
                <c:pt idx="132">
                  <c:v>27</c:v>
                </c:pt>
                <c:pt idx="133">
                  <c:v>25</c:v>
                </c:pt>
                <c:pt idx="134">
                  <c:v>35</c:v>
                </c:pt>
                <c:pt idx="135">
                  <c:v>28</c:v>
                </c:pt>
                <c:pt idx="136">
                  <c:v>25</c:v>
                </c:pt>
                <c:pt idx="137">
                  <c:v>24</c:v>
                </c:pt>
                <c:pt idx="138">
                  <c:v>29</c:v>
                </c:pt>
                <c:pt idx="139">
                  <c:v>32</c:v>
                </c:pt>
                <c:pt idx="140">
                  <c:v>23</c:v>
                </c:pt>
                <c:pt idx="141">
                  <c:v>24</c:v>
                </c:pt>
                <c:pt idx="142">
                  <c:v>39</c:v>
                </c:pt>
                <c:pt idx="143">
                  <c:v>27</c:v>
                </c:pt>
                <c:pt idx="144">
                  <c:v>20</c:v>
                </c:pt>
                <c:pt idx="145">
                  <c:v>25</c:v>
                </c:pt>
                <c:pt idx="146">
                  <c:v>27</c:v>
                </c:pt>
                <c:pt idx="147">
                  <c:v>35</c:v>
                </c:pt>
                <c:pt idx="148">
                  <c:v>22</c:v>
                </c:pt>
                <c:pt idx="149">
                  <c:v>22</c:v>
                </c:pt>
                <c:pt idx="150">
                  <c:v>30</c:v>
                </c:pt>
                <c:pt idx="151">
                  <c:v>27</c:v>
                </c:pt>
                <c:pt idx="152">
                  <c:v>23</c:v>
                </c:pt>
                <c:pt idx="153">
                  <c:v>32</c:v>
                </c:pt>
                <c:pt idx="154">
                  <c:v>24</c:v>
                </c:pt>
                <c:pt idx="155">
                  <c:v>26</c:v>
                </c:pt>
                <c:pt idx="156">
                  <c:v>35</c:v>
                </c:pt>
                <c:pt idx="157">
                  <c:v>21</c:v>
                </c:pt>
                <c:pt idx="158">
                  <c:v>27</c:v>
                </c:pt>
                <c:pt idx="159">
                  <c:v>28</c:v>
                </c:pt>
                <c:pt idx="160">
                  <c:v>34</c:v>
                </c:pt>
                <c:pt idx="161">
                  <c:v>33</c:v>
                </c:pt>
                <c:pt idx="162">
                  <c:v>22</c:v>
                </c:pt>
                <c:pt idx="163">
                  <c:v>32</c:v>
                </c:pt>
                <c:pt idx="164">
                  <c:v>18</c:v>
                </c:pt>
                <c:pt idx="165">
                  <c:v>37</c:v>
                </c:pt>
                <c:pt idx="166">
                  <c:v>33</c:v>
                </c:pt>
                <c:pt idx="167">
                  <c:v>30</c:v>
                </c:pt>
                <c:pt idx="168">
                  <c:v>25</c:v>
                </c:pt>
                <c:pt idx="169">
                  <c:v>26</c:v>
                </c:pt>
                <c:pt idx="170">
                  <c:v>30</c:v>
                </c:pt>
                <c:pt idx="171">
                  <c:v>23</c:v>
                </c:pt>
                <c:pt idx="172">
                  <c:v>30</c:v>
                </c:pt>
                <c:pt idx="173">
                  <c:v>33</c:v>
                </c:pt>
                <c:pt idx="174">
                  <c:v>34</c:v>
                </c:pt>
                <c:pt idx="175">
                  <c:v>19</c:v>
                </c:pt>
                <c:pt idx="176">
                  <c:v>24</c:v>
                </c:pt>
                <c:pt idx="177">
                  <c:v>28</c:v>
                </c:pt>
                <c:pt idx="178">
                  <c:v>23</c:v>
                </c:pt>
                <c:pt idx="179">
                  <c:v>20</c:v>
                </c:pt>
                <c:pt idx="180">
                  <c:v>21</c:v>
                </c:pt>
                <c:pt idx="181">
                  <c:v>20</c:v>
                </c:pt>
                <c:pt idx="182">
                  <c:v>27</c:v>
                </c:pt>
                <c:pt idx="183">
                  <c:v>22</c:v>
                </c:pt>
                <c:pt idx="184">
                  <c:v>30</c:v>
                </c:pt>
                <c:pt idx="185">
                  <c:v>33</c:v>
                </c:pt>
                <c:pt idx="186">
                  <c:v>24</c:v>
                </c:pt>
                <c:pt idx="187">
                  <c:v>33</c:v>
                </c:pt>
                <c:pt idx="188">
                  <c:v>24</c:v>
                </c:pt>
                <c:pt idx="189">
                  <c:v>28</c:v>
                </c:pt>
                <c:pt idx="190">
                  <c:v>31</c:v>
                </c:pt>
                <c:pt idx="191">
                  <c:v>37</c:v>
                </c:pt>
                <c:pt idx="192">
                  <c:v>30</c:v>
                </c:pt>
                <c:pt idx="193">
                  <c:v>26</c:v>
                </c:pt>
                <c:pt idx="194">
                  <c:v>25</c:v>
                </c:pt>
                <c:pt idx="195">
                  <c:v>29</c:v>
                </c:pt>
                <c:pt idx="196">
                  <c:v>27</c:v>
                </c:pt>
                <c:pt idx="197">
                  <c:v>28</c:v>
                </c:pt>
                <c:pt idx="198">
                  <c:v>31</c:v>
                </c:pt>
                <c:pt idx="199">
                  <c:v>29</c:v>
                </c:pt>
                <c:pt idx="200">
                  <c:v>24</c:v>
                </c:pt>
                <c:pt idx="201">
                  <c:v>20</c:v>
                </c:pt>
                <c:pt idx="202">
                  <c:v>33</c:v>
                </c:pt>
                <c:pt idx="203">
                  <c:v>27</c:v>
                </c:pt>
                <c:pt idx="204">
                  <c:v>27</c:v>
                </c:pt>
                <c:pt idx="205">
                  <c:v>22</c:v>
                </c:pt>
                <c:pt idx="206">
                  <c:v>20</c:v>
                </c:pt>
                <c:pt idx="207">
                  <c:v>25</c:v>
                </c:pt>
                <c:pt idx="208">
                  <c:v>36</c:v>
                </c:pt>
                <c:pt idx="209">
                  <c:v>26</c:v>
                </c:pt>
                <c:pt idx="210">
                  <c:v>24</c:v>
                </c:pt>
                <c:pt idx="211">
                  <c:v>33</c:v>
                </c:pt>
                <c:pt idx="212">
                  <c:v>25</c:v>
                </c:pt>
                <c:pt idx="213">
                  <c:v>26</c:v>
                </c:pt>
                <c:pt idx="214">
                  <c:v>26</c:v>
                </c:pt>
                <c:pt idx="215">
                  <c:v>31</c:v>
                </c:pt>
                <c:pt idx="216">
                  <c:v>31</c:v>
                </c:pt>
                <c:pt idx="217">
                  <c:v>30</c:v>
                </c:pt>
                <c:pt idx="218">
                  <c:v>22</c:v>
                </c:pt>
                <c:pt idx="219">
                  <c:v>25</c:v>
                </c:pt>
                <c:pt idx="220">
                  <c:v>25</c:v>
                </c:pt>
                <c:pt idx="221">
                  <c:v>22</c:v>
                </c:pt>
                <c:pt idx="222">
                  <c:v>28</c:v>
                </c:pt>
                <c:pt idx="223">
                  <c:v>23</c:v>
                </c:pt>
                <c:pt idx="224">
                  <c:v>31</c:v>
                </c:pt>
                <c:pt idx="225">
                  <c:v>33</c:v>
                </c:pt>
                <c:pt idx="226">
                  <c:v>23</c:v>
                </c:pt>
                <c:pt idx="227">
                  <c:v>28</c:v>
                </c:pt>
                <c:pt idx="228">
                  <c:v>29</c:v>
                </c:pt>
                <c:pt idx="229">
                  <c:v>30</c:v>
                </c:pt>
                <c:pt idx="230">
                  <c:v>27</c:v>
                </c:pt>
                <c:pt idx="231">
                  <c:v>26</c:v>
                </c:pt>
                <c:pt idx="232">
                  <c:v>22</c:v>
                </c:pt>
                <c:pt idx="233">
                  <c:v>24</c:v>
                </c:pt>
                <c:pt idx="234">
                  <c:v>35</c:v>
                </c:pt>
                <c:pt idx="235">
                  <c:v>25</c:v>
                </c:pt>
                <c:pt idx="236">
                  <c:v>20</c:v>
                </c:pt>
                <c:pt idx="237">
                  <c:v>31</c:v>
                </c:pt>
                <c:pt idx="238">
                  <c:v>23</c:v>
                </c:pt>
                <c:pt idx="239">
                  <c:v>21</c:v>
                </c:pt>
                <c:pt idx="240">
                  <c:v>24</c:v>
                </c:pt>
                <c:pt idx="241">
                  <c:v>27</c:v>
                </c:pt>
                <c:pt idx="242">
                  <c:v>28</c:v>
                </c:pt>
                <c:pt idx="243">
                  <c:v>28</c:v>
                </c:pt>
                <c:pt idx="244">
                  <c:v>26</c:v>
                </c:pt>
                <c:pt idx="245">
                  <c:v>22</c:v>
                </c:pt>
                <c:pt idx="246">
                  <c:v>33</c:v>
                </c:pt>
                <c:pt idx="247">
                  <c:v>28</c:v>
                </c:pt>
                <c:pt idx="248">
                  <c:v>34</c:v>
                </c:pt>
                <c:pt idx="249">
                  <c:v>20</c:v>
                </c:pt>
                <c:pt idx="250">
                  <c:v>24</c:v>
                </c:pt>
                <c:pt idx="251">
                  <c:v>23</c:v>
                </c:pt>
                <c:pt idx="252">
                  <c:v>22</c:v>
                </c:pt>
                <c:pt idx="253">
                  <c:v>25</c:v>
                </c:pt>
                <c:pt idx="254">
                  <c:v>24</c:v>
                </c:pt>
                <c:pt idx="255">
                  <c:v>35</c:v>
                </c:pt>
                <c:pt idx="256">
                  <c:v>21</c:v>
                </c:pt>
                <c:pt idx="257">
                  <c:v>23</c:v>
                </c:pt>
                <c:pt idx="258">
                  <c:v>22</c:v>
                </c:pt>
                <c:pt idx="259">
                  <c:v>22</c:v>
                </c:pt>
                <c:pt idx="260">
                  <c:v>28</c:v>
                </c:pt>
                <c:pt idx="261">
                  <c:v>32</c:v>
                </c:pt>
                <c:pt idx="262">
                  <c:v>27</c:v>
                </c:pt>
                <c:pt idx="263">
                  <c:v>23</c:v>
                </c:pt>
                <c:pt idx="264">
                  <c:v>28</c:v>
                </c:pt>
                <c:pt idx="265">
                  <c:v>29</c:v>
                </c:pt>
                <c:pt idx="266">
                  <c:v>27</c:v>
                </c:pt>
                <c:pt idx="267">
                  <c:v>32</c:v>
                </c:pt>
                <c:pt idx="268">
                  <c:v>29</c:v>
                </c:pt>
                <c:pt idx="269">
                  <c:v>27</c:v>
                </c:pt>
                <c:pt idx="270">
                  <c:v>25</c:v>
                </c:pt>
                <c:pt idx="271">
                  <c:v>32</c:v>
                </c:pt>
                <c:pt idx="272">
                  <c:v>30</c:v>
                </c:pt>
                <c:pt idx="273">
                  <c:v>26</c:v>
                </c:pt>
                <c:pt idx="274">
                  <c:v>28</c:v>
                </c:pt>
                <c:pt idx="275">
                  <c:v>29</c:v>
                </c:pt>
                <c:pt idx="276">
                  <c:v>21</c:v>
                </c:pt>
                <c:pt idx="277">
                  <c:v>24</c:v>
                </c:pt>
                <c:pt idx="278">
                  <c:v>23</c:v>
                </c:pt>
                <c:pt idx="279">
                  <c:v>22</c:v>
                </c:pt>
                <c:pt idx="280">
                  <c:v>25</c:v>
                </c:pt>
                <c:pt idx="281">
                  <c:v>19</c:v>
                </c:pt>
                <c:pt idx="282">
                  <c:v>24</c:v>
                </c:pt>
                <c:pt idx="283">
                  <c:v>30</c:v>
                </c:pt>
                <c:pt idx="284">
                  <c:v>25</c:v>
                </c:pt>
                <c:pt idx="285">
                  <c:v>22</c:v>
                </c:pt>
                <c:pt idx="286">
                  <c:v>35</c:v>
                </c:pt>
                <c:pt idx="287">
                  <c:v>26</c:v>
                </c:pt>
                <c:pt idx="288">
                  <c:v>24</c:v>
                </c:pt>
                <c:pt idx="289">
                  <c:v>29</c:v>
                </c:pt>
                <c:pt idx="290">
                  <c:v>24</c:v>
                </c:pt>
                <c:pt idx="291">
                  <c:v>23</c:v>
                </c:pt>
                <c:pt idx="292">
                  <c:v>31</c:v>
                </c:pt>
                <c:pt idx="293">
                  <c:v>22</c:v>
                </c:pt>
                <c:pt idx="294">
                  <c:v>36</c:v>
                </c:pt>
                <c:pt idx="295">
                  <c:v>23</c:v>
                </c:pt>
                <c:pt idx="296">
                  <c:v>25</c:v>
                </c:pt>
                <c:pt idx="297">
                  <c:v>23</c:v>
                </c:pt>
                <c:pt idx="298">
                  <c:v>23</c:v>
                </c:pt>
                <c:pt idx="299">
                  <c:v>27</c:v>
                </c:pt>
                <c:pt idx="300">
                  <c:v>29</c:v>
                </c:pt>
                <c:pt idx="301">
                  <c:v>37</c:v>
                </c:pt>
                <c:pt idx="302">
                  <c:v>21</c:v>
                </c:pt>
                <c:pt idx="303">
                  <c:v>24</c:v>
                </c:pt>
                <c:pt idx="304">
                  <c:v>34</c:v>
                </c:pt>
                <c:pt idx="305">
                  <c:v>26</c:v>
                </c:pt>
                <c:pt idx="306">
                  <c:v>26</c:v>
                </c:pt>
                <c:pt idx="307">
                  <c:v>25</c:v>
                </c:pt>
                <c:pt idx="308">
                  <c:v>29</c:v>
                </c:pt>
                <c:pt idx="309">
                  <c:v>23</c:v>
                </c:pt>
                <c:pt idx="310">
                  <c:v>20</c:v>
                </c:pt>
                <c:pt idx="311">
                  <c:v>25</c:v>
                </c:pt>
                <c:pt idx="312">
                  <c:v>36</c:v>
                </c:pt>
                <c:pt idx="313">
                  <c:v>29</c:v>
                </c:pt>
                <c:pt idx="314">
                  <c:v>24</c:v>
                </c:pt>
                <c:pt idx="315">
                  <c:v>28</c:v>
                </c:pt>
                <c:pt idx="316">
                  <c:v>26</c:v>
                </c:pt>
                <c:pt idx="317">
                  <c:v>27</c:v>
                </c:pt>
                <c:pt idx="318">
                  <c:v>23</c:v>
                </c:pt>
                <c:pt idx="319">
                  <c:v>27</c:v>
                </c:pt>
                <c:pt idx="320">
                  <c:v>29</c:v>
                </c:pt>
                <c:pt idx="321">
                  <c:v>27</c:v>
                </c:pt>
                <c:pt idx="322">
                  <c:v>30</c:v>
                </c:pt>
                <c:pt idx="323">
                  <c:v>32</c:v>
                </c:pt>
                <c:pt idx="324">
                  <c:v>33</c:v>
                </c:pt>
                <c:pt idx="325">
                  <c:v>19</c:v>
                </c:pt>
                <c:pt idx="326">
                  <c:v>27</c:v>
                </c:pt>
                <c:pt idx="327">
                  <c:v>26</c:v>
                </c:pt>
                <c:pt idx="328">
                  <c:v>26</c:v>
                </c:pt>
                <c:pt idx="329">
                  <c:v>30</c:v>
                </c:pt>
                <c:pt idx="330">
                  <c:v>26</c:v>
                </c:pt>
                <c:pt idx="331">
                  <c:v>29</c:v>
                </c:pt>
                <c:pt idx="332">
                  <c:v>32</c:v>
                </c:pt>
                <c:pt idx="333">
                  <c:v>30</c:v>
                </c:pt>
                <c:pt idx="334">
                  <c:v>22</c:v>
                </c:pt>
                <c:pt idx="335">
                  <c:v>20</c:v>
                </c:pt>
                <c:pt idx="336">
                  <c:v>20</c:v>
                </c:pt>
                <c:pt idx="337">
                  <c:v>18</c:v>
                </c:pt>
                <c:pt idx="338">
                  <c:v>25</c:v>
                </c:pt>
                <c:pt idx="339">
                  <c:v>22</c:v>
                </c:pt>
                <c:pt idx="340">
                  <c:v>34</c:v>
                </c:pt>
                <c:pt idx="341">
                  <c:v>23</c:v>
                </c:pt>
                <c:pt idx="342">
                  <c:v>29</c:v>
                </c:pt>
                <c:pt idx="343">
                  <c:v>25</c:v>
                </c:pt>
                <c:pt idx="344">
                  <c:v>18</c:v>
                </c:pt>
                <c:pt idx="345">
                  <c:v>26</c:v>
                </c:pt>
                <c:pt idx="346">
                  <c:v>31</c:v>
                </c:pt>
                <c:pt idx="347">
                  <c:v>32</c:v>
                </c:pt>
                <c:pt idx="348">
                  <c:v>23</c:v>
                </c:pt>
                <c:pt idx="349">
                  <c:v>19</c:v>
                </c:pt>
                <c:pt idx="350">
                  <c:v>21</c:v>
                </c:pt>
                <c:pt idx="351">
                  <c:v>24</c:v>
                </c:pt>
                <c:pt idx="352">
                  <c:v>27</c:v>
                </c:pt>
                <c:pt idx="353">
                  <c:v>23</c:v>
                </c:pt>
                <c:pt idx="354">
                  <c:v>28</c:v>
                </c:pt>
                <c:pt idx="355">
                  <c:v>27</c:v>
                </c:pt>
                <c:pt idx="356">
                  <c:v>28</c:v>
                </c:pt>
                <c:pt idx="357">
                  <c:v>22</c:v>
                </c:pt>
                <c:pt idx="358">
                  <c:v>22</c:v>
                </c:pt>
                <c:pt idx="359">
                  <c:v>20</c:v>
                </c:pt>
                <c:pt idx="360">
                  <c:v>28</c:v>
                </c:pt>
                <c:pt idx="361">
                  <c:v>22</c:v>
                </c:pt>
                <c:pt idx="362">
                  <c:v>22</c:v>
                </c:pt>
                <c:pt idx="363">
                  <c:v>22</c:v>
                </c:pt>
                <c:pt idx="364">
                  <c:v>30</c:v>
                </c:pt>
                <c:pt idx="365">
                  <c:v>26</c:v>
                </c:pt>
                <c:pt idx="366">
                  <c:v>32</c:v>
                </c:pt>
                <c:pt idx="367">
                  <c:v>33</c:v>
                </c:pt>
                <c:pt idx="368">
                  <c:v>29</c:v>
                </c:pt>
                <c:pt idx="369">
                  <c:v>26</c:v>
                </c:pt>
                <c:pt idx="370">
                  <c:v>29</c:v>
                </c:pt>
                <c:pt idx="371">
                  <c:v>30</c:v>
                </c:pt>
                <c:pt idx="372">
                  <c:v>30</c:v>
                </c:pt>
                <c:pt idx="373">
                  <c:v>32</c:v>
                </c:pt>
                <c:pt idx="374">
                  <c:v>34</c:v>
                </c:pt>
                <c:pt idx="375">
                  <c:v>27</c:v>
                </c:pt>
                <c:pt idx="376">
                  <c:v>28</c:v>
                </c:pt>
                <c:pt idx="377">
                  <c:v>29</c:v>
                </c:pt>
                <c:pt idx="378">
                  <c:v>29</c:v>
                </c:pt>
                <c:pt idx="379">
                  <c:v>28</c:v>
                </c:pt>
                <c:pt idx="380">
                  <c:v>26</c:v>
                </c:pt>
                <c:pt idx="381">
                  <c:v>28</c:v>
                </c:pt>
                <c:pt idx="382">
                  <c:v>26</c:v>
                </c:pt>
                <c:pt idx="383">
                  <c:v>27</c:v>
                </c:pt>
                <c:pt idx="384">
                  <c:v>29</c:v>
                </c:pt>
                <c:pt idx="385">
                  <c:v>29</c:v>
                </c:pt>
                <c:pt idx="386">
                  <c:v>32</c:v>
                </c:pt>
                <c:pt idx="387">
                  <c:v>30</c:v>
                </c:pt>
                <c:pt idx="388">
                  <c:v>24</c:v>
                </c:pt>
                <c:pt idx="389">
                  <c:v>39</c:v>
                </c:pt>
                <c:pt idx="390">
                  <c:v>28</c:v>
                </c:pt>
                <c:pt idx="391">
                  <c:v>31</c:v>
                </c:pt>
                <c:pt idx="392">
                  <c:v>25</c:v>
                </c:pt>
                <c:pt idx="393">
                  <c:v>36</c:v>
                </c:pt>
                <c:pt idx="394">
                  <c:v>29</c:v>
                </c:pt>
                <c:pt idx="395">
                  <c:v>30</c:v>
                </c:pt>
                <c:pt idx="396">
                  <c:v>24</c:v>
                </c:pt>
                <c:pt idx="397">
                  <c:v>25</c:v>
                </c:pt>
                <c:pt idx="398">
                  <c:v>27</c:v>
                </c:pt>
                <c:pt idx="399">
                  <c:v>21</c:v>
                </c:pt>
                <c:pt idx="400">
                  <c:v>33</c:v>
                </c:pt>
                <c:pt idx="401">
                  <c:v>27</c:v>
                </c:pt>
                <c:pt idx="402">
                  <c:v>29</c:v>
                </c:pt>
                <c:pt idx="403">
                  <c:v>26</c:v>
                </c:pt>
                <c:pt idx="404">
                  <c:v>24</c:v>
                </c:pt>
                <c:pt idx="405">
                  <c:v>24</c:v>
                </c:pt>
                <c:pt idx="406">
                  <c:v>28</c:v>
                </c:pt>
                <c:pt idx="407">
                  <c:v>32</c:v>
                </c:pt>
                <c:pt idx="408">
                  <c:v>23</c:v>
                </c:pt>
                <c:pt idx="409">
                  <c:v>24</c:v>
                </c:pt>
                <c:pt idx="410">
                  <c:v>34</c:v>
                </c:pt>
                <c:pt idx="411">
                  <c:v>30</c:v>
                </c:pt>
                <c:pt idx="412">
                  <c:v>25</c:v>
                </c:pt>
                <c:pt idx="413">
                  <c:v>25</c:v>
                </c:pt>
                <c:pt idx="414">
                  <c:v>23</c:v>
                </c:pt>
                <c:pt idx="415">
                  <c:v>32</c:v>
                </c:pt>
                <c:pt idx="416">
                  <c:v>24</c:v>
                </c:pt>
                <c:pt idx="417">
                  <c:v>30</c:v>
                </c:pt>
                <c:pt idx="418">
                  <c:v>26</c:v>
                </c:pt>
                <c:pt idx="419">
                  <c:v>32</c:v>
                </c:pt>
                <c:pt idx="420">
                  <c:v>26</c:v>
                </c:pt>
                <c:pt idx="421">
                  <c:v>30</c:v>
                </c:pt>
                <c:pt idx="422">
                  <c:v>25</c:v>
                </c:pt>
                <c:pt idx="423">
                  <c:v>24</c:v>
                </c:pt>
                <c:pt idx="424">
                  <c:v>30</c:v>
                </c:pt>
                <c:pt idx="425">
                  <c:v>26</c:v>
                </c:pt>
                <c:pt idx="426">
                  <c:v>25</c:v>
                </c:pt>
                <c:pt idx="427">
                  <c:v>30</c:v>
                </c:pt>
                <c:pt idx="428">
                  <c:v>32</c:v>
                </c:pt>
                <c:pt idx="429">
                  <c:v>27</c:v>
                </c:pt>
                <c:pt idx="430">
                  <c:v>30</c:v>
                </c:pt>
                <c:pt idx="431">
                  <c:v>26</c:v>
                </c:pt>
                <c:pt idx="432">
                  <c:v>21</c:v>
                </c:pt>
                <c:pt idx="433">
                  <c:v>32</c:v>
                </c:pt>
                <c:pt idx="434">
                  <c:v>30</c:v>
                </c:pt>
                <c:pt idx="435">
                  <c:v>31</c:v>
                </c:pt>
                <c:pt idx="436">
                  <c:v>28</c:v>
                </c:pt>
                <c:pt idx="437">
                  <c:v>33</c:v>
                </c:pt>
                <c:pt idx="438">
                  <c:v>26</c:v>
                </c:pt>
                <c:pt idx="439">
                  <c:v>23</c:v>
                </c:pt>
                <c:pt idx="440">
                  <c:v>23</c:v>
                </c:pt>
                <c:pt idx="441">
                  <c:v>40</c:v>
                </c:pt>
                <c:pt idx="442">
                  <c:v>31</c:v>
                </c:pt>
                <c:pt idx="443">
                  <c:v>25</c:v>
                </c:pt>
                <c:pt idx="444">
                  <c:v>25</c:v>
                </c:pt>
                <c:pt idx="445">
                  <c:v>24</c:v>
                </c:pt>
                <c:pt idx="446">
                  <c:v>24</c:v>
                </c:pt>
                <c:pt idx="447">
                  <c:v>27</c:v>
                </c:pt>
                <c:pt idx="448">
                  <c:v>25</c:v>
                </c:pt>
                <c:pt idx="449">
                  <c:v>31</c:v>
                </c:pt>
                <c:pt idx="450">
                  <c:v>24</c:v>
                </c:pt>
                <c:pt idx="451">
                  <c:v>31</c:v>
                </c:pt>
                <c:pt idx="452">
                  <c:v>35</c:v>
                </c:pt>
                <c:pt idx="453">
                  <c:v>37</c:v>
                </c:pt>
                <c:pt idx="454">
                  <c:v>27</c:v>
                </c:pt>
                <c:pt idx="455">
                  <c:v>34</c:v>
                </c:pt>
                <c:pt idx="456">
                  <c:v>32</c:v>
                </c:pt>
                <c:pt idx="457">
                  <c:v>26</c:v>
                </c:pt>
                <c:pt idx="458">
                  <c:v>36</c:v>
                </c:pt>
                <c:pt idx="459">
                  <c:v>24</c:v>
                </c:pt>
                <c:pt idx="460">
                  <c:v>30</c:v>
                </c:pt>
                <c:pt idx="461">
                  <c:v>25</c:v>
                </c:pt>
                <c:pt idx="462">
                  <c:v>27</c:v>
                </c:pt>
                <c:pt idx="463">
                  <c:v>28</c:v>
                </c:pt>
                <c:pt idx="464">
                  <c:v>26</c:v>
                </c:pt>
                <c:pt idx="465">
                  <c:v>24</c:v>
                </c:pt>
                <c:pt idx="466">
                  <c:v>23</c:v>
                </c:pt>
                <c:pt idx="467">
                  <c:v>31</c:v>
                </c:pt>
                <c:pt idx="468">
                  <c:v>24</c:v>
                </c:pt>
                <c:pt idx="469">
                  <c:v>25</c:v>
                </c:pt>
                <c:pt idx="470">
                  <c:v>26</c:v>
                </c:pt>
                <c:pt idx="471">
                  <c:v>26</c:v>
                </c:pt>
                <c:pt idx="472">
                  <c:v>32</c:v>
                </c:pt>
                <c:pt idx="473">
                  <c:v>29</c:v>
                </c:pt>
                <c:pt idx="474">
                  <c:v>22</c:v>
                </c:pt>
                <c:pt idx="475">
                  <c:v>31</c:v>
                </c:pt>
                <c:pt idx="476">
                  <c:v>22</c:v>
                </c:pt>
                <c:pt idx="477">
                  <c:v>25</c:v>
                </c:pt>
                <c:pt idx="478">
                  <c:v>33</c:v>
                </c:pt>
                <c:pt idx="479">
                  <c:v>25</c:v>
                </c:pt>
                <c:pt idx="480">
                  <c:v>22</c:v>
                </c:pt>
                <c:pt idx="481">
                  <c:v>26</c:v>
                </c:pt>
                <c:pt idx="482">
                  <c:v>20</c:v>
                </c:pt>
                <c:pt idx="483">
                  <c:v>29</c:v>
                </c:pt>
                <c:pt idx="484">
                  <c:v>30</c:v>
                </c:pt>
                <c:pt idx="485">
                  <c:v>25</c:v>
                </c:pt>
                <c:pt idx="486">
                  <c:v>23</c:v>
                </c:pt>
                <c:pt idx="487">
                  <c:v>24</c:v>
                </c:pt>
                <c:pt idx="488">
                  <c:v>26</c:v>
                </c:pt>
                <c:pt idx="489">
                  <c:v>18</c:v>
                </c:pt>
                <c:pt idx="490">
                  <c:v>29</c:v>
                </c:pt>
                <c:pt idx="491">
                  <c:v>27</c:v>
                </c:pt>
                <c:pt idx="492">
                  <c:v>31</c:v>
                </c:pt>
                <c:pt idx="493">
                  <c:v>39</c:v>
                </c:pt>
                <c:pt idx="494">
                  <c:v>21</c:v>
                </c:pt>
                <c:pt idx="495">
                  <c:v>23</c:v>
                </c:pt>
                <c:pt idx="496">
                  <c:v>31</c:v>
                </c:pt>
                <c:pt idx="497">
                  <c:v>27</c:v>
                </c:pt>
                <c:pt idx="498">
                  <c:v>30</c:v>
                </c:pt>
                <c:pt idx="499">
                  <c:v>25</c:v>
                </c:pt>
                <c:pt idx="500">
                  <c:v>23</c:v>
                </c:pt>
                <c:pt idx="501">
                  <c:v>32</c:v>
                </c:pt>
                <c:pt idx="502">
                  <c:v>28</c:v>
                </c:pt>
                <c:pt idx="503">
                  <c:v>30</c:v>
                </c:pt>
                <c:pt idx="504">
                  <c:v>23</c:v>
                </c:pt>
                <c:pt idx="505">
                  <c:v>24</c:v>
                </c:pt>
                <c:pt idx="506">
                  <c:v>29</c:v>
                </c:pt>
                <c:pt idx="507">
                  <c:v>31</c:v>
                </c:pt>
                <c:pt idx="508">
                  <c:v>23</c:v>
                </c:pt>
                <c:pt idx="509">
                  <c:v>32</c:v>
                </c:pt>
                <c:pt idx="510">
                  <c:v>28</c:v>
                </c:pt>
                <c:pt idx="511">
                  <c:v>30</c:v>
                </c:pt>
                <c:pt idx="512">
                  <c:v>24</c:v>
                </c:pt>
                <c:pt idx="513">
                  <c:v>25</c:v>
                </c:pt>
                <c:pt idx="514">
                  <c:v>26</c:v>
                </c:pt>
                <c:pt idx="515">
                  <c:v>28</c:v>
                </c:pt>
                <c:pt idx="516">
                  <c:v>20</c:v>
                </c:pt>
                <c:pt idx="517">
                  <c:v>19</c:v>
                </c:pt>
                <c:pt idx="518">
                  <c:v>21</c:v>
                </c:pt>
                <c:pt idx="519">
                  <c:v>32</c:v>
                </c:pt>
                <c:pt idx="520">
                  <c:v>25</c:v>
                </c:pt>
                <c:pt idx="521">
                  <c:v>35</c:v>
                </c:pt>
                <c:pt idx="522">
                  <c:v>25</c:v>
                </c:pt>
                <c:pt idx="523">
                  <c:v>26</c:v>
                </c:pt>
                <c:pt idx="524">
                  <c:v>24</c:v>
                </c:pt>
                <c:pt idx="525">
                  <c:v>28</c:v>
                </c:pt>
                <c:pt idx="526">
                  <c:v>27</c:v>
                </c:pt>
                <c:pt idx="527">
                  <c:v>34</c:v>
                </c:pt>
                <c:pt idx="528">
                  <c:v>32</c:v>
                </c:pt>
                <c:pt idx="529">
                  <c:v>34</c:v>
                </c:pt>
                <c:pt idx="530">
                  <c:v>31</c:v>
                </c:pt>
                <c:pt idx="531">
                  <c:v>20</c:v>
                </c:pt>
                <c:pt idx="532">
                  <c:v>22</c:v>
                </c:pt>
                <c:pt idx="533">
                  <c:v>34</c:v>
                </c:pt>
                <c:pt idx="534">
                  <c:v>25</c:v>
                </c:pt>
                <c:pt idx="535">
                  <c:v>25</c:v>
                </c:pt>
                <c:pt idx="536">
                  <c:v>30</c:v>
                </c:pt>
                <c:pt idx="537">
                  <c:v>23</c:v>
                </c:pt>
                <c:pt idx="538">
                  <c:v>28</c:v>
                </c:pt>
                <c:pt idx="539">
                  <c:v>20</c:v>
                </c:pt>
                <c:pt idx="540">
                  <c:v>23</c:v>
                </c:pt>
                <c:pt idx="541">
                  <c:v>27</c:v>
                </c:pt>
                <c:pt idx="542">
                  <c:v>27</c:v>
                </c:pt>
                <c:pt idx="543">
                  <c:v>24</c:v>
                </c:pt>
                <c:pt idx="544">
                  <c:v>22</c:v>
                </c:pt>
                <c:pt idx="545">
                  <c:v>34</c:v>
                </c:pt>
                <c:pt idx="546">
                  <c:v>23</c:v>
                </c:pt>
                <c:pt idx="547">
                  <c:v>39</c:v>
                </c:pt>
                <c:pt idx="548">
                  <c:v>25</c:v>
                </c:pt>
                <c:pt idx="549">
                  <c:v>28</c:v>
                </c:pt>
                <c:pt idx="550">
                  <c:v>27</c:v>
                </c:pt>
                <c:pt idx="551">
                  <c:v>37</c:v>
                </c:pt>
                <c:pt idx="552">
                  <c:v>28</c:v>
                </c:pt>
                <c:pt idx="553">
                  <c:v>27</c:v>
                </c:pt>
                <c:pt idx="554">
                  <c:v>28</c:v>
                </c:pt>
                <c:pt idx="555">
                  <c:v>23</c:v>
                </c:pt>
                <c:pt idx="556">
                  <c:v>29</c:v>
                </c:pt>
                <c:pt idx="557">
                  <c:v>31</c:v>
                </c:pt>
                <c:pt idx="558">
                  <c:v>30</c:v>
                </c:pt>
                <c:pt idx="559">
                  <c:v>23</c:v>
                </c:pt>
                <c:pt idx="560">
                  <c:v>22</c:v>
                </c:pt>
                <c:pt idx="561">
                  <c:v>29</c:v>
                </c:pt>
                <c:pt idx="562">
                  <c:v>25</c:v>
                </c:pt>
                <c:pt idx="563">
                  <c:v>20</c:v>
                </c:pt>
                <c:pt idx="564">
                  <c:v>28</c:v>
                </c:pt>
                <c:pt idx="565">
                  <c:v>28</c:v>
                </c:pt>
                <c:pt idx="566">
                  <c:v>23</c:v>
                </c:pt>
                <c:pt idx="567">
                  <c:v>24</c:v>
                </c:pt>
                <c:pt idx="568">
                  <c:v>19</c:v>
                </c:pt>
                <c:pt idx="569">
                  <c:v>27</c:v>
                </c:pt>
                <c:pt idx="570">
                  <c:v>21</c:v>
                </c:pt>
                <c:pt idx="571">
                  <c:v>32</c:v>
                </c:pt>
                <c:pt idx="572">
                  <c:v>32</c:v>
                </c:pt>
                <c:pt idx="573">
                  <c:v>29</c:v>
                </c:pt>
                <c:pt idx="574">
                  <c:v>23</c:v>
                </c:pt>
                <c:pt idx="575">
                  <c:v>24</c:v>
                </c:pt>
                <c:pt idx="576">
                  <c:v>32</c:v>
                </c:pt>
                <c:pt idx="577">
                  <c:v>29</c:v>
                </c:pt>
                <c:pt idx="578">
                  <c:v>29</c:v>
                </c:pt>
                <c:pt idx="579">
                  <c:v>28</c:v>
                </c:pt>
                <c:pt idx="580">
                  <c:v>31</c:v>
                </c:pt>
                <c:pt idx="581">
                  <c:v>26</c:v>
                </c:pt>
                <c:pt idx="582">
                  <c:v>32</c:v>
                </c:pt>
                <c:pt idx="583">
                  <c:v>29</c:v>
                </c:pt>
                <c:pt idx="584">
                  <c:v>23</c:v>
                </c:pt>
                <c:pt idx="585">
                  <c:v>24</c:v>
                </c:pt>
                <c:pt idx="586">
                  <c:v>32</c:v>
                </c:pt>
                <c:pt idx="587">
                  <c:v>32</c:v>
                </c:pt>
                <c:pt idx="588">
                  <c:v>24</c:v>
                </c:pt>
                <c:pt idx="589">
                  <c:v>26</c:v>
                </c:pt>
                <c:pt idx="590">
                  <c:v>26</c:v>
                </c:pt>
                <c:pt idx="591">
                  <c:v>26</c:v>
                </c:pt>
                <c:pt idx="592">
                  <c:v>24</c:v>
                </c:pt>
                <c:pt idx="593">
                  <c:v>26</c:v>
                </c:pt>
                <c:pt idx="594">
                  <c:v>21</c:v>
                </c:pt>
                <c:pt idx="595">
                  <c:v>20</c:v>
                </c:pt>
                <c:pt idx="596">
                  <c:v>21</c:v>
                </c:pt>
                <c:pt idx="597">
                  <c:v>25</c:v>
                </c:pt>
                <c:pt idx="598">
                  <c:v>28</c:v>
                </c:pt>
                <c:pt idx="599">
                  <c:v>29</c:v>
                </c:pt>
                <c:pt idx="600">
                  <c:v>25</c:v>
                </c:pt>
                <c:pt idx="601">
                  <c:v>32</c:v>
                </c:pt>
                <c:pt idx="602">
                  <c:v>30</c:v>
                </c:pt>
                <c:pt idx="603">
                  <c:v>33</c:v>
                </c:pt>
                <c:pt idx="604">
                  <c:v>28</c:v>
                </c:pt>
                <c:pt idx="605">
                  <c:v>22</c:v>
                </c:pt>
                <c:pt idx="606">
                  <c:v>31</c:v>
                </c:pt>
                <c:pt idx="607">
                  <c:v>29</c:v>
                </c:pt>
                <c:pt idx="608">
                  <c:v>23</c:v>
                </c:pt>
                <c:pt idx="609">
                  <c:v>30</c:v>
                </c:pt>
                <c:pt idx="610">
                  <c:v>30</c:v>
                </c:pt>
                <c:pt idx="611">
                  <c:v>25</c:v>
                </c:pt>
                <c:pt idx="612">
                  <c:v>25</c:v>
                </c:pt>
                <c:pt idx="613">
                  <c:v>23</c:v>
                </c:pt>
                <c:pt idx="614">
                  <c:v>32</c:v>
                </c:pt>
                <c:pt idx="615">
                  <c:v>30</c:v>
                </c:pt>
                <c:pt idx="616">
                  <c:v>27</c:v>
                </c:pt>
                <c:pt idx="617">
                  <c:v>31</c:v>
                </c:pt>
                <c:pt idx="618">
                  <c:v>22</c:v>
                </c:pt>
                <c:pt idx="619">
                  <c:v>28</c:v>
                </c:pt>
                <c:pt idx="620">
                  <c:v>23</c:v>
                </c:pt>
                <c:pt idx="621">
                  <c:v>21</c:v>
                </c:pt>
                <c:pt idx="622">
                  <c:v>29</c:v>
                </c:pt>
                <c:pt idx="623">
                  <c:v>27</c:v>
                </c:pt>
                <c:pt idx="624">
                  <c:v>21</c:v>
                </c:pt>
                <c:pt idx="625">
                  <c:v>31</c:v>
                </c:pt>
                <c:pt idx="626">
                  <c:v>27</c:v>
                </c:pt>
                <c:pt idx="627">
                  <c:v>33</c:v>
                </c:pt>
                <c:pt idx="628">
                  <c:v>30</c:v>
                </c:pt>
                <c:pt idx="629">
                  <c:v>21</c:v>
                </c:pt>
                <c:pt idx="630">
                  <c:v>32</c:v>
                </c:pt>
                <c:pt idx="631">
                  <c:v>26</c:v>
                </c:pt>
                <c:pt idx="632">
                  <c:v>28</c:v>
                </c:pt>
                <c:pt idx="633">
                  <c:v>25</c:v>
                </c:pt>
                <c:pt idx="634">
                  <c:v>22</c:v>
                </c:pt>
                <c:pt idx="635">
                  <c:v>23</c:v>
                </c:pt>
                <c:pt idx="636">
                  <c:v>23</c:v>
                </c:pt>
                <c:pt idx="637">
                  <c:v>30</c:v>
                </c:pt>
                <c:pt idx="638">
                  <c:v>20</c:v>
                </c:pt>
                <c:pt idx="639">
                  <c:v>24</c:v>
                </c:pt>
                <c:pt idx="640">
                  <c:v>29</c:v>
                </c:pt>
                <c:pt idx="641">
                  <c:v>22</c:v>
                </c:pt>
                <c:pt idx="642">
                  <c:v>29</c:v>
                </c:pt>
                <c:pt idx="643">
                  <c:v>26</c:v>
                </c:pt>
                <c:pt idx="644">
                  <c:v>29</c:v>
                </c:pt>
                <c:pt idx="645">
                  <c:v>27</c:v>
                </c:pt>
                <c:pt idx="646">
                  <c:v>25</c:v>
                </c:pt>
                <c:pt idx="647">
                  <c:v>23</c:v>
                </c:pt>
                <c:pt idx="648">
                  <c:v>30</c:v>
                </c:pt>
                <c:pt idx="649">
                  <c:v>21</c:v>
                </c:pt>
                <c:pt idx="650">
                  <c:v>21</c:v>
                </c:pt>
                <c:pt idx="651">
                  <c:v>25</c:v>
                </c:pt>
                <c:pt idx="652">
                  <c:v>27</c:v>
                </c:pt>
                <c:pt idx="653">
                  <c:v>27</c:v>
                </c:pt>
                <c:pt idx="654">
                  <c:v>26</c:v>
                </c:pt>
                <c:pt idx="655">
                  <c:v>31</c:v>
                </c:pt>
                <c:pt idx="656">
                  <c:v>28</c:v>
                </c:pt>
                <c:pt idx="657">
                  <c:v>34</c:v>
                </c:pt>
                <c:pt idx="658">
                  <c:v>24</c:v>
                </c:pt>
                <c:pt idx="659">
                  <c:v>27</c:v>
                </c:pt>
                <c:pt idx="660">
                  <c:v>32</c:v>
                </c:pt>
                <c:pt idx="661">
                  <c:v>26</c:v>
                </c:pt>
                <c:pt idx="662">
                  <c:v>26</c:v>
                </c:pt>
                <c:pt idx="663">
                  <c:v>26</c:v>
                </c:pt>
                <c:pt idx="664">
                  <c:v>30</c:v>
                </c:pt>
                <c:pt idx="665">
                  <c:v>22</c:v>
                </c:pt>
                <c:pt idx="666">
                  <c:v>24</c:v>
                </c:pt>
                <c:pt idx="667">
                  <c:v>27</c:v>
                </c:pt>
                <c:pt idx="668">
                  <c:v>30</c:v>
                </c:pt>
                <c:pt idx="669">
                  <c:v>32</c:v>
                </c:pt>
                <c:pt idx="670">
                  <c:v>25</c:v>
                </c:pt>
                <c:pt idx="671">
                  <c:v>21</c:v>
                </c:pt>
                <c:pt idx="672">
                  <c:v>31</c:v>
                </c:pt>
                <c:pt idx="673">
                  <c:v>26</c:v>
                </c:pt>
                <c:pt idx="674">
                  <c:v>25</c:v>
                </c:pt>
                <c:pt idx="675">
                  <c:v>33</c:v>
                </c:pt>
                <c:pt idx="676">
                  <c:v>21</c:v>
                </c:pt>
                <c:pt idx="677">
                  <c:v>25</c:v>
                </c:pt>
                <c:pt idx="678">
                  <c:v>34</c:v>
                </c:pt>
                <c:pt idx="679">
                  <c:v>27</c:v>
                </c:pt>
                <c:pt idx="680">
                  <c:v>30</c:v>
                </c:pt>
                <c:pt idx="681">
                  <c:v>30</c:v>
                </c:pt>
                <c:pt idx="682">
                  <c:v>18</c:v>
                </c:pt>
                <c:pt idx="683">
                  <c:v>26</c:v>
                </c:pt>
                <c:pt idx="684">
                  <c:v>22</c:v>
                </c:pt>
                <c:pt idx="685">
                  <c:v>20</c:v>
                </c:pt>
                <c:pt idx="686">
                  <c:v>27</c:v>
                </c:pt>
                <c:pt idx="687">
                  <c:v>19</c:v>
                </c:pt>
                <c:pt idx="688">
                  <c:v>22</c:v>
                </c:pt>
                <c:pt idx="689">
                  <c:v>26</c:v>
                </c:pt>
                <c:pt idx="690">
                  <c:v>20</c:v>
                </c:pt>
                <c:pt idx="691">
                  <c:v>33</c:v>
                </c:pt>
                <c:pt idx="692">
                  <c:v>25</c:v>
                </c:pt>
                <c:pt idx="693">
                  <c:v>30</c:v>
                </c:pt>
                <c:pt idx="694">
                  <c:v>24</c:v>
                </c:pt>
                <c:pt idx="695">
                  <c:v>30</c:v>
                </c:pt>
                <c:pt idx="696">
                  <c:v>25</c:v>
                </c:pt>
                <c:pt idx="697">
                  <c:v>28</c:v>
                </c:pt>
                <c:pt idx="698">
                  <c:v>20</c:v>
                </c:pt>
                <c:pt idx="699">
                  <c:v>19</c:v>
                </c:pt>
                <c:pt idx="700">
                  <c:v>33</c:v>
                </c:pt>
                <c:pt idx="701">
                  <c:v>26</c:v>
                </c:pt>
                <c:pt idx="702">
                  <c:v>29</c:v>
                </c:pt>
                <c:pt idx="703">
                  <c:v>26</c:v>
                </c:pt>
                <c:pt idx="704">
                  <c:v>27</c:v>
                </c:pt>
                <c:pt idx="705">
                  <c:v>26</c:v>
                </c:pt>
                <c:pt idx="706">
                  <c:v>25</c:v>
                </c:pt>
                <c:pt idx="707">
                  <c:v>30</c:v>
                </c:pt>
                <c:pt idx="708">
                  <c:v>30</c:v>
                </c:pt>
                <c:pt idx="709">
                  <c:v>30</c:v>
                </c:pt>
                <c:pt idx="710">
                  <c:v>31</c:v>
                </c:pt>
                <c:pt idx="711">
                  <c:v>28</c:v>
                </c:pt>
                <c:pt idx="712">
                  <c:v>30</c:v>
                </c:pt>
                <c:pt idx="713">
                  <c:v>25</c:v>
                </c:pt>
                <c:pt idx="714">
                  <c:v>25</c:v>
                </c:pt>
                <c:pt idx="715">
                  <c:v>29</c:v>
                </c:pt>
                <c:pt idx="716">
                  <c:v>24</c:v>
                </c:pt>
                <c:pt idx="717">
                  <c:v>24</c:v>
                </c:pt>
                <c:pt idx="718">
                  <c:v>22</c:v>
                </c:pt>
                <c:pt idx="719">
                  <c:v>33</c:v>
                </c:pt>
                <c:pt idx="720">
                  <c:v>24</c:v>
                </c:pt>
                <c:pt idx="721">
                  <c:v>30</c:v>
                </c:pt>
                <c:pt idx="722">
                  <c:v>31</c:v>
                </c:pt>
                <c:pt idx="723">
                  <c:v>24</c:v>
                </c:pt>
                <c:pt idx="724">
                  <c:v>20</c:v>
                </c:pt>
                <c:pt idx="725">
                  <c:v>20</c:v>
                </c:pt>
                <c:pt idx="726">
                  <c:v>38</c:v>
                </c:pt>
                <c:pt idx="727">
                  <c:v>32</c:v>
                </c:pt>
                <c:pt idx="728">
                  <c:v>24</c:v>
                </c:pt>
                <c:pt idx="729">
                  <c:v>29</c:v>
                </c:pt>
                <c:pt idx="730">
                  <c:v>27</c:v>
                </c:pt>
                <c:pt idx="731">
                  <c:v>27</c:v>
                </c:pt>
                <c:pt idx="732">
                  <c:v>32</c:v>
                </c:pt>
                <c:pt idx="733">
                  <c:v>19</c:v>
                </c:pt>
                <c:pt idx="734">
                  <c:v>30</c:v>
                </c:pt>
                <c:pt idx="735">
                  <c:v>31</c:v>
                </c:pt>
                <c:pt idx="736">
                  <c:v>30</c:v>
                </c:pt>
                <c:pt idx="737">
                  <c:v>32</c:v>
                </c:pt>
                <c:pt idx="738">
                  <c:v>30</c:v>
                </c:pt>
                <c:pt idx="739">
                  <c:v>25</c:v>
                </c:pt>
                <c:pt idx="740">
                  <c:v>23</c:v>
                </c:pt>
                <c:pt idx="741">
                  <c:v>25</c:v>
                </c:pt>
                <c:pt idx="742">
                  <c:v>27</c:v>
                </c:pt>
                <c:pt idx="743">
                  <c:v>28</c:v>
                </c:pt>
                <c:pt idx="744">
                  <c:v>29</c:v>
                </c:pt>
                <c:pt idx="745">
                  <c:v>26</c:v>
                </c:pt>
                <c:pt idx="746">
                  <c:v>27</c:v>
                </c:pt>
                <c:pt idx="747">
                  <c:v>29</c:v>
                </c:pt>
                <c:pt idx="748">
                  <c:v>30</c:v>
                </c:pt>
                <c:pt idx="749">
                  <c:v>28</c:v>
                </c:pt>
                <c:pt idx="750">
                  <c:v>21</c:v>
                </c:pt>
                <c:pt idx="751">
                  <c:v>27</c:v>
                </c:pt>
                <c:pt idx="752">
                  <c:v>36</c:v>
                </c:pt>
                <c:pt idx="753">
                  <c:v>27</c:v>
                </c:pt>
                <c:pt idx="754">
                  <c:v>36</c:v>
                </c:pt>
                <c:pt idx="755">
                  <c:v>23</c:v>
                </c:pt>
                <c:pt idx="756">
                  <c:v>31</c:v>
                </c:pt>
                <c:pt idx="757">
                  <c:v>25</c:v>
                </c:pt>
                <c:pt idx="758">
                  <c:v>25</c:v>
                </c:pt>
                <c:pt idx="759">
                  <c:v>20</c:v>
                </c:pt>
                <c:pt idx="760">
                  <c:v>35</c:v>
                </c:pt>
                <c:pt idx="761">
                  <c:v>28</c:v>
                </c:pt>
                <c:pt idx="762">
                  <c:v>23</c:v>
                </c:pt>
                <c:pt idx="763">
                  <c:v>36</c:v>
                </c:pt>
                <c:pt idx="764">
                  <c:v>29</c:v>
                </c:pt>
                <c:pt idx="765">
                  <c:v>26</c:v>
                </c:pt>
                <c:pt idx="766">
                  <c:v>24</c:v>
                </c:pt>
                <c:pt idx="767">
                  <c:v>25</c:v>
                </c:pt>
                <c:pt idx="768">
                  <c:v>25</c:v>
                </c:pt>
                <c:pt idx="769">
                  <c:v>26</c:v>
                </c:pt>
                <c:pt idx="770">
                  <c:v>32</c:v>
                </c:pt>
                <c:pt idx="771">
                  <c:v>22</c:v>
                </c:pt>
                <c:pt idx="772">
                  <c:v>35</c:v>
                </c:pt>
                <c:pt idx="773">
                  <c:v>35</c:v>
                </c:pt>
                <c:pt idx="774">
                  <c:v>29</c:v>
                </c:pt>
                <c:pt idx="775">
                  <c:v>24</c:v>
                </c:pt>
                <c:pt idx="776">
                  <c:v>21</c:v>
                </c:pt>
                <c:pt idx="777">
                  <c:v>25</c:v>
                </c:pt>
                <c:pt idx="778">
                  <c:v>28</c:v>
                </c:pt>
                <c:pt idx="779">
                  <c:v>22</c:v>
                </c:pt>
                <c:pt idx="780">
                  <c:v>29</c:v>
                </c:pt>
                <c:pt idx="781">
                  <c:v>23</c:v>
                </c:pt>
                <c:pt idx="782">
                  <c:v>25</c:v>
                </c:pt>
                <c:pt idx="783">
                  <c:v>19</c:v>
                </c:pt>
                <c:pt idx="784">
                  <c:v>20</c:v>
                </c:pt>
                <c:pt idx="785">
                  <c:v>24</c:v>
                </c:pt>
                <c:pt idx="786">
                  <c:v>21</c:v>
                </c:pt>
                <c:pt idx="787">
                  <c:v>24</c:v>
                </c:pt>
                <c:pt idx="788">
                  <c:v>22</c:v>
                </c:pt>
                <c:pt idx="789">
                  <c:v>27</c:v>
                </c:pt>
                <c:pt idx="790">
                  <c:v>35</c:v>
                </c:pt>
                <c:pt idx="791">
                  <c:v>24</c:v>
                </c:pt>
                <c:pt idx="792">
                  <c:v>30</c:v>
                </c:pt>
                <c:pt idx="793">
                  <c:v>28</c:v>
                </c:pt>
                <c:pt idx="794">
                  <c:v>27</c:v>
                </c:pt>
                <c:pt idx="795">
                  <c:v>26</c:v>
                </c:pt>
                <c:pt idx="796">
                  <c:v>24</c:v>
                </c:pt>
                <c:pt idx="797">
                  <c:v>24</c:v>
                </c:pt>
                <c:pt idx="798">
                  <c:v>22</c:v>
                </c:pt>
                <c:pt idx="799">
                  <c:v>29</c:v>
                </c:pt>
                <c:pt idx="800">
                  <c:v>27</c:v>
                </c:pt>
                <c:pt idx="801">
                  <c:v>22</c:v>
                </c:pt>
                <c:pt idx="802">
                  <c:v>33</c:v>
                </c:pt>
                <c:pt idx="803">
                  <c:v>19</c:v>
                </c:pt>
                <c:pt idx="804">
                  <c:v>35</c:v>
                </c:pt>
                <c:pt idx="805">
                  <c:v>33</c:v>
                </c:pt>
                <c:pt idx="806">
                  <c:v>21</c:v>
                </c:pt>
                <c:pt idx="807">
                  <c:v>29</c:v>
                </c:pt>
                <c:pt idx="808">
                  <c:v>25</c:v>
                </c:pt>
                <c:pt idx="809">
                  <c:v>25</c:v>
                </c:pt>
                <c:pt idx="810">
                  <c:v>32</c:v>
                </c:pt>
                <c:pt idx="811">
                  <c:v>25</c:v>
                </c:pt>
                <c:pt idx="812">
                  <c:v>21</c:v>
                </c:pt>
                <c:pt idx="813">
                  <c:v>31</c:v>
                </c:pt>
                <c:pt idx="814">
                  <c:v>33</c:v>
                </c:pt>
                <c:pt idx="815">
                  <c:v>29</c:v>
                </c:pt>
                <c:pt idx="816">
                  <c:v>30</c:v>
                </c:pt>
                <c:pt idx="817">
                  <c:v>27</c:v>
                </c:pt>
                <c:pt idx="818">
                  <c:v>22</c:v>
                </c:pt>
                <c:pt idx="819">
                  <c:v>25</c:v>
                </c:pt>
                <c:pt idx="820">
                  <c:v>27</c:v>
                </c:pt>
                <c:pt idx="821">
                  <c:v>29</c:v>
                </c:pt>
                <c:pt idx="822">
                  <c:v>23</c:v>
                </c:pt>
                <c:pt idx="823">
                  <c:v>25</c:v>
                </c:pt>
                <c:pt idx="824">
                  <c:v>30</c:v>
                </c:pt>
                <c:pt idx="825">
                  <c:v>23</c:v>
                </c:pt>
                <c:pt idx="826">
                  <c:v>22</c:v>
                </c:pt>
                <c:pt idx="827">
                  <c:v>22</c:v>
                </c:pt>
                <c:pt idx="828">
                  <c:v>20</c:v>
                </c:pt>
                <c:pt idx="829">
                  <c:v>22</c:v>
                </c:pt>
              </c:numCache>
            </c:numRef>
          </c:xVal>
          <c:yVal>
            <c:numRef>
              <c:f>Squads!$I$2:$I$831</c:f>
              <c:numCache>
                <c:formatCode>General</c:formatCode>
                <c:ptCount val="830"/>
                <c:pt idx="0">
                  <c:v>18</c:v>
                </c:pt>
                <c:pt idx="1">
                  <c:v>16</c:v>
                </c:pt>
                <c:pt idx="2">
                  <c:v>42</c:v>
                </c:pt>
                <c:pt idx="3">
                  <c:v>18</c:v>
                </c:pt>
                <c:pt idx="4">
                  <c:v>46</c:v>
                </c:pt>
                <c:pt idx="5">
                  <c:v>32</c:v>
                </c:pt>
                <c:pt idx="6">
                  <c:v>44</c:v>
                </c:pt>
                <c:pt idx="7">
                  <c:v>43</c:v>
                </c:pt>
                <c:pt idx="8">
                  <c:v>12</c:v>
                </c:pt>
                <c:pt idx="9">
                  <c:v>165</c:v>
                </c:pt>
                <c:pt idx="10">
                  <c:v>124</c:v>
                </c:pt>
                <c:pt idx="11">
                  <c:v>4</c:v>
                </c:pt>
                <c:pt idx="12">
                  <c:v>12</c:v>
                </c:pt>
                <c:pt idx="13">
                  <c:v>20</c:v>
                </c:pt>
                <c:pt idx="14">
                  <c:v>22</c:v>
                </c:pt>
                <c:pt idx="15">
                  <c:v>1</c:v>
                </c:pt>
                <c:pt idx="16">
                  <c:v>15</c:v>
                </c:pt>
                <c:pt idx="17">
                  <c:v>26</c:v>
                </c:pt>
                <c:pt idx="18">
                  <c:v>93</c:v>
                </c:pt>
                <c:pt idx="19">
                  <c:v>8</c:v>
                </c:pt>
                <c:pt idx="20">
                  <c:v>34</c:v>
                </c:pt>
                <c:pt idx="21">
                  <c:v>40</c:v>
                </c:pt>
                <c:pt idx="22">
                  <c:v>19</c:v>
                </c:pt>
                <c:pt idx="23">
                  <c:v>3</c:v>
                </c:pt>
                <c:pt idx="24">
                  <c:v>10</c:v>
                </c:pt>
                <c:pt idx="25">
                  <c:v>20</c:v>
                </c:pt>
                <c:pt idx="26">
                  <c:v>75</c:v>
                </c:pt>
                <c:pt idx="27">
                  <c:v>38</c:v>
                </c:pt>
                <c:pt idx="28">
                  <c:v>5</c:v>
                </c:pt>
                <c:pt idx="29">
                  <c:v>3</c:v>
                </c:pt>
                <c:pt idx="30">
                  <c:v>11</c:v>
                </c:pt>
                <c:pt idx="31">
                  <c:v>19</c:v>
                </c:pt>
                <c:pt idx="32">
                  <c:v>73</c:v>
                </c:pt>
                <c:pt idx="33">
                  <c:v>27</c:v>
                </c:pt>
                <c:pt idx="34">
                  <c:v>26</c:v>
                </c:pt>
                <c:pt idx="35">
                  <c:v>20</c:v>
                </c:pt>
                <c:pt idx="36">
                  <c:v>29</c:v>
                </c:pt>
                <c:pt idx="37">
                  <c:v>4</c:v>
                </c:pt>
                <c:pt idx="38">
                  <c:v>53</c:v>
                </c:pt>
                <c:pt idx="39">
                  <c:v>11</c:v>
                </c:pt>
                <c:pt idx="40">
                  <c:v>21</c:v>
                </c:pt>
                <c:pt idx="41">
                  <c:v>53</c:v>
                </c:pt>
                <c:pt idx="42">
                  <c:v>1</c:v>
                </c:pt>
                <c:pt idx="43">
                  <c:v>4</c:v>
                </c:pt>
                <c:pt idx="44">
                  <c:v>10</c:v>
                </c:pt>
                <c:pt idx="45">
                  <c:v>2</c:v>
                </c:pt>
                <c:pt idx="46">
                  <c:v>1</c:v>
                </c:pt>
                <c:pt idx="47">
                  <c:v>49</c:v>
                </c:pt>
                <c:pt idx="48">
                  <c:v>10</c:v>
                </c:pt>
                <c:pt idx="49">
                  <c:v>4</c:v>
                </c:pt>
                <c:pt idx="50">
                  <c:v>1</c:v>
                </c:pt>
                <c:pt idx="51">
                  <c:v>1</c:v>
                </c:pt>
                <c:pt idx="52">
                  <c:v>97</c:v>
                </c:pt>
                <c:pt idx="53">
                  <c:v>124</c:v>
                </c:pt>
                <c:pt idx="54">
                  <c:v>4</c:v>
                </c:pt>
                <c:pt idx="55">
                  <c:v>1</c:v>
                </c:pt>
                <c:pt idx="56">
                  <c:v>142</c:v>
                </c:pt>
                <c:pt idx="57">
                  <c:v>127</c:v>
                </c:pt>
                <c:pt idx="58">
                  <c:v>94</c:v>
                </c:pt>
                <c:pt idx="59">
                  <c:v>55</c:v>
                </c:pt>
                <c:pt idx="60">
                  <c:v>102</c:v>
                </c:pt>
                <c:pt idx="61">
                  <c:v>123</c:v>
                </c:pt>
                <c:pt idx="62">
                  <c:v>60</c:v>
                </c:pt>
                <c:pt idx="63">
                  <c:v>35</c:v>
                </c:pt>
                <c:pt idx="64">
                  <c:v>4</c:v>
                </c:pt>
                <c:pt idx="65">
                  <c:v>107</c:v>
                </c:pt>
                <c:pt idx="66">
                  <c:v>59</c:v>
                </c:pt>
                <c:pt idx="67">
                  <c:v>45</c:v>
                </c:pt>
                <c:pt idx="68">
                  <c:v>21</c:v>
                </c:pt>
                <c:pt idx="69">
                  <c:v>2</c:v>
                </c:pt>
                <c:pt idx="70">
                  <c:v>29</c:v>
                </c:pt>
                <c:pt idx="71">
                  <c:v>23</c:v>
                </c:pt>
                <c:pt idx="72">
                  <c:v>26</c:v>
                </c:pt>
                <c:pt idx="73">
                  <c:v>10</c:v>
                </c:pt>
                <c:pt idx="74">
                  <c:v>48</c:v>
                </c:pt>
                <c:pt idx="75">
                  <c:v>5</c:v>
                </c:pt>
                <c:pt idx="76">
                  <c:v>11</c:v>
                </c:pt>
                <c:pt idx="77">
                  <c:v>3</c:v>
                </c:pt>
                <c:pt idx="78">
                  <c:v>57</c:v>
                </c:pt>
                <c:pt idx="79">
                  <c:v>46</c:v>
                </c:pt>
                <c:pt idx="80">
                  <c:v>109</c:v>
                </c:pt>
                <c:pt idx="81">
                  <c:v>71</c:v>
                </c:pt>
                <c:pt idx="82">
                  <c:v>65</c:v>
                </c:pt>
                <c:pt idx="83">
                  <c:v>37</c:v>
                </c:pt>
                <c:pt idx="84">
                  <c:v>35</c:v>
                </c:pt>
                <c:pt idx="85">
                  <c:v>28</c:v>
                </c:pt>
                <c:pt idx="86">
                  <c:v>38</c:v>
                </c:pt>
                <c:pt idx="87">
                  <c:v>121</c:v>
                </c:pt>
                <c:pt idx="88">
                  <c:v>11</c:v>
                </c:pt>
                <c:pt idx="89">
                  <c:v>8</c:v>
                </c:pt>
                <c:pt idx="90">
                  <c:v>124</c:v>
                </c:pt>
                <c:pt idx="91">
                  <c:v>23</c:v>
                </c:pt>
                <c:pt idx="92">
                  <c:v>28</c:v>
                </c:pt>
                <c:pt idx="93">
                  <c:v>8</c:v>
                </c:pt>
                <c:pt idx="94">
                  <c:v>8</c:v>
                </c:pt>
                <c:pt idx="95">
                  <c:v>56</c:v>
                </c:pt>
                <c:pt idx="96">
                  <c:v>11</c:v>
                </c:pt>
                <c:pt idx="97">
                  <c:v>16</c:v>
                </c:pt>
                <c:pt idx="98">
                  <c:v>7</c:v>
                </c:pt>
                <c:pt idx="99">
                  <c:v>21</c:v>
                </c:pt>
                <c:pt idx="100">
                  <c:v>18</c:v>
                </c:pt>
                <c:pt idx="101">
                  <c:v>1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2</c:v>
                </c:pt>
                <c:pt idx="106">
                  <c:v>78</c:v>
                </c:pt>
                <c:pt idx="107">
                  <c:v>3</c:v>
                </c:pt>
                <c:pt idx="108">
                  <c:v>4</c:v>
                </c:pt>
                <c:pt idx="109">
                  <c:v>42</c:v>
                </c:pt>
                <c:pt idx="110">
                  <c:v>2</c:v>
                </c:pt>
                <c:pt idx="111">
                  <c:v>43</c:v>
                </c:pt>
                <c:pt idx="112">
                  <c:v>4</c:v>
                </c:pt>
                <c:pt idx="113">
                  <c:v>91</c:v>
                </c:pt>
                <c:pt idx="114">
                  <c:v>43</c:v>
                </c:pt>
                <c:pt idx="115">
                  <c:v>51</c:v>
                </c:pt>
                <c:pt idx="116">
                  <c:v>69</c:v>
                </c:pt>
                <c:pt idx="117">
                  <c:v>22</c:v>
                </c:pt>
                <c:pt idx="118">
                  <c:v>32</c:v>
                </c:pt>
                <c:pt idx="119">
                  <c:v>5</c:v>
                </c:pt>
                <c:pt idx="120">
                  <c:v>11</c:v>
                </c:pt>
                <c:pt idx="121">
                  <c:v>19</c:v>
                </c:pt>
                <c:pt idx="122">
                  <c:v>52</c:v>
                </c:pt>
                <c:pt idx="123">
                  <c:v>3</c:v>
                </c:pt>
                <c:pt idx="124">
                  <c:v>14</c:v>
                </c:pt>
                <c:pt idx="125">
                  <c:v>3</c:v>
                </c:pt>
                <c:pt idx="126">
                  <c:v>33</c:v>
                </c:pt>
                <c:pt idx="127">
                  <c:v>2</c:v>
                </c:pt>
                <c:pt idx="128">
                  <c:v>18</c:v>
                </c:pt>
                <c:pt idx="129">
                  <c:v>3</c:v>
                </c:pt>
                <c:pt idx="130">
                  <c:v>2</c:v>
                </c:pt>
                <c:pt idx="131">
                  <c:v>30</c:v>
                </c:pt>
                <c:pt idx="132">
                  <c:v>34</c:v>
                </c:pt>
                <c:pt idx="133">
                  <c:v>29</c:v>
                </c:pt>
                <c:pt idx="134">
                  <c:v>35</c:v>
                </c:pt>
                <c:pt idx="135">
                  <c:v>66</c:v>
                </c:pt>
                <c:pt idx="136">
                  <c:v>26</c:v>
                </c:pt>
                <c:pt idx="137">
                  <c:v>15</c:v>
                </c:pt>
                <c:pt idx="138">
                  <c:v>34</c:v>
                </c:pt>
                <c:pt idx="139">
                  <c:v>50</c:v>
                </c:pt>
                <c:pt idx="140">
                  <c:v>26</c:v>
                </c:pt>
                <c:pt idx="141">
                  <c:v>8</c:v>
                </c:pt>
                <c:pt idx="142">
                  <c:v>98</c:v>
                </c:pt>
                <c:pt idx="143">
                  <c:v>38</c:v>
                </c:pt>
                <c:pt idx="144">
                  <c:v>6</c:v>
                </c:pt>
                <c:pt idx="145">
                  <c:v>0</c:v>
                </c:pt>
                <c:pt idx="146">
                  <c:v>55</c:v>
                </c:pt>
                <c:pt idx="147">
                  <c:v>68</c:v>
                </c:pt>
                <c:pt idx="148">
                  <c:v>34</c:v>
                </c:pt>
                <c:pt idx="149">
                  <c:v>35</c:v>
                </c:pt>
                <c:pt idx="150">
                  <c:v>57</c:v>
                </c:pt>
                <c:pt idx="151">
                  <c:v>34</c:v>
                </c:pt>
                <c:pt idx="152">
                  <c:v>16</c:v>
                </c:pt>
                <c:pt idx="153">
                  <c:v>10</c:v>
                </c:pt>
                <c:pt idx="154">
                  <c:v>14</c:v>
                </c:pt>
                <c:pt idx="155">
                  <c:v>2</c:v>
                </c:pt>
                <c:pt idx="156">
                  <c:v>107</c:v>
                </c:pt>
                <c:pt idx="157">
                  <c:v>8</c:v>
                </c:pt>
                <c:pt idx="158">
                  <c:v>12</c:v>
                </c:pt>
                <c:pt idx="159">
                  <c:v>31</c:v>
                </c:pt>
                <c:pt idx="160">
                  <c:v>155</c:v>
                </c:pt>
                <c:pt idx="161">
                  <c:v>71</c:v>
                </c:pt>
                <c:pt idx="162">
                  <c:v>9</c:v>
                </c:pt>
                <c:pt idx="163">
                  <c:v>76</c:v>
                </c:pt>
                <c:pt idx="164">
                  <c:v>7</c:v>
                </c:pt>
                <c:pt idx="165">
                  <c:v>146</c:v>
                </c:pt>
                <c:pt idx="166">
                  <c:v>82</c:v>
                </c:pt>
                <c:pt idx="167">
                  <c:v>119</c:v>
                </c:pt>
                <c:pt idx="168">
                  <c:v>13</c:v>
                </c:pt>
                <c:pt idx="169">
                  <c:v>4</c:v>
                </c:pt>
                <c:pt idx="170">
                  <c:v>75</c:v>
                </c:pt>
                <c:pt idx="171">
                  <c:v>7</c:v>
                </c:pt>
                <c:pt idx="172">
                  <c:v>73</c:v>
                </c:pt>
                <c:pt idx="173">
                  <c:v>25</c:v>
                </c:pt>
                <c:pt idx="174">
                  <c:v>63</c:v>
                </c:pt>
                <c:pt idx="175">
                  <c:v>4</c:v>
                </c:pt>
                <c:pt idx="176">
                  <c:v>3</c:v>
                </c:pt>
                <c:pt idx="177">
                  <c:v>52</c:v>
                </c:pt>
                <c:pt idx="178">
                  <c:v>2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34</c:v>
                </c:pt>
                <c:pt idx="183">
                  <c:v>7</c:v>
                </c:pt>
                <c:pt idx="184">
                  <c:v>28</c:v>
                </c:pt>
                <c:pt idx="185">
                  <c:v>116</c:v>
                </c:pt>
                <c:pt idx="186">
                  <c:v>4</c:v>
                </c:pt>
                <c:pt idx="187">
                  <c:v>72</c:v>
                </c:pt>
                <c:pt idx="188">
                  <c:v>11</c:v>
                </c:pt>
                <c:pt idx="189">
                  <c:v>84</c:v>
                </c:pt>
                <c:pt idx="190">
                  <c:v>74</c:v>
                </c:pt>
                <c:pt idx="191">
                  <c:v>155</c:v>
                </c:pt>
                <c:pt idx="192">
                  <c:v>77</c:v>
                </c:pt>
                <c:pt idx="193">
                  <c:v>2</c:v>
                </c:pt>
                <c:pt idx="194">
                  <c:v>42</c:v>
                </c:pt>
                <c:pt idx="195">
                  <c:v>14</c:v>
                </c:pt>
                <c:pt idx="196">
                  <c:v>43</c:v>
                </c:pt>
                <c:pt idx="197">
                  <c:v>23</c:v>
                </c:pt>
                <c:pt idx="198">
                  <c:v>15</c:v>
                </c:pt>
                <c:pt idx="199">
                  <c:v>21</c:v>
                </c:pt>
                <c:pt idx="200">
                  <c:v>8</c:v>
                </c:pt>
                <c:pt idx="201">
                  <c:v>12</c:v>
                </c:pt>
                <c:pt idx="202">
                  <c:v>100</c:v>
                </c:pt>
                <c:pt idx="203">
                  <c:v>21</c:v>
                </c:pt>
                <c:pt idx="204">
                  <c:v>5</c:v>
                </c:pt>
                <c:pt idx="205">
                  <c:v>3</c:v>
                </c:pt>
                <c:pt idx="206">
                  <c:v>4</c:v>
                </c:pt>
                <c:pt idx="207">
                  <c:v>4</c:v>
                </c:pt>
                <c:pt idx="208">
                  <c:v>86</c:v>
                </c:pt>
                <c:pt idx="209">
                  <c:v>19</c:v>
                </c:pt>
                <c:pt idx="210">
                  <c:v>7</c:v>
                </c:pt>
                <c:pt idx="211">
                  <c:v>121</c:v>
                </c:pt>
                <c:pt idx="212">
                  <c:v>31</c:v>
                </c:pt>
                <c:pt idx="213">
                  <c:v>58</c:v>
                </c:pt>
                <c:pt idx="214">
                  <c:v>20</c:v>
                </c:pt>
                <c:pt idx="215">
                  <c:v>71</c:v>
                </c:pt>
                <c:pt idx="216">
                  <c:v>62</c:v>
                </c:pt>
                <c:pt idx="217">
                  <c:v>117</c:v>
                </c:pt>
                <c:pt idx="218">
                  <c:v>23</c:v>
                </c:pt>
                <c:pt idx="219">
                  <c:v>37</c:v>
                </c:pt>
                <c:pt idx="220">
                  <c:v>10</c:v>
                </c:pt>
                <c:pt idx="221">
                  <c:v>18</c:v>
                </c:pt>
                <c:pt idx="222">
                  <c:v>17</c:v>
                </c:pt>
                <c:pt idx="223">
                  <c:v>1</c:v>
                </c:pt>
                <c:pt idx="224">
                  <c:v>49</c:v>
                </c:pt>
                <c:pt idx="225">
                  <c:v>44</c:v>
                </c:pt>
                <c:pt idx="226">
                  <c:v>15</c:v>
                </c:pt>
                <c:pt idx="227">
                  <c:v>68</c:v>
                </c:pt>
                <c:pt idx="228">
                  <c:v>41</c:v>
                </c:pt>
                <c:pt idx="229">
                  <c:v>8</c:v>
                </c:pt>
                <c:pt idx="230">
                  <c:v>60</c:v>
                </c:pt>
                <c:pt idx="231">
                  <c:v>11</c:v>
                </c:pt>
                <c:pt idx="232">
                  <c:v>6</c:v>
                </c:pt>
                <c:pt idx="233">
                  <c:v>4</c:v>
                </c:pt>
                <c:pt idx="234">
                  <c:v>12</c:v>
                </c:pt>
                <c:pt idx="235">
                  <c:v>17</c:v>
                </c:pt>
                <c:pt idx="236">
                  <c:v>21</c:v>
                </c:pt>
                <c:pt idx="237">
                  <c:v>33</c:v>
                </c:pt>
                <c:pt idx="238">
                  <c:v>11</c:v>
                </c:pt>
                <c:pt idx="239">
                  <c:v>0</c:v>
                </c:pt>
                <c:pt idx="240">
                  <c:v>28</c:v>
                </c:pt>
                <c:pt idx="241">
                  <c:v>46</c:v>
                </c:pt>
                <c:pt idx="242">
                  <c:v>27</c:v>
                </c:pt>
                <c:pt idx="243">
                  <c:v>25</c:v>
                </c:pt>
                <c:pt idx="244">
                  <c:v>36</c:v>
                </c:pt>
                <c:pt idx="245">
                  <c:v>2</c:v>
                </c:pt>
                <c:pt idx="246">
                  <c:v>74</c:v>
                </c:pt>
                <c:pt idx="247">
                  <c:v>18</c:v>
                </c:pt>
                <c:pt idx="248">
                  <c:v>46</c:v>
                </c:pt>
                <c:pt idx="249">
                  <c:v>9</c:v>
                </c:pt>
                <c:pt idx="250">
                  <c:v>24</c:v>
                </c:pt>
                <c:pt idx="251">
                  <c:v>12</c:v>
                </c:pt>
                <c:pt idx="252">
                  <c:v>30</c:v>
                </c:pt>
                <c:pt idx="253">
                  <c:v>32</c:v>
                </c:pt>
                <c:pt idx="254">
                  <c:v>25</c:v>
                </c:pt>
                <c:pt idx="255">
                  <c:v>68</c:v>
                </c:pt>
                <c:pt idx="256">
                  <c:v>25</c:v>
                </c:pt>
                <c:pt idx="257">
                  <c:v>4</c:v>
                </c:pt>
                <c:pt idx="258">
                  <c:v>5</c:v>
                </c:pt>
                <c:pt idx="259">
                  <c:v>1</c:v>
                </c:pt>
                <c:pt idx="260">
                  <c:v>45</c:v>
                </c:pt>
                <c:pt idx="261">
                  <c:v>70</c:v>
                </c:pt>
                <c:pt idx="262">
                  <c:v>23</c:v>
                </c:pt>
                <c:pt idx="263">
                  <c:v>34</c:v>
                </c:pt>
                <c:pt idx="264">
                  <c:v>59</c:v>
                </c:pt>
                <c:pt idx="265">
                  <c:v>48</c:v>
                </c:pt>
                <c:pt idx="266">
                  <c:v>24</c:v>
                </c:pt>
                <c:pt idx="267">
                  <c:v>70</c:v>
                </c:pt>
                <c:pt idx="268">
                  <c:v>75</c:v>
                </c:pt>
                <c:pt idx="269">
                  <c:v>79</c:v>
                </c:pt>
                <c:pt idx="270">
                  <c:v>46</c:v>
                </c:pt>
                <c:pt idx="271">
                  <c:v>37</c:v>
                </c:pt>
                <c:pt idx="272">
                  <c:v>10</c:v>
                </c:pt>
                <c:pt idx="273">
                  <c:v>23</c:v>
                </c:pt>
                <c:pt idx="274">
                  <c:v>47</c:v>
                </c:pt>
                <c:pt idx="275">
                  <c:v>10</c:v>
                </c:pt>
                <c:pt idx="276">
                  <c:v>20</c:v>
                </c:pt>
                <c:pt idx="277">
                  <c:v>17</c:v>
                </c:pt>
                <c:pt idx="278">
                  <c:v>32</c:v>
                </c:pt>
                <c:pt idx="279">
                  <c:v>18</c:v>
                </c:pt>
                <c:pt idx="280">
                  <c:v>4</c:v>
                </c:pt>
                <c:pt idx="281">
                  <c:v>17</c:v>
                </c:pt>
                <c:pt idx="282">
                  <c:v>3</c:v>
                </c:pt>
                <c:pt idx="283">
                  <c:v>4</c:v>
                </c:pt>
                <c:pt idx="284">
                  <c:v>1</c:v>
                </c:pt>
                <c:pt idx="285">
                  <c:v>4</c:v>
                </c:pt>
                <c:pt idx="286">
                  <c:v>139</c:v>
                </c:pt>
                <c:pt idx="287">
                  <c:v>46</c:v>
                </c:pt>
                <c:pt idx="288">
                  <c:v>0</c:v>
                </c:pt>
                <c:pt idx="289">
                  <c:v>87</c:v>
                </c:pt>
                <c:pt idx="290">
                  <c:v>12</c:v>
                </c:pt>
                <c:pt idx="291">
                  <c:v>6</c:v>
                </c:pt>
                <c:pt idx="292">
                  <c:v>110</c:v>
                </c:pt>
                <c:pt idx="293">
                  <c:v>14</c:v>
                </c:pt>
                <c:pt idx="294">
                  <c:v>114</c:v>
                </c:pt>
                <c:pt idx="295">
                  <c:v>59</c:v>
                </c:pt>
                <c:pt idx="296">
                  <c:v>28</c:v>
                </c:pt>
                <c:pt idx="297">
                  <c:v>2</c:v>
                </c:pt>
                <c:pt idx="298">
                  <c:v>2</c:v>
                </c:pt>
                <c:pt idx="299">
                  <c:v>29</c:v>
                </c:pt>
                <c:pt idx="300">
                  <c:v>5</c:v>
                </c:pt>
                <c:pt idx="301">
                  <c:v>34</c:v>
                </c:pt>
                <c:pt idx="302">
                  <c:v>7</c:v>
                </c:pt>
                <c:pt idx="303">
                  <c:v>7</c:v>
                </c:pt>
                <c:pt idx="304">
                  <c:v>97</c:v>
                </c:pt>
                <c:pt idx="305">
                  <c:v>40</c:v>
                </c:pt>
                <c:pt idx="306">
                  <c:v>32</c:v>
                </c:pt>
                <c:pt idx="307">
                  <c:v>7</c:v>
                </c:pt>
                <c:pt idx="308">
                  <c:v>5</c:v>
                </c:pt>
                <c:pt idx="309">
                  <c:v>2</c:v>
                </c:pt>
                <c:pt idx="310">
                  <c:v>4</c:v>
                </c:pt>
                <c:pt idx="311">
                  <c:v>4</c:v>
                </c:pt>
                <c:pt idx="312">
                  <c:v>114</c:v>
                </c:pt>
                <c:pt idx="313">
                  <c:v>54</c:v>
                </c:pt>
                <c:pt idx="314">
                  <c:v>12</c:v>
                </c:pt>
                <c:pt idx="315">
                  <c:v>47</c:v>
                </c:pt>
                <c:pt idx="316">
                  <c:v>23</c:v>
                </c:pt>
                <c:pt idx="317">
                  <c:v>71</c:v>
                </c:pt>
                <c:pt idx="318">
                  <c:v>31</c:v>
                </c:pt>
                <c:pt idx="319">
                  <c:v>45</c:v>
                </c:pt>
                <c:pt idx="320">
                  <c:v>1</c:v>
                </c:pt>
                <c:pt idx="321">
                  <c:v>36</c:v>
                </c:pt>
                <c:pt idx="322">
                  <c:v>63</c:v>
                </c:pt>
                <c:pt idx="323">
                  <c:v>6</c:v>
                </c:pt>
                <c:pt idx="324">
                  <c:v>118</c:v>
                </c:pt>
                <c:pt idx="325">
                  <c:v>17</c:v>
                </c:pt>
                <c:pt idx="326">
                  <c:v>42</c:v>
                </c:pt>
                <c:pt idx="327">
                  <c:v>19</c:v>
                </c:pt>
                <c:pt idx="328">
                  <c:v>39</c:v>
                </c:pt>
                <c:pt idx="329">
                  <c:v>17</c:v>
                </c:pt>
                <c:pt idx="330">
                  <c:v>48</c:v>
                </c:pt>
                <c:pt idx="331">
                  <c:v>7</c:v>
                </c:pt>
                <c:pt idx="332">
                  <c:v>63</c:v>
                </c:pt>
                <c:pt idx="333">
                  <c:v>30</c:v>
                </c:pt>
                <c:pt idx="334">
                  <c:v>6</c:v>
                </c:pt>
                <c:pt idx="335">
                  <c:v>4</c:v>
                </c:pt>
                <c:pt idx="336">
                  <c:v>2</c:v>
                </c:pt>
                <c:pt idx="337">
                  <c:v>1</c:v>
                </c:pt>
                <c:pt idx="338">
                  <c:v>11</c:v>
                </c:pt>
                <c:pt idx="339">
                  <c:v>2</c:v>
                </c:pt>
                <c:pt idx="340">
                  <c:v>4</c:v>
                </c:pt>
                <c:pt idx="341">
                  <c:v>3</c:v>
                </c:pt>
                <c:pt idx="342">
                  <c:v>40</c:v>
                </c:pt>
                <c:pt idx="343">
                  <c:v>3</c:v>
                </c:pt>
                <c:pt idx="344">
                  <c:v>13</c:v>
                </c:pt>
                <c:pt idx="345">
                  <c:v>15</c:v>
                </c:pt>
                <c:pt idx="346">
                  <c:v>84</c:v>
                </c:pt>
                <c:pt idx="347">
                  <c:v>110</c:v>
                </c:pt>
                <c:pt idx="348">
                  <c:v>7</c:v>
                </c:pt>
                <c:pt idx="349">
                  <c:v>4</c:v>
                </c:pt>
                <c:pt idx="350">
                  <c:v>7</c:v>
                </c:pt>
                <c:pt idx="351">
                  <c:v>12</c:v>
                </c:pt>
                <c:pt idx="352">
                  <c:v>11</c:v>
                </c:pt>
                <c:pt idx="353">
                  <c:v>2</c:v>
                </c:pt>
                <c:pt idx="354">
                  <c:v>48</c:v>
                </c:pt>
                <c:pt idx="355">
                  <c:v>46</c:v>
                </c:pt>
                <c:pt idx="356">
                  <c:v>3</c:v>
                </c:pt>
                <c:pt idx="357">
                  <c:v>18</c:v>
                </c:pt>
                <c:pt idx="358">
                  <c:v>1</c:v>
                </c:pt>
                <c:pt idx="359">
                  <c:v>13</c:v>
                </c:pt>
                <c:pt idx="360">
                  <c:v>18</c:v>
                </c:pt>
                <c:pt idx="361">
                  <c:v>1</c:v>
                </c:pt>
                <c:pt idx="362">
                  <c:v>4</c:v>
                </c:pt>
                <c:pt idx="363">
                  <c:v>4</c:v>
                </c:pt>
                <c:pt idx="364">
                  <c:v>52</c:v>
                </c:pt>
                <c:pt idx="365">
                  <c:v>21</c:v>
                </c:pt>
                <c:pt idx="366">
                  <c:v>121</c:v>
                </c:pt>
                <c:pt idx="367">
                  <c:v>25</c:v>
                </c:pt>
                <c:pt idx="368">
                  <c:v>45</c:v>
                </c:pt>
                <c:pt idx="369">
                  <c:v>47</c:v>
                </c:pt>
                <c:pt idx="370">
                  <c:v>64</c:v>
                </c:pt>
                <c:pt idx="371">
                  <c:v>46</c:v>
                </c:pt>
                <c:pt idx="372">
                  <c:v>60</c:v>
                </c:pt>
                <c:pt idx="373">
                  <c:v>94</c:v>
                </c:pt>
                <c:pt idx="374">
                  <c:v>68</c:v>
                </c:pt>
                <c:pt idx="375">
                  <c:v>1</c:v>
                </c:pt>
                <c:pt idx="376">
                  <c:v>35</c:v>
                </c:pt>
                <c:pt idx="377">
                  <c:v>33</c:v>
                </c:pt>
                <c:pt idx="378">
                  <c:v>19</c:v>
                </c:pt>
                <c:pt idx="379">
                  <c:v>36</c:v>
                </c:pt>
                <c:pt idx="380">
                  <c:v>26</c:v>
                </c:pt>
                <c:pt idx="381">
                  <c:v>13</c:v>
                </c:pt>
                <c:pt idx="382">
                  <c:v>18</c:v>
                </c:pt>
                <c:pt idx="383">
                  <c:v>65</c:v>
                </c:pt>
                <c:pt idx="384">
                  <c:v>25</c:v>
                </c:pt>
                <c:pt idx="385">
                  <c:v>11</c:v>
                </c:pt>
                <c:pt idx="386">
                  <c:v>46</c:v>
                </c:pt>
                <c:pt idx="387">
                  <c:v>6</c:v>
                </c:pt>
                <c:pt idx="388">
                  <c:v>3</c:v>
                </c:pt>
                <c:pt idx="389">
                  <c:v>95</c:v>
                </c:pt>
                <c:pt idx="390">
                  <c:v>15</c:v>
                </c:pt>
                <c:pt idx="391">
                  <c:v>14</c:v>
                </c:pt>
                <c:pt idx="392">
                  <c:v>13</c:v>
                </c:pt>
                <c:pt idx="393">
                  <c:v>138</c:v>
                </c:pt>
                <c:pt idx="394">
                  <c:v>43</c:v>
                </c:pt>
                <c:pt idx="395">
                  <c:v>60</c:v>
                </c:pt>
                <c:pt idx="396">
                  <c:v>29</c:v>
                </c:pt>
                <c:pt idx="397">
                  <c:v>9</c:v>
                </c:pt>
                <c:pt idx="398">
                  <c:v>44</c:v>
                </c:pt>
                <c:pt idx="399">
                  <c:v>20</c:v>
                </c:pt>
                <c:pt idx="400">
                  <c:v>34</c:v>
                </c:pt>
                <c:pt idx="401">
                  <c:v>17</c:v>
                </c:pt>
                <c:pt idx="402">
                  <c:v>38</c:v>
                </c:pt>
                <c:pt idx="403">
                  <c:v>22</c:v>
                </c:pt>
                <c:pt idx="404">
                  <c:v>29</c:v>
                </c:pt>
                <c:pt idx="405">
                  <c:v>15</c:v>
                </c:pt>
                <c:pt idx="406">
                  <c:v>37</c:v>
                </c:pt>
                <c:pt idx="407">
                  <c:v>72</c:v>
                </c:pt>
                <c:pt idx="408">
                  <c:v>4</c:v>
                </c:pt>
                <c:pt idx="409">
                  <c:v>11</c:v>
                </c:pt>
                <c:pt idx="410">
                  <c:v>122</c:v>
                </c:pt>
                <c:pt idx="411">
                  <c:v>11</c:v>
                </c:pt>
                <c:pt idx="412">
                  <c:v>8</c:v>
                </c:pt>
                <c:pt idx="413">
                  <c:v>8</c:v>
                </c:pt>
                <c:pt idx="414">
                  <c:v>6</c:v>
                </c:pt>
                <c:pt idx="415">
                  <c:v>67</c:v>
                </c:pt>
                <c:pt idx="416">
                  <c:v>4</c:v>
                </c:pt>
                <c:pt idx="417">
                  <c:v>61</c:v>
                </c:pt>
                <c:pt idx="418">
                  <c:v>44</c:v>
                </c:pt>
                <c:pt idx="419">
                  <c:v>66</c:v>
                </c:pt>
                <c:pt idx="420">
                  <c:v>37</c:v>
                </c:pt>
                <c:pt idx="421">
                  <c:v>104</c:v>
                </c:pt>
                <c:pt idx="422">
                  <c:v>14</c:v>
                </c:pt>
                <c:pt idx="423">
                  <c:v>16</c:v>
                </c:pt>
                <c:pt idx="424">
                  <c:v>64</c:v>
                </c:pt>
                <c:pt idx="425">
                  <c:v>49</c:v>
                </c:pt>
                <c:pt idx="426">
                  <c:v>1</c:v>
                </c:pt>
                <c:pt idx="427">
                  <c:v>15</c:v>
                </c:pt>
                <c:pt idx="428">
                  <c:v>46</c:v>
                </c:pt>
                <c:pt idx="429">
                  <c:v>22</c:v>
                </c:pt>
                <c:pt idx="430">
                  <c:v>49</c:v>
                </c:pt>
                <c:pt idx="431">
                  <c:v>24</c:v>
                </c:pt>
                <c:pt idx="432">
                  <c:v>6</c:v>
                </c:pt>
                <c:pt idx="433">
                  <c:v>96</c:v>
                </c:pt>
                <c:pt idx="434">
                  <c:v>28</c:v>
                </c:pt>
                <c:pt idx="435">
                  <c:v>22</c:v>
                </c:pt>
                <c:pt idx="436">
                  <c:v>42</c:v>
                </c:pt>
                <c:pt idx="437">
                  <c:v>19</c:v>
                </c:pt>
                <c:pt idx="438">
                  <c:v>4</c:v>
                </c:pt>
                <c:pt idx="439">
                  <c:v>9</c:v>
                </c:pt>
                <c:pt idx="440">
                  <c:v>13</c:v>
                </c:pt>
                <c:pt idx="441">
                  <c:v>40</c:v>
                </c:pt>
                <c:pt idx="442">
                  <c:v>63</c:v>
                </c:pt>
                <c:pt idx="443">
                  <c:v>30</c:v>
                </c:pt>
                <c:pt idx="444">
                  <c:v>58</c:v>
                </c:pt>
                <c:pt idx="445">
                  <c:v>7</c:v>
                </c:pt>
                <c:pt idx="446">
                  <c:v>17</c:v>
                </c:pt>
                <c:pt idx="447">
                  <c:v>27</c:v>
                </c:pt>
                <c:pt idx="448">
                  <c:v>36</c:v>
                </c:pt>
                <c:pt idx="449">
                  <c:v>95</c:v>
                </c:pt>
                <c:pt idx="450">
                  <c:v>22</c:v>
                </c:pt>
                <c:pt idx="451">
                  <c:v>16</c:v>
                </c:pt>
                <c:pt idx="452">
                  <c:v>8</c:v>
                </c:pt>
                <c:pt idx="453">
                  <c:v>131</c:v>
                </c:pt>
                <c:pt idx="454">
                  <c:v>34</c:v>
                </c:pt>
                <c:pt idx="455">
                  <c:v>128</c:v>
                </c:pt>
                <c:pt idx="456">
                  <c:v>102</c:v>
                </c:pt>
                <c:pt idx="457">
                  <c:v>50</c:v>
                </c:pt>
                <c:pt idx="458">
                  <c:v>178</c:v>
                </c:pt>
                <c:pt idx="459">
                  <c:v>26</c:v>
                </c:pt>
                <c:pt idx="460">
                  <c:v>27</c:v>
                </c:pt>
                <c:pt idx="461">
                  <c:v>36</c:v>
                </c:pt>
                <c:pt idx="462">
                  <c:v>60</c:v>
                </c:pt>
                <c:pt idx="463">
                  <c:v>78</c:v>
                </c:pt>
                <c:pt idx="464">
                  <c:v>9</c:v>
                </c:pt>
                <c:pt idx="465">
                  <c:v>31</c:v>
                </c:pt>
                <c:pt idx="466">
                  <c:v>8</c:v>
                </c:pt>
                <c:pt idx="467">
                  <c:v>46</c:v>
                </c:pt>
                <c:pt idx="468">
                  <c:v>54</c:v>
                </c:pt>
                <c:pt idx="469">
                  <c:v>15</c:v>
                </c:pt>
                <c:pt idx="470">
                  <c:v>39</c:v>
                </c:pt>
                <c:pt idx="471">
                  <c:v>22</c:v>
                </c:pt>
                <c:pt idx="472">
                  <c:v>66</c:v>
                </c:pt>
                <c:pt idx="473">
                  <c:v>43</c:v>
                </c:pt>
                <c:pt idx="474">
                  <c:v>10</c:v>
                </c:pt>
                <c:pt idx="475">
                  <c:v>18</c:v>
                </c:pt>
                <c:pt idx="476">
                  <c:v>1</c:v>
                </c:pt>
                <c:pt idx="477">
                  <c:v>2</c:v>
                </c:pt>
                <c:pt idx="478">
                  <c:v>43</c:v>
                </c:pt>
                <c:pt idx="479">
                  <c:v>11</c:v>
                </c:pt>
                <c:pt idx="480">
                  <c:v>12</c:v>
                </c:pt>
                <c:pt idx="481">
                  <c:v>24</c:v>
                </c:pt>
                <c:pt idx="482">
                  <c:v>2</c:v>
                </c:pt>
                <c:pt idx="483">
                  <c:v>32</c:v>
                </c:pt>
                <c:pt idx="484">
                  <c:v>12</c:v>
                </c:pt>
                <c:pt idx="485">
                  <c:v>50</c:v>
                </c:pt>
                <c:pt idx="486">
                  <c:v>4</c:v>
                </c:pt>
                <c:pt idx="487">
                  <c:v>2</c:v>
                </c:pt>
                <c:pt idx="488">
                  <c:v>3</c:v>
                </c:pt>
                <c:pt idx="489">
                  <c:v>0</c:v>
                </c:pt>
                <c:pt idx="490">
                  <c:v>3</c:v>
                </c:pt>
                <c:pt idx="491">
                  <c:v>2</c:v>
                </c:pt>
                <c:pt idx="492">
                  <c:v>5</c:v>
                </c:pt>
                <c:pt idx="493">
                  <c:v>2</c:v>
                </c:pt>
                <c:pt idx="494">
                  <c:v>10</c:v>
                </c:pt>
                <c:pt idx="495">
                  <c:v>38</c:v>
                </c:pt>
                <c:pt idx="496">
                  <c:v>49</c:v>
                </c:pt>
                <c:pt idx="497">
                  <c:v>29</c:v>
                </c:pt>
                <c:pt idx="498">
                  <c:v>59</c:v>
                </c:pt>
                <c:pt idx="499">
                  <c:v>24</c:v>
                </c:pt>
                <c:pt idx="500">
                  <c:v>9</c:v>
                </c:pt>
                <c:pt idx="501">
                  <c:v>38</c:v>
                </c:pt>
                <c:pt idx="502">
                  <c:v>81</c:v>
                </c:pt>
                <c:pt idx="503">
                  <c:v>39</c:v>
                </c:pt>
                <c:pt idx="504">
                  <c:v>5</c:v>
                </c:pt>
                <c:pt idx="505">
                  <c:v>6</c:v>
                </c:pt>
                <c:pt idx="506">
                  <c:v>35</c:v>
                </c:pt>
                <c:pt idx="507">
                  <c:v>30</c:v>
                </c:pt>
                <c:pt idx="508">
                  <c:v>6</c:v>
                </c:pt>
                <c:pt idx="509">
                  <c:v>94</c:v>
                </c:pt>
                <c:pt idx="510">
                  <c:v>20</c:v>
                </c:pt>
                <c:pt idx="511">
                  <c:v>15</c:v>
                </c:pt>
                <c:pt idx="512">
                  <c:v>10</c:v>
                </c:pt>
                <c:pt idx="513">
                  <c:v>45</c:v>
                </c:pt>
                <c:pt idx="514">
                  <c:v>37</c:v>
                </c:pt>
                <c:pt idx="515">
                  <c:v>0</c:v>
                </c:pt>
                <c:pt idx="516">
                  <c:v>2</c:v>
                </c:pt>
                <c:pt idx="517">
                  <c:v>0</c:v>
                </c:pt>
                <c:pt idx="518">
                  <c:v>0</c:v>
                </c:pt>
                <c:pt idx="519">
                  <c:v>66</c:v>
                </c:pt>
                <c:pt idx="520">
                  <c:v>7</c:v>
                </c:pt>
                <c:pt idx="521">
                  <c:v>40</c:v>
                </c:pt>
                <c:pt idx="522">
                  <c:v>2</c:v>
                </c:pt>
                <c:pt idx="523">
                  <c:v>45</c:v>
                </c:pt>
                <c:pt idx="524">
                  <c:v>5</c:v>
                </c:pt>
                <c:pt idx="525">
                  <c:v>64</c:v>
                </c:pt>
                <c:pt idx="526">
                  <c:v>9</c:v>
                </c:pt>
                <c:pt idx="527">
                  <c:v>134</c:v>
                </c:pt>
                <c:pt idx="528">
                  <c:v>94</c:v>
                </c:pt>
                <c:pt idx="529">
                  <c:v>87</c:v>
                </c:pt>
                <c:pt idx="530">
                  <c:v>8</c:v>
                </c:pt>
                <c:pt idx="531">
                  <c:v>4</c:v>
                </c:pt>
                <c:pt idx="532">
                  <c:v>5</c:v>
                </c:pt>
                <c:pt idx="533">
                  <c:v>99</c:v>
                </c:pt>
                <c:pt idx="534">
                  <c:v>18</c:v>
                </c:pt>
                <c:pt idx="535">
                  <c:v>7</c:v>
                </c:pt>
                <c:pt idx="536">
                  <c:v>46</c:v>
                </c:pt>
                <c:pt idx="537">
                  <c:v>18</c:v>
                </c:pt>
                <c:pt idx="538">
                  <c:v>74</c:v>
                </c:pt>
                <c:pt idx="539">
                  <c:v>7</c:v>
                </c:pt>
                <c:pt idx="540">
                  <c:v>1</c:v>
                </c:pt>
                <c:pt idx="541">
                  <c:v>25</c:v>
                </c:pt>
                <c:pt idx="542">
                  <c:v>26</c:v>
                </c:pt>
                <c:pt idx="543">
                  <c:v>5</c:v>
                </c:pt>
                <c:pt idx="544">
                  <c:v>1</c:v>
                </c:pt>
                <c:pt idx="545">
                  <c:v>105</c:v>
                </c:pt>
                <c:pt idx="546">
                  <c:v>7</c:v>
                </c:pt>
                <c:pt idx="547">
                  <c:v>129</c:v>
                </c:pt>
                <c:pt idx="548">
                  <c:v>40</c:v>
                </c:pt>
                <c:pt idx="549">
                  <c:v>57</c:v>
                </c:pt>
                <c:pt idx="550">
                  <c:v>15</c:v>
                </c:pt>
                <c:pt idx="551">
                  <c:v>191</c:v>
                </c:pt>
                <c:pt idx="552">
                  <c:v>49</c:v>
                </c:pt>
                <c:pt idx="553">
                  <c:v>52</c:v>
                </c:pt>
                <c:pt idx="554">
                  <c:v>73</c:v>
                </c:pt>
                <c:pt idx="555">
                  <c:v>24</c:v>
                </c:pt>
                <c:pt idx="556">
                  <c:v>0</c:v>
                </c:pt>
                <c:pt idx="557">
                  <c:v>63</c:v>
                </c:pt>
                <c:pt idx="558">
                  <c:v>76</c:v>
                </c:pt>
                <c:pt idx="559">
                  <c:v>11</c:v>
                </c:pt>
                <c:pt idx="560">
                  <c:v>5</c:v>
                </c:pt>
                <c:pt idx="561">
                  <c:v>53</c:v>
                </c:pt>
                <c:pt idx="562">
                  <c:v>32</c:v>
                </c:pt>
                <c:pt idx="563">
                  <c:v>17</c:v>
                </c:pt>
                <c:pt idx="564">
                  <c:v>37</c:v>
                </c:pt>
                <c:pt idx="565">
                  <c:v>6</c:v>
                </c:pt>
                <c:pt idx="566">
                  <c:v>7</c:v>
                </c:pt>
                <c:pt idx="567">
                  <c:v>9</c:v>
                </c:pt>
                <c:pt idx="568">
                  <c:v>1</c:v>
                </c:pt>
                <c:pt idx="569">
                  <c:v>8</c:v>
                </c:pt>
                <c:pt idx="570">
                  <c:v>1</c:v>
                </c:pt>
                <c:pt idx="571">
                  <c:v>76</c:v>
                </c:pt>
                <c:pt idx="572">
                  <c:v>80</c:v>
                </c:pt>
                <c:pt idx="573">
                  <c:v>130</c:v>
                </c:pt>
                <c:pt idx="574">
                  <c:v>21</c:v>
                </c:pt>
                <c:pt idx="575">
                  <c:v>58</c:v>
                </c:pt>
                <c:pt idx="576">
                  <c:v>107</c:v>
                </c:pt>
                <c:pt idx="577">
                  <c:v>47</c:v>
                </c:pt>
                <c:pt idx="578">
                  <c:v>59</c:v>
                </c:pt>
                <c:pt idx="579">
                  <c:v>48</c:v>
                </c:pt>
                <c:pt idx="580">
                  <c:v>169</c:v>
                </c:pt>
                <c:pt idx="581">
                  <c:v>89</c:v>
                </c:pt>
                <c:pt idx="582">
                  <c:v>115</c:v>
                </c:pt>
                <c:pt idx="583">
                  <c:v>30</c:v>
                </c:pt>
                <c:pt idx="584">
                  <c:v>29</c:v>
                </c:pt>
                <c:pt idx="585">
                  <c:v>58</c:v>
                </c:pt>
                <c:pt idx="586">
                  <c:v>105</c:v>
                </c:pt>
                <c:pt idx="587">
                  <c:v>70</c:v>
                </c:pt>
                <c:pt idx="588">
                  <c:v>2</c:v>
                </c:pt>
                <c:pt idx="589">
                  <c:v>85</c:v>
                </c:pt>
                <c:pt idx="590">
                  <c:v>22</c:v>
                </c:pt>
                <c:pt idx="591">
                  <c:v>7</c:v>
                </c:pt>
                <c:pt idx="592">
                  <c:v>20</c:v>
                </c:pt>
                <c:pt idx="593">
                  <c:v>43</c:v>
                </c:pt>
                <c:pt idx="594">
                  <c:v>1</c:v>
                </c:pt>
                <c:pt idx="595">
                  <c:v>0</c:v>
                </c:pt>
                <c:pt idx="596">
                  <c:v>1</c:v>
                </c:pt>
                <c:pt idx="597">
                  <c:v>7</c:v>
                </c:pt>
                <c:pt idx="598">
                  <c:v>24</c:v>
                </c:pt>
                <c:pt idx="599">
                  <c:v>15</c:v>
                </c:pt>
                <c:pt idx="600">
                  <c:v>20</c:v>
                </c:pt>
                <c:pt idx="601">
                  <c:v>37</c:v>
                </c:pt>
                <c:pt idx="602">
                  <c:v>40</c:v>
                </c:pt>
                <c:pt idx="603">
                  <c:v>70</c:v>
                </c:pt>
                <c:pt idx="604">
                  <c:v>27</c:v>
                </c:pt>
                <c:pt idx="605">
                  <c:v>26</c:v>
                </c:pt>
                <c:pt idx="606">
                  <c:v>71</c:v>
                </c:pt>
                <c:pt idx="607">
                  <c:v>20</c:v>
                </c:pt>
                <c:pt idx="608">
                  <c:v>23</c:v>
                </c:pt>
                <c:pt idx="609">
                  <c:v>72</c:v>
                </c:pt>
                <c:pt idx="610">
                  <c:v>45</c:v>
                </c:pt>
                <c:pt idx="611">
                  <c:v>13</c:v>
                </c:pt>
                <c:pt idx="612">
                  <c:v>17</c:v>
                </c:pt>
                <c:pt idx="613">
                  <c:v>19</c:v>
                </c:pt>
                <c:pt idx="614">
                  <c:v>55</c:v>
                </c:pt>
                <c:pt idx="615">
                  <c:v>41</c:v>
                </c:pt>
                <c:pt idx="616">
                  <c:v>3</c:v>
                </c:pt>
                <c:pt idx="617">
                  <c:v>42</c:v>
                </c:pt>
                <c:pt idx="618">
                  <c:v>0</c:v>
                </c:pt>
                <c:pt idx="619">
                  <c:v>38</c:v>
                </c:pt>
                <c:pt idx="620">
                  <c:v>10</c:v>
                </c:pt>
                <c:pt idx="621">
                  <c:v>8</c:v>
                </c:pt>
                <c:pt idx="622">
                  <c:v>5</c:v>
                </c:pt>
                <c:pt idx="623">
                  <c:v>4</c:v>
                </c:pt>
                <c:pt idx="624">
                  <c:v>2</c:v>
                </c:pt>
                <c:pt idx="625">
                  <c:v>64</c:v>
                </c:pt>
                <c:pt idx="626">
                  <c:v>13</c:v>
                </c:pt>
                <c:pt idx="627">
                  <c:v>96</c:v>
                </c:pt>
                <c:pt idx="628">
                  <c:v>19</c:v>
                </c:pt>
                <c:pt idx="629">
                  <c:v>0</c:v>
                </c:pt>
                <c:pt idx="630">
                  <c:v>83</c:v>
                </c:pt>
                <c:pt idx="631">
                  <c:v>19</c:v>
                </c:pt>
                <c:pt idx="632">
                  <c:v>1</c:v>
                </c:pt>
                <c:pt idx="633">
                  <c:v>14</c:v>
                </c:pt>
                <c:pt idx="634">
                  <c:v>2</c:v>
                </c:pt>
                <c:pt idx="635">
                  <c:v>2</c:v>
                </c:pt>
                <c:pt idx="636">
                  <c:v>26</c:v>
                </c:pt>
                <c:pt idx="637">
                  <c:v>25</c:v>
                </c:pt>
                <c:pt idx="638">
                  <c:v>10</c:v>
                </c:pt>
                <c:pt idx="639">
                  <c:v>48</c:v>
                </c:pt>
                <c:pt idx="640">
                  <c:v>25</c:v>
                </c:pt>
                <c:pt idx="641">
                  <c:v>13</c:v>
                </c:pt>
                <c:pt idx="642">
                  <c:v>24</c:v>
                </c:pt>
                <c:pt idx="643">
                  <c:v>18</c:v>
                </c:pt>
                <c:pt idx="644">
                  <c:v>14</c:v>
                </c:pt>
                <c:pt idx="645">
                  <c:v>6</c:v>
                </c:pt>
                <c:pt idx="646">
                  <c:v>3</c:v>
                </c:pt>
                <c:pt idx="647">
                  <c:v>12</c:v>
                </c:pt>
                <c:pt idx="648">
                  <c:v>19</c:v>
                </c:pt>
                <c:pt idx="649">
                  <c:v>22</c:v>
                </c:pt>
                <c:pt idx="650">
                  <c:v>2</c:v>
                </c:pt>
                <c:pt idx="651">
                  <c:v>39</c:v>
                </c:pt>
                <c:pt idx="652">
                  <c:v>21</c:v>
                </c:pt>
                <c:pt idx="653">
                  <c:v>40</c:v>
                </c:pt>
                <c:pt idx="654">
                  <c:v>36</c:v>
                </c:pt>
                <c:pt idx="655">
                  <c:v>49</c:v>
                </c:pt>
                <c:pt idx="656">
                  <c:v>76</c:v>
                </c:pt>
                <c:pt idx="657">
                  <c:v>91</c:v>
                </c:pt>
                <c:pt idx="658">
                  <c:v>29</c:v>
                </c:pt>
                <c:pt idx="659">
                  <c:v>28</c:v>
                </c:pt>
                <c:pt idx="660">
                  <c:v>35</c:v>
                </c:pt>
                <c:pt idx="661">
                  <c:v>29</c:v>
                </c:pt>
                <c:pt idx="662">
                  <c:v>2</c:v>
                </c:pt>
                <c:pt idx="663">
                  <c:v>32</c:v>
                </c:pt>
                <c:pt idx="664">
                  <c:v>50</c:v>
                </c:pt>
                <c:pt idx="665">
                  <c:v>17</c:v>
                </c:pt>
                <c:pt idx="666">
                  <c:v>9</c:v>
                </c:pt>
                <c:pt idx="667">
                  <c:v>36</c:v>
                </c:pt>
                <c:pt idx="668">
                  <c:v>37</c:v>
                </c:pt>
                <c:pt idx="669">
                  <c:v>26</c:v>
                </c:pt>
                <c:pt idx="670">
                  <c:v>7</c:v>
                </c:pt>
                <c:pt idx="671">
                  <c:v>6</c:v>
                </c:pt>
                <c:pt idx="672">
                  <c:v>20</c:v>
                </c:pt>
                <c:pt idx="673">
                  <c:v>18</c:v>
                </c:pt>
                <c:pt idx="674">
                  <c:v>2</c:v>
                </c:pt>
                <c:pt idx="675">
                  <c:v>42</c:v>
                </c:pt>
                <c:pt idx="676">
                  <c:v>19</c:v>
                </c:pt>
                <c:pt idx="677">
                  <c:v>22</c:v>
                </c:pt>
                <c:pt idx="678">
                  <c:v>139</c:v>
                </c:pt>
                <c:pt idx="679">
                  <c:v>17</c:v>
                </c:pt>
                <c:pt idx="680">
                  <c:v>57</c:v>
                </c:pt>
                <c:pt idx="681">
                  <c:v>68</c:v>
                </c:pt>
                <c:pt idx="682">
                  <c:v>13</c:v>
                </c:pt>
                <c:pt idx="683">
                  <c:v>31</c:v>
                </c:pt>
                <c:pt idx="684">
                  <c:v>31</c:v>
                </c:pt>
                <c:pt idx="685">
                  <c:v>3</c:v>
                </c:pt>
                <c:pt idx="686">
                  <c:v>2</c:v>
                </c:pt>
                <c:pt idx="687">
                  <c:v>0</c:v>
                </c:pt>
                <c:pt idx="688">
                  <c:v>3</c:v>
                </c:pt>
                <c:pt idx="689">
                  <c:v>35</c:v>
                </c:pt>
                <c:pt idx="690">
                  <c:v>7</c:v>
                </c:pt>
                <c:pt idx="691">
                  <c:v>87</c:v>
                </c:pt>
                <c:pt idx="692">
                  <c:v>12</c:v>
                </c:pt>
                <c:pt idx="693">
                  <c:v>31</c:v>
                </c:pt>
                <c:pt idx="694">
                  <c:v>25</c:v>
                </c:pt>
                <c:pt idx="695">
                  <c:v>25</c:v>
                </c:pt>
                <c:pt idx="696">
                  <c:v>27</c:v>
                </c:pt>
                <c:pt idx="697">
                  <c:v>16</c:v>
                </c:pt>
                <c:pt idx="698">
                  <c:v>5</c:v>
                </c:pt>
                <c:pt idx="699">
                  <c:v>14</c:v>
                </c:pt>
                <c:pt idx="700">
                  <c:v>77</c:v>
                </c:pt>
                <c:pt idx="701">
                  <c:v>22</c:v>
                </c:pt>
                <c:pt idx="702">
                  <c:v>34</c:v>
                </c:pt>
                <c:pt idx="703">
                  <c:v>41</c:v>
                </c:pt>
                <c:pt idx="704">
                  <c:v>43</c:v>
                </c:pt>
                <c:pt idx="705">
                  <c:v>43</c:v>
                </c:pt>
                <c:pt idx="706">
                  <c:v>59</c:v>
                </c:pt>
                <c:pt idx="707">
                  <c:v>49</c:v>
                </c:pt>
                <c:pt idx="708">
                  <c:v>89</c:v>
                </c:pt>
                <c:pt idx="709">
                  <c:v>107</c:v>
                </c:pt>
                <c:pt idx="710">
                  <c:v>28</c:v>
                </c:pt>
                <c:pt idx="711">
                  <c:v>4</c:v>
                </c:pt>
                <c:pt idx="712">
                  <c:v>100</c:v>
                </c:pt>
                <c:pt idx="713">
                  <c:v>12</c:v>
                </c:pt>
                <c:pt idx="714">
                  <c:v>32</c:v>
                </c:pt>
                <c:pt idx="715">
                  <c:v>16</c:v>
                </c:pt>
                <c:pt idx="716">
                  <c:v>27</c:v>
                </c:pt>
                <c:pt idx="717">
                  <c:v>10</c:v>
                </c:pt>
                <c:pt idx="718">
                  <c:v>9</c:v>
                </c:pt>
                <c:pt idx="719">
                  <c:v>22</c:v>
                </c:pt>
                <c:pt idx="720">
                  <c:v>3</c:v>
                </c:pt>
                <c:pt idx="721">
                  <c:v>73</c:v>
                </c:pt>
                <c:pt idx="722">
                  <c:v>109</c:v>
                </c:pt>
                <c:pt idx="723">
                  <c:v>0</c:v>
                </c:pt>
                <c:pt idx="724">
                  <c:v>0</c:v>
                </c:pt>
                <c:pt idx="725">
                  <c:v>1</c:v>
                </c:pt>
                <c:pt idx="726">
                  <c:v>73</c:v>
                </c:pt>
                <c:pt idx="727">
                  <c:v>37</c:v>
                </c:pt>
                <c:pt idx="728">
                  <c:v>23</c:v>
                </c:pt>
                <c:pt idx="729">
                  <c:v>61</c:v>
                </c:pt>
                <c:pt idx="730">
                  <c:v>8</c:v>
                </c:pt>
                <c:pt idx="731">
                  <c:v>36</c:v>
                </c:pt>
                <c:pt idx="732">
                  <c:v>88</c:v>
                </c:pt>
                <c:pt idx="733">
                  <c:v>19</c:v>
                </c:pt>
                <c:pt idx="734">
                  <c:v>10</c:v>
                </c:pt>
                <c:pt idx="735">
                  <c:v>72</c:v>
                </c:pt>
                <c:pt idx="736">
                  <c:v>48</c:v>
                </c:pt>
                <c:pt idx="737">
                  <c:v>83</c:v>
                </c:pt>
                <c:pt idx="738">
                  <c:v>78</c:v>
                </c:pt>
                <c:pt idx="739">
                  <c:v>25</c:v>
                </c:pt>
                <c:pt idx="740">
                  <c:v>23</c:v>
                </c:pt>
                <c:pt idx="741">
                  <c:v>5</c:v>
                </c:pt>
                <c:pt idx="742">
                  <c:v>49</c:v>
                </c:pt>
                <c:pt idx="743">
                  <c:v>31</c:v>
                </c:pt>
                <c:pt idx="744">
                  <c:v>29</c:v>
                </c:pt>
                <c:pt idx="745">
                  <c:v>34</c:v>
                </c:pt>
                <c:pt idx="746">
                  <c:v>19</c:v>
                </c:pt>
                <c:pt idx="747">
                  <c:v>10</c:v>
                </c:pt>
                <c:pt idx="748">
                  <c:v>69</c:v>
                </c:pt>
                <c:pt idx="749">
                  <c:v>10</c:v>
                </c:pt>
                <c:pt idx="750">
                  <c:v>25</c:v>
                </c:pt>
                <c:pt idx="751">
                  <c:v>20</c:v>
                </c:pt>
                <c:pt idx="752">
                  <c:v>133</c:v>
                </c:pt>
                <c:pt idx="753">
                  <c:v>78</c:v>
                </c:pt>
                <c:pt idx="754">
                  <c:v>159</c:v>
                </c:pt>
                <c:pt idx="755">
                  <c:v>12</c:v>
                </c:pt>
                <c:pt idx="756">
                  <c:v>62</c:v>
                </c:pt>
                <c:pt idx="757">
                  <c:v>51</c:v>
                </c:pt>
                <c:pt idx="758">
                  <c:v>17</c:v>
                </c:pt>
                <c:pt idx="759">
                  <c:v>7</c:v>
                </c:pt>
                <c:pt idx="760">
                  <c:v>134</c:v>
                </c:pt>
                <c:pt idx="761">
                  <c:v>40</c:v>
                </c:pt>
                <c:pt idx="762">
                  <c:v>13</c:v>
                </c:pt>
                <c:pt idx="763">
                  <c:v>1</c:v>
                </c:pt>
                <c:pt idx="764">
                  <c:v>9</c:v>
                </c:pt>
                <c:pt idx="765">
                  <c:v>40</c:v>
                </c:pt>
                <c:pt idx="766">
                  <c:v>44</c:v>
                </c:pt>
                <c:pt idx="767">
                  <c:v>8</c:v>
                </c:pt>
                <c:pt idx="768">
                  <c:v>26</c:v>
                </c:pt>
                <c:pt idx="769">
                  <c:v>27</c:v>
                </c:pt>
                <c:pt idx="770">
                  <c:v>47</c:v>
                </c:pt>
                <c:pt idx="771">
                  <c:v>10</c:v>
                </c:pt>
                <c:pt idx="772">
                  <c:v>133</c:v>
                </c:pt>
                <c:pt idx="773">
                  <c:v>115</c:v>
                </c:pt>
                <c:pt idx="774">
                  <c:v>8</c:v>
                </c:pt>
                <c:pt idx="775">
                  <c:v>3</c:v>
                </c:pt>
                <c:pt idx="776">
                  <c:v>6</c:v>
                </c:pt>
                <c:pt idx="777">
                  <c:v>0</c:v>
                </c:pt>
                <c:pt idx="778">
                  <c:v>20</c:v>
                </c:pt>
                <c:pt idx="779">
                  <c:v>19</c:v>
                </c:pt>
                <c:pt idx="780">
                  <c:v>33</c:v>
                </c:pt>
                <c:pt idx="781">
                  <c:v>32</c:v>
                </c:pt>
                <c:pt idx="782">
                  <c:v>29</c:v>
                </c:pt>
                <c:pt idx="783">
                  <c:v>19</c:v>
                </c:pt>
                <c:pt idx="784">
                  <c:v>14</c:v>
                </c:pt>
                <c:pt idx="785">
                  <c:v>37</c:v>
                </c:pt>
                <c:pt idx="786">
                  <c:v>15</c:v>
                </c:pt>
                <c:pt idx="787">
                  <c:v>52</c:v>
                </c:pt>
                <c:pt idx="788">
                  <c:v>24</c:v>
                </c:pt>
                <c:pt idx="789">
                  <c:v>8</c:v>
                </c:pt>
                <c:pt idx="790">
                  <c:v>46</c:v>
                </c:pt>
                <c:pt idx="791">
                  <c:v>12</c:v>
                </c:pt>
                <c:pt idx="792">
                  <c:v>29</c:v>
                </c:pt>
                <c:pt idx="793">
                  <c:v>49</c:v>
                </c:pt>
                <c:pt idx="794">
                  <c:v>32</c:v>
                </c:pt>
                <c:pt idx="795">
                  <c:v>15</c:v>
                </c:pt>
                <c:pt idx="796">
                  <c:v>3</c:v>
                </c:pt>
                <c:pt idx="797">
                  <c:v>11</c:v>
                </c:pt>
                <c:pt idx="798">
                  <c:v>25</c:v>
                </c:pt>
                <c:pt idx="799">
                  <c:v>75</c:v>
                </c:pt>
                <c:pt idx="800">
                  <c:v>53</c:v>
                </c:pt>
                <c:pt idx="801">
                  <c:v>20</c:v>
                </c:pt>
                <c:pt idx="802">
                  <c:v>10</c:v>
                </c:pt>
                <c:pt idx="803">
                  <c:v>3</c:v>
                </c:pt>
                <c:pt idx="804">
                  <c:v>106</c:v>
                </c:pt>
                <c:pt idx="805">
                  <c:v>109</c:v>
                </c:pt>
                <c:pt idx="806">
                  <c:v>23</c:v>
                </c:pt>
                <c:pt idx="807">
                  <c:v>74</c:v>
                </c:pt>
                <c:pt idx="808">
                  <c:v>33</c:v>
                </c:pt>
                <c:pt idx="809">
                  <c:v>30</c:v>
                </c:pt>
                <c:pt idx="810">
                  <c:v>72</c:v>
                </c:pt>
                <c:pt idx="811">
                  <c:v>39</c:v>
                </c:pt>
                <c:pt idx="812">
                  <c:v>15</c:v>
                </c:pt>
                <c:pt idx="813">
                  <c:v>75</c:v>
                </c:pt>
                <c:pt idx="814">
                  <c:v>108</c:v>
                </c:pt>
                <c:pt idx="815">
                  <c:v>26</c:v>
                </c:pt>
                <c:pt idx="816">
                  <c:v>28</c:v>
                </c:pt>
                <c:pt idx="817">
                  <c:v>41</c:v>
                </c:pt>
                <c:pt idx="818">
                  <c:v>37</c:v>
                </c:pt>
                <c:pt idx="819">
                  <c:v>30</c:v>
                </c:pt>
                <c:pt idx="820">
                  <c:v>14</c:v>
                </c:pt>
                <c:pt idx="821">
                  <c:v>33</c:v>
                </c:pt>
                <c:pt idx="822">
                  <c:v>5</c:v>
                </c:pt>
                <c:pt idx="823">
                  <c:v>38</c:v>
                </c:pt>
                <c:pt idx="824">
                  <c:v>4</c:v>
                </c:pt>
                <c:pt idx="825">
                  <c:v>6</c:v>
                </c:pt>
                <c:pt idx="826">
                  <c:v>13</c:v>
                </c:pt>
                <c:pt idx="827">
                  <c:v>5</c:v>
                </c:pt>
                <c:pt idx="828">
                  <c:v>7</c:v>
                </c:pt>
                <c:pt idx="829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57-434F-8C31-D91BA08AED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078120"/>
        <c:axId val="644081072"/>
      </c:scatterChart>
      <c:valAx>
        <c:axId val="644078120"/>
        <c:scaling>
          <c:orientation val="minMax"/>
          <c:min val="18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Age Range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081072"/>
        <c:crosses val="autoZero"/>
        <c:crossBetween val="midCat"/>
      </c:valAx>
      <c:valAx>
        <c:axId val="64408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Total Caps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078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[World Cup 2022.xlsm]Player info!PivotTable1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/>
              <a:t>Age Range of Players prior to World Cup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'Player info'!$F$3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'Player info'!$E$4:$E$12</c:f>
              <c:strCache>
                <c:ptCount val="8"/>
                <c:pt idx="0">
                  <c:v>&lt;18</c:v>
                </c:pt>
                <c:pt idx="1">
                  <c:v>18-21</c:v>
                </c:pt>
                <c:pt idx="2">
                  <c:v>22-25</c:v>
                </c:pt>
                <c:pt idx="3">
                  <c:v>26-29</c:v>
                </c:pt>
                <c:pt idx="4">
                  <c:v>30-33</c:v>
                </c:pt>
                <c:pt idx="5">
                  <c:v>34-37</c:v>
                </c:pt>
                <c:pt idx="6">
                  <c:v>38-41</c:v>
                </c:pt>
                <c:pt idx="7">
                  <c:v>&gt;42</c:v>
                </c:pt>
              </c:strCache>
            </c:strRef>
          </c:cat>
          <c:val>
            <c:numRef>
              <c:f>'Player info'!$F$4:$F$12</c:f>
              <c:numCache>
                <c:formatCode>General</c:formatCode>
                <c:ptCount val="8"/>
                <c:pt idx="0">
                  <c:v>0</c:v>
                </c:pt>
                <c:pt idx="1">
                  <c:v>80</c:v>
                </c:pt>
                <c:pt idx="2">
                  <c:v>262</c:v>
                </c:pt>
                <c:pt idx="3">
                  <c:v>248</c:v>
                </c:pt>
                <c:pt idx="4">
                  <c:v>182</c:v>
                </c:pt>
                <c:pt idx="5">
                  <c:v>50</c:v>
                </c:pt>
                <c:pt idx="6">
                  <c:v>8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6-4684-AE86-891075B051C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762849248"/>
        <c:axId val="762810872"/>
        <c:axId val="0"/>
      </c:bar3DChart>
      <c:catAx>
        <c:axId val="762849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Age Range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810872"/>
        <c:crosses val="autoZero"/>
        <c:auto val="1"/>
        <c:lblAlgn val="ctr"/>
        <c:lblOffset val="100"/>
        <c:noMultiLvlLbl val="0"/>
      </c:catAx>
      <c:valAx>
        <c:axId val="762810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E"/>
                  <a:t>Players By 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849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[World Cup 2022.xlsm]Player info!PivotTable5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/>
              <a:t>Top Goals Scorers going into World Cup 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1569685221892463"/>
          <c:y val="0.10810576131769931"/>
          <c:w val="0.65492901704394046"/>
          <c:h val="0.8496098621923554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'Player info'!$K$33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'Player info'!$J$34:$J$55</c:f>
              <c:strCache>
                <c:ptCount val="21"/>
                <c:pt idx="0">
                  <c:v>Cristiano Ronaldo </c:v>
                </c:pt>
                <c:pt idx="1">
                  <c:v>Lionel Messi</c:v>
                </c:pt>
                <c:pt idx="2">
                  <c:v>Robert Lewandowski </c:v>
                </c:pt>
                <c:pt idx="3">
                  <c:v>Neymar</c:v>
                </c:pt>
                <c:pt idx="4">
                  <c:v>Luis Suárez</c:v>
                </c:pt>
                <c:pt idx="5">
                  <c:v>Romelu Lukaku</c:v>
                </c:pt>
                <c:pt idx="6">
                  <c:v>Edinson Cavani</c:v>
                </c:pt>
                <c:pt idx="7">
                  <c:v>Harry Kane </c:v>
                </c:pt>
                <c:pt idx="8">
                  <c:v>Aleksandar Mitrović</c:v>
                </c:pt>
                <c:pt idx="9">
                  <c:v>Olivier Giroud</c:v>
                </c:pt>
                <c:pt idx="10">
                  <c:v>Thomas Müller</c:v>
                </c:pt>
                <c:pt idx="11">
                  <c:v>Almoez Ali</c:v>
                </c:pt>
                <c:pt idx="12">
                  <c:v>Antoine Griezmann</c:v>
                </c:pt>
                <c:pt idx="13">
                  <c:v>Memphis Depay</c:v>
                </c:pt>
                <c:pt idx="14">
                  <c:v>Sardar Azmoun</c:v>
                </c:pt>
                <c:pt idx="15">
                  <c:v>Gareth Bale </c:v>
                </c:pt>
                <c:pt idx="16">
                  <c:v>Christian Eriksen</c:v>
                </c:pt>
                <c:pt idx="17">
                  <c:v>Karim Benzema</c:v>
                </c:pt>
                <c:pt idx="18">
                  <c:v>Hassan Al-Haydos</c:v>
                </c:pt>
                <c:pt idx="19">
                  <c:v>Enner Valencia</c:v>
                </c:pt>
                <c:pt idx="20">
                  <c:v>Son Heung-min </c:v>
                </c:pt>
              </c:strCache>
            </c:strRef>
          </c:cat>
          <c:val>
            <c:numRef>
              <c:f>'Player info'!$K$34:$K$55</c:f>
              <c:numCache>
                <c:formatCode>General</c:formatCode>
                <c:ptCount val="21"/>
                <c:pt idx="0">
                  <c:v>117</c:v>
                </c:pt>
                <c:pt idx="1">
                  <c:v>91</c:v>
                </c:pt>
                <c:pt idx="2">
                  <c:v>76</c:v>
                </c:pt>
                <c:pt idx="3">
                  <c:v>75</c:v>
                </c:pt>
                <c:pt idx="4">
                  <c:v>68</c:v>
                </c:pt>
                <c:pt idx="5">
                  <c:v>68</c:v>
                </c:pt>
                <c:pt idx="6">
                  <c:v>58</c:v>
                </c:pt>
                <c:pt idx="7">
                  <c:v>51</c:v>
                </c:pt>
                <c:pt idx="8">
                  <c:v>50</c:v>
                </c:pt>
                <c:pt idx="9">
                  <c:v>49</c:v>
                </c:pt>
                <c:pt idx="10">
                  <c:v>44</c:v>
                </c:pt>
                <c:pt idx="11">
                  <c:v>42</c:v>
                </c:pt>
                <c:pt idx="12">
                  <c:v>42</c:v>
                </c:pt>
                <c:pt idx="13">
                  <c:v>42</c:v>
                </c:pt>
                <c:pt idx="14">
                  <c:v>41</c:v>
                </c:pt>
                <c:pt idx="15">
                  <c:v>40</c:v>
                </c:pt>
                <c:pt idx="16">
                  <c:v>39</c:v>
                </c:pt>
                <c:pt idx="17">
                  <c:v>37</c:v>
                </c:pt>
                <c:pt idx="18">
                  <c:v>36</c:v>
                </c:pt>
                <c:pt idx="19">
                  <c:v>35</c:v>
                </c:pt>
                <c:pt idx="2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73-445B-9934-49E29C351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9382991"/>
        <c:axId val="159375791"/>
      </c:barChart>
      <c:catAx>
        <c:axId val="1593829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375791"/>
        <c:crosses val="autoZero"/>
        <c:auto val="1"/>
        <c:lblAlgn val="ctr"/>
        <c:lblOffset val="100"/>
        <c:noMultiLvlLbl val="0"/>
      </c:catAx>
      <c:valAx>
        <c:axId val="1593757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382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[World Cup 2022.xlsm]Club Representation info!PivotTable2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cap="all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Football Leagues with the most Assigned players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cap="all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4472C4"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40"/>
      <c:rotY val="3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'Club Representation info'!$G$2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8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4472C4"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'Club Representation info'!$F$3:$F$33</c:f>
              <c:strCache>
                <c:ptCount val="30"/>
                <c:pt idx="0">
                  <c:v>England</c:v>
                </c:pt>
                <c:pt idx="1">
                  <c:v>Spain</c:v>
                </c:pt>
                <c:pt idx="2">
                  <c:v>Germany</c:v>
                </c:pt>
                <c:pt idx="3">
                  <c:v>Italy</c:v>
                </c:pt>
                <c:pt idx="4">
                  <c:v>France</c:v>
                </c:pt>
                <c:pt idx="5">
                  <c:v>USA</c:v>
                </c:pt>
                <c:pt idx="6">
                  <c:v>Saudi Arabia</c:v>
                </c:pt>
                <c:pt idx="7">
                  <c:v>Qatar</c:v>
                </c:pt>
                <c:pt idx="8">
                  <c:v>Belgium</c:v>
                </c:pt>
                <c:pt idx="9">
                  <c:v>Mexico</c:v>
                </c:pt>
                <c:pt idx="10">
                  <c:v>Turkey</c:v>
                </c:pt>
                <c:pt idx="11">
                  <c:v>Portugal</c:v>
                </c:pt>
                <c:pt idx="12">
                  <c:v>Netherlands</c:v>
                </c:pt>
                <c:pt idx="13">
                  <c:v>Costa Rica</c:v>
                </c:pt>
                <c:pt idx="14">
                  <c:v>Korea Rep</c:v>
                </c:pt>
                <c:pt idx="15">
                  <c:v>Scotland</c:v>
                </c:pt>
                <c:pt idx="16">
                  <c:v>Greece</c:v>
                </c:pt>
                <c:pt idx="17">
                  <c:v>Japan</c:v>
                </c:pt>
                <c:pt idx="18">
                  <c:v>Switzerland</c:v>
                </c:pt>
                <c:pt idx="19">
                  <c:v>Iran</c:v>
                </c:pt>
                <c:pt idx="20">
                  <c:v>Denmark</c:v>
                </c:pt>
                <c:pt idx="21">
                  <c:v>Tunisia</c:v>
                </c:pt>
                <c:pt idx="22">
                  <c:v>Australia</c:v>
                </c:pt>
                <c:pt idx="23">
                  <c:v>Brasil</c:v>
                </c:pt>
                <c:pt idx="24">
                  <c:v>Croatia</c:v>
                </c:pt>
                <c:pt idx="25">
                  <c:v>Argentina</c:v>
                </c:pt>
                <c:pt idx="26">
                  <c:v>Poland</c:v>
                </c:pt>
                <c:pt idx="27">
                  <c:v>Ecuador</c:v>
                </c:pt>
                <c:pt idx="28">
                  <c:v>Austria</c:v>
                </c:pt>
                <c:pt idx="29">
                  <c:v>Morocco</c:v>
                </c:pt>
              </c:strCache>
            </c:strRef>
          </c:cat>
          <c:val>
            <c:numRef>
              <c:f>'Club Representation info'!$G$3:$G$33</c:f>
              <c:numCache>
                <c:formatCode>General</c:formatCode>
                <c:ptCount val="30"/>
                <c:pt idx="0">
                  <c:v>164</c:v>
                </c:pt>
                <c:pt idx="1">
                  <c:v>86</c:v>
                </c:pt>
                <c:pt idx="2">
                  <c:v>80</c:v>
                </c:pt>
                <c:pt idx="3">
                  <c:v>68</c:v>
                </c:pt>
                <c:pt idx="4">
                  <c:v>57</c:v>
                </c:pt>
                <c:pt idx="5">
                  <c:v>36</c:v>
                </c:pt>
                <c:pt idx="6">
                  <c:v>35</c:v>
                </c:pt>
                <c:pt idx="7">
                  <c:v>33</c:v>
                </c:pt>
                <c:pt idx="8">
                  <c:v>24</c:v>
                </c:pt>
                <c:pt idx="9">
                  <c:v>24</c:v>
                </c:pt>
                <c:pt idx="10">
                  <c:v>20</c:v>
                </c:pt>
                <c:pt idx="11">
                  <c:v>19</c:v>
                </c:pt>
                <c:pt idx="12">
                  <c:v>19</c:v>
                </c:pt>
                <c:pt idx="13">
                  <c:v>17</c:v>
                </c:pt>
                <c:pt idx="14">
                  <c:v>14</c:v>
                </c:pt>
                <c:pt idx="15">
                  <c:v>13</c:v>
                </c:pt>
                <c:pt idx="16">
                  <c:v>13</c:v>
                </c:pt>
                <c:pt idx="17">
                  <c:v>10</c:v>
                </c:pt>
                <c:pt idx="18">
                  <c:v>9</c:v>
                </c:pt>
                <c:pt idx="19">
                  <c:v>9</c:v>
                </c:pt>
                <c:pt idx="20">
                  <c:v>8</c:v>
                </c:pt>
                <c:pt idx="21">
                  <c:v>8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6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82-4FBF-BF74-47FC497364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592622023"/>
        <c:axId val="592631743"/>
        <c:axId val="0"/>
      </c:bar3DChart>
      <c:catAx>
        <c:axId val="592622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631743"/>
        <c:crosses val="autoZero"/>
        <c:auto val="1"/>
        <c:lblAlgn val="ctr"/>
        <c:lblOffset val="100"/>
        <c:noMultiLvlLbl val="0"/>
      </c:catAx>
      <c:valAx>
        <c:axId val="592631743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92622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6350" cap="flat" cmpd="sng" algn="ctr">
      <a:solidFill>
        <a:schemeClr val="dk1">
          <a:tint val="75000"/>
        </a:schemeClr>
      </a:solidFill>
      <a:round/>
    </a:ln>
    <a:effectLst>
      <a:glow rad="1397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[World Cup 2022.xlsm]Club Representation info!PivotTable1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Football Clubs with most assigned players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6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'Club Representation info'!$J$2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'Club Representation info'!$I$3:$I$33</c:f>
              <c:strCache>
                <c:ptCount val="30"/>
                <c:pt idx="0">
                  <c:v> Barcelona</c:v>
                </c:pt>
                <c:pt idx="1">
                  <c:v> Manchester City</c:v>
                </c:pt>
                <c:pt idx="2">
                  <c:v> Bayern Munich</c:v>
                </c:pt>
                <c:pt idx="3">
                  <c:v> Al-Sadd</c:v>
                </c:pt>
                <c:pt idx="4">
                  <c:v> Manchester United</c:v>
                </c:pt>
                <c:pt idx="5">
                  <c:v> Real Madrid</c:v>
                </c:pt>
                <c:pt idx="6">
                  <c:v> Atlético Madrid</c:v>
                </c:pt>
                <c:pt idx="7">
                  <c:v> Al-Hilal</c:v>
                </c:pt>
                <c:pt idx="8">
                  <c:v> Chelsea</c:v>
                </c:pt>
                <c:pt idx="9">
                  <c:v> Paris Saint-Germain</c:v>
                </c:pt>
                <c:pt idx="10">
                  <c:v> Juventus</c:v>
                </c:pt>
                <c:pt idx="11">
                  <c:v> Tottenham Hotspur</c:v>
                </c:pt>
                <c:pt idx="12">
                  <c:v> Borussia Dortmund</c:v>
                </c:pt>
                <c:pt idx="13">
                  <c:v> Ajax</c:v>
                </c:pt>
                <c:pt idx="14">
                  <c:v> Sevilla</c:v>
                </c:pt>
                <c:pt idx="15">
                  <c:v> Arsenal</c:v>
                </c:pt>
                <c:pt idx="16">
                  <c:v> Brighton &amp; Hove Albion</c:v>
                </c:pt>
                <c:pt idx="17">
                  <c:v> Club Brugge</c:v>
                </c:pt>
                <c:pt idx="18">
                  <c:v> Rennes</c:v>
                </c:pt>
                <c:pt idx="19">
                  <c:v> RB Leipzig</c:v>
                </c:pt>
                <c:pt idx="20">
                  <c:v> Milan</c:v>
                </c:pt>
                <c:pt idx="21">
                  <c:v> Eintracht Frankfurt</c:v>
                </c:pt>
                <c:pt idx="22">
                  <c:v> Al-Duhail</c:v>
                </c:pt>
                <c:pt idx="23">
                  <c:v> Leicester City</c:v>
                </c:pt>
                <c:pt idx="24">
                  <c:v> Liverpool</c:v>
                </c:pt>
                <c:pt idx="25">
                  <c:v> Al-Nassr</c:v>
                </c:pt>
                <c:pt idx="26">
                  <c:v> Benfica</c:v>
                </c:pt>
                <c:pt idx="27">
                  <c:v> Borussia Mönchengladbach</c:v>
                </c:pt>
                <c:pt idx="28">
                  <c:v> Brentford</c:v>
                </c:pt>
                <c:pt idx="29">
                  <c:v> CF Montréal</c:v>
                </c:pt>
              </c:strCache>
            </c:strRef>
          </c:cat>
          <c:val>
            <c:numRef>
              <c:f>'Club Representation info'!$J$3:$J$33</c:f>
              <c:numCache>
                <c:formatCode>General</c:formatCode>
                <c:ptCount val="30"/>
                <c:pt idx="0">
                  <c:v>17</c:v>
                </c:pt>
                <c:pt idx="1">
                  <c:v>16</c:v>
                </c:pt>
                <c:pt idx="2">
                  <c:v>16</c:v>
                </c:pt>
                <c:pt idx="3">
                  <c:v>15</c:v>
                </c:pt>
                <c:pt idx="4">
                  <c:v>14</c:v>
                </c:pt>
                <c:pt idx="5">
                  <c:v>13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11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11</c:v>
                </c:pt>
                <c:pt idx="14">
                  <c:v>10</c:v>
                </c:pt>
                <c:pt idx="15">
                  <c:v>10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1E-4C02-935D-AED55E0F4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55031520"/>
        <c:axId val="355016760"/>
        <c:axId val="0"/>
      </c:bar3DChart>
      <c:catAx>
        <c:axId val="35503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16760"/>
        <c:crosses val="autoZero"/>
        <c:auto val="1"/>
        <c:lblAlgn val="ctr"/>
        <c:lblOffset val="100"/>
        <c:noMultiLvlLbl val="0"/>
      </c:catAx>
      <c:valAx>
        <c:axId val="355016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03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355600">
        <a:schemeClr val="accent1">
          <a:alpha val="89000"/>
        </a:scheme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[World Cup 2022.xlsm]World Cup Actions!Player_Goal_Action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Goal Scorers during the World Cup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'World Cup Actions'!$B$4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'World Cup Actions'!$A$5:$A$16</c:f>
              <c:strCache>
                <c:ptCount val="11"/>
                <c:pt idx="0">
                  <c:v>Kylian Mbappé</c:v>
                </c:pt>
                <c:pt idx="1">
                  <c:v>Lionel Messi</c:v>
                </c:pt>
                <c:pt idx="2">
                  <c:v>Olivier Giroud</c:v>
                </c:pt>
                <c:pt idx="3">
                  <c:v>Julián Álvarez</c:v>
                </c:pt>
                <c:pt idx="4">
                  <c:v>Marcus Rashford</c:v>
                </c:pt>
                <c:pt idx="5">
                  <c:v>Richarlison</c:v>
                </c:pt>
                <c:pt idx="6">
                  <c:v>Enner Valencia</c:v>
                </c:pt>
                <c:pt idx="7">
                  <c:v>Gonçalo Ramos</c:v>
                </c:pt>
                <c:pt idx="8">
                  <c:v>Cody Gakpo</c:v>
                </c:pt>
                <c:pt idx="9">
                  <c:v>Bukayo Saka</c:v>
                </c:pt>
                <c:pt idx="10">
                  <c:v>Álvaro Morata</c:v>
                </c:pt>
              </c:strCache>
            </c:strRef>
          </c:cat>
          <c:val>
            <c:numRef>
              <c:f>'World Cup Actions'!$B$5:$B$16</c:f>
              <c:numCache>
                <c:formatCode>General</c:formatCode>
                <c:ptCount val="11"/>
                <c:pt idx="0">
                  <c:v>8</c:v>
                </c:pt>
                <c:pt idx="1">
                  <c:v>7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C-469F-8743-1177CB68404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348415192"/>
        <c:axId val="348408712"/>
      </c:barChart>
      <c:catAx>
        <c:axId val="348415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408712"/>
        <c:crosses val="autoZero"/>
        <c:auto val="1"/>
        <c:lblAlgn val="ctr"/>
        <c:lblOffset val="100"/>
        <c:noMultiLvlLbl val="0"/>
      </c:catAx>
      <c:valAx>
        <c:axId val="34840871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48415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[World Cup 2022.xlsm]World Cup Actions!Player_Assist_Action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Players with Goals &amp; Assists during the World Cup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'World Cup Actions'!$F$4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'World Cup Actions'!$E$5:$E$34</c:f>
              <c:strCache>
                <c:ptCount val="29"/>
                <c:pt idx="0">
                  <c:v>Kylian Mbappé</c:v>
                </c:pt>
                <c:pt idx="1">
                  <c:v>Lionel Messi</c:v>
                </c:pt>
                <c:pt idx="2">
                  <c:v>Bruno Fernandes</c:v>
                </c:pt>
                <c:pt idx="3">
                  <c:v>Harry Kane </c:v>
                </c:pt>
                <c:pt idx="4">
                  <c:v>Julián Álvarez</c:v>
                </c:pt>
                <c:pt idx="5">
                  <c:v>Gonçalo Ramos</c:v>
                </c:pt>
                <c:pt idx="6">
                  <c:v>Olivier Giroud</c:v>
                </c:pt>
                <c:pt idx="7">
                  <c:v>Ivan Perišić</c:v>
                </c:pt>
                <c:pt idx="8">
                  <c:v>Álvaro Morata</c:v>
                </c:pt>
                <c:pt idx="9">
                  <c:v>Vincent Aboubakar </c:v>
                </c:pt>
                <c:pt idx="10">
                  <c:v>Phil Foden</c:v>
                </c:pt>
                <c:pt idx="11">
                  <c:v>Bukayo Saka</c:v>
                </c:pt>
                <c:pt idx="12">
                  <c:v>Christian Pulisic</c:v>
                </c:pt>
                <c:pt idx="13">
                  <c:v>Richarlison</c:v>
                </c:pt>
                <c:pt idx="14">
                  <c:v>João Félix</c:v>
                </c:pt>
                <c:pt idx="15">
                  <c:v>Denzel Dumfries</c:v>
                </c:pt>
                <c:pt idx="16">
                  <c:v>Cody Gakpo</c:v>
                </c:pt>
                <c:pt idx="17">
                  <c:v>Ferran Torres</c:v>
                </c:pt>
                <c:pt idx="18">
                  <c:v>Antoine Griezmann</c:v>
                </c:pt>
                <c:pt idx="19">
                  <c:v>Raphaël Guerreiro</c:v>
                </c:pt>
                <c:pt idx="20">
                  <c:v>Davy Klaassen</c:v>
                </c:pt>
                <c:pt idx="21">
                  <c:v>Theo Hernandez</c:v>
                </c:pt>
                <c:pt idx="22">
                  <c:v>Enner Valencia</c:v>
                </c:pt>
                <c:pt idx="23">
                  <c:v>Vinícius Júnior</c:v>
                </c:pt>
                <c:pt idx="24">
                  <c:v>Mehdi Taremi</c:v>
                </c:pt>
                <c:pt idx="25">
                  <c:v>Neymar</c:v>
                </c:pt>
                <c:pt idx="26">
                  <c:v>Mislav Oršić</c:v>
                </c:pt>
                <c:pt idx="27">
                  <c:v>Niclas Füllkrug</c:v>
                </c:pt>
                <c:pt idx="28">
                  <c:v>Marcus Rashford</c:v>
                </c:pt>
              </c:strCache>
            </c:strRef>
          </c:cat>
          <c:val>
            <c:numRef>
              <c:f>'World Cup Actions'!$F$5:$F$34</c:f>
              <c:numCache>
                <c:formatCode>General</c:formatCode>
                <c:ptCount val="29"/>
                <c:pt idx="0">
                  <c:v>10</c:v>
                </c:pt>
                <c:pt idx="1">
                  <c:v>10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38-473B-A6DE-66B5CCBE1CB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49876831"/>
        <c:axId val="249881151"/>
      </c:barChart>
      <c:catAx>
        <c:axId val="24987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81151"/>
        <c:crosses val="autoZero"/>
        <c:auto val="1"/>
        <c:lblAlgn val="ctr"/>
        <c:lblOffset val="100"/>
        <c:noMultiLvlLbl val="0"/>
      </c:catAx>
      <c:valAx>
        <c:axId val="249881151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498768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[World Cup 2022.xlsm]World Cup Actions!PivotTable8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Goals &amp; Assists per Team during the World Cup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'World Cup Actions'!$M$4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'World Cup Actions'!$L$5:$L$15</c:f>
              <c:strCache>
                <c:ptCount val="10"/>
                <c:pt idx="0">
                  <c:v>France</c:v>
                </c:pt>
                <c:pt idx="1">
                  <c:v>England</c:v>
                </c:pt>
                <c:pt idx="2">
                  <c:v>Argentina</c:v>
                </c:pt>
                <c:pt idx="3">
                  <c:v>Portugal</c:v>
                </c:pt>
                <c:pt idx="4">
                  <c:v>Netherlands</c:v>
                </c:pt>
                <c:pt idx="5">
                  <c:v>Croatia</c:v>
                </c:pt>
                <c:pt idx="6">
                  <c:v>Spain</c:v>
                </c:pt>
                <c:pt idx="7">
                  <c:v>Brasil</c:v>
                </c:pt>
                <c:pt idx="8">
                  <c:v>Germany</c:v>
                </c:pt>
                <c:pt idx="9">
                  <c:v>Morocco</c:v>
                </c:pt>
              </c:strCache>
            </c:strRef>
          </c:cat>
          <c:val>
            <c:numRef>
              <c:f>'World Cup Actions'!$M$5:$M$15</c:f>
              <c:numCache>
                <c:formatCode>General</c:formatCode>
                <c:ptCount val="10"/>
                <c:pt idx="0">
                  <c:v>28</c:v>
                </c:pt>
                <c:pt idx="1">
                  <c:v>24</c:v>
                </c:pt>
                <c:pt idx="2">
                  <c:v>23</c:v>
                </c:pt>
                <c:pt idx="3">
                  <c:v>21</c:v>
                </c:pt>
                <c:pt idx="4">
                  <c:v>18</c:v>
                </c:pt>
                <c:pt idx="5">
                  <c:v>16</c:v>
                </c:pt>
                <c:pt idx="6">
                  <c:v>14</c:v>
                </c:pt>
                <c:pt idx="7">
                  <c:v>14</c:v>
                </c:pt>
                <c:pt idx="8">
                  <c:v>11</c:v>
                </c:pt>
                <c:pt idx="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5A-4651-A9CD-DA3B8033E29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59059175"/>
        <c:axId val="159059895"/>
      </c:barChart>
      <c:catAx>
        <c:axId val="159059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059895"/>
        <c:crosses val="autoZero"/>
        <c:auto val="1"/>
        <c:lblAlgn val="ctr"/>
        <c:lblOffset val="100"/>
        <c:noMultiLvlLbl val="0"/>
      </c:catAx>
      <c:valAx>
        <c:axId val="159059895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590591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[World Cup 2022.xlsm]World Cup Actions!PivotTable9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Yellow  &amp; Red Cards per Team during the World Cup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'World Cup Actions'!$P$4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'World Cup Actions'!$O$5:$O$16</c:f>
              <c:strCache>
                <c:ptCount val="11"/>
                <c:pt idx="0">
                  <c:v>Argentina</c:v>
                </c:pt>
                <c:pt idx="1">
                  <c:v>Saudi Arabia</c:v>
                </c:pt>
                <c:pt idx="2">
                  <c:v>Serbia</c:v>
                </c:pt>
                <c:pt idx="3">
                  <c:v>Netherlands</c:v>
                </c:pt>
                <c:pt idx="4">
                  <c:v>Switzerland</c:v>
                </c:pt>
                <c:pt idx="5">
                  <c:v>Morocco</c:v>
                </c:pt>
                <c:pt idx="6">
                  <c:v>Cameroon</c:v>
                </c:pt>
                <c:pt idx="7">
                  <c:v>Canada</c:v>
                </c:pt>
                <c:pt idx="8">
                  <c:v>Uruguay</c:v>
                </c:pt>
                <c:pt idx="9">
                  <c:v>France</c:v>
                </c:pt>
                <c:pt idx="10">
                  <c:v>Ghana</c:v>
                </c:pt>
              </c:strCache>
            </c:strRef>
          </c:cat>
          <c:val>
            <c:numRef>
              <c:f>'World Cup Actions'!$P$5:$P$16</c:f>
              <c:numCache>
                <c:formatCode>General</c:formatCode>
                <c:ptCount val="11"/>
                <c:pt idx="0">
                  <c:v>17</c:v>
                </c:pt>
                <c:pt idx="1">
                  <c:v>14</c:v>
                </c:pt>
                <c:pt idx="2">
                  <c:v>12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75-4330-BCCC-57044228176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541936423"/>
        <c:axId val="541934983"/>
      </c:barChart>
      <c:catAx>
        <c:axId val="5419364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34983"/>
        <c:crosses val="autoZero"/>
        <c:auto val="1"/>
        <c:lblAlgn val="ctr"/>
        <c:lblOffset val="100"/>
        <c:noMultiLvlLbl val="0"/>
      </c:catAx>
      <c:valAx>
        <c:axId val="54193498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36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hyperlink" Target="https://en.wikipedia.org/wiki/Scottish_Football_Association" TargetMode="External"/><Relationship Id="rId18" Type="http://schemas.openxmlformats.org/officeDocument/2006/relationships/image" Target="../media/image9.png"/><Relationship Id="rId26" Type="http://schemas.openxmlformats.org/officeDocument/2006/relationships/image" Target="../media/image13.png"/><Relationship Id="rId39" Type="http://schemas.openxmlformats.org/officeDocument/2006/relationships/hyperlink" Target="https://en.wikipedia.org/wiki/Chinese_Football_Association" TargetMode="External"/><Relationship Id="rId21" Type="http://schemas.openxmlformats.org/officeDocument/2006/relationships/hyperlink" Target="https://en.wikipedia.org/wiki/Saudi_Arabian_Football_Federation" TargetMode="External"/><Relationship Id="rId34" Type="http://schemas.openxmlformats.org/officeDocument/2006/relationships/image" Target="../media/image17.png"/><Relationship Id="rId42" Type="http://schemas.openxmlformats.org/officeDocument/2006/relationships/image" Target="../media/image21.png"/><Relationship Id="rId47" Type="http://schemas.openxmlformats.org/officeDocument/2006/relationships/hyperlink" Target="https://en.wikipedia.org/wiki/Royal_Dutch_Football_Association" TargetMode="External"/><Relationship Id="rId50" Type="http://schemas.openxmlformats.org/officeDocument/2006/relationships/image" Target="../media/image25.png"/><Relationship Id="rId55" Type="http://schemas.openxmlformats.org/officeDocument/2006/relationships/hyperlink" Target="https://en.wikipedia.org/wiki/Korea_Football_Association" TargetMode="External"/><Relationship Id="rId7" Type="http://schemas.openxmlformats.org/officeDocument/2006/relationships/hyperlink" Target="https://en.wikipedia.org/wiki/Italian_Football_Federation" TargetMode="External"/><Relationship Id="rId12" Type="http://schemas.openxmlformats.org/officeDocument/2006/relationships/image" Target="../media/image6.png"/><Relationship Id="rId17" Type="http://schemas.openxmlformats.org/officeDocument/2006/relationships/hyperlink" Target="https://en.wikipedia.org/wiki/French_Football_Federation" TargetMode="External"/><Relationship Id="rId25" Type="http://schemas.openxmlformats.org/officeDocument/2006/relationships/hyperlink" Target="https://en.wikipedia.org/wiki/Royal_Moroccan_Football_Federation" TargetMode="External"/><Relationship Id="rId33" Type="http://schemas.openxmlformats.org/officeDocument/2006/relationships/hyperlink" Target="https://en.wikipedia.org/wiki/Cameroonian_Football_Federation" TargetMode="External"/><Relationship Id="rId38" Type="http://schemas.openxmlformats.org/officeDocument/2006/relationships/image" Target="../media/image19.png"/><Relationship Id="rId46" Type="http://schemas.openxmlformats.org/officeDocument/2006/relationships/image" Target="../media/image23.png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29" Type="http://schemas.openxmlformats.org/officeDocument/2006/relationships/hyperlink" Target="https://en.wikipedia.org/wiki/Brazilian_Football_Confederation" TargetMode="External"/><Relationship Id="rId41" Type="http://schemas.openxmlformats.org/officeDocument/2006/relationships/hyperlink" Target="https://en.wikipedia.org/wiki/United_States_Soccer_Federation" TargetMode="External"/><Relationship Id="rId54" Type="http://schemas.openxmlformats.org/officeDocument/2006/relationships/image" Target="../media/image27.png"/><Relationship Id="rId1" Type="http://schemas.openxmlformats.org/officeDocument/2006/relationships/hyperlink" Target="https://en.wikipedia.org/wiki/The_Football_Association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s://en.wikipedia.org/wiki/Hellenic_Football_Federation" TargetMode="Externa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37" Type="http://schemas.openxmlformats.org/officeDocument/2006/relationships/hyperlink" Target="https://en.wikipedia.org/wiki/Swiss_Football_Association" TargetMode="External"/><Relationship Id="rId40" Type="http://schemas.openxmlformats.org/officeDocument/2006/relationships/image" Target="../media/image20.png"/><Relationship Id="rId45" Type="http://schemas.openxmlformats.org/officeDocument/2006/relationships/hyperlink" Target="https://en.wikipedia.org/wiki/Football_Association_of_Serbia" TargetMode="External"/><Relationship Id="rId53" Type="http://schemas.openxmlformats.org/officeDocument/2006/relationships/hyperlink" Target="https://en.wikipedia.org/wiki/Ghana_Football_Association" TargetMode="External"/><Relationship Id="rId5" Type="http://schemas.openxmlformats.org/officeDocument/2006/relationships/hyperlink" Target="https://en.wikipedia.org/wiki/Royal_Spanish_Football_Federation" TargetMode="External"/><Relationship Id="rId15" Type="http://schemas.openxmlformats.org/officeDocument/2006/relationships/hyperlink" Target="https://en.wikipedia.org/wiki/Austrian_Football_Association" TargetMode="External"/><Relationship Id="rId23" Type="http://schemas.openxmlformats.org/officeDocument/2006/relationships/hyperlink" Target="https://en.wikipedia.org/wiki/Royal_Belgian_Football_Association" TargetMode="Externa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49" Type="http://schemas.openxmlformats.org/officeDocument/2006/relationships/hyperlink" Target="https://en.wikipedia.org/wiki/Portuguese_Football_Federation" TargetMode="External"/><Relationship Id="rId10" Type="http://schemas.openxmlformats.org/officeDocument/2006/relationships/image" Target="../media/image5.png"/><Relationship Id="rId19" Type="http://schemas.openxmlformats.org/officeDocument/2006/relationships/hyperlink" Target="https://en.wikipedia.org/wiki/Turkish_Football_Federation" TargetMode="External"/><Relationship Id="rId31" Type="http://schemas.openxmlformats.org/officeDocument/2006/relationships/hyperlink" Target="https://en.wikipedia.org/wiki/Mexican_Football_Federation" TargetMode="External"/><Relationship Id="rId44" Type="http://schemas.openxmlformats.org/officeDocument/2006/relationships/image" Target="../media/image22.png"/><Relationship Id="rId52" Type="http://schemas.openxmlformats.org/officeDocument/2006/relationships/image" Target="../media/image26.png"/><Relationship Id="rId4" Type="http://schemas.openxmlformats.org/officeDocument/2006/relationships/image" Target="../media/image2.png"/><Relationship Id="rId9" Type="http://schemas.openxmlformats.org/officeDocument/2006/relationships/hyperlink" Target="https://en.wikipedia.org/wiki/Croatian_Football_Federation" TargetMode="Externa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hyperlink" Target="https://en.wikipedia.org/wiki/Qatar_Football_Association" TargetMode="External"/><Relationship Id="rId30" Type="http://schemas.openxmlformats.org/officeDocument/2006/relationships/image" Target="../media/image15.png"/><Relationship Id="rId35" Type="http://schemas.openxmlformats.org/officeDocument/2006/relationships/hyperlink" Target="https://en.wikipedia.org/wiki/Russian_Football_Union" TargetMode="External"/><Relationship Id="rId43" Type="http://schemas.openxmlformats.org/officeDocument/2006/relationships/hyperlink" Target="https://en.wikipedia.org/wiki/Football_Association_of_Wales" TargetMode="External"/><Relationship Id="rId48" Type="http://schemas.openxmlformats.org/officeDocument/2006/relationships/image" Target="../media/image24.png"/><Relationship Id="rId56" Type="http://schemas.openxmlformats.org/officeDocument/2006/relationships/image" Target="../media/image28.png"/><Relationship Id="rId8" Type="http://schemas.openxmlformats.org/officeDocument/2006/relationships/image" Target="../media/image4.png"/><Relationship Id="rId51" Type="http://schemas.openxmlformats.org/officeDocument/2006/relationships/hyperlink" Target="https://en.wikipedia.org/wiki/Polish_Football_Association" TargetMode="External"/><Relationship Id="rId3" Type="http://schemas.openxmlformats.org/officeDocument/2006/relationships/hyperlink" Target="https://en.wikipedia.org/wiki/German_Football_Associatio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579</xdr:row>
      <xdr:rowOff>0</xdr:rowOff>
    </xdr:from>
    <xdr:to>
      <xdr:col>5</xdr:col>
      <xdr:colOff>219075</xdr:colOff>
      <xdr:row>579</xdr:row>
      <xdr:rowOff>133350</xdr:rowOff>
    </xdr:to>
    <xdr:pic>
      <xdr:nvPicPr>
        <xdr:cNvPr id="2" name="Picture 1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56144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580</xdr:row>
      <xdr:rowOff>0</xdr:rowOff>
    </xdr:from>
    <xdr:to>
      <xdr:col>5</xdr:col>
      <xdr:colOff>219075</xdr:colOff>
      <xdr:row>580</xdr:row>
      <xdr:rowOff>133350</xdr:rowOff>
    </xdr:to>
    <xdr:pic>
      <xdr:nvPicPr>
        <xdr:cNvPr id="3" name="Picture 2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58144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581</xdr:row>
      <xdr:rowOff>0</xdr:rowOff>
    </xdr:from>
    <xdr:to>
      <xdr:col>5</xdr:col>
      <xdr:colOff>219075</xdr:colOff>
      <xdr:row>581</xdr:row>
      <xdr:rowOff>142875</xdr:rowOff>
    </xdr:to>
    <xdr:pic>
      <xdr:nvPicPr>
        <xdr:cNvPr id="4" name="Picture 3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60145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582</xdr:row>
      <xdr:rowOff>0</xdr:rowOff>
    </xdr:from>
    <xdr:to>
      <xdr:col>5</xdr:col>
      <xdr:colOff>219075</xdr:colOff>
      <xdr:row>582</xdr:row>
      <xdr:rowOff>142875</xdr:rowOff>
    </xdr:to>
    <xdr:pic>
      <xdr:nvPicPr>
        <xdr:cNvPr id="5" name="Picture 4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62145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583</xdr:row>
      <xdr:rowOff>0</xdr:rowOff>
    </xdr:from>
    <xdr:to>
      <xdr:col>5</xdr:col>
      <xdr:colOff>219075</xdr:colOff>
      <xdr:row>583</xdr:row>
      <xdr:rowOff>142875</xdr:rowOff>
    </xdr:to>
    <xdr:pic>
      <xdr:nvPicPr>
        <xdr:cNvPr id="6" name="Picture 5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64145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584</xdr:row>
      <xdr:rowOff>0</xdr:rowOff>
    </xdr:from>
    <xdr:to>
      <xdr:col>5</xdr:col>
      <xdr:colOff>219075</xdr:colOff>
      <xdr:row>584</xdr:row>
      <xdr:rowOff>142875</xdr:rowOff>
    </xdr:to>
    <xdr:pic>
      <xdr:nvPicPr>
        <xdr:cNvPr id="7" name="Picture 6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66145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585</xdr:row>
      <xdr:rowOff>0</xdr:rowOff>
    </xdr:from>
    <xdr:to>
      <xdr:col>5</xdr:col>
      <xdr:colOff>219075</xdr:colOff>
      <xdr:row>585</xdr:row>
      <xdr:rowOff>114300</xdr:rowOff>
    </xdr:to>
    <xdr:pic>
      <xdr:nvPicPr>
        <xdr:cNvPr id="8" name="Picture 7" descr="Croatia">
          <a:hlinkClick xmlns:r="http://schemas.openxmlformats.org/officeDocument/2006/relationships" r:id="rId9" tooltip="Croatian Football Federation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68146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586</xdr:row>
      <xdr:rowOff>0</xdr:rowOff>
    </xdr:from>
    <xdr:to>
      <xdr:col>5</xdr:col>
      <xdr:colOff>219075</xdr:colOff>
      <xdr:row>586</xdr:row>
      <xdr:rowOff>142875</xdr:rowOff>
    </xdr:to>
    <xdr:pic>
      <xdr:nvPicPr>
        <xdr:cNvPr id="9" name="Picture 8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70146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587</xdr:row>
      <xdr:rowOff>0</xdr:rowOff>
    </xdr:from>
    <xdr:to>
      <xdr:col>5</xdr:col>
      <xdr:colOff>219075</xdr:colOff>
      <xdr:row>587</xdr:row>
      <xdr:rowOff>114300</xdr:rowOff>
    </xdr:to>
    <xdr:pic>
      <xdr:nvPicPr>
        <xdr:cNvPr id="10" name="Picture 9" descr="Croatia">
          <a:hlinkClick xmlns:r="http://schemas.openxmlformats.org/officeDocument/2006/relationships" r:id="rId9" tooltip="Croatian Football Federation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72146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588</xdr:row>
      <xdr:rowOff>0</xdr:rowOff>
    </xdr:from>
    <xdr:to>
      <xdr:col>5</xdr:col>
      <xdr:colOff>219075</xdr:colOff>
      <xdr:row>588</xdr:row>
      <xdr:rowOff>142875</xdr:rowOff>
    </xdr:to>
    <xdr:pic>
      <xdr:nvPicPr>
        <xdr:cNvPr id="11" name="Picture 10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74146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589</xdr:row>
      <xdr:rowOff>0</xdr:rowOff>
    </xdr:from>
    <xdr:to>
      <xdr:col>5</xdr:col>
      <xdr:colOff>219075</xdr:colOff>
      <xdr:row>589</xdr:row>
      <xdr:rowOff>114300</xdr:rowOff>
    </xdr:to>
    <xdr:pic>
      <xdr:nvPicPr>
        <xdr:cNvPr id="12" name="Picture 11" descr="Croatia">
          <a:hlinkClick xmlns:r="http://schemas.openxmlformats.org/officeDocument/2006/relationships" r:id="rId9" tooltip="Croatian Football Federation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761470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590</xdr:row>
      <xdr:rowOff>0</xdr:rowOff>
    </xdr:from>
    <xdr:to>
      <xdr:col>5</xdr:col>
      <xdr:colOff>219075</xdr:colOff>
      <xdr:row>590</xdr:row>
      <xdr:rowOff>133350</xdr:rowOff>
    </xdr:to>
    <xdr:pic>
      <xdr:nvPicPr>
        <xdr:cNvPr id="13" name="Picture 12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78147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591</xdr:row>
      <xdr:rowOff>0</xdr:rowOff>
    </xdr:from>
    <xdr:to>
      <xdr:col>5</xdr:col>
      <xdr:colOff>219075</xdr:colOff>
      <xdr:row>591</xdr:row>
      <xdr:rowOff>133350</xdr:rowOff>
    </xdr:to>
    <xdr:pic>
      <xdr:nvPicPr>
        <xdr:cNvPr id="14" name="Picture 13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80147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592</xdr:row>
      <xdr:rowOff>0</xdr:rowOff>
    </xdr:from>
    <xdr:to>
      <xdr:col>5</xdr:col>
      <xdr:colOff>219075</xdr:colOff>
      <xdr:row>592</xdr:row>
      <xdr:rowOff>142875</xdr:rowOff>
    </xdr:to>
    <xdr:pic>
      <xdr:nvPicPr>
        <xdr:cNvPr id="15" name="Picture 14" descr="Greece">
          <a:hlinkClick xmlns:r="http://schemas.openxmlformats.org/officeDocument/2006/relationships" r:id="rId11" tooltip="Hellenic Football Federation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82147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593</xdr:row>
      <xdr:rowOff>0</xdr:rowOff>
    </xdr:from>
    <xdr:to>
      <xdr:col>5</xdr:col>
      <xdr:colOff>219075</xdr:colOff>
      <xdr:row>593</xdr:row>
      <xdr:rowOff>133350</xdr:rowOff>
    </xdr:to>
    <xdr:pic>
      <xdr:nvPicPr>
        <xdr:cNvPr id="16" name="Picture 15" descr="Scotland">
          <a:hlinkClick xmlns:r="http://schemas.openxmlformats.org/officeDocument/2006/relationships" r:id="rId13" tooltip="Scottish Football Association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84148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594</xdr:row>
      <xdr:rowOff>0</xdr:rowOff>
    </xdr:from>
    <xdr:to>
      <xdr:col>5</xdr:col>
      <xdr:colOff>219075</xdr:colOff>
      <xdr:row>594</xdr:row>
      <xdr:rowOff>114300</xdr:rowOff>
    </xdr:to>
    <xdr:pic>
      <xdr:nvPicPr>
        <xdr:cNvPr id="17" name="Picture 16" descr="Croatia">
          <a:hlinkClick xmlns:r="http://schemas.openxmlformats.org/officeDocument/2006/relationships" r:id="rId9" tooltip="Croatian Football Federation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86148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595</xdr:row>
      <xdr:rowOff>0</xdr:rowOff>
    </xdr:from>
    <xdr:to>
      <xdr:col>5</xdr:col>
      <xdr:colOff>219075</xdr:colOff>
      <xdr:row>595</xdr:row>
      <xdr:rowOff>114300</xdr:rowOff>
    </xdr:to>
    <xdr:pic>
      <xdr:nvPicPr>
        <xdr:cNvPr id="18" name="Picture 17" descr="Croatia">
          <a:hlinkClick xmlns:r="http://schemas.openxmlformats.org/officeDocument/2006/relationships" r:id="rId9" tooltip="Croatian Football Federation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8814850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596</xdr:row>
      <xdr:rowOff>0</xdr:rowOff>
    </xdr:from>
    <xdr:to>
      <xdr:col>5</xdr:col>
      <xdr:colOff>219075</xdr:colOff>
      <xdr:row>596</xdr:row>
      <xdr:rowOff>142875</xdr:rowOff>
    </xdr:to>
    <xdr:pic>
      <xdr:nvPicPr>
        <xdr:cNvPr id="19" name="Picture 18" descr="Austria">
          <a:hlinkClick xmlns:r="http://schemas.openxmlformats.org/officeDocument/2006/relationships" r:id="rId15" tooltip="Austrian Football Association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90148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597</xdr:row>
      <xdr:rowOff>0</xdr:rowOff>
    </xdr:from>
    <xdr:to>
      <xdr:col>5</xdr:col>
      <xdr:colOff>219075</xdr:colOff>
      <xdr:row>597</xdr:row>
      <xdr:rowOff>133350</xdr:rowOff>
    </xdr:to>
    <xdr:pic>
      <xdr:nvPicPr>
        <xdr:cNvPr id="20" name="Picture 19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92149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598</xdr:row>
      <xdr:rowOff>0</xdr:rowOff>
    </xdr:from>
    <xdr:to>
      <xdr:col>5</xdr:col>
      <xdr:colOff>219075</xdr:colOff>
      <xdr:row>598</xdr:row>
      <xdr:rowOff>142875</xdr:rowOff>
    </xdr:to>
    <xdr:pic>
      <xdr:nvPicPr>
        <xdr:cNvPr id="21" name="Picture 20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94149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599</xdr:row>
      <xdr:rowOff>0</xdr:rowOff>
    </xdr:from>
    <xdr:to>
      <xdr:col>5</xdr:col>
      <xdr:colOff>219075</xdr:colOff>
      <xdr:row>599</xdr:row>
      <xdr:rowOff>142875</xdr:rowOff>
    </xdr:to>
    <xdr:pic>
      <xdr:nvPicPr>
        <xdr:cNvPr id="22" name="Picture 21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96149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600</xdr:row>
      <xdr:rowOff>0</xdr:rowOff>
    </xdr:from>
    <xdr:to>
      <xdr:col>5</xdr:col>
      <xdr:colOff>219075</xdr:colOff>
      <xdr:row>600</xdr:row>
      <xdr:rowOff>133350</xdr:rowOff>
    </xdr:to>
    <xdr:pic>
      <xdr:nvPicPr>
        <xdr:cNvPr id="23" name="Picture 22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198149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601</xdr:row>
      <xdr:rowOff>0</xdr:rowOff>
    </xdr:from>
    <xdr:to>
      <xdr:col>5</xdr:col>
      <xdr:colOff>219075</xdr:colOff>
      <xdr:row>601</xdr:row>
      <xdr:rowOff>142875</xdr:rowOff>
    </xdr:to>
    <xdr:pic>
      <xdr:nvPicPr>
        <xdr:cNvPr id="24" name="Picture 23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00150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602</xdr:row>
      <xdr:rowOff>0</xdr:rowOff>
    </xdr:from>
    <xdr:to>
      <xdr:col>5</xdr:col>
      <xdr:colOff>219075</xdr:colOff>
      <xdr:row>602</xdr:row>
      <xdr:rowOff>133350</xdr:rowOff>
    </xdr:to>
    <xdr:pic>
      <xdr:nvPicPr>
        <xdr:cNvPr id="25" name="Picture 24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02150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603</xdr:row>
      <xdr:rowOff>0</xdr:rowOff>
    </xdr:from>
    <xdr:to>
      <xdr:col>5</xdr:col>
      <xdr:colOff>219075</xdr:colOff>
      <xdr:row>603</xdr:row>
      <xdr:rowOff>142875</xdr:rowOff>
    </xdr:to>
    <xdr:pic>
      <xdr:nvPicPr>
        <xdr:cNvPr id="26" name="Picture 25" descr="Turkey">
          <a:hlinkClick xmlns:r="http://schemas.openxmlformats.org/officeDocument/2006/relationships" r:id="rId19" tooltip="Turkish Football Federation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04150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604</xdr:row>
      <xdr:rowOff>0</xdr:rowOff>
    </xdr:from>
    <xdr:to>
      <xdr:col>5</xdr:col>
      <xdr:colOff>219075</xdr:colOff>
      <xdr:row>604</xdr:row>
      <xdr:rowOff>133350</xdr:rowOff>
    </xdr:to>
    <xdr:pic>
      <xdr:nvPicPr>
        <xdr:cNvPr id="27" name="Picture 26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06150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605</xdr:row>
      <xdr:rowOff>0</xdr:rowOff>
    </xdr:from>
    <xdr:to>
      <xdr:col>5</xdr:col>
      <xdr:colOff>219075</xdr:colOff>
      <xdr:row>605</xdr:row>
      <xdr:rowOff>142875</xdr:rowOff>
    </xdr:to>
    <xdr:pic>
      <xdr:nvPicPr>
        <xdr:cNvPr id="28" name="Picture 27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08151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606</xdr:row>
      <xdr:rowOff>0</xdr:rowOff>
    </xdr:from>
    <xdr:to>
      <xdr:col>5</xdr:col>
      <xdr:colOff>219075</xdr:colOff>
      <xdr:row>606</xdr:row>
      <xdr:rowOff>142875</xdr:rowOff>
    </xdr:to>
    <xdr:pic>
      <xdr:nvPicPr>
        <xdr:cNvPr id="29" name="Picture 28" descr="Saudi Arabia">
          <a:hlinkClick xmlns:r="http://schemas.openxmlformats.org/officeDocument/2006/relationships" r:id="rId21" tooltip="Saudi Arabian Football Federation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10151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607</xdr:row>
      <xdr:rowOff>0</xdr:rowOff>
    </xdr:from>
    <xdr:to>
      <xdr:col>5</xdr:col>
      <xdr:colOff>219075</xdr:colOff>
      <xdr:row>607</xdr:row>
      <xdr:rowOff>133350</xdr:rowOff>
    </xdr:to>
    <xdr:pic>
      <xdr:nvPicPr>
        <xdr:cNvPr id="30" name="Picture 29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12151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608</xdr:row>
      <xdr:rowOff>0</xdr:rowOff>
    </xdr:from>
    <xdr:to>
      <xdr:col>5</xdr:col>
      <xdr:colOff>219075</xdr:colOff>
      <xdr:row>608</xdr:row>
      <xdr:rowOff>142875</xdr:rowOff>
    </xdr:to>
    <xdr:pic>
      <xdr:nvPicPr>
        <xdr:cNvPr id="31" name="Picture 30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14151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609</xdr:row>
      <xdr:rowOff>0</xdr:rowOff>
    </xdr:from>
    <xdr:to>
      <xdr:col>5</xdr:col>
      <xdr:colOff>219075</xdr:colOff>
      <xdr:row>609</xdr:row>
      <xdr:rowOff>142875</xdr:rowOff>
    </xdr:to>
    <xdr:pic>
      <xdr:nvPicPr>
        <xdr:cNvPr id="32" name="Picture 31" descr="Saudi Arabia">
          <a:hlinkClick xmlns:r="http://schemas.openxmlformats.org/officeDocument/2006/relationships" r:id="rId21" tooltip="Saudi Arabian Football Federation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16152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610</xdr:row>
      <xdr:rowOff>0</xdr:rowOff>
    </xdr:from>
    <xdr:to>
      <xdr:col>5</xdr:col>
      <xdr:colOff>219075</xdr:colOff>
      <xdr:row>610</xdr:row>
      <xdr:rowOff>133350</xdr:rowOff>
    </xdr:to>
    <xdr:pic>
      <xdr:nvPicPr>
        <xdr:cNvPr id="33" name="Picture 32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18152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611</xdr:row>
      <xdr:rowOff>0</xdr:rowOff>
    </xdr:from>
    <xdr:to>
      <xdr:col>5</xdr:col>
      <xdr:colOff>219075</xdr:colOff>
      <xdr:row>611</xdr:row>
      <xdr:rowOff>142875</xdr:rowOff>
    </xdr:to>
    <xdr:pic>
      <xdr:nvPicPr>
        <xdr:cNvPr id="34" name="Picture 33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20152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612</xdr:row>
      <xdr:rowOff>0</xdr:rowOff>
    </xdr:from>
    <xdr:to>
      <xdr:col>5</xdr:col>
      <xdr:colOff>219075</xdr:colOff>
      <xdr:row>612</xdr:row>
      <xdr:rowOff>142875</xdr:rowOff>
    </xdr:to>
    <xdr:pic>
      <xdr:nvPicPr>
        <xdr:cNvPr id="35" name="Picture 34" descr="Belgium">
          <a:hlinkClick xmlns:r="http://schemas.openxmlformats.org/officeDocument/2006/relationships" r:id="rId23" tooltip="Royal Belgian Football Association"/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22152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613</xdr:row>
      <xdr:rowOff>0</xdr:rowOff>
    </xdr:from>
    <xdr:to>
      <xdr:col>5</xdr:col>
      <xdr:colOff>219075</xdr:colOff>
      <xdr:row>613</xdr:row>
      <xdr:rowOff>142875</xdr:rowOff>
    </xdr:to>
    <xdr:pic>
      <xdr:nvPicPr>
        <xdr:cNvPr id="36" name="Picture 35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24153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614</xdr:row>
      <xdr:rowOff>0</xdr:rowOff>
    </xdr:from>
    <xdr:to>
      <xdr:col>5</xdr:col>
      <xdr:colOff>219075</xdr:colOff>
      <xdr:row>614</xdr:row>
      <xdr:rowOff>142875</xdr:rowOff>
    </xdr:to>
    <xdr:pic>
      <xdr:nvPicPr>
        <xdr:cNvPr id="37" name="Picture 36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26153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615</xdr:row>
      <xdr:rowOff>0</xdr:rowOff>
    </xdr:from>
    <xdr:to>
      <xdr:col>5</xdr:col>
      <xdr:colOff>219075</xdr:colOff>
      <xdr:row>615</xdr:row>
      <xdr:rowOff>142875</xdr:rowOff>
    </xdr:to>
    <xdr:pic>
      <xdr:nvPicPr>
        <xdr:cNvPr id="38" name="Picture 37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28153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616</xdr:row>
      <xdr:rowOff>0</xdr:rowOff>
    </xdr:from>
    <xdr:to>
      <xdr:col>5</xdr:col>
      <xdr:colOff>219075</xdr:colOff>
      <xdr:row>616</xdr:row>
      <xdr:rowOff>142875</xdr:rowOff>
    </xdr:to>
    <xdr:pic>
      <xdr:nvPicPr>
        <xdr:cNvPr id="39" name="Picture 38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30153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617</xdr:row>
      <xdr:rowOff>0</xdr:rowOff>
    </xdr:from>
    <xdr:to>
      <xdr:col>5</xdr:col>
      <xdr:colOff>219075</xdr:colOff>
      <xdr:row>617</xdr:row>
      <xdr:rowOff>142875</xdr:rowOff>
    </xdr:to>
    <xdr:pic>
      <xdr:nvPicPr>
        <xdr:cNvPr id="40" name="Picture 39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32154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618</xdr:row>
      <xdr:rowOff>0</xdr:rowOff>
    </xdr:from>
    <xdr:to>
      <xdr:col>5</xdr:col>
      <xdr:colOff>219075</xdr:colOff>
      <xdr:row>618</xdr:row>
      <xdr:rowOff>142875</xdr:rowOff>
    </xdr:to>
    <xdr:pic>
      <xdr:nvPicPr>
        <xdr:cNvPr id="41" name="Picture 40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34154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619</xdr:row>
      <xdr:rowOff>0</xdr:rowOff>
    </xdr:from>
    <xdr:to>
      <xdr:col>5</xdr:col>
      <xdr:colOff>219075</xdr:colOff>
      <xdr:row>619</xdr:row>
      <xdr:rowOff>142875</xdr:rowOff>
    </xdr:to>
    <xdr:pic>
      <xdr:nvPicPr>
        <xdr:cNvPr id="42" name="Picture 41" descr="Morocco">
          <a:hlinkClick xmlns:r="http://schemas.openxmlformats.org/officeDocument/2006/relationships" r:id="rId25" tooltip="Royal Moroccan Football Federation"/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36154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620</xdr:row>
      <xdr:rowOff>0</xdr:rowOff>
    </xdr:from>
    <xdr:to>
      <xdr:col>5</xdr:col>
      <xdr:colOff>219075</xdr:colOff>
      <xdr:row>620</xdr:row>
      <xdr:rowOff>142875</xdr:rowOff>
    </xdr:to>
    <xdr:pic>
      <xdr:nvPicPr>
        <xdr:cNvPr id="43" name="Picture 42" descr="Belgium">
          <a:hlinkClick xmlns:r="http://schemas.openxmlformats.org/officeDocument/2006/relationships" r:id="rId23" tooltip="Royal Belgian Football Association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38154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621</xdr:row>
      <xdr:rowOff>0</xdr:rowOff>
    </xdr:from>
    <xdr:to>
      <xdr:col>5</xdr:col>
      <xdr:colOff>219075</xdr:colOff>
      <xdr:row>621</xdr:row>
      <xdr:rowOff>85725</xdr:rowOff>
    </xdr:to>
    <xdr:pic>
      <xdr:nvPicPr>
        <xdr:cNvPr id="44" name="Picture 43" descr="Qatar">
          <a:hlinkClick xmlns:r="http://schemas.openxmlformats.org/officeDocument/2006/relationships" r:id="rId27" tooltip="Qatar Football Association"/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4015500"/>
          <a:ext cx="21907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622</xdr:row>
      <xdr:rowOff>0</xdr:rowOff>
    </xdr:from>
    <xdr:to>
      <xdr:col>5</xdr:col>
      <xdr:colOff>219075</xdr:colOff>
      <xdr:row>622</xdr:row>
      <xdr:rowOff>142875</xdr:rowOff>
    </xdr:to>
    <xdr:pic>
      <xdr:nvPicPr>
        <xdr:cNvPr id="45" name="Picture 44" descr="Morocco">
          <a:hlinkClick xmlns:r="http://schemas.openxmlformats.org/officeDocument/2006/relationships" r:id="rId25" tooltip="Royal Moroccan Football Federation"/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42155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623</xdr:row>
      <xdr:rowOff>0</xdr:rowOff>
    </xdr:from>
    <xdr:to>
      <xdr:col>5</xdr:col>
      <xdr:colOff>219075</xdr:colOff>
      <xdr:row>623</xdr:row>
      <xdr:rowOff>142875</xdr:rowOff>
    </xdr:to>
    <xdr:pic>
      <xdr:nvPicPr>
        <xdr:cNvPr id="46" name="Picture 45" descr="Morocco">
          <a:hlinkClick xmlns:r="http://schemas.openxmlformats.org/officeDocument/2006/relationships" r:id="rId25" tooltip="Royal Moroccan Football Federation"/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44155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624</xdr:row>
      <xdr:rowOff>0</xdr:rowOff>
    </xdr:from>
    <xdr:to>
      <xdr:col>5</xdr:col>
      <xdr:colOff>219075</xdr:colOff>
      <xdr:row>624</xdr:row>
      <xdr:rowOff>133350</xdr:rowOff>
    </xdr:to>
    <xdr:pic>
      <xdr:nvPicPr>
        <xdr:cNvPr id="47" name="Picture 46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46155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625</xdr:row>
      <xdr:rowOff>0</xdr:rowOff>
    </xdr:from>
    <xdr:to>
      <xdr:col>5</xdr:col>
      <xdr:colOff>219075</xdr:colOff>
      <xdr:row>625</xdr:row>
      <xdr:rowOff>142875</xdr:rowOff>
    </xdr:to>
    <xdr:pic>
      <xdr:nvPicPr>
        <xdr:cNvPr id="48" name="Picture 47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48156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626</xdr:row>
      <xdr:rowOff>0</xdr:rowOff>
    </xdr:from>
    <xdr:to>
      <xdr:col>5</xdr:col>
      <xdr:colOff>219075</xdr:colOff>
      <xdr:row>626</xdr:row>
      <xdr:rowOff>133350</xdr:rowOff>
    </xdr:to>
    <xdr:pic>
      <xdr:nvPicPr>
        <xdr:cNvPr id="49" name="Picture 48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50156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627</xdr:row>
      <xdr:rowOff>0</xdr:rowOff>
    </xdr:from>
    <xdr:to>
      <xdr:col>5</xdr:col>
      <xdr:colOff>219075</xdr:colOff>
      <xdr:row>627</xdr:row>
      <xdr:rowOff>142875</xdr:rowOff>
    </xdr:to>
    <xdr:pic>
      <xdr:nvPicPr>
        <xdr:cNvPr id="50" name="Picture 49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52156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628</xdr:row>
      <xdr:rowOff>0</xdr:rowOff>
    </xdr:from>
    <xdr:to>
      <xdr:col>5</xdr:col>
      <xdr:colOff>219075</xdr:colOff>
      <xdr:row>628</xdr:row>
      <xdr:rowOff>133350</xdr:rowOff>
    </xdr:to>
    <xdr:pic>
      <xdr:nvPicPr>
        <xdr:cNvPr id="51" name="Picture 50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54156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629</xdr:row>
      <xdr:rowOff>0</xdr:rowOff>
    </xdr:from>
    <xdr:to>
      <xdr:col>5</xdr:col>
      <xdr:colOff>219075</xdr:colOff>
      <xdr:row>629</xdr:row>
      <xdr:rowOff>142875</xdr:rowOff>
    </xdr:to>
    <xdr:pic>
      <xdr:nvPicPr>
        <xdr:cNvPr id="52" name="Picture 51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56157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630</xdr:row>
      <xdr:rowOff>0</xdr:rowOff>
    </xdr:from>
    <xdr:to>
      <xdr:col>5</xdr:col>
      <xdr:colOff>219075</xdr:colOff>
      <xdr:row>630</xdr:row>
      <xdr:rowOff>133350</xdr:rowOff>
    </xdr:to>
    <xdr:pic>
      <xdr:nvPicPr>
        <xdr:cNvPr id="53" name="Picture 52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58157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631</xdr:row>
      <xdr:rowOff>0</xdr:rowOff>
    </xdr:from>
    <xdr:to>
      <xdr:col>5</xdr:col>
      <xdr:colOff>219075</xdr:colOff>
      <xdr:row>631</xdr:row>
      <xdr:rowOff>133350</xdr:rowOff>
    </xdr:to>
    <xdr:pic>
      <xdr:nvPicPr>
        <xdr:cNvPr id="54" name="Picture 53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60157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632</xdr:row>
      <xdr:rowOff>0</xdr:rowOff>
    </xdr:from>
    <xdr:to>
      <xdr:col>5</xdr:col>
      <xdr:colOff>219075</xdr:colOff>
      <xdr:row>632</xdr:row>
      <xdr:rowOff>133350</xdr:rowOff>
    </xdr:to>
    <xdr:pic>
      <xdr:nvPicPr>
        <xdr:cNvPr id="55" name="Picture 54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62157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633</xdr:row>
      <xdr:rowOff>0</xdr:rowOff>
    </xdr:from>
    <xdr:to>
      <xdr:col>5</xdr:col>
      <xdr:colOff>219075</xdr:colOff>
      <xdr:row>633</xdr:row>
      <xdr:rowOff>142875</xdr:rowOff>
    </xdr:to>
    <xdr:pic>
      <xdr:nvPicPr>
        <xdr:cNvPr id="56" name="Picture 55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64158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276225</xdr:colOff>
      <xdr:row>634</xdr:row>
      <xdr:rowOff>95250</xdr:rowOff>
    </xdr:from>
    <xdr:to>
      <xdr:col>4</xdr:col>
      <xdr:colOff>495300</xdr:colOff>
      <xdr:row>635</xdr:row>
      <xdr:rowOff>47625</xdr:rowOff>
    </xdr:to>
    <xdr:pic>
      <xdr:nvPicPr>
        <xdr:cNvPr id="57" name="Picture 56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8500" y="2353722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635</xdr:row>
      <xdr:rowOff>0</xdr:rowOff>
    </xdr:from>
    <xdr:to>
      <xdr:col>5</xdr:col>
      <xdr:colOff>209550</xdr:colOff>
      <xdr:row>635</xdr:row>
      <xdr:rowOff>142875</xdr:rowOff>
    </xdr:to>
    <xdr:pic>
      <xdr:nvPicPr>
        <xdr:cNvPr id="58" name="Picture 57" descr="Brazil">
          <a:hlinkClick xmlns:r="http://schemas.openxmlformats.org/officeDocument/2006/relationships" r:id="rId29" tooltip="Brazilian Football Confederation"/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681585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636</xdr:row>
      <xdr:rowOff>0</xdr:rowOff>
    </xdr:from>
    <xdr:to>
      <xdr:col>5</xdr:col>
      <xdr:colOff>219075</xdr:colOff>
      <xdr:row>636</xdr:row>
      <xdr:rowOff>123825</xdr:rowOff>
    </xdr:to>
    <xdr:pic>
      <xdr:nvPicPr>
        <xdr:cNvPr id="59" name="Picture 58" descr="Mexico">
          <a:hlinkClick xmlns:r="http://schemas.openxmlformats.org/officeDocument/2006/relationships" r:id="rId31" tooltip="Mexican Football Federation"/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7015875"/>
          <a:ext cx="219075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637</xdr:row>
      <xdr:rowOff>0</xdr:rowOff>
    </xdr:from>
    <xdr:to>
      <xdr:col>5</xdr:col>
      <xdr:colOff>219075</xdr:colOff>
      <xdr:row>637</xdr:row>
      <xdr:rowOff>142875</xdr:rowOff>
    </xdr:to>
    <xdr:pic>
      <xdr:nvPicPr>
        <xdr:cNvPr id="60" name="Picture 59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72159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638</xdr:row>
      <xdr:rowOff>0</xdr:rowOff>
    </xdr:from>
    <xdr:to>
      <xdr:col>5</xdr:col>
      <xdr:colOff>219075</xdr:colOff>
      <xdr:row>638</xdr:row>
      <xdr:rowOff>133350</xdr:rowOff>
    </xdr:to>
    <xdr:pic>
      <xdr:nvPicPr>
        <xdr:cNvPr id="61" name="Picture 60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74159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639</xdr:row>
      <xdr:rowOff>0</xdr:rowOff>
    </xdr:from>
    <xdr:to>
      <xdr:col>5</xdr:col>
      <xdr:colOff>219075</xdr:colOff>
      <xdr:row>639</xdr:row>
      <xdr:rowOff>142875</xdr:rowOff>
    </xdr:to>
    <xdr:pic>
      <xdr:nvPicPr>
        <xdr:cNvPr id="62" name="Picture 61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76159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640</xdr:row>
      <xdr:rowOff>0</xdr:rowOff>
    </xdr:from>
    <xdr:to>
      <xdr:col>5</xdr:col>
      <xdr:colOff>219075</xdr:colOff>
      <xdr:row>640</xdr:row>
      <xdr:rowOff>133350</xdr:rowOff>
    </xdr:to>
    <xdr:pic>
      <xdr:nvPicPr>
        <xdr:cNvPr id="63" name="Picture 62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78159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641</xdr:row>
      <xdr:rowOff>0</xdr:rowOff>
    </xdr:from>
    <xdr:to>
      <xdr:col>5</xdr:col>
      <xdr:colOff>219075</xdr:colOff>
      <xdr:row>641</xdr:row>
      <xdr:rowOff>133350</xdr:rowOff>
    </xdr:to>
    <xdr:pic>
      <xdr:nvPicPr>
        <xdr:cNvPr id="64" name="Picture 63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80160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642</xdr:row>
      <xdr:rowOff>0</xdr:rowOff>
    </xdr:from>
    <xdr:to>
      <xdr:col>5</xdr:col>
      <xdr:colOff>219075</xdr:colOff>
      <xdr:row>642</xdr:row>
      <xdr:rowOff>133350</xdr:rowOff>
    </xdr:to>
    <xdr:pic>
      <xdr:nvPicPr>
        <xdr:cNvPr id="65" name="Picture 64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82160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643</xdr:row>
      <xdr:rowOff>0</xdr:rowOff>
    </xdr:from>
    <xdr:to>
      <xdr:col>5</xdr:col>
      <xdr:colOff>219075</xdr:colOff>
      <xdr:row>643</xdr:row>
      <xdr:rowOff>142875</xdr:rowOff>
    </xdr:to>
    <xdr:pic>
      <xdr:nvPicPr>
        <xdr:cNvPr id="66" name="Picture 65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84160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644</xdr:row>
      <xdr:rowOff>0</xdr:rowOff>
    </xdr:from>
    <xdr:to>
      <xdr:col>5</xdr:col>
      <xdr:colOff>219075</xdr:colOff>
      <xdr:row>644</xdr:row>
      <xdr:rowOff>142875</xdr:rowOff>
    </xdr:to>
    <xdr:pic>
      <xdr:nvPicPr>
        <xdr:cNvPr id="67" name="Picture 66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86160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645</xdr:row>
      <xdr:rowOff>0</xdr:rowOff>
    </xdr:from>
    <xdr:to>
      <xdr:col>5</xdr:col>
      <xdr:colOff>209550</xdr:colOff>
      <xdr:row>645</xdr:row>
      <xdr:rowOff>142875</xdr:rowOff>
    </xdr:to>
    <xdr:pic>
      <xdr:nvPicPr>
        <xdr:cNvPr id="68" name="Picture 67" descr="Brazil">
          <a:hlinkClick xmlns:r="http://schemas.openxmlformats.org/officeDocument/2006/relationships" r:id="rId29" tooltip="Brazilian Football Confederation"/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8816100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646</xdr:row>
      <xdr:rowOff>0</xdr:rowOff>
    </xdr:from>
    <xdr:to>
      <xdr:col>5</xdr:col>
      <xdr:colOff>219075</xdr:colOff>
      <xdr:row>646</xdr:row>
      <xdr:rowOff>133350</xdr:rowOff>
    </xdr:to>
    <xdr:pic>
      <xdr:nvPicPr>
        <xdr:cNvPr id="69" name="Picture 68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90161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647</xdr:row>
      <xdr:rowOff>0</xdr:rowOff>
    </xdr:from>
    <xdr:to>
      <xdr:col>5</xdr:col>
      <xdr:colOff>219075</xdr:colOff>
      <xdr:row>647</xdr:row>
      <xdr:rowOff>142875</xdr:rowOff>
    </xdr:to>
    <xdr:pic>
      <xdr:nvPicPr>
        <xdr:cNvPr id="70" name="Picture 69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92161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648</xdr:row>
      <xdr:rowOff>0</xdr:rowOff>
    </xdr:from>
    <xdr:to>
      <xdr:col>5</xdr:col>
      <xdr:colOff>209550</xdr:colOff>
      <xdr:row>648</xdr:row>
      <xdr:rowOff>142875</xdr:rowOff>
    </xdr:to>
    <xdr:pic>
      <xdr:nvPicPr>
        <xdr:cNvPr id="71" name="Picture 70" descr="Brazil">
          <a:hlinkClick xmlns:r="http://schemas.openxmlformats.org/officeDocument/2006/relationships" r:id="rId29" tooltip="Brazilian Football Confederation"/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9416175"/>
          <a:ext cx="209550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649</xdr:row>
      <xdr:rowOff>0</xdr:rowOff>
    </xdr:from>
    <xdr:to>
      <xdr:col>5</xdr:col>
      <xdr:colOff>219075</xdr:colOff>
      <xdr:row>649</xdr:row>
      <xdr:rowOff>133350</xdr:rowOff>
    </xdr:to>
    <xdr:pic>
      <xdr:nvPicPr>
        <xdr:cNvPr id="72" name="Picture 71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96162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650</xdr:row>
      <xdr:rowOff>0</xdr:rowOff>
    </xdr:from>
    <xdr:to>
      <xdr:col>5</xdr:col>
      <xdr:colOff>219075</xdr:colOff>
      <xdr:row>650</xdr:row>
      <xdr:rowOff>142875</xdr:rowOff>
    </xdr:to>
    <xdr:pic>
      <xdr:nvPicPr>
        <xdr:cNvPr id="73" name="Picture 72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298162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651</xdr:row>
      <xdr:rowOff>0</xdr:rowOff>
    </xdr:from>
    <xdr:to>
      <xdr:col>5</xdr:col>
      <xdr:colOff>219075</xdr:colOff>
      <xdr:row>651</xdr:row>
      <xdr:rowOff>142875</xdr:rowOff>
    </xdr:to>
    <xdr:pic>
      <xdr:nvPicPr>
        <xdr:cNvPr id="74" name="Picture 73" descr="Cameroon">
          <a:hlinkClick xmlns:r="http://schemas.openxmlformats.org/officeDocument/2006/relationships" r:id="rId33" tooltip="Cameroonian Football Federation"/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00162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652</xdr:row>
      <xdr:rowOff>0</xdr:rowOff>
    </xdr:from>
    <xdr:to>
      <xdr:col>5</xdr:col>
      <xdr:colOff>219075</xdr:colOff>
      <xdr:row>652</xdr:row>
      <xdr:rowOff>142875</xdr:rowOff>
    </xdr:to>
    <xdr:pic>
      <xdr:nvPicPr>
        <xdr:cNvPr id="75" name="Picture 74" descr="Greece">
          <a:hlinkClick xmlns:r="http://schemas.openxmlformats.org/officeDocument/2006/relationships" r:id="rId11" tooltip="Hellenic Football Federation"/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02162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653</xdr:row>
      <xdr:rowOff>0</xdr:rowOff>
    </xdr:from>
    <xdr:to>
      <xdr:col>5</xdr:col>
      <xdr:colOff>219075</xdr:colOff>
      <xdr:row>653</xdr:row>
      <xdr:rowOff>142875</xdr:rowOff>
    </xdr:to>
    <xdr:pic>
      <xdr:nvPicPr>
        <xdr:cNvPr id="76" name="Picture 75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04163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654</xdr:row>
      <xdr:rowOff>0</xdr:rowOff>
    </xdr:from>
    <xdr:to>
      <xdr:col>5</xdr:col>
      <xdr:colOff>219075</xdr:colOff>
      <xdr:row>654</xdr:row>
      <xdr:rowOff>133350</xdr:rowOff>
    </xdr:to>
    <xdr:pic>
      <xdr:nvPicPr>
        <xdr:cNvPr id="77" name="Picture 76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06163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655</xdr:row>
      <xdr:rowOff>0</xdr:rowOff>
    </xdr:from>
    <xdr:to>
      <xdr:col>5</xdr:col>
      <xdr:colOff>219075</xdr:colOff>
      <xdr:row>655</xdr:row>
      <xdr:rowOff>142875</xdr:rowOff>
    </xdr:to>
    <xdr:pic>
      <xdr:nvPicPr>
        <xdr:cNvPr id="78" name="Picture 77" descr="Russia">
          <a:hlinkClick xmlns:r="http://schemas.openxmlformats.org/officeDocument/2006/relationships" r:id="rId35" tooltip="Russian Football Union"/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08163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656</xdr:row>
      <xdr:rowOff>0</xdr:rowOff>
    </xdr:from>
    <xdr:to>
      <xdr:col>5</xdr:col>
      <xdr:colOff>219075</xdr:colOff>
      <xdr:row>656</xdr:row>
      <xdr:rowOff>142875</xdr:rowOff>
    </xdr:to>
    <xdr:pic>
      <xdr:nvPicPr>
        <xdr:cNvPr id="79" name="Picture 78" descr="Turkey">
          <a:hlinkClick xmlns:r="http://schemas.openxmlformats.org/officeDocument/2006/relationships" r:id="rId19" tooltip="Turkish Football Federation"/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10163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657</xdr:row>
      <xdr:rowOff>0</xdr:rowOff>
    </xdr:from>
    <xdr:to>
      <xdr:col>5</xdr:col>
      <xdr:colOff>219075</xdr:colOff>
      <xdr:row>657</xdr:row>
      <xdr:rowOff>142875</xdr:rowOff>
    </xdr:to>
    <xdr:pic>
      <xdr:nvPicPr>
        <xdr:cNvPr id="80" name="Picture 79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12164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658</xdr:row>
      <xdr:rowOff>0</xdr:rowOff>
    </xdr:from>
    <xdr:to>
      <xdr:col>5</xdr:col>
      <xdr:colOff>152400</xdr:colOff>
      <xdr:row>658</xdr:row>
      <xdr:rowOff>152400</xdr:rowOff>
    </xdr:to>
    <xdr:pic>
      <xdr:nvPicPr>
        <xdr:cNvPr id="81" name="Picture 80" descr="Switzerland">
          <a:hlinkClick xmlns:r="http://schemas.openxmlformats.org/officeDocument/2006/relationships" r:id="rId37" tooltip="Swiss Football Association"/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14164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659</xdr:row>
      <xdr:rowOff>0</xdr:rowOff>
    </xdr:from>
    <xdr:to>
      <xdr:col>5</xdr:col>
      <xdr:colOff>219075</xdr:colOff>
      <xdr:row>659</xdr:row>
      <xdr:rowOff>142875</xdr:rowOff>
    </xdr:to>
    <xdr:pic>
      <xdr:nvPicPr>
        <xdr:cNvPr id="82" name="Picture 81" descr="Saudi Arabia">
          <a:hlinkClick xmlns:r="http://schemas.openxmlformats.org/officeDocument/2006/relationships" r:id="rId21" tooltip="Saudi Arabian Football Federation"/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16164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660</xdr:row>
      <xdr:rowOff>0</xdr:rowOff>
    </xdr:from>
    <xdr:to>
      <xdr:col>5</xdr:col>
      <xdr:colOff>219075</xdr:colOff>
      <xdr:row>660</xdr:row>
      <xdr:rowOff>142875</xdr:rowOff>
    </xdr:to>
    <xdr:pic>
      <xdr:nvPicPr>
        <xdr:cNvPr id="83" name="Picture 82" descr="China">
          <a:hlinkClick xmlns:r="http://schemas.openxmlformats.org/officeDocument/2006/relationships" r:id="rId39" tooltip="Chinese Football Association"/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18164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661</xdr:row>
      <xdr:rowOff>0</xdr:rowOff>
    </xdr:from>
    <xdr:to>
      <xdr:col>5</xdr:col>
      <xdr:colOff>219075</xdr:colOff>
      <xdr:row>661</xdr:row>
      <xdr:rowOff>142875</xdr:rowOff>
    </xdr:to>
    <xdr:pic>
      <xdr:nvPicPr>
        <xdr:cNvPr id="84" name="Picture 83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20165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662</xdr:row>
      <xdr:rowOff>0</xdr:rowOff>
    </xdr:from>
    <xdr:to>
      <xdr:col>5</xdr:col>
      <xdr:colOff>219075</xdr:colOff>
      <xdr:row>662</xdr:row>
      <xdr:rowOff>133350</xdr:rowOff>
    </xdr:to>
    <xdr:pic>
      <xdr:nvPicPr>
        <xdr:cNvPr id="85" name="Picture 84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22165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663</xdr:row>
      <xdr:rowOff>0</xdr:rowOff>
    </xdr:from>
    <xdr:to>
      <xdr:col>5</xdr:col>
      <xdr:colOff>219075</xdr:colOff>
      <xdr:row>663</xdr:row>
      <xdr:rowOff>142875</xdr:rowOff>
    </xdr:to>
    <xdr:pic>
      <xdr:nvPicPr>
        <xdr:cNvPr id="86" name="Picture 85" descr="Belgium">
          <a:hlinkClick xmlns:r="http://schemas.openxmlformats.org/officeDocument/2006/relationships" r:id="rId23" tooltip="Royal Belgian Football Association"/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24165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664</xdr:row>
      <xdr:rowOff>0</xdr:rowOff>
    </xdr:from>
    <xdr:to>
      <xdr:col>5</xdr:col>
      <xdr:colOff>219075</xdr:colOff>
      <xdr:row>664</xdr:row>
      <xdr:rowOff>142875</xdr:rowOff>
    </xdr:to>
    <xdr:pic>
      <xdr:nvPicPr>
        <xdr:cNvPr id="87" name="Picture 86" descr="Greece">
          <a:hlinkClick xmlns:r="http://schemas.openxmlformats.org/officeDocument/2006/relationships" r:id="rId11" tooltip="Hellenic Football Federation"/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26165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665</xdr:row>
      <xdr:rowOff>0</xdr:rowOff>
    </xdr:from>
    <xdr:to>
      <xdr:col>5</xdr:col>
      <xdr:colOff>219075</xdr:colOff>
      <xdr:row>665</xdr:row>
      <xdr:rowOff>142875</xdr:rowOff>
    </xdr:to>
    <xdr:pic>
      <xdr:nvPicPr>
        <xdr:cNvPr id="88" name="Picture 87" descr="Saudi Arabia">
          <a:hlinkClick xmlns:r="http://schemas.openxmlformats.org/officeDocument/2006/relationships" r:id="rId21" tooltip="Saudi Arabian Football Federation"/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28166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666</xdr:row>
      <xdr:rowOff>0</xdr:rowOff>
    </xdr:from>
    <xdr:to>
      <xdr:col>5</xdr:col>
      <xdr:colOff>219075</xdr:colOff>
      <xdr:row>666</xdr:row>
      <xdr:rowOff>114300</xdr:rowOff>
    </xdr:to>
    <xdr:pic>
      <xdr:nvPicPr>
        <xdr:cNvPr id="89" name="Picture 88" descr="United States">
          <a:hlinkClick xmlns:r="http://schemas.openxmlformats.org/officeDocument/2006/relationships" r:id="rId41" tooltip="United States Soccer Federation"/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30166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667</xdr:row>
      <xdr:rowOff>0</xdr:rowOff>
    </xdr:from>
    <xdr:to>
      <xdr:col>5</xdr:col>
      <xdr:colOff>219075</xdr:colOff>
      <xdr:row>667</xdr:row>
      <xdr:rowOff>142875</xdr:rowOff>
    </xdr:to>
    <xdr:pic>
      <xdr:nvPicPr>
        <xdr:cNvPr id="90" name="Picture 89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32166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668</xdr:row>
      <xdr:rowOff>0</xdr:rowOff>
    </xdr:from>
    <xdr:to>
      <xdr:col>5</xdr:col>
      <xdr:colOff>219075</xdr:colOff>
      <xdr:row>668</xdr:row>
      <xdr:rowOff>142875</xdr:rowOff>
    </xdr:to>
    <xdr:pic>
      <xdr:nvPicPr>
        <xdr:cNvPr id="91" name="Picture 90" descr="Saudi Arabia">
          <a:hlinkClick xmlns:r="http://schemas.openxmlformats.org/officeDocument/2006/relationships" r:id="rId21" tooltip="Saudi Arabian Football Federation"/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34166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669</xdr:row>
      <xdr:rowOff>0</xdr:rowOff>
    </xdr:from>
    <xdr:to>
      <xdr:col>5</xdr:col>
      <xdr:colOff>219075</xdr:colOff>
      <xdr:row>669</xdr:row>
      <xdr:rowOff>133350</xdr:rowOff>
    </xdr:to>
    <xdr:pic>
      <xdr:nvPicPr>
        <xdr:cNvPr id="92" name="Picture 91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36167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670</xdr:row>
      <xdr:rowOff>0</xdr:rowOff>
    </xdr:from>
    <xdr:to>
      <xdr:col>5</xdr:col>
      <xdr:colOff>219075</xdr:colOff>
      <xdr:row>670</xdr:row>
      <xdr:rowOff>142875</xdr:rowOff>
    </xdr:to>
    <xdr:pic>
      <xdr:nvPicPr>
        <xdr:cNvPr id="93" name="Picture 92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38167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671</xdr:row>
      <xdr:rowOff>0</xdr:rowOff>
    </xdr:from>
    <xdr:to>
      <xdr:col>5</xdr:col>
      <xdr:colOff>219075</xdr:colOff>
      <xdr:row>671</xdr:row>
      <xdr:rowOff>133350</xdr:rowOff>
    </xdr:to>
    <xdr:pic>
      <xdr:nvPicPr>
        <xdr:cNvPr id="94" name="Picture 93" descr="Wales">
          <a:hlinkClick xmlns:r="http://schemas.openxmlformats.org/officeDocument/2006/relationships" r:id="rId43" tooltip="Football Association of Wales"/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40167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672</xdr:row>
      <xdr:rowOff>0</xdr:rowOff>
    </xdr:from>
    <xdr:to>
      <xdr:col>5</xdr:col>
      <xdr:colOff>219075</xdr:colOff>
      <xdr:row>672</xdr:row>
      <xdr:rowOff>142875</xdr:rowOff>
    </xdr:to>
    <xdr:pic>
      <xdr:nvPicPr>
        <xdr:cNvPr id="95" name="Picture 94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42167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673</xdr:row>
      <xdr:rowOff>0</xdr:rowOff>
    </xdr:from>
    <xdr:to>
      <xdr:col>5</xdr:col>
      <xdr:colOff>219075</xdr:colOff>
      <xdr:row>673</xdr:row>
      <xdr:rowOff>142875</xdr:rowOff>
    </xdr:to>
    <xdr:pic>
      <xdr:nvPicPr>
        <xdr:cNvPr id="96" name="Picture 95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44168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674</xdr:row>
      <xdr:rowOff>0</xdr:rowOff>
    </xdr:from>
    <xdr:to>
      <xdr:col>5</xdr:col>
      <xdr:colOff>219075</xdr:colOff>
      <xdr:row>674</xdr:row>
      <xdr:rowOff>114300</xdr:rowOff>
    </xdr:to>
    <xdr:pic>
      <xdr:nvPicPr>
        <xdr:cNvPr id="97" name="Picture 96" descr="United States">
          <a:hlinkClick xmlns:r="http://schemas.openxmlformats.org/officeDocument/2006/relationships" r:id="rId41" tooltip="United States Soccer Federation"/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461682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675</xdr:row>
      <xdr:rowOff>0</xdr:rowOff>
    </xdr:from>
    <xdr:to>
      <xdr:col>5</xdr:col>
      <xdr:colOff>219075</xdr:colOff>
      <xdr:row>675</xdr:row>
      <xdr:rowOff>142875</xdr:rowOff>
    </xdr:to>
    <xdr:pic>
      <xdr:nvPicPr>
        <xdr:cNvPr id="98" name="Picture 97" descr="Cameroon">
          <a:hlinkClick xmlns:r="http://schemas.openxmlformats.org/officeDocument/2006/relationships" r:id="rId33" tooltip="Cameroonian Football Federation"/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48168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676</xdr:row>
      <xdr:rowOff>0</xdr:rowOff>
    </xdr:from>
    <xdr:to>
      <xdr:col>5</xdr:col>
      <xdr:colOff>219075</xdr:colOff>
      <xdr:row>676</xdr:row>
      <xdr:rowOff>142875</xdr:rowOff>
    </xdr:to>
    <xdr:pic>
      <xdr:nvPicPr>
        <xdr:cNvPr id="99" name="Picture 98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50168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677</xdr:row>
      <xdr:rowOff>0</xdr:rowOff>
    </xdr:from>
    <xdr:to>
      <xdr:col>5</xdr:col>
      <xdr:colOff>219075</xdr:colOff>
      <xdr:row>677</xdr:row>
      <xdr:rowOff>142875</xdr:rowOff>
    </xdr:to>
    <xdr:pic>
      <xdr:nvPicPr>
        <xdr:cNvPr id="100" name="Picture 99" descr="Austria">
          <a:hlinkClick xmlns:r="http://schemas.openxmlformats.org/officeDocument/2006/relationships" r:id="rId15" tooltip="Austrian Football Association"/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52169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678</xdr:row>
      <xdr:rowOff>0</xdr:rowOff>
    </xdr:from>
    <xdr:to>
      <xdr:col>5</xdr:col>
      <xdr:colOff>219075</xdr:colOff>
      <xdr:row>678</xdr:row>
      <xdr:rowOff>142875</xdr:rowOff>
    </xdr:to>
    <xdr:pic>
      <xdr:nvPicPr>
        <xdr:cNvPr id="101" name="Picture 100" descr="Serbia">
          <a:hlinkClick xmlns:r="http://schemas.openxmlformats.org/officeDocument/2006/relationships" r:id="rId45" tooltip="Football Association of Serbia"/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54169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679</xdr:row>
      <xdr:rowOff>0</xdr:rowOff>
    </xdr:from>
    <xdr:to>
      <xdr:col>5</xdr:col>
      <xdr:colOff>219075</xdr:colOff>
      <xdr:row>679</xdr:row>
      <xdr:rowOff>142875</xdr:rowOff>
    </xdr:to>
    <xdr:pic>
      <xdr:nvPicPr>
        <xdr:cNvPr id="102" name="Picture 101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56169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680</xdr:row>
      <xdr:rowOff>0</xdr:rowOff>
    </xdr:from>
    <xdr:to>
      <xdr:col>5</xdr:col>
      <xdr:colOff>219075</xdr:colOff>
      <xdr:row>680</xdr:row>
      <xdr:rowOff>133350</xdr:rowOff>
    </xdr:to>
    <xdr:pic>
      <xdr:nvPicPr>
        <xdr:cNvPr id="103" name="Picture 102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58169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681</xdr:row>
      <xdr:rowOff>0</xdr:rowOff>
    </xdr:from>
    <xdr:to>
      <xdr:col>5</xdr:col>
      <xdr:colOff>219075</xdr:colOff>
      <xdr:row>681</xdr:row>
      <xdr:rowOff>142875</xdr:rowOff>
    </xdr:to>
    <xdr:pic>
      <xdr:nvPicPr>
        <xdr:cNvPr id="104" name="Picture 103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60170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682</xdr:row>
      <xdr:rowOff>0</xdr:rowOff>
    </xdr:from>
    <xdr:to>
      <xdr:col>5</xdr:col>
      <xdr:colOff>219075</xdr:colOff>
      <xdr:row>682</xdr:row>
      <xdr:rowOff>142875</xdr:rowOff>
    </xdr:to>
    <xdr:pic>
      <xdr:nvPicPr>
        <xdr:cNvPr id="105" name="Picture 104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62170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683</xdr:row>
      <xdr:rowOff>0</xdr:rowOff>
    </xdr:from>
    <xdr:to>
      <xdr:col>5</xdr:col>
      <xdr:colOff>219075</xdr:colOff>
      <xdr:row>683</xdr:row>
      <xdr:rowOff>142875</xdr:rowOff>
    </xdr:to>
    <xdr:pic>
      <xdr:nvPicPr>
        <xdr:cNvPr id="106" name="Picture 105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64170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684</xdr:row>
      <xdr:rowOff>0</xdr:rowOff>
    </xdr:from>
    <xdr:to>
      <xdr:col>5</xdr:col>
      <xdr:colOff>219075</xdr:colOff>
      <xdr:row>684</xdr:row>
      <xdr:rowOff>133350</xdr:rowOff>
    </xdr:to>
    <xdr:pic>
      <xdr:nvPicPr>
        <xdr:cNvPr id="107" name="Picture 106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66170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685</xdr:row>
      <xdr:rowOff>0</xdr:rowOff>
    </xdr:from>
    <xdr:to>
      <xdr:col>5</xdr:col>
      <xdr:colOff>219075</xdr:colOff>
      <xdr:row>685</xdr:row>
      <xdr:rowOff>142875</xdr:rowOff>
    </xdr:to>
    <xdr:pic>
      <xdr:nvPicPr>
        <xdr:cNvPr id="108" name="Picture 107" descr="Netherlands">
          <a:hlinkClick xmlns:r="http://schemas.openxmlformats.org/officeDocument/2006/relationships" r:id="rId47" tooltip="Royal Dutch Football Association"/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68171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686</xdr:row>
      <xdr:rowOff>0</xdr:rowOff>
    </xdr:from>
    <xdr:to>
      <xdr:col>5</xdr:col>
      <xdr:colOff>219075</xdr:colOff>
      <xdr:row>686</xdr:row>
      <xdr:rowOff>142875</xdr:rowOff>
    </xdr:to>
    <xdr:pic>
      <xdr:nvPicPr>
        <xdr:cNvPr id="109" name="Picture 108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70171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687</xdr:row>
      <xdr:rowOff>0</xdr:rowOff>
    </xdr:from>
    <xdr:to>
      <xdr:col>5</xdr:col>
      <xdr:colOff>219075</xdr:colOff>
      <xdr:row>687</xdr:row>
      <xdr:rowOff>142875</xdr:rowOff>
    </xdr:to>
    <xdr:pic>
      <xdr:nvPicPr>
        <xdr:cNvPr id="110" name="Picture 109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72171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688</xdr:row>
      <xdr:rowOff>0</xdr:rowOff>
    </xdr:from>
    <xdr:to>
      <xdr:col>5</xdr:col>
      <xdr:colOff>219075</xdr:colOff>
      <xdr:row>688</xdr:row>
      <xdr:rowOff>142875</xdr:rowOff>
    </xdr:to>
    <xdr:pic>
      <xdr:nvPicPr>
        <xdr:cNvPr id="111" name="Picture 110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74171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689</xdr:row>
      <xdr:rowOff>0</xdr:rowOff>
    </xdr:from>
    <xdr:to>
      <xdr:col>5</xdr:col>
      <xdr:colOff>219075</xdr:colOff>
      <xdr:row>689</xdr:row>
      <xdr:rowOff>142875</xdr:rowOff>
    </xdr:to>
    <xdr:pic>
      <xdr:nvPicPr>
        <xdr:cNvPr id="112" name="Picture 111" descr="Greece">
          <a:hlinkClick xmlns:r="http://schemas.openxmlformats.org/officeDocument/2006/relationships" r:id="rId11" tooltip="Hellenic Football Federation"/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76172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690</xdr:row>
      <xdr:rowOff>0</xdr:rowOff>
    </xdr:from>
    <xdr:to>
      <xdr:col>5</xdr:col>
      <xdr:colOff>219075</xdr:colOff>
      <xdr:row>690</xdr:row>
      <xdr:rowOff>142875</xdr:rowOff>
    </xdr:to>
    <xdr:pic>
      <xdr:nvPicPr>
        <xdr:cNvPr id="113" name="Picture 112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78172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691</xdr:row>
      <xdr:rowOff>0</xdr:rowOff>
    </xdr:from>
    <xdr:to>
      <xdr:col>5</xdr:col>
      <xdr:colOff>219075</xdr:colOff>
      <xdr:row>691</xdr:row>
      <xdr:rowOff>142875</xdr:rowOff>
    </xdr:to>
    <xdr:pic>
      <xdr:nvPicPr>
        <xdr:cNvPr id="114" name="Picture 113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80172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692</xdr:row>
      <xdr:rowOff>0</xdr:rowOff>
    </xdr:from>
    <xdr:to>
      <xdr:col>5</xdr:col>
      <xdr:colOff>219075</xdr:colOff>
      <xdr:row>692</xdr:row>
      <xdr:rowOff>142875</xdr:rowOff>
    </xdr:to>
    <xdr:pic>
      <xdr:nvPicPr>
        <xdr:cNvPr id="115" name="Picture 114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82172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693</xdr:row>
      <xdr:rowOff>0</xdr:rowOff>
    </xdr:from>
    <xdr:to>
      <xdr:col>5</xdr:col>
      <xdr:colOff>219075</xdr:colOff>
      <xdr:row>693</xdr:row>
      <xdr:rowOff>142875</xdr:rowOff>
    </xdr:to>
    <xdr:pic>
      <xdr:nvPicPr>
        <xdr:cNvPr id="116" name="Picture 115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84173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694</xdr:row>
      <xdr:rowOff>0</xdr:rowOff>
    </xdr:from>
    <xdr:to>
      <xdr:col>5</xdr:col>
      <xdr:colOff>219075</xdr:colOff>
      <xdr:row>694</xdr:row>
      <xdr:rowOff>142875</xdr:rowOff>
    </xdr:to>
    <xdr:pic>
      <xdr:nvPicPr>
        <xdr:cNvPr id="117" name="Picture 116" descr="Portugal">
          <a:hlinkClick xmlns:r="http://schemas.openxmlformats.org/officeDocument/2006/relationships" r:id="rId49" tooltip="Portuguese Football Federation"/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86173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695</xdr:row>
      <xdr:rowOff>0</xdr:rowOff>
    </xdr:from>
    <xdr:to>
      <xdr:col>5</xdr:col>
      <xdr:colOff>219075</xdr:colOff>
      <xdr:row>695</xdr:row>
      <xdr:rowOff>142875</xdr:rowOff>
    </xdr:to>
    <xdr:pic>
      <xdr:nvPicPr>
        <xdr:cNvPr id="118" name="Picture 117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88173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696</xdr:row>
      <xdr:rowOff>0</xdr:rowOff>
    </xdr:from>
    <xdr:to>
      <xdr:col>5</xdr:col>
      <xdr:colOff>219075</xdr:colOff>
      <xdr:row>696</xdr:row>
      <xdr:rowOff>142875</xdr:rowOff>
    </xdr:to>
    <xdr:pic>
      <xdr:nvPicPr>
        <xdr:cNvPr id="119" name="Picture 118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90173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697</xdr:row>
      <xdr:rowOff>0</xdr:rowOff>
    </xdr:from>
    <xdr:to>
      <xdr:col>5</xdr:col>
      <xdr:colOff>219075</xdr:colOff>
      <xdr:row>697</xdr:row>
      <xdr:rowOff>142875</xdr:rowOff>
    </xdr:to>
    <xdr:pic>
      <xdr:nvPicPr>
        <xdr:cNvPr id="120" name="Picture 119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92174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698</xdr:row>
      <xdr:rowOff>0</xdr:rowOff>
    </xdr:from>
    <xdr:to>
      <xdr:col>5</xdr:col>
      <xdr:colOff>219075</xdr:colOff>
      <xdr:row>698</xdr:row>
      <xdr:rowOff>142875</xdr:rowOff>
    </xdr:to>
    <xdr:pic>
      <xdr:nvPicPr>
        <xdr:cNvPr id="121" name="Picture 120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94174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699</xdr:row>
      <xdr:rowOff>0</xdr:rowOff>
    </xdr:from>
    <xdr:to>
      <xdr:col>5</xdr:col>
      <xdr:colOff>219075</xdr:colOff>
      <xdr:row>699</xdr:row>
      <xdr:rowOff>142875</xdr:rowOff>
    </xdr:to>
    <xdr:pic>
      <xdr:nvPicPr>
        <xdr:cNvPr id="122" name="Picture 121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96174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700</xdr:row>
      <xdr:rowOff>0</xdr:rowOff>
    </xdr:from>
    <xdr:to>
      <xdr:col>5</xdr:col>
      <xdr:colOff>219075</xdr:colOff>
      <xdr:row>700</xdr:row>
      <xdr:rowOff>133350</xdr:rowOff>
    </xdr:to>
    <xdr:pic>
      <xdr:nvPicPr>
        <xdr:cNvPr id="123" name="Picture 122" descr="Poland">
          <a:hlinkClick xmlns:r="http://schemas.openxmlformats.org/officeDocument/2006/relationships" r:id="rId51" tooltip="Polish Football Association"/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398174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701</xdr:row>
      <xdr:rowOff>0</xdr:rowOff>
    </xdr:from>
    <xdr:to>
      <xdr:col>5</xdr:col>
      <xdr:colOff>219075</xdr:colOff>
      <xdr:row>701</xdr:row>
      <xdr:rowOff>142875</xdr:rowOff>
    </xdr:to>
    <xdr:pic>
      <xdr:nvPicPr>
        <xdr:cNvPr id="124" name="Picture 123" descr="Portugal">
          <a:hlinkClick xmlns:r="http://schemas.openxmlformats.org/officeDocument/2006/relationships" r:id="rId49" tooltip="Portuguese Football Federation"/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00175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702</xdr:row>
      <xdr:rowOff>0</xdr:rowOff>
    </xdr:from>
    <xdr:to>
      <xdr:col>5</xdr:col>
      <xdr:colOff>219075</xdr:colOff>
      <xdr:row>702</xdr:row>
      <xdr:rowOff>133350</xdr:rowOff>
    </xdr:to>
    <xdr:pic>
      <xdr:nvPicPr>
        <xdr:cNvPr id="125" name="Picture 124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02175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703</xdr:row>
      <xdr:rowOff>0</xdr:rowOff>
    </xdr:from>
    <xdr:to>
      <xdr:col>5</xdr:col>
      <xdr:colOff>219075</xdr:colOff>
      <xdr:row>703</xdr:row>
      <xdr:rowOff>133350</xdr:rowOff>
    </xdr:to>
    <xdr:pic>
      <xdr:nvPicPr>
        <xdr:cNvPr id="126" name="Picture 125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04175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704</xdr:row>
      <xdr:rowOff>0</xdr:rowOff>
    </xdr:from>
    <xdr:to>
      <xdr:col>5</xdr:col>
      <xdr:colOff>219075</xdr:colOff>
      <xdr:row>704</xdr:row>
      <xdr:rowOff>133350</xdr:rowOff>
    </xdr:to>
    <xdr:pic>
      <xdr:nvPicPr>
        <xdr:cNvPr id="127" name="Picture 126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06175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705</xdr:row>
      <xdr:rowOff>0</xdr:rowOff>
    </xdr:from>
    <xdr:to>
      <xdr:col>5</xdr:col>
      <xdr:colOff>219075</xdr:colOff>
      <xdr:row>705</xdr:row>
      <xdr:rowOff>133350</xdr:rowOff>
    </xdr:to>
    <xdr:pic>
      <xdr:nvPicPr>
        <xdr:cNvPr id="128" name="Picture 127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08176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706</xdr:row>
      <xdr:rowOff>0</xdr:rowOff>
    </xdr:from>
    <xdr:to>
      <xdr:col>5</xdr:col>
      <xdr:colOff>219075</xdr:colOff>
      <xdr:row>706</xdr:row>
      <xdr:rowOff>133350</xdr:rowOff>
    </xdr:to>
    <xdr:pic>
      <xdr:nvPicPr>
        <xdr:cNvPr id="129" name="Picture 128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10176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707</xdr:row>
      <xdr:rowOff>0</xdr:rowOff>
    </xdr:from>
    <xdr:to>
      <xdr:col>5</xdr:col>
      <xdr:colOff>219075</xdr:colOff>
      <xdr:row>707</xdr:row>
      <xdr:rowOff>133350</xdr:rowOff>
    </xdr:to>
    <xdr:pic>
      <xdr:nvPicPr>
        <xdr:cNvPr id="130" name="Picture 129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12176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708</xdr:row>
      <xdr:rowOff>0</xdr:rowOff>
    </xdr:from>
    <xdr:to>
      <xdr:col>5</xdr:col>
      <xdr:colOff>219075</xdr:colOff>
      <xdr:row>708</xdr:row>
      <xdr:rowOff>142875</xdr:rowOff>
    </xdr:to>
    <xdr:pic>
      <xdr:nvPicPr>
        <xdr:cNvPr id="131" name="Picture 130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14176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709</xdr:row>
      <xdr:rowOff>0</xdr:rowOff>
    </xdr:from>
    <xdr:to>
      <xdr:col>5</xdr:col>
      <xdr:colOff>219075</xdr:colOff>
      <xdr:row>709</xdr:row>
      <xdr:rowOff>133350</xdr:rowOff>
    </xdr:to>
    <xdr:pic>
      <xdr:nvPicPr>
        <xdr:cNvPr id="132" name="Picture 131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16177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710</xdr:row>
      <xdr:rowOff>0</xdr:rowOff>
    </xdr:from>
    <xdr:to>
      <xdr:col>5</xdr:col>
      <xdr:colOff>219075</xdr:colOff>
      <xdr:row>710</xdr:row>
      <xdr:rowOff>142875</xdr:rowOff>
    </xdr:to>
    <xdr:pic>
      <xdr:nvPicPr>
        <xdr:cNvPr id="133" name="Picture 132" descr="Turkey">
          <a:hlinkClick xmlns:r="http://schemas.openxmlformats.org/officeDocument/2006/relationships" r:id="rId19" tooltip="Turkish Football Federation"/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18177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711</xdr:row>
      <xdr:rowOff>0</xdr:rowOff>
    </xdr:from>
    <xdr:to>
      <xdr:col>5</xdr:col>
      <xdr:colOff>219075</xdr:colOff>
      <xdr:row>711</xdr:row>
      <xdr:rowOff>133350</xdr:rowOff>
    </xdr:to>
    <xdr:pic>
      <xdr:nvPicPr>
        <xdr:cNvPr id="134" name="Picture 133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20177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712</xdr:row>
      <xdr:rowOff>0</xdr:rowOff>
    </xdr:from>
    <xdr:to>
      <xdr:col>5</xdr:col>
      <xdr:colOff>152400</xdr:colOff>
      <xdr:row>712</xdr:row>
      <xdr:rowOff>152400</xdr:rowOff>
    </xdr:to>
    <xdr:pic>
      <xdr:nvPicPr>
        <xdr:cNvPr id="135" name="Picture 134" descr="Switzerland">
          <a:hlinkClick xmlns:r="http://schemas.openxmlformats.org/officeDocument/2006/relationships" r:id="rId37" tooltip="Swiss Football Association"/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22177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713</xdr:row>
      <xdr:rowOff>0</xdr:rowOff>
    </xdr:from>
    <xdr:to>
      <xdr:col>5</xdr:col>
      <xdr:colOff>219075</xdr:colOff>
      <xdr:row>713</xdr:row>
      <xdr:rowOff>142875</xdr:rowOff>
    </xdr:to>
    <xdr:pic>
      <xdr:nvPicPr>
        <xdr:cNvPr id="136" name="Picture 135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24178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714</xdr:row>
      <xdr:rowOff>0</xdr:rowOff>
    </xdr:from>
    <xdr:to>
      <xdr:col>5</xdr:col>
      <xdr:colOff>219075</xdr:colOff>
      <xdr:row>714</xdr:row>
      <xdr:rowOff>142875</xdr:rowOff>
    </xdr:to>
    <xdr:pic>
      <xdr:nvPicPr>
        <xdr:cNvPr id="137" name="Picture 136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26178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715</xdr:row>
      <xdr:rowOff>0</xdr:rowOff>
    </xdr:from>
    <xdr:to>
      <xdr:col>5</xdr:col>
      <xdr:colOff>219075</xdr:colOff>
      <xdr:row>715</xdr:row>
      <xdr:rowOff>142875</xdr:rowOff>
    </xdr:to>
    <xdr:pic>
      <xdr:nvPicPr>
        <xdr:cNvPr id="138" name="Picture 137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28178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716</xdr:row>
      <xdr:rowOff>0</xdr:rowOff>
    </xdr:from>
    <xdr:to>
      <xdr:col>5</xdr:col>
      <xdr:colOff>219075</xdr:colOff>
      <xdr:row>716</xdr:row>
      <xdr:rowOff>133350</xdr:rowOff>
    </xdr:to>
    <xdr:pic>
      <xdr:nvPicPr>
        <xdr:cNvPr id="139" name="Picture 138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30178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717</xdr:row>
      <xdr:rowOff>0</xdr:rowOff>
    </xdr:from>
    <xdr:to>
      <xdr:col>5</xdr:col>
      <xdr:colOff>152400</xdr:colOff>
      <xdr:row>717</xdr:row>
      <xdr:rowOff>152400</xdr:rowOff>
    </xdr:to>
    <xdr:pic>
      <xdr:nvPicPr>
        <xdr:cNvPr id="140" name="Picture 139" descr="Switzerland">
          <a:hlinkClick xmlns:r="http://schemas.openxmlformats.org/officeDocument/2006/relationships" r:id="rId37" tooltip="Swiss Football Association"/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32179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718</xdr:row>
      <xdr:rowOff>0</xdr:rowOff>
    </xdr:from>
    <xdr:to>
      <xdr:col>5</xdr:col>
      <xdr:colOff>219075</xdr:colOff>
      <xdr:row>718</xdr:row>
      <xdr:rowOff>133350</xdr:rowOff>
    </xdr:to>
    <xdr:pic>
      <xdr:nvPicPr>
        <xdr:cNvPr id="141" name="Picture 140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34179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719</xdr:row>
      <xdr:rowOff>0</xdr:rowOff>
    </xdr:from>
    <xdr:to>
      <xdr:col>5</xdr:col>
      <xdr:colOff>219075</xdr:colOff>
      <xdr:row>719</xdr:row>
      <xdr:rowOff>142875</xdr:rowOff>
    </xdr:to>
    <xdr:pic>
      <xdr:nvPicPr>
        <xdr:cNvPr id="142" name="Picture 141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36179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720</xdr:row>
      <xdr:rowOff>0</xdr:rowOff>
    </xdr:from>
    <xdr:to>
      <xdr:col>5</xdr:col>
      <xdr:colOff>219075</xdr:colOff>
      <xdr:row>720</xdr:row>
      <xdr:rowOff>142875</xdr:rowOff>
    </xdr:to>
    <xdr:pic>
      <xdr:nvPicPr>
        <xdr:cNvPr id="143" name="Picture 142" descr="Austria">
          <a:hlinkClick xmlns:r="http://schemas.openxmlformats.org/officeDocument/2006/relationships" r:id="rId15" tooltip="Austrian Football Association"/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38179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721</xdr:row>
      <xdr:rowOff>0</xdr:rowOff>
    </xdr:from>
    <xdr:to>
      <xdr:col>5</xdr:col>
      <xdr:colOff>152400</xdr:colOff>
      <xdr:row>721</xdr:row>
      <xdr:rowOff>152400</xdr:rowOff>
    </xdr:to>
    <xdr:pic>
      <xdr:nvPicPr>
        <xdr:cNvPr id="144" name="Picture 143" descr="Switzerland">
          <a:hlinkClick xmlns:r="http://schemas.openxmlformats.org/officeDocument/2006/relationships" r:id="rId37" tooltip="Swiss Football Association"/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4018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722</xdr:row>
      <xdr:rowOff>0</xdr:rowOff>
    </xdr:from>
    <xdr:to>
      <xdr:col>5</xdr:col>
      <xdr:colOff>219075</xdr:colOff>
      <xdr:row>722</xdr:row>
      <xdr:rowOff>133350</xdr:rowOff>
    </xdr:to>
    <xdr:pic>
      <xdr:nvPicPr>
        <xdr:cNvPr id="145" name="Picture 144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42180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723</xdr:row>
      <xdr:rowOff>0</xdr:rowOff>
    </xdr:from>
    <xdr:to>
      <xdr:col>5</xdr:col>
      <xdr:colOff>219075</xdr:colOff>
      <xdr:row>723</xdr:row>
      <xdr:rowOff>133350</xdr:rowOff>
    </xdr:to>
    <xdr:pic>
      <xdr:nvPicPr>
        <xdr:cNvPr id="146" name="Picture 145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44180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724</xdr:row>
      <xdr:rowOff>0</xdr:rowOff>
    </xdr:from>
    <xdr:to>
      <xdr:col>5</xdr:col>
      <xdr:colOff>219075</xdr:colOff>
      <xdr:row>724</xdr:row>
      <xdr:rowOff>114300</xdr:rowOff>
    </xdr:to>
    <xdr:pic>
      <xdr:nvPicPr>
        <xdr:cNvPr id="147" name="Picture 146" descr="United States">
          <a:hlinkClick xmlns:r="http://schemas.openxmlformats.org/officeDocument/2006/relationships" r:id="rId41" tooltip="United States Soccer Federation"/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4618075"/>
          <a:ext cx="219075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725</xdr:row>
      <xdr:rowOff>0</xdr:rowOff>
    </xdr:from>
    <xdr:to>
      <xdr:col>5</xdr:col>
      <xdr:colOff>219075</xdr:colOff>
      <xdr:row>725</xdr:row>
      <xdr:rowOff>142875</xdr:rowOff>
    </xdr:to>
    <xdr:pic>
      <xdr:nvPicPr>
        <xdr:cNvPr id="148" name="Picture 147" descr="Austria">
          <a:hlinkClick xmlns:r="http://schemas.openxmlformats.org/officeDocument/2006/relationships" r:id="rId15" tooltip="Austrian Football Association"/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48181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726</xdr:row>
      <xdr:rowOff>0</xdr:rowOff>
    </xdr:from>
    <xdr:to>
      <xdr:col>5</xdr:col>
      <xdr:colOff>152400</xdr:colOff>
      <xdr:row>726</xdr:row>
      <xdr:rowOff>152400</xdr:rowOff>
    </xdr:to>
    <xdr:pic>
      <xdr:nvPicPr>
        <xdr:cNvPr id="149" name="Picture 148" descr="Switzerland">
          <a:hlinkClick xmlns:r="http://schemas.openxmlformats.org/officeDocument/2006/relationships" r:id="rId37" tooltip="Swiss Football Association"/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501812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727</xdr:row>
      <xdr:rowOff>0</xdr:rowOff>
    </xdr:from>
    <xdr:to>
      <xdr:col>5</xdr:col>
      <xdr:colOff>152400</xdr:colOff>
      <xdr:row>727</xdr:row>
      <xdr:rowOff>152400</xdr:rowOff>
    </xdr:to>
    <xdr:pic>
      <xdr:nvPicPr>
        <xdr:cNvPr id="150" name="Picture 149" descr="Switzerland">
          <a:hlinkClick xmlns:r="http://schemas.openxmlformats.org/officeDocument/2006/relationships" r:id="rId37" tooltip="Swiss Football Association"/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52181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728</xdr:row>
      <xdr:rowOff>0</xdr:rowOff>
    </xdr:from>
    <xdr:to>
      <xdr:col>5</xdr:col>
      <xdr:colOff>152400</xdr:colOff>
      <xdr:row>728</xdr:row>
      <xdr:rowOff>152400</xdr:rowOff>
    </xdr:to>
    <xdr:pic>
      <xdr:nvPicPr>
        <xdr:cNvPr id="151" name="Picture 150" descr="Switzerland">
          <a:hlinkClick xmlns:r="http://schemas.openxmlformats.org/officeDocument/2006/relationships" r:id="rId37" tooltip="Swiss Football Association"/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5418175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729</xdr:row>
      <xdr:rowOff>0</xdr:rowOff>
    </xdr:from>
    <xdr:to>
      <xdr:col>5</xdr:col>
      <xdr:colOff>219075</xdr:colOff>
      <xdr:row>729</xdr:row>
      <xdr:rowOff>133350</xdr:rowOff>
    </xdr:to>
    <xdr:pic>
      <xdr:nvPicPr>
        <xdr:cNvPr id="152" name="Picture 151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56182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730</xdr:row>
      <xdr:rowOff>0</xdr:rowOff>
    </xdr:from>
    <xdr:to>
      <xdr:col>5</xdr:col>
      <xdr:colOff>219075</xdr:colOff>
      <xdr:row>730</xdr:row>
      <xdr:rowOff>142875</xdr:rowOff>
    </xdr:to>
    <xdr:pic>
      <xdr:nvPicPr>
        <xdr:cNvPr id="153" name="Picture 152" descr="Belgium">
          <a:hlinkClick xmlns:r="http://schemas.openxmlformats.org/officeDocument/2006/relationships" r:id="rId23" tooltip="Royal Belgian Football Association"/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58182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731</xdr:row>
      <xdr:rowOff>0</xdr:rowOff>
    </xdr:from>
    <xdr:to>
      <xdr:col>5</xdr:col>
      <xdr:colOff>219075</xdr:colOff>
      <xdr:row>731</xdr:row>
      <xdr:rowOff>133350</xdr:rowOff>
    </xdr:to>
    <xdr:pic>
      <xdr:nvPicPr>
        <xdr:cNvPr id="154" name="Picture 153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60182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732</xdr:row>
      <xdr:rowOff>0</xdr:rowOff>
    </xdr:from>
    <xdr:to>
      <xdr:col>5</xdr:col>
      <xdr:colOff>219075</xdr:colOff>
      <xdr:row>732</xdr:row>
      <xdr:rowOff>133350</xdr:rowOff>
    </xdr:to>
    <xdr:pic>
      <xdr:nvPicPr>
        <xdr:cNvPr id="155" name="Picture 154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62182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733</xdr:row>
      <xdr:rowOff>0</xdr:rowOff>
    </xdr:from>
    <xdr:to>
      <xdr:col>5</xdr:col>
      <xdr:colOff>219075</xdr:colOff>
      <xdr:row>733</xdr:row>
      <xdr:rowOff>142875</xdr:rowOff>
    </xdr:to>
    <xdr:pic>
      <xdr:nvPicPr>
        <xdr:cNvPr id="156" name="Picture 155" descr="Belgium">
          <a:hlinkClick xmlns:r="http://schemas.openxmlformats.org/officeDocument/2006/relationships" r:id="rId23" tooltip="Royal Belgian Football Association"/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64183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734</xdr:row>
      <xdr:rowOff>0</xdr:rowOff>
    </xdr:from>
    <xdr:to>
      <xdr:col>5</xdr:col>
      <xdr:colOff>219075</xdr:colOff>
      <xdr:row>734</xdr:row>
      <xdr:rowOff>142875</xdr:rowOff>
    </xdr:to>
    <xdr:pic>
      <xdr:nvPicPr>
        <xdr:cNvPr id="157" name="Picture 156" descr="Portugal">
          <a:hlinkClick xmlns:r="http://schemas.openxmlformats.org/officeDocument/2006/relationships" r:id="rId49" tooltip="Portuguese Football Federation"/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66183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735</xdr:row>
      <xdr:rowOff>0</xdr:rowOff>
    </xdr:from>
    <xdr:to>
      <xdr:col>5</xdr:col>
      <xdr:colOff>219075</xdr:colOff>
      <xdr:row>735</xdr:row>
      <xdr:rowOff>133350</xdr:rowOff>
    </xdr:to>
    <xdr:pic>
      <xdr:nvPicPr>
        <xdr:cNvPr id="158" name="Picture 157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68183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736</xdr:row>
      <xdr:rowOff>0</xdr:rowOff>
    </xdr:from>
    <xdr:to>
      <xdr:col>5</xdr:col>
      <xdr:colOff>219075</xdr:colOff>
      <xdr:row>736</xdr:row>
      <xdr:rowOff>133350</xdr:rowOff>
    </xdr:to>
    <xdr:pic>
      <xdr:nvPicPr>
        <xdr:cNvPr id="159" name="Picture 158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70183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737</xdr:row>
      <xdr:rowOff>0</xdr:rowOff>
    </xdr:from>
    <xdr:to>
      <xdr:col>5</xdr:col>
      <xdr:colOff>219075</xdr:colOff>
      <xdr:row>737</xdr:row>
      <xdr:rowOff>85725</xdr:rowOff>
    </xdr:to>
    <xdr:pic>
      <xdr:nvPicPr>
        <xdr:cNvPr id="160" name="Picture 159" descr="Qatar">
          <a:hlinkClick xmlns:r="http://schemas.openxmlformats.org/officeDocument/2006/relationships" r:id="rId27" tooltip="Qatar Football Association"/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7218400"/>
          <a:ext cx="21907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738</xdr:row>
      <xdr:rowOff>0</xdr:rowOff>
    </xdr:from>
    <xdr:to>
      <xdr:col>5</xdr:col>
      <xdr:colOff>219075</xdr:colOff>
      <xdr:row>738</xdr:row>
      <xdr:rowOff>142875</xdr:rowOff>
    </xdr:to>
    <xdr:pic>
      <xdr:nvPicPr>
        <xdr:cNvPr id="161" name="Picture 160" descr="Serbia">
          <a:hlinkClick xmlns:r="http://schemas.openxmlformats.org/officeDocument/2006/relationships" r:id="rId45" tooltip="Football Association of Serbia"/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74184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739</xdr:row>
      <xdr:rowOff>0</xdr:rowOff>
    </xdr:from>
    <xdr:to>
      <xdr:col>5</xdr:col>
      <xdr:colOff>219075</xdr:colOff>
      <xdr:row>739</xdr:row>
      <xdr:rowOff>142875</xdr:rowOff>
    </xdr:to>
    <xdr:pic>
      <xdr:nvPicPr>
        <xdr:cNvPr id="162" name="Picture 161" descr="Ghana">
          <a:hlinkClick xmlns:r="http://schemas.openxmlformats.org/officeDocument/2006/relationships" r:id="rId53" tooltip="Ghana Football Association"/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76184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740</xdr:row>
      <xdr:rowOff>0</xdr:rowOff>
    </xdr:from>
    <xdr:to>
      <xdr:col>5</xdr:col>
      <xdr:colOff>219075</xdr:colOff>
      <xdr:row>740</xdr:row>
      <xdr:rowOff>142875</xdr:rowOff>
    </xdr:to>
    <xdr:pic>
      <xdr:nvPicPr>
        <xdr:cNvPr id="163" name="Picture 162" descr="Ghana">
          <a:hlinkClick xmlns:r="http://schemas.openxmlformats.org/officeDocument/2006/relationships" r:id="rId53" tooltip="Ghana Football Association"/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78184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741</xdr:row>
      <xdr:rowOff>0</xdr:rowOff>
    </xdr:from>
    <xdr:to>
      <xdr:col>5</xdr:col>
      <xdr:colOff>219075</xdr:colOff>
      <xdr:row>741</xdr:row>
      <xdr:rowOff>142875</xdr:rowOff>
    </xdr:to>
    <xdr:pic>
      <xdr:nvPicPr>
        <xdr:cNvPr id="164" name="Picture 163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80185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742</xdr:row>
      <xdr:rowOff>0</xdr:rowOff>
    </xdr:from>
    <xdr:to>
      <xdr:col>5</xdr:col>
      <xdr:colOff>219075</xdr:colOff>
      <xdr:row>742</xdr:row>
      <xdr:rowOff>142875</xdr:rowOff>
    </xdr:to>
    <xdr:pic>
      <xdr:nvPicPr>
        <xdr:cNvPr id="165" name="Picture 164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82185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743</xdr:row>
      <xdr:rowOff>0</xdr:rowOff>
    </xdr:from>
    <xdr:to>
      <xdr:col>5</xdr:col>
      <xdr:colOff>219075</xdr:colOff>
      <xdr:row>743</xdr:row>
      <xdr:rowOff>142875</xdr:rowOff>
    </xdr:to>
    <xdr:pic>
      <xdr:nvPicPr>
        <xdr:cNvPr id="166" name="Picture 165" descr="Belgium">
          <a:hlinkClick xmlns:r="http://schemas.openxmlformats.org/officeDocument/2006/relationships" r:id="rId23" tooltip="Royal Belgian Football Association"/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84185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744</xdr:row>
      <xdr:rowOff>0</xdr:rowOff>
    </xdr:from>
    <xdr:to>
      <xdr:col>5</xdr:col>
      <xdr:colOff>219075</xdr:colOff>
      <xdr:row>744</xdr:row>
      <xdr:rowOff>133350</xdr:rowOff>
    </xdr:to>
    <xdr:pic>
      <xdr:nvPicPr>
        <xdr:cNvPr id="167" name="Picture 166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86185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745</xdr:row>
      <xdr:rowOff>0</xdr:rowOff>
    </xdr:from>
    <xdr:to>
      <xdr:col>5</xdr:col>
      <xdr:colOff>219075</xdr:colOff>
      <xdr:row>745</xdr:row>
      <xdr:rowOff>133350</xdr:rowOff>
    </xdr:to>
    <xdr:pic>
      <xdr:nvPicPr>
        <xdr:cNvPr id="168" name="Picture 167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88186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746</xdr:row>
      <xdr:rowOff>0</xdr:rowOff>
    </xdr:from>
    <xdr:to>
      <xdr:col>5</xdr:col>
      <xdr:colOff>219075</xdr:colOff>
      <xdr:row>746</xdr:row>
      <xdr:rowOff>142875</xdr:rowOff>
    </xdr:to>
    <xdr:pic>
      <xdr:nvPicPr>
        <xdr:cNvPr id="169" name="Picture 168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90186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747</xdr:row>
      <xdr:rowOff>0</xdr:rowOff>
    </xdr:from>
    <xdr:to>
      <xdr:col>5</xdr:col>
      <xdr:colOff>219075</xdr:colOff>
      <xdr:row>747</xdr:row>
      <xdr:rowOff>142875</xdr:rowOff>
    </xdr:to>
    <xdr:pic>
      <xdr:nvPicPr>
        <xdr:cNvPr id="170" name="Picture 169" descr="Netherlands">
          <a:hlinkClick xmlns:r="http://schemas.openxmlformats.org/officeDocument/2006/relationships" r:id="rId47" tooltip="Royal Dutch Football Association"/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92186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748</xdr:row>
      <xdr:rowOff>0</xdr:rowOff>
    </xdr:from>
    <xdr:to>
      <xdr:col>5</xdr:col>
      <xdr:colOff>219075</xdr:colOff>
      <xdr:row>748</xdr:row>
      <xdr:rowOff>142875</xdr:rowOff>
    </xdr:to>
    <xdr:pic>
      <xdr:nvPicPr>
        <xdr:cNvPr id="171" name="Picture 170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94186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749</xdr:row>
      <xdr:rowOff>0</xdr:rowOff>
    </xdr:from>
    <xdr:to>
      <xdr:col>5</xdr:col>
      <xdr:colOff>219075</xdr:colOff>
      <xdr:row>749</xdr:row>
      <xdr:rowOff>142875</xdr:rowOff>
    </xdr:to>
    <xdr:pic>
      <xdr:nvPicPr>
        <xdr:cNvPr id="172" name="Picture 171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96187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750</xdr:row>
      <xdr:rowOff>0</xdr:rowOff>
    </xdr:from>
    <xdr:to>
      <xdr:col>5</xdr:col>
      <xdr:colOff>219075</xdr:colOff>
      <xdr:row>750</xdr:row>
      <xdr:rowOff>142875</xdr:rowOff>
    </xdr:to>
    <xdr:pic>
      <xdr:nvPicPr>
        <xdr:cNvPr id="173" name="Picture 172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498187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751</xdr:row>
      <xdr:rowOff>0</xdr:rowOff>
    </xdr:from>
    <xdr:to>
      <xdr:col>5</xdr:col>
      <xdr:colOff>219075</xdr:colOff>
      <xdr:row>751</xdr:row>
      <xdr:rowOff>142875</xdr:rowOff>
    </xdr:to>
    <xdr:pic>
      <xdr:nvPicPr>
        <xdr:cNvPr id="174" name="Picture 173" descr="Belgium">
          <a:hlinkClick xmlns:r="http://schemas.openxmlformats.org/officeDocument/2006/relationships" r:id="rId23" tooltip="Royal Belgian Football Association"/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00187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752</xdr:row>
      <xdr:rowOff>0</xdr:rowOff>
    </xdr:from>
    <xdr:to>
      <xdr:col>5</xdr:col>
      <xdr:colOff>219075</xdr:colOff>
      <xdr:row>752</xdr:row>
      <xdr:rowOff>133350</xdr:rowOff>
    </xdr:to>
    <xdr:pic>
      <xdr:nvPicPr>
        <xdr:cNvPr id="175" name="Picture 174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02187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753</xdr:row>
      <xdr:rowOff>0</xdr:rowOff>
    </xdr:from>
    <xdr:to>
      <xdr:col>5</xdr:col>
      <xdr:colOff>219075</xdr:colOff>
      <xdr:row>753</xdr:row>
      <xdr:rowOff>142875</xdr:rowOff>
    </xdr:to>
    <xdr:pic>
      <xdr:nvPicPr>
        <xdr:cNvPr id="176" name="Picture 175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04188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754</xdr:row>
      <xdr:rowOff>0</xdr:rowOff>
    </xdr:from>
    <xdr:to>
      <xdr:col>5</xdr:col>
      <xdr:colOff>219075</xdr:colOff>
      <xdr:row>754</xdr:row>
      <xdr:rowOff>142875</xdr:rowOff>
    </xdr:to>
    <xdr:pic>
      <xdr:nvPicPr>
        <xdr:cNvPr id="177" name="Picture 176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06188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755</xdr:row>
      <xdr:rowOff>0</xdr:rowOff>
    </xdr:from>
    <xdr:to>
      <xdr:col>5</xdr:col>
      <xdr:colOff>219075</xdr:colOff>
      <xdr:row>755</xdr:row>
      <xdr:rowOff>133350</xdr:rowOff>
    </xdr:to>
    <xdr:pic>
      <xdr:nvPicPr>
        <xdr:cNvPr id="178" name="Picture 177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08188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756</xdr:row>
      <xdr:rowOff>0</xdr:rowOff>
    </xdr:from>
    <xdr:to>
      <xdr:col>5</xdr:col>
      <xdr:colOff>219075</xdr:colOff>
      <xdr:row>756</xdr:row>
      <xdr:rowOff>142875</xdr:rowOff>
    </xdr:to>
    <xdr:pic>
      <xdr:nvPicPr>
        <xdr:cNvPr id="179" name="Picture 178" descr="Portugal">
          <a:hlinkClick xmlns:r="http://schemas.openxmlformats.org/officeDocument/2006/relationships" r:id="rId49" tooltip="Portuguese Football Federation"/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10188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757</xdr:row>
      <xdr:rowOff>0</xdr:rowOff>
    </xdr:from>
    <xdr:to>
      <xdr:col>5</xdr:col>
      <xdr:colOff>219075</xdr:colOff>
      <xdr:row>757</xdr:row>
      <xdr:rowOff>133350</xdr:rowOff>
    </xdr:to>
    <xdr:pic>
      <xdr:nvPicPr>
        <xdr:cNvPr id="180" name="Picture 179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12189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758</xdr:row>
      <xdr:rowOff>0</xdr:rowOff>
    </xdr:from>
    <xdr:to>
      <xdr:col>5</xdr:col>
      <xdr:colOff>219075</xdr:colOff>
      <xdr:row>758</xdr:row>
      <xdr:rowOff>133350</xdr:rowOff>
    </xdr:to>
    <xdr:pic>
      <xdr:nvPicPr>
        <xdr:cNvPr id="181" name="Picture 180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14189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759</xdr:row>
      <xdr:rowOff>0</xdr:rowOff>
    </xdr:from>
    <xdr:to>
      <xdr:col>5</xdr:col>
      <xdr:colOff>219075</xdr:colOff>
      <xdr:row>759</xdr:row>
      <xdr:rowOff>133350</xdr:rowOff>
    </xdr:to>
    <xdr:pic>
      <xdr:nvPicPr>
        <xdr:cNvPr id="182" name="Picture 181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16189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760</xdr:row>
      <xdr:rowOff>0</xdr:rowOff>
    </xdr:from>
    <xdr:to>
      <xdr:col>5</xdr:col>
      <xdr:colOff>219075</xdr:colOff>
      <xdr:row>760</xdr:row>
      <xdr:rowOff>133350</xdr:rowOff>
    </xdr:to>
    <xdr:pic>
      <xdr:nvPicPr>
        <xdr:cNvPr id="183" name="Picture 182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18189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761</xdr:row>
      <xdr:rowOff>0</xdr:rowOff>
    </xdr:from>
    <xdr:to>
      <xdr:col>5</xdr:col>
      <xdr:colOff>219075</xdr:colOff>
      <xdr:row>761</xdr:row>
      <xdr:rowOff>133350</xdr:rowOff>
    </xdr:to>
    <xdr:pic>
      <xdr:nvPicPr>
        <xdr:cNvPr id="184" name="Picture 183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20190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762</xdr:row>
      <xdr:rowOff>0</xdr:rowOff>
    </xdr:from>
    <xdr:to>
      <xdr:col>5</xdr:col>
      <xdr:colOff>219075</xdr:colOff>
      <xdr:row>762</xdr:row>
      <xdr:rowOff>133350</xdr:rowOff>
    </xdr:to>
    <xdr:pic>
      <xdr:nvPicPr>
        <xdr:cNvPr id="185" name="Picture 184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22190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763</xdr:row>
      <xdr:rowOff>0</xdr:rowOff>
    </xdr:from>
    <xdr:to>
      <xdr:col>5</xdr:col>
      <xdr:colOff>219075</xdr:colOff>
      <xdr:row>763</xdr:row>
      <xdr:rowOff>133350</xdr:rowOff>
    </xdr:to>
    <xdr:pic>
      <xdr:nvPicPr>
        <xdr:cNvPr id="186" name="Picture 185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24190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764</xdr:row>
      <xdr:rowOff>0</xdr:rowOff>
    </xdr:from>
    <xdr:to>
      <xdr:col>5</xdr:col>
      <xdr:colOff>219075</xdr:colOff>
      <xdr:row>764</xdr:row>
      <xdr:rowOff>142875</xdr:rowOff>
    </xdr:to>
    <xdr:pic>
      <xdr:nvPicPr>
        <xdr:cNvPr id="187" name="Picture 186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26190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765</xdr:row>
      <xdr:rowOff>0</xdr:rowOff>
    </xdr:from>
    <xdr:to>
      <xdr:col>5</xdr:col>
      <xdr:colOff>219075</xdr:colOff>
      <xdr:row>765</xdr:row>
      <xdr:rowOff>133350</xdr:rowOff>
    </xdr:to>
    <xdr:pic>
      <xdr:nvPicPr>
        <xdr:cNvPr id="188" name="Picture 187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28191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766</xdr:row>
      <xdr:rowOff>0</xdr:rowOff>
    </xdr:from>
    <xdr:to>
      <xdr:col>5</xdr:col>
      <xdr:colOff>219075</xdr:colOff>
      <xdr:row>766</xdr:row>
      <xdr:rowOff>142875</xdr:rowOff>
    </xdr:to>
    <xdr:pic>
      <xdr:nvPicPr>
        <xdr:cNvPr id="189" name="Picture 188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30191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767</xdr:row>
      <xdr:rowOff>0</xdr:rowOff>
    </xdr:from>
    <xdr:to>
      <xdr:col>5</xdr:col>
      <xdr:colOff>219075</xdr:colOff>
      <xdr:row>767</xdr:row>
      <xdr:rowOff>142875</xdr:rowOff>
    </xdr:to>
    <xdr:pic>
      <xdr:nvPicPr>
        <xdr:cNvPr id="190" name="Picture 189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32191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768</xdr:row>
      <xdr:rowOff>0</xdr:rowOff>
    </xdr:from>
    <xdr:to>
      <xdr:col>5</xdr:col>
      <xdr:colOff>219075</xdr:colOff>
      <xdr:row>768</xdr:row>
      <xdr:rowOff>142875</xdr:rowOff>
    </xdr:to>
    <xdr:pic>
      <xdr:nvPicPr>
        <xdr:cNvPr id="191" name="Picture 190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34191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769</xdr:row>
      <xdr:rowOff>0</xdr:rowOff>
    </xdr:from>
    <xdr:to>
      <xdr:col>5</xdr:col>
      <xdr:colOff>219075</xdr:colOff>
      <xdr:row>769</xdr:row>
      <xdr:rowOff>142875</xdr:rowOff>
    </xdr:to>
    <xdr:pic>
      <xdr:nvPicPr>
        <xdr:cNvPr id="192" name="Picture 191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36192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770</xdr:row>
      <xdr:rowOff>0</xdr:rowOff>
    </xdr:from>
    <xdr:to>
      <xdr:col>5</xdr:col>
      <xdr:colOff>219075</xdr:colOff>
      <xdr:row>770</xdr:row>
      <xdr:rowOff>142875</xdr:rowOff>
    </xdr:to>
    <xdr:pic>
      <xdr:nvPicPr>
        <xdr:cNvPr id="193" name="Picture 192" descr="Portugal">
          <a:hlinkClick xmlns:r="http://schemas.openxmlformats.org/officeDocument/2006/relationships" r:id="rId49" tooltip="Portuguese Football Federation"/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38192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771</xdr:row>
      <xdr:rowOff>0</xdr:rowOff>
    </xdr:from>
    <xdr:to>
      <xdr:col>5</xdr:col>
      <xdr:colOff>219075</xdr:colOff>
      <xdr:row>771</xdr:row>
      <xdr:rowOff>133350</xdr:rowOff>
    </xdr:to>
    <xdr:pic>
      <xdr:nvPicPr>
        <xdr:cNvPr id="194" name="Picture 193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401925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772</xdr:row>
      <xdr:rowOff>0</xdr:rowOff>
    </xdr:from>
    <xdr:to>
      <xdr:col>5</xdr:col>
      <xdr:colOff>219075</xdr:colOff>
      <xdr:row>772</xdr:row>
      <xdr:rowOff>142875</xdr:rowOff>
    </xdr:to>
    <xdr:pic>
      <xdr:nvPicPr>
        <xdr:cNvPr id="195" name="Picture 194" descr="France">
          <a:hlinkClick xmlns:r="http://schemas.openxmlformats.org/officeDocument/2006/relationships" r:id="rId17" tooltip="French Football Federation"/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42192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773</xdr:row>
      <xdr:rowOff>0</xdr:rowOff>
    </xdr:from>
    <xdr:to>
      <xdr:col>5</xdr:col>
      <xdr:colOff>219075</xdr:colOff>
      <xdr:row>773</xdr:row>
      <xdr:rowOff>133350</xdr:rowOff>
    </xdr:to>
    <xdr:pic>
      <xdr:nvPicPr>
        <xdr:cNvPr id="196" name="Picture 195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44193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774</xdr:row>
      <xdr:rowOff>0</xdr:rowOff>
    </xdr:from>
    <xdr:to>
      <xdr:col>5</xdr:col>
      <xdr:colOff>219075</xdr:colOff>
      <xdr:row>774</xdr:row>
      <xdr:rowOff>142875</xdr:rowOff>
    </xdr:to>
    <xdr:pic>
      <xdr:nvPicPr>
        <xdr:cNvPr id="197" name="Picture 196" descr="Portugal">
          <a:hlinkClick xmlns:r="http://schemas.openxmlformats.org/officeDocument/2006/relationships" r:id="rId49" tooltip="Portuguese Football Federation"/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46193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775</xdr:row>
      <xdr:rowOff>0</xdr:rowOff>
    </xdr:from>
    <xdr:to>
      <xdr:col>5</xdr:col>
      <xdr:colOff>219075</xdr:colOff>
      <xdr:row>775</xdr:row>
      <xdr:rowOff>142875</xdr:rowOff>
    </xdr:to>
    <xdr:pic>
      <xdr:nvPicPr>
        <xdr:cNvPr id="198" name="Picture 197" descr="Portugal">
          <a:hlinkClick xmlns:r="http://schemas.openxmlformats.org/officeDocument/2006/relationships" r:id="rId49" tooltip="Portuguese Football Federation"/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48193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776</xdr:row>
      <xdr:rowOff>0</xdr:rowOff>
    </xdr:from>
    <xdr:to>
      <xdr:col>5</xdr:col>
      <xdr:colOff>219075</xdr:colOff>
      <xdr:row>776</xdr:row>
      <xdr:rowOff>133350</xdr:rowOff>
    </xdr:to>
    <xdr:pic>
      <xdr:nvPicPr>
        <xdr:cNvPr id="199" name="Picture 198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501937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777</xdr:row>
      <xdr:rowOff>0</xdr:rowOff>
    </xdr:from>
    <xdr:to>
      <xdr:col>5</xdr:col>
      <xdr:colOff>219075</xdr:colOff>
      <xdr:row>777</xdr:row>
      <xdr:rowOff>142875</xdr:rowOff>
    </xdr:to>
    <xdr:pic>
      <xdr:nvPicPr>
        <xdr:cNvPr id="200" name="Picture 199" descr="Portugal">
          <a:hlinkClick xmlns:r="http://schemas.openxmlformats.org/officeDocument/2006/relationships" r:id="rId49" tooltip="Portuguese Football Federation"/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52194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778</xdr:row>
      <xdr:rowOff>0</xdr:rowOff>
    </xdr:from>
    <xdr:to>
      <xdr:col>5</xdr:col>
      <xdr:colOff>219075</xdr:colOff>
      <xdr:row>778</xdr:row>
      <xdr:rowOff>142875</xdr:rowOff>
    </xdr:to>
    <xdr:pic>
      <xdr:nvPicPr>
        <xdr:cNvPr id="201" name="Picture 200" descr="Portugal">
          <a:hlinkClick xmlns:r="http://schemas.openxmlformats.org/officeDocument/2006/relationships" r:id="rId49" tooltip="Portuguese Football Federation"/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54194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779</xdr:row>
      <xdr:rowOff>0</xdr:rowOff>
    </xdr:from>
    <xdr:to>
      <xdr:col>5</xdr:col>
      <xdr:colOff>219075</xdr:colOff>
      <xdr:row>779</xdr:row>
      <xdr:rowOff>142875</xdr:rowOff>
    </xdr:to>
    <xdr:pic>
      <xdr:nvPicPr>
        <xdr:cNvPr id="202" name="Picture 201" descr="Portugal">
          <a:hlinkClick xmlns:r="http://schemas.openxmlformats.org/officeDocument/2006/relationships" r:id="rId49" tooltip="Portuguese Football Federation"/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56194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780</xdr:row>
      <xdr:rowOff>0</xdr:rowOff>
    </xdr:from>
    <xdr:to>
      <xdr:col>5</xdr:col>
      <xdr:colOff>219075</xdr:colOff>
      <xdr:row>780</xdr:row>
      <xdr:rowOff>142875</xdr:rowOff>
    </xdr:to>
    <xdr:pic>
      <xdr:nvPicPr>
        <xdr:cNvPr id="203" name="Picture 202" descr="Saudi Arabia">
          <a:hlinkClick xmlns:r="http://schemas.openxmlformats.org/officeDocument/2006/relationships" r:id="rId21" tooltip="Saudi Arabian Football Federation"/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58194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781</xdr:row>
      <xdr:rowOff>0</xdr:rowOff>
    </xdr:from>
    <xdr:to>
      <xdr:col>5</xdr:col>
      <xdr:colOff>219075</xdr:colOff>
      <xdr:row>781</xdr:row>
      <xdr:rowOff>142875</xdr:rowOff>
    </xdr:to>
    <xdr:pic>
      <xdr:nvPicPr>
        <xdr:cNvPr id="204" name="Picture 203" descr="South Korea">
          <a:hlinkClick xmlns:r="http://schemas.openxmlformats.org/officeDocument/2006/relationships" r:id="rId55" tooltip="Korea Football Association"/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60195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782</xdr:row>
      <xdr:rowOff>0</xdr:rowOff>
    </xdr:from>
    <xdr:to>
      <xdr:col>5</xdr:col>
      <xdr:colOff>219075</xdr:colOff>
      <xdr:row>782</xdr:row>
      <xdr:rowOff>142875</xdr:rowOff>
    </xdr:to>
    <xdr:pic>
      <xdr:nvPicPr>
        <xdr:cNvPr id="205" name="Picture 204" descr="South Korea">
          <a:hlinkClick xmlns:r="http://schemas.openxmlformats.org/officeDocument/2006/relationships" r:id="rId55" tooltip="Korea Football Association"/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62195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783</xdr:row>
      <xdr:rowOff>0</xdr:rowOff>
    </xdr:from>
    <xdr:to>
      <xdr:col>5</xdr:col>
      <xdr:colOff>219075</xdr:colOff>
      <xdr:row>783</xdr:row>
      <xdr:rowOff>142875</xdr:rowOff>
    </xdr:to>
    <xdr:pic>
      <xdr:nvPicPr>
        <xdr:cNvPr id="206" name="Picture 205" descr="Italy">
          <a:hlinkClick xmlns:r="http://schemas.openxmlformats.org/officeDocument/2006/relationships" r:id="rId7" tooltip="Italian Football Federation"/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64195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784</xdr:row>
      <xdr:rowOff>0</xdr:rowOff>
    </xdr:from>
    <xdr:to>
      <xdr:col>5</xdr:col>
      <xdr:colOff>219075</xdr:colOff>
      <xdr:row>784</xdr:row>
      <xdr:rowOff>85725</xdr:rowOff>
    </xdr:to>
    <xdr:pic>
      <xdr:nvPicPr>
        <xdr:cNvPr id="207" name="Picture 206" descr="Qatar">
          <a:hlinkClick xmlns:r="http://schemas.openxmlformats.org/officeDocument/2006/relationships" r:id="rId27" tooltip="Qatar Football Association"/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6619575"/>
          <a:ext cx="21907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785</xdr:row>
      <xdr:rowOff>0</xdr:rowOff>
    </xdr:from>
    <xdr:to>
      <xdr:col>5</xdr:col>
      <xdr:colOff>219075</xdr:colOff>
      <xdr:row>785</xdr:row>
      <xdr:rowOff>142875</xdr:rowOff>
    </xdr:to>
    <xdr:pic>
      <xdr:nvPicPr>
        <xdr:cNvPr id="208" name="Picture 207" descr="Greece">
          <a:hlinkClick xmlns:r="http://schemas.openxmlformats.org/officeDocument/2006/relationships" r:id="rId11" tooltip="Hellenic Football Federation"/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68196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786</xdr:row>
      <xdr:rowOff>0</xdr:rowOff>
    </xdr:from>
    <xdr:to>
      <xdr:col>5</xdr:col>
      <xdr:colOff>219075</xdr:colOff>
      <xdr:row>786</xdr:row>
      <xdr:rowOff>133350</xdr:rowOff>
    </xdr:to>
    <xdr:pic>
      <xdr:nvPicPr>
        <xdr:cNvPr id="209" name="Picture 208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70196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787</xdr:row>
      <xdr:rowOff>0</xdr:rowOff>
    </xdr:from>
    <xdr:to>
      <xdr:col>5</xdr:col>
      <xdr:colOff>219075</xdr:colOff>
      <xdr:row>787</xdr:row>
      <xdr:rowOff>142875</xdr:rowOff>
    </xdr:to>
    <xdr:pic>
      <xdr:nvPicPr>
        <xdr:cNvPr id="210" name="Picture 209" descr="South Korea">
          <a:hlinkClick xmlns:r="http://schemas.openxmlformats.org/officeDocument/2006/relationships" r:id="rId55" tooltip="Korea Football Association"/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72196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788</xdr:row>
      <xdr:rowOff>0</xdr:rowOff>
    </xdr:from>
    <xdr:to>
      <xdr:col>5</xdr:col>
      <xdr:colOff>219075</xdr:colOff>
      <xdr:row>788</xdr:row>
      <xdr:rowOff>142875</xdr:rowOff>
    </xdr:to>
    <xdr:pic>
      <xdr:nvPicPr>
        <xdr:cNvPr id="211" name="Picture 210" descr="South Korea">
          <a:hlinkClick xmlns:r="http://schemas.openxmlformats.org/officeDocument/2006/relationships" r:id="rId55" tooltip="Korea Football Association"/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74196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789</xdr:row>
      <xdr:rowOff>0</xdr:rowOff>
    </xdr:from>
    <xdr:to>
      <xdr:col>5</xdr:col>
      <xdr:colOff>219075</xdr:colOff>
      <xdr:row>789</xdr:row>
      <xdr:rowOff>133350</xdr:rowOff>
    </xdr:to>
    <xdr:pic>
      <xdr:nvPicPr>
        <xdr:cNvPr id="212" name="Picture 211" descr="Germany">
          <a:hlinkClick xmlns:r="http://schemas.openxmlformats.org/officeDocument/2006/relationships" r:id="rId3" tooltip="German Football Association"/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7619700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790</xdr:row>
      <xdr:rowOff>0</xdr:rowOff>
    </xdr:from>
    <xdr:to>
      <xdr:col>5</xdr:col>
      <xdr:colOff>219075</xdr:colOff>
      <xdr:row>790</xdr:row>
      <xdr:rowOff>133350</xdr:rowOff>
    </xdr:to>
    <xdr:pic>
      <xdr:nvPicPr>
        <xdr:cNvPr id="213" name="Picture 212" descr="England">
          <a:hlinkClick xmlns:r="http://schemas.openxmlformats.org/officeDocument/2006/relationships" r:id="rId1" tooltip="The Football Association"/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7819725"/>
          <a:ext cx="2190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791</xdr:row>
      <xdr:rowOff>0</xdr:rowOff>
    </xdr:from>
    <xdr:to>
      <xdr:col>5</xdr:col>
      <xdr:colOff>219075</xdr:colOff>
      <xdr:row>791</xdr:row>
      <xdr:rowOff>142875</xdr:rowOff>
    </xdr:to>
    <xdr:pic>
      <xdr:nvPicPr>
        <xdr:cNvPr id="214" name="Picture 213" descr="South Korea">
          <a:hlinkClick xmlns:r="http://schemas.openxmlformats.org/officeDocument/2006/relationships" r:id="rId55" tooltip="Korea Football Association"/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80197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792</xdr:row>
      <xdr:rowOff>0</xdr:rowOff>
    </xdr:from>
    <xdr:to>
      <xdr:col>5</xdr:col>
      <xdr:colOff>219075</xdr:colOff>
      <xdr:row>792</xdr:row>
      <xdr:rowOff>142875</xdr:rowOff>
    </xdr:to>
    <xdr:pic>
      <xdr:nvPicPr>
        <xdr:cNvPr id="215" name="Picture 214" descr="China">
          <a:hlinkClick xmlns:r="http://schemas.openxmlformats.org/officeDocument/2006/relationships" r:id="rId39" tooltip="Chinese Football Association"/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82197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793</xdr:row>
      <xdr:rowOff>0</xdr:rowOff>
    </xdr:from>
    <xdr:to>
      <xdr:col>5</xdr:col>
      <xdr:colOff>219075</xdr:colOff>
      <xdr:row>793</xdr:row>
      <xdr:rowOff>142875</xdr:rowOff>
    </xdr:to>
    <xdr:pic>
      <xdr:nvPicPr>
        <xdr:cNvPr id="216" name="Picture 215" descr="South Korea">
          <a:hlinkClick xmlns:r="http://schemas.openxmlformats.org/officeDocument/2006/relationships" r:id="rId55" tooltip="Korea Football Association"/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84198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794</xdr:row>
      <xdr:rowOff>0</xdr:rowOff>
    </xdr:from>
    <xdr:to>
      <xdr:col>5</xdr:col>
      <xdr:colOff>219075</xdr:colOff>
      <xdr:row>794</xdr:row>
      <xdr:rowOff>142875</xdr:rowOff>
    </xdr:to>
    <xdr:pic>
      <xdr:nvPicPr>
        <xdr:cNvPr id="217" name="Picture 216" descr="South Korea">
          <a:hlinkClick xmlns:r="http://schemas.openxmlformats.org/officeDocument/2006/relationships" r:id="rId55" tooltip="Korea Football Association"/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861982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795</xdr:row>
      <xdr:rowOff>0</xdr:rowOff>
    </xdr:from>
    <xdr:to>
      <xdr:col>5</xdr:col>
      <xdr:colOff>219075</xdr:colOff>
      <xdr:row>795</xdr:row>
      <xdr:rowOff>142875</xdr:rowOff>
    </xdr:to>
    <xdr:pic>
      <xdr:nvPicPr>
        <xdr:cNvPr id="218" name="Picture 217" descr="Greece">
          <a:hlinkClick xmlns:r="http://schemas.openxmlformats.org/officeDocument/2006/relationships" r:id="rId11" tooltip="Hellenic Football Federation"/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881985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796</xdr:row>
      <xdr:rowOff>0</xdr:rowOff>
    </xdr:from>
    <xdr:to>
      <xdr:col>5</xdr:col>
      <xdr:colOff>219075</xdr:colOff>
      <xdr:row>796</xdr:row>
      <xdr:rowOff>142875</xdr:rowOff>
    </xdr:to>
    <xdr:pic>
      <xdr:nvPicPr>
        <xdr:cNvPr id="219" name="Picture 218" descr="South Korea">
          <a:hlinkClick xmlns:r="http://schemas.openxmlformats.org/officeDocument/2006/relationships" r:id="rId55" tooltip="Korea Football Association"/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9019875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797</xdr:row>
      <xdr:rowOff>0</xdr:rowOff>
    </xdr:from>
    <xdr:to>
      <xdr:col>5</xdr:col>
      <xdr:colOff>219075</xdr:colOff>
      <xdr:row>797</xdr:row>
      <xdr:rowOff>142875</xdr:rowOff>
    </xdr:to>
    <xdr:pic>
      <xdr:nvPicPr>
        <xdr:cNvPr id="220" name="Picture 219" descr="Spain">
          <a:hlinkClick xmlns:r="http://schemas.openxmlformats.org/officeDocument/2006/relationships" r:id="rId5" tooltip="Royal Spanish Football Federation"/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91550" y="159219900"/>
          <a:ext cx="2190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</xdr:row>
          <xdr:rowOff>0</xdr:rowOff>
        </xdr:from>
        <xdr:to>
          <xdr:col>21</xdr:col>
          <xdr:colOff>19050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38099</xdr:rowOff>
    </xdr:from>
    <xdr:to>
      <xdr:col>8</xdr:col>
      <xdr:colOff>533400</xdr:colOff>
      <xdr:row>18</xdr:row>
      <xdr:rowOff>142874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D0288474-6CFD-A41D-0B34-E44C4C0821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590551</xdr:colOff>
      <xdr:row>0</xdr:row>
      <xdr:rowOff>42861</xdr:rowOff>
    </xdr:from>
    <xdr:to>
      <xdr:col>18</xdr:col>
      <xdr:colOff>133351</xdr:colOff>
      <xdr:row>18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4B2EDEC-BEE9-6767-739E-F67462ACA8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590551</xdr:colOff>
      <xdr:row>19</xdr:row>
      <xdr:rowOff>28575</xdr:rowOff>
    </xdr:from>
    <xdr:to>
      <xdr:col>18</xdr:col>
      <xdr:colOff>123825</xdr:colOff>
      <xdr:row>36</xdr:row>
      <xdr:rowOff>161925</xdr:rowOff>
    </xdr:to>
    <xdr:graphicFrame macro="">
      <xdr:nvGraphicFramePr>
        <xdr:cNvPr id="4" name="Chart 6">
          <a:extLst>
            <a:ext uri="{FF2B5EF4-FFF2-40B4-BE49-F238E27FC236}">
              <a16:creationId xmlns:a16="http://schemas.microsoft.com/office/drawing/2014/main" id="{7F663FF7-9E57-EFB4-1201-338524885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19</xdr:row>
      <xdr:rowOff>19050</xdr:rowOff>
    </xdr:from>
    <xdr:to>
      <xdr:col>8</xdr:col>
      <xdr:colOff>561975</xdr:colOff>
      <xdr:row>36</xdr:row>
      <xdr:rowOff>133350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8511D68-1E85-9FCD-BF82-9FDFE471DE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171450</xdr:colOff>
      <xdr:row>0</xdr:row>
      <xdr:rowOff>52387</xdr:rowOff>
    </xdr:from>
    <xdr:to>
      <xdr:col>29</xdr:col>
      <xdr:colOff>314325</xdr:colOff>
      <xdr:row>36</xdr:row>
      <xdr:rowOff>161925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3E996DD-7856-791E-41E9-A58AC5F0C8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</xdr:colOff>
      <xdr:row>0</xdr:row>
      <xdr:rowOff>38106</xdr:rowOff>
    </xdr:from>
    <xdr:to>
      <xdr:col>13</xdr:col>
      <xdr:colOff>257175</xdr:colOff>
      <xdr:row>37</xdr:row>
      <xdr:rowOff>38100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725EA975-FD44-5264-5BC3-5E9D55FA8D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457201</xdr:colOff>
      <xdr:row>0</xdr:row>
      <xdr:rowOff>76200</xdr:rowOff>
    </xdr:from>
    <xdr:to>
      <xdr:col>28</xdr:col>
      <xdr:colOff>600075</xdr:colOff>
      <xdr:row>37</xdr:row>
      <xdr:rowOff>57149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370D1A3C-253C-0985-CB72-F90B12E5FB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47623</xdr:colOff>
      <xdr:row>0</xdr:row>
      <xdr:rowOff>61912</xdr:rowOff>
    </xdr:from>
    <xdr:to>
      <xdr:col>8</xdr:col>
      <xdr:colOff>409574</xdr:colOff>
      <xdr:row>17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0D089A-CA2D-6B88-6751-61F7E3E5B2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28574</xdr:colOff>
      <xdr:row>17</xdr:row>
      <xdr:rowOff>180976</xdr:rowOff>
    </xdr:from>
    <xdr:to>
      <xdr:col>8</xdr:col>
      <xdr:colOff>419100</xdr:colOff>
      <xdr:row>36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E48235-557A-0088-722B-7CE4069A9E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466725</xdr:colOff>
      <xdr:row>0</xdr:row>
      <xdr:rowOff>66675</xdr:rowOff>
    </xdr:from>
    <xdr:to>
      <xdr:col>17</xdr:col>
      <xdr:colOff>104775</xdr:colOff>
      <xdr:row>37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591FC75-C01E-2A88-11C8-BAF0150485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161925</xdr:colOff>
      <xdr:row>0</xdr:row>
      <xdr:rowOff>57151</xdr:rowOff>
    </xdr:from>
    <xdr:to>
      <xdr:col>28</xdr:col>
      <xdr:colOff>504825</xdr:colOff>
      <xdr:row>37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02EB07F-ADC5-404C-7044-A3B4E5DAB7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4936.569414467594" createdVersion="8" refreshedVersion="8" minRefreshableVersion="3" recordCount="517" xr:uid="{FB0292D5-BB7C-4ACC-A9F5-4AED1A25B423}">
  <cacheSource type="worksheet">
    <worksheetSource name="Match_Record"/>
  </cacheSource>
  <cacheFields count="9">
    <cacheField name="Match No" numFmtId="1">
      <sharedItems containsSemiMixedTypes="0" containsString="0" containsNumber="1" containsInteger="1" minValue="1" maxValue="64"/>
    </cacheField>
    <cacheField name="Date" numFmtId="164">
      <sharedItems containsSemiMixedTypes="0" containsNonDate="0" containsDate="1" containsString="0" minDate="2022-11-20T00:00:00" maxDate="2022-12-19T00:00:00"/>
    </cacheField>
    <cacheField name="Home" numFmtId="0">
      <sharedItems/>
    </cacheField>
    <cacheField name="Away" numFmtId="0">
      <sharedItems/>
    </cacheField>
    <cacheField name="Action" numFmtId="0">
      <sharedItems containsBlank="1" count="7">
        <s v="Yellow Card"/>
        <s v="Goal"/>
        <s v="Assist"/>
        <s v="Missed Penalty"/>
        <s v="Red Card"/>
        <s v="Own Goal"/>
        <m u="1"/>
      </sharedItems>
    </cacheField>
    <cacheField name="Minutes of Action" numFmtId="1">
      <sharedItems containsSemiMixedTypes="0" containsString="0" containsNumber="1" containsInteger="1" minValue="2" maxValue="120"/>
    </cacheField>
    <cacheField name="Player_No" numFmtId="0">
      <sharedItems containsSemiMixedTypes="0" containsString="0" containsNumber="1" containsInteger="1" minValue="1004" maxValue="1824"/>
    </cacheField>
    <cacheField name="Player Name" numFmtId="0">
      <sharedItems count="311">
        <s v="Saad Al-Sheeb"/>
        <s v="Enner Valencia"/>
        <s v="Almoez Ali"/>
        <s v="Moisés Caicedo"/>
        <s v="Karim Boudiaf"/>
        <s v="Akram Afif"/>
        <s v="Ángelo Preciado"/>
        <s v="Jhegson Méndez"/>
        <s v="Jude Bellingham"/>
        <s v="Luke Shaw"/>
        <s v="Bukayo Saka"/>
        <s v="Harry Maguire"/>
        <s v="Raheem Sterling"/>
        <s v="Harry Kane "/>
        <s v="Marcus Rashford"/>
        <s v="Jack Grealish"/>
        <s v="Callum Wilson"/>
        <s v="Alireza Jahanbakhsh"/>
        <s v="Morteza Pouraliganji"/>
        <s v="Mehdi Taremi"/>
        <s v="Matthijs de Ligt"/>
        <s v="Cody Gakpo"/>
        <s v="Frenkie de Jong"/>
        <s v="Davy Klaassen"/>
        <s v="Nampalys Mendy"/>
        <s v="Idrissa Gueye"/>
        <s v="Sergiño Dest"/>
        <s v="Weston McKennie"/>
        <s v="Timothy Weah"/>
        <s v="Christian Pulisic"/>
        <s v="Tim Ream"/>
        <s v="Kellyn Acosta"/>
        <s v="Gareth Bale "/>
        <s v="Chris Mepham"/>
        <s v="Lionel Messi"/>
        <s v="Saleh Al-Shehri"/>
        <s v="Firas Al-Buraikan"/>
        <s v="Salem Al-Dawsari"/>
        <s v="Abdulellah Al-Malki"/>
        <s v="Ali Al-Bulaihi"/>
        <s v="Saud Abdulhamid"/>
        <s v="Nawaf Al-Abed"/>
        <s v="Mohammed Al-Owais"/>
        <s v="Rasmus Kristensen"/>
        <s v="Mathias Jensen"/>
        <s v="Taha Yassine Khenissi"/>
        <s v="Jorge Sánchez"/>
        <s v="Héctor Moreno"/>
        <s v="Robert Lewandowski "/>
        <s v="Przemysław Frankowski"/>
        <s v="Craig Goodwin"/>
        <s v="Mathew Leckie"/>
        <s v="Mitchell Duke"/>
        <s v="Jackson Irvine"/>
        <s v="Aaron Mooy"/>
        <s v="Adrien Rabiot"/>
        <s v="Theo Hernandez"/>
        <s v="Olivier Giroud"/>
        <s v="Kylian Mbappé"/>
        <s v="Ousmane Dembélé"/>
        <s v="Sofyan Amrabat"/>
        <s v="İlkay Gündoğan"/>
        <s v="Ritsu Dōan"/>
        <s v="Takuma Asano"/>
        <s v="Ko Itakura"/>
        <s v="Dani Olmo"/>
        <s v="Marco Asensio"/>
        <s v="Jordi Alba"/>
        <s v="Ferran Torres"/>
        <s v="Gavi"/>
        <s v="Álvaro Morata"/>
        <s v="Carlos Soler"/>
        <s v="Francisco Calvo"/>
        <s v="Joel Campbell"/>
        <s v="Yannick Carrasco"/>
        <s v="Michy Batshuayi"/>
        <s v="Toby Alderweireld"/>
        <s v="Thomas Meunier"/>
        <s v="Amadou Onana"/>
        <s v="Alphonso Davies"/>
        <s v="Alistair Johnston"/>
        <s v="Breel Embolo"/>
        <s v="Xherdan Shaqiri"/>
        <s v="Nico Elvedi"/>
        <s v="Manuel Akanji"/>
        <s v="Collins Fai"/>
        <s v="Martín Cáceres"/>
        <s v="Cho Gue-sung"/>
        <s v="Cristiano Ronaldo "/>
        <s v="João Félix"/>
        <s v="Bruno Fernandes"/>
        <s v="Rafael Leão"/>
        <s v="Danilo Pereira"/>
        <s v="Mohammed Kudus"/>
        <s v="André Ayew "/>
        <s v="Alidu Seidu"/>
        <s v="Osman Bukari"/>
        <s v="Iñaki Williams"/>
        <s v="Richarlison"/>
        <s v="Vinícius Júnior"/>
        <s v="Strahinja Pavlović"/>
        <s v="Nemanja Gudelj"/>
        <s v="Saša Lukić"/>
        <s v="Joe Rodon"/>
        <s v="Wayne Hennessey"/>
        <s v="Ramin Rezaeian"/>
        <s v="Rouzbeh Cheshmi"/>
        <s v="Ismaeel Mohammad"/>
        <s v="Homam Ahmed"/>
        <s v="Mohammed Muntari"/>
        <s v="Assim Madibo"/>
        <s v="Boulaye Dia"/>
        <s v="Famara Diédhiou"/>
        <s v="Ismail Jakobs"/>
        <s v="Bamba Dieng"/>
        <s v="Iliman Ndiaye"/>
        <s v="Pathé Ciss"/>
        <s v="Aïssa Laïdouni"/>
        <s v="Ali Abdi"/>
        <s v="Ferjani Sassi"/>
        <s v="Jakub Kiwior"/>
        <s v="Matty Cash"/>
        <s v="Arkadiusz Milik"/>
        <s v="Piotr Zieliński"/>
        <s v="Nasser Al-Dawsari"/>
        <s v="Abdulelah Al-Amri"/>
        <s v="Jules Koundé"/>
        <s v="Antoine Griezmann"/>
        <s v="Andreas Christensen"/>
        <s v="Andreas Cornelius"/>
        <s v="Joachim Andersen"/>
        <s v="Gonzalo Montiel"/>
        <s v="Ángel Di María"/>
        <s v="Enzo Fernández"/>
        <s v="Néstor Araujo"/>
        <s v="Érick Gutiérrez"/>
        <s v="Héctor Herrera"/>
        <s v="Roberto Alvarado"/>
        <s v="Miki Yamane"/>
        <s v="Wataru Endo"/>
        <s v="Anthony Contreras"/>
        <s v="Celso Borges"/>
        <s v="Keysher Fuller"/>
        <s v="Yeltsin Tejeda"/>
        <s v="Romain Saïss "/>
        <s v="Abdelhamid Sabiri"/>
        <s v="Zakaria Aboukhlal"/>
        <s v="Hakim Ziyech"/>
        <s v="Andrej Kramarić"/>
        <s v="Ivan Perišić"/>
        <s v="Marko Livaja"/>
        <s v="Josip Juranović"/>
        <s v="Dejan Lovren"/>
        <s v="Luka Modrić "/>
        <s v="Lovro Majer"/>
        <s v="Mislav Oršić"/>
        <s v="Tajon Buchanan"/>
        <s v="Kamal Miller"/>
        <s v="Sergio Busquets "/>
        <s v="Thilo Kehrer"/>
        <s v="Leon Goretzka"/>
        <s v="Joshua Kimmich"/>
        <s v="Niclas Füllkrug"/>
        <s v="Jamal Musiala"/>
        <s v="Nicolas Nkoulou"/>
        <s v="Jean-Charles Castelletto"/>
        <s v="Christian Bassogog"/>
        <s v="Vincent Aboubakar "/>
        <s v="Eric Maxim Choupo-Moting"/>
        <s v="Dušan Tadić"/>
        <s v="Sergej Milinković-Savić"/>
        <s v="Andrija Živković"/>
        <s v="Luka Jović"/>
        <s v="Aleksandar Mitrović"/>
        <s v="Nikola Milenković"/>
        <s v="Jung Woo-young"/>
        <s v="Lee Kang-in"/>
        <s v="Kim Jin-su"/>
        <s v="Kim Young-gwon"/>
        <s v="Daniel Amartey"/>
        <s v="Mohammed Salisu"/>
        <s v="Jordan Ayew"/>
        <s v="Tariq Lamptey"/>
        <s v="Fred"/>
        <s v="Casemiro"/>
        <s v="Rodrygo"/>
        <s v="Fabian Rieder"/>
        <s v="Rúben Neves"/>
        <s v="Raphaël Guerreiro"/>
        <s v="Rúben Dias"/>
        <s v="Rodrigo Bentancur"/>
        <s v="Mathías Olivera"/>
        <s v="Félix Torres"/>
        <s v="Ismaïla Sarr"/>
        <s v="Kalidou Koulibaly "/>
        <s v="Nathan Aké"/>
        <s v="Majid Hosseini"/>
        <s v="Abolfazl Jalali"/>
        <s v="Tyler Adams"/>
        <s v="Daniel James"/>
        <s v="Aaron Ramsey"/>
        <s v="Phil Foden"/>
        <s v="Kalvin Phillips"/>
        <s v="Aziz Behich"/>
        <s v="Miloš Degenek"/>
        <s v="Riley McGree"/>
        <s v="Robert Skov"/>
        <s v="Wajdi Kechrida"/>
        <s v="Wahbi Khazri"/>
        <s v="Grzegorz Krychowiak"/>
        <s v="Alexis Mac Allister"/>
        <s v="Nahuel Molina"/>
        <s v="Marcos Acuña"/>
        <s v="Julián Álvarez"/>
        <s v="Ali Al-Hassan"/>
        <s v="Hassan Al-Tambakti"/>
        <s v="Abdullah Madu"/>
        <s v="Hattan Bahebri"/>
        <s v="Edson Álvarez"/>
        <s v="Henry Martín"/>
        <s v="César Montes"/>
        <s v="Luis Chávez"/>
        <s v="Junior Hoilett"/>
        <s v="Jonathan Osorio"/>
        <s v="Nayef Aguerd"/>
        <s v="Sam Adekugbe"/>
        <s v="Steven Vitória"/>
        <s v="Youssef En-Nesyri"/>
        <s v="Achraf Hakimi"/>
        <s v="Leander Dendoncker"/>
        <s v="Manuel Neuer "/>
        <s v="Óscar Duarte"/>
        <s v="Serge Gnabry"/>
        <s v="David Raum"/>
        <s v="Kai Havertz"/>
        <s v="Leroy Sané"/>
        <s v="Shogo Taniguchi"/>
        <s v="Maya Yoshida "/>
        <s v="Junya Ito"/>
        <s v="Ao Tanaka"/>
        <s v="Kaoru Mitoma"/>
        <s v="César Azpilicueta"/>
        <s v="Kamaldeen Sulemana"/>
        <s v="Darwin Núñez"/>
        <s v="Giorgian de Arrascaeta"/>
        <s v="Luis Suárez"/>
        <s v="Sebastián Coates"/>
        <s v="José Giménez"/>
        <s v="Edinson Cavani"/>
        <s v="Hwang Hee-chan"/>
        <s v="Son Heung-min "/>
        <s v="Ricardo Horta"/>
        <s v="Diogo Dalot"/>
        <s v="Nouhou Tolo"/>
        <s v="Pierre Kunde"/>
        <s v="Jerome Ngom Mbekeli"/>
        <s v="Éder Militão"/>
        <s v="Bruno Guimarães"/>
        <s v="Dušan Vlahović"/>
        <s v="Predrag Rajković"/>
        <s v="Silvan Widmer"/>
        <s v="Djibril Sow"/>
        <s v="Ruben Vargas"/>
        <s v="Remo Freuler"/>
        <s v="Granit Xhaka "/>
        <s v="Fabian Schär"/>
        <s v="Memphis Depay"/>
        <s v="Denzel Dumfries"/>
        <s v="Daley Blind"/>
        <s v="Teun Koopmeiners"/>
        <s v="Haji Wright"/>
        <s v="Nicolás Otamendi"/>
        <s v="Aurélien Tchouaméni"/>
        <s v="Marcus Thuram"/>
        <s v="Bartosz Bereszyński"/>
        <s v="Jordan Henderson"/>
        <s v="Daizen Maeda"/>
        <s v="Mateo Kovačić"/>
        <s v="Neymar"/>
        <s v="Thiago Silva "/>
        <s v="Lucas Paquetá"/>
        <s v="Paik Seung-ho"/>
        <s v="Aymeric Laporte"/>
        <s v="Gonçalo Ramos"/>
        <s v="Pepe"/>
        <s v="Eray Cömert"/>
        <s v="Marcelo Brozović"/>
        <s v="Bruno Petković"/>
        <s v="Danilo"/>
        <s v="Marquinhos"/>
        <s v="Jurriën Timber"/>
        <s v="Wout Weghorst"/>
        <s v="Steven Berghuis"/>
        <s v="Steven Bergwijn"/>
        <s v="Noa Lang"/>
        <s v="Cristian Romero"/>
        <s v="Lisandro Martínez"/>
        <s v="Leandro Paredes"/>
        <s v="Germán Pezzella"/>
        <s v="Yahia Attiyat Allah"/>
        <s v="Achraf Dari"/>
        <s v="Walid Cheddira"/>
        <s v="Vitinha"/>
        <s v="Dominik Livaković"/>
        <s v="Sofiane Boufal"/>
        <s v="Randal Kolo Muani"/>
        <s v="Joško Gvardiol"/>
        <s v="Azzedine Ounahi"/>
        <s v="Selim Amallah"/>
        <s v="Emiliano Martínez"/>
        <s v="" u="1"/>
      </sharedItems>
    </cacheField>
    <cacheField name="Team" numFmtId="0">
      <sharedItems count="35">
        <s v="Qatar"/>
        <s v="Ecuador"/>
        <s v="England"/>
        <s v="Iran"/>
        <s v="Netherlands"/>
        <s v="Senegal"/>
        <s v="USA"/>
        <s v="Wales"/>
        <s v="Argentina"/>
        <s v="Saudi Arabia"/>
        <s v="Denmark"/>
        <s v="Tunisia"/>
        <s v="Mexico"/>
        <s v="Poland"/>
        <s v="Australia"/>
        <s v="France"/>
        <s v="Morocco"/>
        <s v="Germany"/>
        <s v="Japan"/>
        <s v="Spain"/>
        <s v="Costa Rica"/>
        <s v="Belgium"/>
        <s v="Canada"/>
        <s v="Switzerland"/>
        <s v="Cameroon"/>
        <s v="Uruguay"/>
        <s v="Korea Rep"/>
        <s v="Portugal"/>
        <s v="Ghana"/>
        <s v="Brasil"/>
        <s v="Serbia"/>
        <s v="Croatia"/>
        <s v="" u="1"/>
        <s v="Brazil" u="1"/>
        <s v="Korea Rep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4936.569414699072" createdVersion="8" refreshedVersion="8" minRefreshableVersion="3" recordCount="830" xr:uid="{399EB3C9-D1BA-458B-9E8A-FA52699B0C5D}">
  <cacheSource type="worksheet">
    <worksheetSource name="Squads[Caps]"/>
  </cacheSource>
  <cacheFields count="1">
    <cacheField name="Caps" numFmtId="0">
      <sharedItems containsSemiMixedTypes="0" containsString="0" containsNumber="1" containsInteger="1" minValue="0" maxValue="191" count="134">
        <n v="18"/>
        <n v="16"/>
        <n v="42"/>
        <n v="46"/>
        <n v="32"/>
        <n v="44"/>
        <n v="43"/>
        <n v="12"/>
        <n v="165"/>
        <n v="124"/>
        <n v="4"/>
        <n v="20"/>
        <n v="22"/>
        <n v="1"/>
        <n v="15"/>
        <n v="26"/>
        <n v="93"/>
        <n v="8"/>
        <n v="34"/>
        <n v="40"/>
        <n v="19"/>
        <n v="3"/>
        <n v="10"/>
        <n v="75"/>
        <n v="38"/>
        <n v="5"/>
        <n v="11"/>
        <n v="73"/>
        <n v="27"/>
        <n v="29"/>
        <n v="53"/>
        <n v="21"/>
        <n v="2"/>
        <n v="49"/>
        <n v="97"/>
        <n v="142"/>
        <n v="127"/>
        <n v="94"/>
        <n v="55"/>
        <n v="102"/>
        <n v="123"/>
        <n v="60"/>
        <n v="35"/>
        <n v="107"/>
        <n v="59"/>
        <n v="45"/>
        <n v="23"/>
        <n v="48"/>
        <n v="57"/>
        <n v="109"/>
        <n v="71"/>
        <n v="65"/>
        <n v="37"/>
        <n v="28"/>
        <n v="121"/>
        <n v="56"/>
        <n v="7"/>
        <n v="0"/>
        <n v="78"/>
        <n v="91"/>
        <n v="51"/>
        <n v="69"/>
        <n v="52"/>
        <n v="14"/>
        <n v="33"/>
        <n v="30"/>
        <n v="66"/>
        <n v="50"/>
        <n v="98"/>
        <n v="6"/>
        <n v="68"/>
        <n v="31"/>
        <n v="155"/>
        <n v="9"/>
        <n v="76"/>
        <n v="146"/>
        <n v="82"/>
        <n v="119"/>
        <n v="13"/>
        <n v="25"/>
        <n v="63"/>
        <n v="116"/>
        <n v="72"/>
        <n v="84"/>
        <n v="74"/>
        <n v="77"/>
        <n v="100"/>
        <n v="86"/>
        <n v="58"/>
        <n v="62"/>
        <n v="117"/>
        <n v="17"/>
        <n v="41"/>
        <n v="36"/>
        <n v="24"/>
        <n v="70"/>
        <n v="79"/>
        <n v="47"/>
        <n v="139"/>
        <n v="87"/>
        <n v="110"/>
        <n v="114"/>
        <n v="54"/>
        <n v="118"/>
        <n v="39"/>
        <n v="64"/>
        <n v="95"/>
        <n v="138"/>
        <n v="122"/>
        <n v="67"/>
        <n v="61"/>
        <n v="104"/>
        <n v="96"/>
        <n v="131"/>
        <n v="128"/>
        <n v="178"/>
        <n v="81"/>
        <n v="134"/>
        <n v="99"/>
        <n v="105"/>
        <n v="129"/>
        <n v="191"/>
        <n v="80"/>
        <n v="130"/>
        <n v="169"/>
        <n v="89"/>
        <n v="115"/>
        <n v="85"/>
        <n v="83"/>
        <n v="88"/>
        <n v="133"/>
        <n v="159"/>
        <n v="106"/>
        <n v="108"/>
      </sharedItems>
      <fieldGroup base="0">
        <rangePr startNum="0" endNum="191" groupInterval="20"/>
        <groupItems count="12">
          <s v="&lt;0"/>
          <s v="0-19"/>
          <s v="20-39"/>
          <s v="40-59"/>
          <s v="60-79"/>
          <s v="80-99"/>
          <s v="100-119"/>
          <s v="120-139"/>
          <s v="140-159"/>
          <s v="160-179"/>
          <s v="180-199"/>
          <s v="&gt;2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4936.569414930556" createdVersion="8" refreshedVersion="8" minRefreshableVersion="3" recordCount="830" xr:uid="{F1372DA3-7C42-460F-9AC5-1D075D40358F}">
  <cacheSource type="worksheet">
    <worksheetSource name="Squads[Age]"/>
  </cacheSource>
  <cacheFields count="1">
    <cacheField name="Age" numFmtId="1">
      <sharedItems containsSemiMixedTypes="0" containsString="0" containsNumber="1" containsInteger="1" minValue="18" maxValue="40" count="23">
        <n v="36"/>
        <n v="24"/>
        <n v="30"/>
        <n v="25"/>
        <n v="28"/>
        <n v="31"/>
        <n v="22"/>
        <n v="35"/>
        <n v="34"/>
        <n v="27"/>
        <n v="21"/>
        <n v="23"/>
        <n v="29"/>
        <n v="26"/>
        <n v="33"/>
        <n v="32"/>
        <n v="37"/>
        <n v="18"/>
        <n v="20"/>
        <n v="19"/>
        <n v="38"/>
        <n v="39"/>
        <n v="40"/>
      </sharedItems>
      <fieldGroup base="0">
        <rangePr startNum="18" endNum="40" groupInterval="4"/>
        <groupItems count="8">
          <s v="&lt;18"/>
          <s v="18-21"/>
          <s v="22-25"/>
          <s v="26-29"/>
          <s v="30-33"/>
          <s v="34-37"/>
          <s v="38-41"/>
          <s v="&gt;4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5029.680298726853" createdVersion="5" refreshedVersion="8" minRefreshableVersion="3" recordCount="0" supportSubquery="1" supportAdvancedDrill="1" xr:uid="{83DC6C21-1171-48EB-8219-875F4E11C110}">
  <cacheSource type="external" connectionId="12"/>
  <cacheFields count="2">
    <cacheField name="[Squads].[Experience].[Experience]" caption="Experience" numFmtId="0" hierarchy="127" level="1">
      <sharedItems count="5">
        <s v="Legend"/>
        <s v="Master"/>
        <s v="Newcomer"/>
        <s v="Novice"/>
        <s v="Regular"/>
      </sharedItems>
    </cacheField>
    <cacheField name="[Measures].[Count of Caps]" caption="Count of Caps" numFmtId="0" hierarchy="200" level="32767"/>
  </cacheFields>
  <cacheHierarchies count="209">
    <cacheHierarchy uniqueName="[All_Results].[Attendance]" caption="Attendance" attribute="1" defaultMemberUniqueName="[All_Results].[Attendance].[All]" allUniqueName="[All_Results].[Attendance].[All]" dimensionUniqueName="[All_Results]" displayFolder="" count="0" memberValueDatatype="130" unbalanced="0"/>
    <cacheHierarchy uniqueName="[All_Results].[Away]" caption="Away" attribute="1" defaultMemberUniqueName="[All_Results].[Away].[All]" allUniqueName="[All_Results].[Away].[All]" dimensionUniqueName="[All_Results]" displayFolder="" count="0" memberValueDatatype="130" unbalanced="0"/>
    <cacheHierarchy uniqueName="[All_Results].[Away Score]" caption="Away Score" attribute="1" defaultMemberUniqueName="[All_Results].[Away Score].[All]" allUniqueName="[All_Results].[Away Score].[All]" dimensionUniqueName="[All_Results]" displayFolder="" count="0" memberValueDatatype="130" unbalanced="0"/>
    <cacheHierarchy uniqueName="[All_Results].[Date]" caption="Date" attribute="1" defaultMemberUniqueName="[All_Results].[Date].[All]" allUniqueName="[All_Results].[Date].[All]" dimensionUniqueName="[All_Results]" displayFolder="" count="0" memberValueDatatype="130" unbalanced="0"/>
    <cacheHierarchy uniqueName="[All_Results].[Home]" caption="Home" attribute="1" defaultMemberUniqueName="[All_Results].[Home].[All]" allUniqueName="[All_Results].[Home].[All]" dimensionUniqueName="[All_Results]" displayFolder="" count="0" memberValueDatatype="130" unbalanced="0"/>
    <cacheHierarchy uniqueName="[All_Results].[Home Score]" caption="Home Score" attribute="1" defaultMemberUniqueName="[All_Results].[Home Score].[All]" allUniqueName="[All_Results].[Home Score].[All]" dimensionUniqueName="[All_Results]" displayFolder="" count="0" memberValueDatatype="130" unbalanced="0"/>
    <cacheHierarchy uniqueName="[All_Results].[Location]" caption="Location" attribute="1" defaultMemberUniqueName="[All_Results].[Location].[All]" allUniqueName="[All_Results].[Location].[All]" dimensionUniqueName="[All_Results]" displayFolder="" count="0" memberValueDatatype="130" unbalanced="0"/>
    <cacheHierarchy uniqueName="[All_Results].[Match Category]" caption="Match Category" attribute="1" defaultMemberUniqueName="[All_Results].[Match Category].[All]" allUniqueName="[All_Results].[Match Category].[All]" dimensionUniqueName="[All_Results]" displayFolder="" count="0" memberValueDatatype="130" unbalanced="0"/>
    <cacheHierarchy uniqueName="[All_Results].[Match No]" caption="Match No" attribute="1" defaultMemberUniqueName="[All_Results].[Match No].[All]" allUniqueName="[All_Results].[Match No].[All]" dimensionUniqueName="[All_Results]" displayFolder="" count="0" memberValueDatatype="130" unbalanced="0"/>
    <cacheHierarchy uniqueName="[All_Results].[Merged]" caption="Merged" attribute="1" defaultMemberUniqueName="[All_Results].[Merged].[All]" allUniqueName="[All_Results].[Merged].[All]" dimensionUniqueName="[All_Results]" displayFolder="" count="0" memberValueDatatype="130" unbalanced="0"/>
    <cacheHierarchy uniqueName="[All_Results].[Round]" caption="Round" attribute="1" defaultMemberUniqueName="[All_Results].[Round].[All]" allUniqueName="[All_Results].[Round].[All]" dimensionUniqueName="[All_Results]" displayFolder="" count="0" memberValueDatatype="130" unbalanced="0"/>
    <cacheHierarchy uniqueName="[All_Results].[Time]" caption="Time" attribute="1" defaultMemberUniqueName="[All_Results].[Time].[All]" allUniqueName="[All_Results].[Time].[All]" dimensionUniqueName="[All_Results]" displayFolder="" count="0" memberValueDatatype="130" unbalanced="0"/>
    <cacheHierarchy uniqueName="[All_Results].[Total Goals]" caption="Total Goals" attribute="1" defaultMemberUniqueName="[All_Results].[Total Goals].[All]" allUniqueName="[All_Results].[Total Goals].[All]" dimensionUniqueName="[All_Results]" displayFolder="" count="0" memberValueDatatype="130" unbalanced="0"/>
    <cacheHierarchy uniqueName="[Club_Leagues].[Club - League]" caption="Club - League" attribute="1" defaultMemberUniqueName="[Club_Leagues].[Club - League].[All]" allUniqueName="[Club_Leagues].[Club - League].[All]" dimensionUniqueName="[Club_Leagues]" displayFolder="" count="0" memberValueDatatype="130" unbalanced="0"/>
    <cacheHierarchy uniqueName="[Clubs].[Current Club]" caption="Current Club" attribute="1" defaultMemberUniqueName="[Clubs].[Current Club].[All]" allUniqueName="[Clubs].[Current Club].[All]" dimensionUniqueName="[Clubs]" displayFolder="" count="0" memberValueDatatype="130" unbalanced="0"/>
    <cacheHierarchy uniqueName="[Clubs].[Players Represented At World Cup]" caption="Players Represented At World Cup" attribute="1" defaultMemberUniqueName="[Clubs].[Players Represented At World Cup].[All]" allUniqueName="[Clubs].[Players Represented At World Cup].[All]" dimensionUniqueName="[Clubs]" displayFolder="" count="0" memberValueDatatype="20" unbalanced="0"/>
    <cacheHierarchy uniqueName="[Clubs 1].[Club - League]" caption="Club - League" attribute="1" defaultMemberUniqueName="[Clubs 1].[Club - League].[All]" allUniqueName="[Clubs 1].[Club - League].[All]" dimensionUniqueName="[Clubs 1]" displayFolder="" count="0" memberValueDatatype="130" unbalanced="0"/>
    <cacheHierarchy uniqueName="[Clubs 1].[ClubID]" caption="ClubID" attribute="1" defaultMemberUniqueName="[Clubs 1].[ClubID].[All]" allUniqueName="[Clubs 1].[ClubID].[All]" dimensionUniqueName="[Clubs 1]" displayFolder="" count="0" memberValueDatatype="130" unbalanced="0"/>
    <cacheHierarchy uniqueName="[Clubs 1].[Current Club]" caption="Current Club" attribute="1" defaultMemberUniqueName="[Clubs 1].[Current Club].[All]" allUniqueName="[Clubs 1].[Current Club].[All]" dimensionUniqueName="[Clubs 1]" displayFolder="" count="0" memberValueDatatype="130" unbalanced="0"/>
    <cacheHierarchy uniqueName="[Clubs 1].[Football Association]" caption="Football Association" attribute="1" defaultMemberUniqueName="[Clubs 1].[Football Association].[All]" allUniqueName="[Clubs 1].[Football Association].[All]" dimensionUniqueName="[Clubs 1]" displayFolder="" count="0" memberValueDatatype="130" unbalanced="0"/>
    <cacheHierarchy uniqueName="[Clubs 1].[FullData]" caption="FullData" attribute="1" defaultMemberUniqueName="[Clubs 1].[FullData].[All]" allUniqueName="[Clubs 1].[FullData].[All]" dimensionUniqueName="[Clubs 1]" displayFolder="" count="0" memberValueDatatype="130" unbalanced="0"/>
    <cacheHierarchy uniqueName="[FIFA_Region].[Area]" caption="Area" attribute="1" defaultMemberUniqueName="[FIFA_Region].[Area].[All]" allUniqueName="[FIFA_Region].[Area].[All]" dimensionUniqueName="[FIFA_Region]" displayFolder="" count="0" memberValueDatatype="130" unbalanced="0"/>
    <cacheHierarchy uniqueName="[FIFA_Region].[FIFA Region]" caption="FIFA Region" attribute="1" defaultMemberUniqueName="[FIFA_Region].[FIFA Region].[All]" allUniqueName="[FIFA_Region].[FIFA Region].[All]" dimensionUniqueName="[FIFA_Region]" displayFolder="" count="0" memberValueDatatype="130" unbalanced="0"/>
    <cacheHierarchy uniqueName="[Fixtures].[Attendance]" caption="Attendance" attribute="1" defaultMemberUniqueName="[Fixtures].[Attendance].[All]" allUniqueName="[Fixtures].[Attendance].[All]" dimensionUniqueName="[Fixtures]" displayFolder="" count="0" memberValueDatatype="20" unbalanced="0"/>
    <cacheHierarchy uniqueName="[Fixtures].[Away]" caption="Away" attribute="1" defaultMemberUniqueName="[Fixtures].[Away].[All]" allUniqueName="[Fixtures].[Away].[All]" dimensionUniqueName="[Fixtures]" displayFolder="" count="0" memberValueDatatype="130" unbalanced="0"/>
    <cacheHierarchy uniqueName="[Fixtures].[Away Draw Points]" caption="Away Draw Points" attribute="1" defaultMemberUniqueName="[Fixtures].[Away Draw Points].[All]" allUniqueName="[Fixtures].[Away Draw Points].[All]" dimensionUniqueName="[Fixtures]" displayFolder="" count="0" memberValueDatatype="20" unbalanced="0"/>
    <cacheHierarchy uniqueName="[Fixtures].[Away Games Played]" caption="Away Games Played" attribute="1" defaultMemberUniqueName="[Fixtures].[Away Games Played].[All]" allUniqueName="[Fixtures].[Away Games Played].[All]" dimensionUniqueName="[Fixtures]" displayFolder="" count="0" memberValueDatatype="20" unbalanced="0"/>
    <cacheHierarchy uniqueName="[Fixtures].[Away Points]" caption="Away Points" attribute="1" defaultMemberUniqueName="[Fixtures].[Away Points].[All]" allUniqueName="[Fixtures].[Away Points].[All]" dimensionUniqueName="[Fixtures]" displayFolder="" count="0" memberValueDatatype="20" unbalanced="0"/>
    <cacheHierarchy uniqueName="[Fixtures].[Away Score]" caption="Away Score" attribute="1" defaultMemberUniqueName="[Fixtures].[Away Score].[All]" allUniqueName="[Fixtures].[Away Score].[All]" dimensionUniqueName="[Fixtures]" displayFolder="" count="0" memberValueDatatype="20" unbalanced="0"/>
    <cacheHierarchy uniqueName="[Fixtures].[Date]" caption="Date" attribute="1" time="1" defaultMemberUniqueName="[Fixtures].[Date].[All]" allUniqueName="[Fixtures].[Date].[All]" dimensionUniqueName="[Fixtures]" displayFolder="" count="0" memberValueDatatype="7" unbalanced="0"/>
    <cacheHierarchy uniqueName="[Fixtures].[Forecast Result]" caption="Forecast Result" attribute="1" defaultMemberUniqueName="[Fixtures].[Forecast Result].[All]" allUniqueName="[Fixtures].[Forecast Result].[All]" dimensionUniqueName="[Fixtures]" displayFolder="" count="0" memberValueDatatype="130" unbalanced="0"/>
    <cacheHierarchy uniqueName="[Fixtures].[Home]" caption="Home" attribute="1" defaultMemberUniqueName="[Fixtures].[Home].[All]" allUniqueName="[Fixtures].[Home].[All]" dimensionUniqueName="[Fixtures]" displayFolder="" count="0" memberValueDatatype="130" unbalanced="0"/>
    <cacheHierarchy uniqueName="[Fixtures].[Home Draw Points]" caption="Home Draw Points" attribute="1" defaultMemberUniqueName="[Fixtures].[Home Draw Points].[All]" allUniqueName="[Fixtures].[Home Draw Points].[All]" dimensionUniqueName="[Fixtures]" displayFolder="" count="0" memberValueDatatype="20" unbalanced="0"/>
    <cacheHierarchy uniqueName="[Fixtures].[Home Games Played]" caption="Home Games Played" attribute="1" defaultMemberUniqueName="[Fixtures].[Home Games Played].[All]" allUniqueName="[Fixtures].[Home Games Played].[All]" dimensionUniqueName="[Fixtures]" displayFolder="" count="0" memberValueDatatype="20" unbalanced="0"/>
    <cacheHierarchy uniqueName="[Fixtures].[Home Points]" caption="Home Points" attribute="1" defaultMemberUniqueName="[Fixtures].[Home Points].[All]" allUniqueName="[Fixtures].[Home Points].[All]" dimensionUniqueName="[Fixtures]" displayFolder="" count="0" memberValueDatatype="20" unbalanced="0"/>
    <cacheHierarchy uniqueName="[Fixtures].[Home Score]" caption="Home Score" attribute="1" defaultMemberUniqueName="[Fixtures].[Home Score].[All]" allUniqueName="[Fixtures].[Home Score].[All]" dimensionUniqueName="[Fixtures]" displayFolder="" count="0" memberValueDatatype="20" unbalanced="0"/>
    <cacheHierarchy uniqueName="[Fixtures].[Knock Out Rounds Away]" caption="Knock Out Rounds Away" attribute="1" defaultMemberUniqueName="[Fixtures].[Knock Out Rounds Away].[All]" allUniqueName="[Fixtures].[Knock Out Rounds Away].[All]" dimensionUniqueName="[Fixtures]" displayFolder="" count="0" memberValueDatatype="130" unbalanced="0"/>
    <cacheHierarchy uniqueName="[Fixtures].[Knock Out Rounds Home]" caption="Knock Out Rounds Home" attribute="1" defaultMemberUniqueName="[Fixtures].[Knock Out Rounds Home].[All]" allUniqueName="[Fixtures].[Knock Out Rounds Home].[All]" dimensionUniqueName="[Fixtures]" displayFolder="" count="0" memberValueDatatype="130" unbalanced="0"/>
    <cacheHierarchy uniqueName="[Fixtures].[Knock Out Rounds Home2]" caption="Knock Out Rounds Home2" attribute="1" defaultMemberUniqueName="[Fixtures].[Knock Out Rounds Home2].[All]" allUniqueName="[Fixtures].[Knock Out Rounds Home2].[All]" dimensionUniqueName="[Fixtures]" displayFolder="" count="0" memberValueDatatype="130" unbalanced="0"/>
    <cacheHierarchy uniqueName="[Fixtures].[Knock Out Winner]" caption="Knock Out Winner" attribute="1" defaultMemberUniqueName="[Fixtures].[Knock Out Winner].[All]" allUniqueName="[Fixtures].[Knock Out Winner].[All]" dimensionUniqueName="[Fixtures]" displayFolder="" count="0" memberValueDatatype="130" unbalanced="0"/>
    <cacheHierarchy uniqueName="[Fixtures].[Location]" caption="Location" attribute="1" defaultMemberUniqueName="[Fixtures].[Location].[All]" allUniqueName="[Fixtures].[Location].[All]" dimensionUniqueName="[Fixtures]" displayFolder="" count="0" memberValueDatatype="130" unbalanced="0"/>
    <cacheHierarchy uniqueName="[Fixtures].[Match Category]" caption="Match Category" attribute="1" defaultMemberUniqueName="[Fixtures].[Match Category].[All]" allUniqueName="[Fixtures].[Match Category].[All]" dimensionUniqueName="[Fixtures]" displayFolder="" count="0" memberValueDatatype="130" unbalanced="0"/>
    <cacheHierarchy uniqueName="[Fixtures].[Match No]" caption="Match No" attribute="1" defaultMemberUniqueName="[Fixtures].[Match No].[All]" allUniqueName="[Fixtures].[Match No].[All]" dimensionUniqueName="[Fixtures]" displayFolder="" count="0" memberValueDatatype="20" unbalanced="0"/>
    <cacheHierarchy uniqueName="[Fixtures].[Outcome]" caption="Outcome" attribute="1" defaultMemberUniqueName="[Fixtures].[Outcome].[All]" allUniqueName="[Fixtures].[Outcome].[All]" dimensionUniqueName="[Fixtures]" displayFolder="" count="0" memberValueDatatype="130" unbalanced="0"/>
    <cacheHierarchy uniqueName="[Fixtures].[Result]" caption="Result" attribute="1" defaultMemberUniqueName="[Fixtures].[Result].[All]" allUniqueName="[Fixtures].[Result].[All]" dimensionUniqueName="[Fixtures]" displayFolder="" count="0" memberValueDatatype="130" unbalanced="0"/>
    <cacheHierarchy uniqueName="[Fixtures].[Round]" caption="Round" attribute="1" defaultMemberUniqueName="[Fixtures].[Round].[All]" allUniqueName="[Fixtures].[Round].[All]" dimensionUniqueName="[Fixtures]" displayFolder="" count="0" memberValueDatatype="130" unbalanced="0"/>
    <cacheHierarchy uniqueName="[Fixtures].[Time]" caption="Time" attribute="1" time="1" defaultMemberUniqueName="[Fixtures].[Time].[All]" allUniqueName="[Fixtures].[Time].[All]" dimensionUniqueName="[Fixtures]" displayFolder="" count="0" memberValueDatatype="7" unbalanced="0"/>
    <cacheHierarchy uniqueName="[Fixtures].[Total Goals]" caption="Total Goals" attribute="1" defaultMemberUniqueName="[Fixtures].[Total Goals].[All]" allUniqueName="[Fixtures].[Total Goals].[All]" dimensionUniqueName="[Fixtures]" displayFolder="" count="0" memberValueDatatype="20" unbalanced="0"/>
    <cacheHierarchy uniqueName="[Football_Associations].[FIFA Ranking]" caption="FIFA Ranking" attribute="1" defaultMemberUniqueName="[Football_Associations].[FIFA Ranking].[All]" allUniqueName="[Football_Associations].[FIFA Ranking].[All]" dimensionUniqueName="[Football_Associations]" displayFolder="" count="0" memberValueDatatype="20" unbalanced="0"/>
    <cacheHierarchy uniqueName="[Football_Associations].[Football Association]" caption="Football Association" attribute="1" defaultMemberUniqueName="[Football_Associations].[Football Association].[All]" allUniqueName="[Football_Associations].[Football Association].[All]" dimensionUniqueName="[Football_Associations]" displayFolder="" count="0" memberValueDatatype="130" unbalanced="0"/>
    <cacheHierarchy uniqueName="[Football_Associations].[Nation Code]" caption="Nation Code" attribute="1" defaultMemberUniqueName="[Football_Associations].[Nation Code].[All]" allUniqueName="[Football_Associations].[Nation Code].[All]" dimensionUniqueName="[Football_Associations]" displayFolder="" count="0" memberValueDatatype="130" unbalanced="0"/>
    <cacheHierarchy uniqueName="[Football_Associations].[World Cup 2022 Qualification Status]" caption="World Cup 2022 Qualification Status" attribute="1" defaultMemberUniqueName="[Football_Associations].[World Cup 2022 Qualification Status].[All]" allUniqueName="[Football_Associations].[World Cup 2022 Qualification Status].[All]" dimensionUniqueName="[Football_Associations]" displayFolder="" count="0" memberValueDatatype="130" unbalanced="0"/>
    <cacheHierarchy uniqueName="[Football_Associations].[World Cup Result]" caption="World Cup Result" attribute="1" defaultMemberUniqueName="[Football_Associations].[World Cup Result].[All]" allUniqueName="[Football_Associations].[World Cup Result].[All]" dimensionUniqueName="[Football_Associations]" displayFolder="" count="0" memberValueDatatype="130" unbalanced="0"/>
    <cacheHierarchy uniqueName="[Football_Associations 1].[FIFA Ranking]" caption="FIFA Ranking" attribute="1" defaultMemberUniqueName="[Football_Associations 1].[FIFA Ranking].[All]" allUniqueName="[Football_Associations 1].[FIFA Ranking].[All]" dimensionUniqueName="[Football_Associations 1]" displayFolder="" count="0" memberValueDatatype="20" unbalanced="0"/>
    <cacheHierarchy uniqueName="[Football_Associations 1].[FIFA Region]" caption="FIFA Region" attribute="1" defaultMemberUniqueName="[Football_Associations 1].[FIFA Region].[All]" allUniqueName="[Football_Associations 1].[FIFA Region].[All]" dimensionUniqueName="[Football_Associations 1]" displayFolder="" count="0" memberValueDatatype="130" unbalanced="0"/>
    <cacheHierarchy uniqueName="[Football_Associations 1].[Football Association]" caption="Football Association" attribute="1" defaultMemberUniqueName="[Football_Associations 1].[Football Association].[All]" allUniqueName="[Football_Associations 1].[Football Association].[All]" dimensionUniqueName="[Football_Associations 1]" displayFolder="" count="0" memberValueDatatype="130" unbalanced="0"/>
    <cacheHierarchy uniqueName="[Football_Associations 1].[Nation Code]" caption="Nation Code" attribute="1" defaultMemberUniqueName="[Football_Associations 1].[Nation Code].[All]" allUniqueName="[Football_Associations 1].[Nation Code].[All]" dimensionUniqueName="[Football_Associations 1]" displayFolder="" count="0" memberValueDatatype="130" unbalanced="0"/>
    <cacheHierarchy uniqueName="[Football_Associations 1].[World Cup 2022 Qualification Status]" caption="World Cup 2022 Qualification Status" attribute="1" defaultMemberUniqueName="[Football_Associations 1].[World Cup 2022 Qualification Status].[All]" allUniqueName="[Football_Associations 1].[World Cup 2022 Qualification Status].[All]" dimensionUniqueName="[Football_Associations 1]" displayFolder="" count="0" memberValueDatatype="130" unbalanced="0"/>
    <cacheHierarchy uniqueName="[Football_Associations 1].[World Cup Group]" caption="World Cup Group" attribute="1" defaultMemberUniqueName="[Football_Associations 1].[World Cup Group].[All]" allUniqueName="[Football_Associations 1].[World Cup Group].[All]" dimensionUniqueName="[Football_Associations 1]" displayFolder="" count="0" memberValueDatatype="130" unbalanced="0"/>
    <cacheHierarchy uniqueName="[Football_Associations 1].[World Cup Result]" caption="World Cup Result" attribute="1" defaultMemberUniqueName="[Football_Associations 1].[World Cup Result].[All]" allUniqueName="[Football_Associations 1].[World Cup Result].[All]" dimensionUniqueName="[Football_Associations 1]" displayFolder="" count="0" memberValueDatatype="130" unbalanced="0"/>
    <cacheHierarchy uniqueName="[Group Fixtures].[Attendance]" caption="Attendance" attribute="1" defaultMemberUniqueName="[Group Fixtures].[Attendance].[All]" allUniqueName="[Group Fixtures].[Attendance].[All]" dimensionUniqueName="[Group Fixtures]" displayFolder="" count="0" memberValueDatatype="5" unbalanced="0"/>
    <cacheHierarchy uniqueName="[Group Fixtures].[Away]" caption="Away" attribute="1" defaultMemberUniqueName="[Group Fixtures].[Away].[All]" allUniqueName="[Group Fixtures].[Away].[All]" dimensionUniqueName="[Group Fixtures]" displayFolder="" count="0" memberValueDatatype="130" unbalanced="0"/>
    <cacheHierarchy uniqueName="[Group Fixtures].[Away Draw Points]" caption="Away Draw Points" attribute="1" defaultMemberUniqueName="[Group Fixtures].[Away Draw Points].[All]" allUniqueName="[Group Fixtures].[Away Draw Points].[All]" dimensionUniqueName="[Group Fixtures]" displayFolder="" count="0" memberValueDatatype="20" unbalanced="0"/>
    <cacheHierarchy uniqueName="[Group Fixtures].[Away Games Played]" caption="Away Games Played" attribute="1" defaultMemberUniqueName="[Group Fixtures].[Away Games Played].[All]" allUniqueName="[Group Fixtures].[Away Games Played].[All]" dimensionUniqueName="[Group Fixtures]" displayFolder="" count="0" memberValueDatatype="20" unbalanced="0"/>
    <cacheHierarchy uniqueName="[Group Fixtures].[Away Points]" caption="Away Points" attribute="1" defaultMemberUniqueName="[Group Fixtures].[Away Points].[All]" allUniqueName="[Group Fixtures].[Away Points].[All]" dimensionUniqueName="[Group Fixtures]" displayFolder="" count="0" memberValueDatatype="20" unbalanced="0"/>
    <cacheHierarchy uniqueName="[Group Fixtures].[Away Score]" caption="Away Score" attribute="1" defaultMemberUniqueName="[Group Fixtures].[Away Score].[All]" allUniqueName="[Group Fixtures].[Away Score].[All]" dimensionUniqueName="[Group Fixtures]" displayFolder="" count="0" memberValueDatatype="20" unbalanced="0"/>
    <cacheHierarchy uniqueName="[Group Fixtures].[Date]" caption="Date" attribute="1" time="1" defaultMemberUniqueName="[Group Fixtures].[Date].[All]" allUniqueName="[Group Fixtures].[Date].[All]" dimensionUniqueName="[Group Fixtures]" displayFolder="" count="0" memberValueDatatype="7" unbalanced="0"/>
    <cacheHierarchy uniqueName="[Group Fixtures].[Date (Month)]" caption="Date (Month)" attribute="1" defaultMemberUniqueName="[Group Fixtures].[Date (Month)].[All]" allUniqueName="[Group Fixtures].[Date (Month)].[All]" dimensionUniqueName="[Group Fixtures]" displayFolder="" count="0" memberValueDatatype="130" unbalanced="0"/>
    <cacheHierarchy uniqueName="[Group Fixtures].[Forecast Result]" caption="Forecast Result" attribute="1" defaultMemberUniqueName="[Group Fixtures].[Forecast Result].[All]" allUniqueName="[Group Fixtures].[Forecast Result].[All]" dimensionUniqueName="[Group Fixtures]" displayFolder="" count="0" memberValueDatatype="130" unbalanced="0"/>
    <cacheHierarchy uniqueName="[Group Fixtures].[Home]" caption="Home" attribute="1" defaultMemberUniqueName="[Group Fixtures].[Home].[All]" allUniqueName="[Group Fixtures].[Home].[All]" dimensionUniqueName="[Group Fixtures]" displayFolder="" count="0" memberValueDatatype="130" unbalanced="0"/>
    <cacheHierarchy uniqueName="[Group Fixtures].[Home Draw Points]" caption="Home Draw Points" attribute="1" defaultMemberUniqueName="[Group Fixtures].[Home Draw Points].[All]" allUniqueName="[Group Fixtures].[Home Draw Points].[All]" dimensionUniqueName="[Group Fixtures]" displayFolder="" count="0" memberValueDatatype="20" unbalanced="0"/>
    <cacheHierarchy uniqueName="[Group Fixtures].[Home Games Played]" caption="Home Games Played" attribute="1" defaultMemberUniqueName="[Group Fixtures].[Home Games Played].[All]" allUniqueName="[Group Fixtures].[Home Games Played].[All]" dimensionUniqueName="[Group Fixtures]" displayFolder="" count="0" memberValueDatatype="20" unbalanced="0"/>
    <cacheHierarchy uniqueName="[Group Fixtures].[Home Points]" caption="Home Points" attribute="1" defaultMemberUniqueName="[Group Fixtures].[Home Points].[All]" allUniqueName="[Group Fixtures].[Home Points].[All]" dimensionUniqueName="[Group Fixtures]" displayFolder="" count="0" memberValueDatatype="20" unbalanced="0"/>
    <cacheHierarchy uniqueName="[Group Fixtures].[Home Score]" caption="Home Score" attribute="1" defaultMemberUniqueName="[Group Fixtures].[Home Score].[All]" allUniqueName="[Group Fixtures].[Home Score].[All]" dimensionUniqueName="[Group Fixtures]" displayFolder="" count="0" memberValueDatatype="20" unbalanced="0"/>
    <cacheHierarchy uniqueName="[Group Fixtures].[Knock Out Rounds Away]" caption="Knock Out Rounds Away" attribute="1" defaultMemberUniqueName="[Group Fixtures].[Knock Out Rounds Away].[All]" allUniqueName="[Group Fixtures].[Knock Out Rounds Away].[All]" dimensionUniqueName="[Group Fixtures]" displayFolder="" count="0" memberValueDatatype="130" unbalanced="0"/>
    <cacheHierarchy uniqueName="[Group Fixtures].[Knock Out Rounds Home]" caption="Knock Out Rounds Home" attribute="1" defaultMemberUniqueName="[Group Fixtures].[Knock Out Rounds Home].[All]" allUniqueName="[Group Fixtures].[Knock Out Rounds Home].[All]" dimensionUniqueName="[Group Fixtures]" displayFolder="" count="0" memberValueDatatype="130" unbalanced="0"/>
    <cacheHierarchy uniqueName="[Group Fixtures].[Knock Out Rounds Home2]" caption="Knock Out Rounds Home2" attribute="1" defaultMemberUniqueName="[Group Fixtures].[Knock Out Rounds Home2].[All]" allUniqueName="[Group Fixtures].[Knock Out Rounds Home2].[All]" dimensionUniqueName="[Group Fixtures]" displayFolder="" count="0" memberValueDatatype="130" unbalanced="0"/>
    <cacheHierarchy uniqueName="[Group Fixtures].[Knock Out Winner]" caption="Knock Out Winner" attribute="1" defaultMemberUniqueName="[Group Fixtures].[Knock Out Winner].[All]" allUniqueName="[Group Fixtures].[Knock Out Winner].[All]" dimensionUniqueName="[Group Fixtures]" displayFolder="" count="0" memberValueDatatype="130" unbalanced="0"/>
    <cacheHierarchy uniqueName="[Group Fixtures].[Location]" caption="Location" attribute="1" defaultMemberUniqueName="[Group Fixtures].[Location].[All]" allUniqueName="[Group Fixtures].[Location].[All]" dimensionUniqueName="[Group Fixtures]" displayFolder="" count="0" memberValueDatatype="130" unbalanced="0"/>
    <cacheHierarchy uniqueName="[Group Fixtures].[Match Category]" caption="Match Category" attribute="1" defaultMemberUniqueName="[Group Fixtures].[Match Category].[All]" allUniqueName="[Group Fixtures].[Match Category].[All]" dimensionUniqueName="[Group Fixtures]" displayFolder="" count="0" memberValueDatatype="130" unbalanced="0"/>
    <cacheHierarchy uniqueName="[Group Fixtures].[Match No]" caption="Match No" attribute="1" defaultMemberUniqueName="[Group Fixtures].[Match No].[All]" allUniqueName="[Group Fixtures].[Match No].[All]" dimensionUniqueName="[Group Fixtures]" displayFolder="" count="0" memberValueDatatype="20" unbalanced="0"/>
    <cacheHierarchy uniqueName="[Group Fixtures].[Outcome]" caption="Outcome" attribute="1" defaultMemberUniqueName="[Group Fixtures].[Outcome].[All]" allUniqueName="[Group Fixtures].[Outcome].[All]" dimensionUniqueName="[Group Fixtures]" displayFolder="" count="0" memberValueDatatype="130" unbalanced="0"/>
    <cacheHierarchy uniqueName="[Group Fixtures].[Result]" caption="Result" attribute="1" defaultMemberUniqueName="[Group Fixtures].[Result].[All]" allUniqueName="[Group Fixtures].[Result].[All]" dimensionUniqueName="[Group Fixtures]" displayFolder="" count="0" memberValueDatatype="130" unbalanced="0"/>
    <cacheHierarchy uniqueName="[Group Fixtures].[Round]" caption="Round" attribute="1" defaultMemberUniqueName="[Group Fixtures].[Round].[All]" allUniqueName="[Group Fixtures].[Round].[All]" dimensionUniqueName="[Group Fixtures]" displayFolder="" count="0" memberValueDatatype="130" unbalanced="0"/>
    <cacheHierarchy uniqueName="[Group Fixtures].[Total Goals]" caption="Total Goals" attribute="1" defaultMemberUniqueName="[Group Fixtures].[Total Goals].[All]" allUniqueName="[Group Fixtures].[Total Goals].[All]" dimensionUniqueName="[Group Fixtures]" displayFolder="" count="0" memberValueDatatype="20" unbalanced="0"/>
    <cacheHierarchy uniqueName="[Knock_Out].[Attendance]" caption="Attendance" attribute="1" defaultMemberUniqueName="[Knock_Out].[Attendance].[All]" allUniqueName="[Knock_Out].[Attendance].[All]" dimensionUniqueName="[Knock_Out]" displayFolder="" count="0" memberValueDatatype="20" unbalanced="0"/>
    <cacheHierarchy uniqueName="[Knock_Out].[Away]" caption="Away" attribute="1" defaultMemberUniqueName="[Knock_Out].[Away].[All]" allUniqueName="[Knock_Out].[Away].[All]" dimensionUniqueName="[Knock_Out]" displayFolder="" count="0" memberValueDatatype="130" unbalanced="0"/>
    <cacheHierarchy uniqueName="[Knock_Out].[Away Score]" caption="Away Score" attribute="1" defaultMemberUniqueName="[Knock_Out].[Away Score].[All]" allUniqueName="[Knock_Out].[Away Score].[All]" dimensionUniqueName="[Knock_Out]" displayFolder="" count="0" memberValueDatatype="20" unbalanced="0"/>
    <cacheHierarchy uniqueName="[Knock_Out].[Date]" caption="Date" attribute="1" time="1" defaultMemberUniqueName="[Knock_Out].[Date].[All]" allUniqueName="[Knock_Out].[Date].[All]" dimensionUniqueName="[Knock_Out]" displayFolder="" count="0" memberValueDatatype="7" unbalanced="0"/>
    <cacheHierarchy uniqueName="[Knock_Out].[Home]" caption="Home" attribute="1" defaultMemberUniqueName="[Knock_Out].[Home].[All]" allUniqueName="[Knock_Out].[Home].[All]" dimensionUniqueName="[Knock_Out]" displayFolder="" count="0" memberValueDatatype="130" unbalanced="0"/>
    <cacheHierarchy uniqueName="[Knock_Out].[Home Score]" caption="Home Score" attribute="1" defaultMemberUniqueName="[Knock_Out].[Home Score].[All]" allUniqueName="[Knock_Out].[Home Score].[All]" dimensionUniqueName="[Knock_Out]" displayFolder="" count="0" memberValueDatatype="20" unbalanced="0"/>
    <cacheHierarchy uniqueName="[Knock_Out].[Knock Out Rounds Away]" caption="Knock Out Rounds Away" attribute="1" defaultMemberUniqueName="[Knock_Out].[Knock Out Rounds Away].[All]" allUniqueName="[Knock_Out].[Knock Out Rounds Away].[All]" dimensionUniqueName="[Knock_Out]" displayFolder="" count="0" memberValueDatatype="130" unbalanced="0"/>
    <cacheHierarchy uniqueName="[Knock_Out].[Knock Out Rounds Home]" caption="Knock Out Rounds Home" attribute="1" defaultMemberUniqueName="[Knock_Out].[Knock Out Rounds Home].[All]" allUniqueName="[Knock_Out].[Knock Out Rounds Home].[All]" dimensionUniqueName="[Knock_Out]" displayFolder="" count="0" memberValueDatatype="130" unbalanced="0"/>
    <cacheHierarchy uniqueName="[Knock_Out].[Knock Out Winner]" caption="Knock Out Winner" attribute="1" defaultMemberUniqueName="[Knock_Out].[Knock Out Winner].[All]" allUniqueName="[Knock_Out].[Knock Out Winner].[All]" dimensionUniqueName="[Knock_Out]" displayFolder="" count="0" memberValueDatatype="130" unbalanced="0"/>
    <cacheHierarchy uniqueName="[Knock_Out].[Location]" caption="Location" attribute="1" defaultMemberUniqueName="[Knock_Out].[Location].[All]" allUniqueName="[Knock_Out].[Location].[All]" dimensionUniqueName="[Knock_Out]" displayFolder="" count="0" memberValueDatatype="130" unbalanced="0"/>
    <cacheHierarchy uniqueName="[Knock_Out].[Match Category]" caption="Match Category" attribute="1" defaultMemberUniqueName="[Knock_Out].[Match Category].[All]" allUniqueName="[Knock_Out].[Match Category].[All]" dimensionUniqueName="[Knock_Out]" displayFolder="" count="0" memberValueDatatype="130" unbalanced="0"/>
    <cacheHierarchy uniqueName="[Knock_Out].[Match No]" caption="Match No" attribute="1" defaultMemberUniqueName="[Knock_Out].[Match No].[All]" allUniqueName="[Knock_Out].[Match No].[All]" dimensionUniqueName="[Knock_Out]" displayFolder="" count="0" memberValueDatatype="20" unbalanced="0"/>
    <cacheHierarchy uniqueName="[Knock_Out].[Outcome]" caption="Outcome" attribute="1" defaultMemberUniqueName="[Knock_Out].[Outcome].[All]" allUniqueName="[Knock_Out].[Outcome].[All]" dimensionUniqueName="[Knock_Out]" displayFolder="" count="0" memberValueDatatype="130" unbalanced="0"/>
    <cacheHierarchy uniqueName="[Knock_Out].[Round]" caption="Round" attribute="1" defaultMemberUniqueName="[Knock_Out].[Round].[All]" allUniqueName="[Knock_Out].[Round].[All]" dimensionUniqueName="[Knock_Out]" displayFolder="" count="0" memberValueDatatype="130" unbalanced="0"/>
    <cacheHierarchy uniqueName="[Knock_Out].[Time]" caption="Time" attribute="1" time="1" defaultMemberUniqueName="[Knock_Out].[Time].[All]" allUniqueName="[Knock_Out].[Time].[All]" dimensionUniqueName="[Knock_Out]" displayFolder="" count="0" memberValueDatatype="7" unbalanced="0"/>
    <cacheHierarchy uniqueName="[Knock_Out_Fixtures].[Attendance]" caption="Attendance" attribute="1" defaultMemberUniqueName="[Knock_Out_Fixtures].[Attendance].[All]" allUniqueName="[Knock_Out_Fixtures].[Attendance].[All]" dimensionUniqueName="[Knock_Out_Fixtures]" displayFolder="" count="0" memberValueDatatype="5" unbalanced="0"/>
    <cacheHierarchy uniqueName="[Knock_Out_Fixtures].[Away]" caption="Away" attribute="1" defaultMemberUniqueName="[Knock_Out_Fixtures].[Away].[All]" allUniqueName="[Knock_Out_Fixtures].[Away].[All]" dimensionUniqueName="[Knock_Out_Fixtures]" displayFolder="" count="0" memberValueDatatype="130" unbalanced="0"/>
    <cacheHierarchy uniqueName="[Knock_Out_Fixtures].[Away Score]" caption="Away Score" attribute="1" defaultMemberUniqueName="[Knock_Out_Fixtures].[Away Score].[All]" allUniqueName="[Knock_Out_Fixtures].[Away Score].[All]" dimensionUniqueName="[Knock_Out_Fixtures]" displayFolder="" count="0" memberValueDatatype="20" unbalanced="0"/>
    <cacheHierarchy uniqueName="[Knock_Out_Fixtures].[Date]" caption="Date" attribute="1" time="1" defaultMemberUniqueName="[Knock_Out_Fixtures].[Date].[All]" allUniqueName="[Knock_Out_Fixtures].[Date].[All]" dimensionUniqueName="[Knock_Out_Fixtures]" displayFolder="" count="0" memberValueDatatype="7" unbalanced="0"/>
    <cacheHierarchy uniqueName="[Knock_Out_Fixtures].[Home]" caption="Home" attribute="1" defaultMemberUniqueName="[Knock_Out_Fixtures].[Home].[All]" allUniqueName="[Knock_Out_Fixtures].[Home].[All]" dimensionUniqueName="[Knock_Out_Fixtures]" displayFolder="" count="0" memberValueDatatype="130" unbalanced="0"/>
    <cacheHierarchy uniqueName="[Knock_Out_Fixtures].[Home Score]" caption="Home Score" attribute="1" defaultMemberUniqueName="[Knock_Out_Fixtures].[Home Score].[All]" allUniqueName="[Knock_Out_Fixtures].[Home Score].[All]" dimensionUniqueName="[Knock_Out_Fixtures]" displayFolder="" count="0" memberValueDatatype="20" unbalanced="0"/>
    <cacheHierarchy uniqueName="[Knock_Out_Fixtures].[Knock Out Rounds Away]" caption="Knock Out Rounds Away" attribute="1" defaultMemberUniqueName="[Knock_Out_Fixtures].[Knock Out Rounds Away].[All]" allUniqueName="[Knock_Out_Fixtures].[Knock Out Rounds Away].[All]" dimensionUniqueName="[Knock_Out_Fixtures]" displayFolder="" count="0" memberValueDatatype="130" unbalanced="0"/>
    <cacheHierarchy uniqueName="[Knock_Out_Fixtures].[Knock Out Rounds Home]" caption="Knock Out Rounds Home" attribute="1" defaultMemberUniqueName="[Knock_Out_Fixtures].[Knock Out Rounds Home].[All]" allUniqueName="[Knock_Out_Fixtures].[Knock Out Rounds Home].[All]" dimensionUniqueName="[Knock_Out_Fixtures]" displayFolder="" count="0" memberValueDatatype="130" unbalanced="0"/>
    <cacheHierarchy uniqueName="[Knock_Out_Fixtures].[Knock Out Winner]" caption="Knock Out Winner" attribute="1" defaultMemberUniqueName="[Knock_Out_Fixtures].[Knock Out Winner].[All]" allUniqueName="[Knock_Out_Fixtures].[Knock Out Winner].[All]" dimensionUniqueName="[Knock_Out_Fixtures]" displayFolder="" count="0" memberValueDatatype="130" unbalanced="0"/>
    <cacheHierarchy uniqueName="[Knock_Out_Fixtures].[Location]" caption="Location" attribute="1" defaultMemberUniqueName="[Knock_Out_Fixtures].[Location].[All]" allUniqueName="[Knock_Out_Fixtures].[Location].[All]" dimensionUniqueName="[Knock_Out_Fixtures]" displayFolder="" count="0" memberValueDatatype="130" unbalanced="0"/>
    <cacheHierarchy uniqueName="[Knock_Out_Fixtures].[Match Category]" caption="Match Category" attribute="1" defaultMemberUniqueName="[Knock_Out_Fixtures].[Match Category].[All]" allUniqueName="[Knock_Out_Fixtures].[Match Category].[All]" dimensionUniqueName="[Knock_Out_Fixtures]" displayFolder="" count="0" memberValueDatatype="130" unbalanced="0"/>
    <cacheHierarchy uniqueName="[Knock_Out_Fixtures].[Match No]" caption="Match No" attribute="1" defaultMemberUniqueName="[Knock_Out_Fixtures].[Match No].[All]" allUniqueName="[Knock_Out_Fixtures].[Match No].[All]" dimensionUniqueName="[Knock_Out_Fixtures]" displayFolder="" count="0" memberValueDatatype="20" unbalanced="0"/>
    <cacheHierarchy uniqueName="[Knock_Out_Fixtures].[Outcome]" caption="Outcome" attribute="1" defaultMemberUniqueName="[Knock_Out_Fixtures].[Outcome].[All]" allUniqueName="[Knock_Out_Fixtures].[Outcome].[All]" dimensionUniqueName="[Knock_Out_Fixtures]" displayFolder="" count="0" memberValueDatatype="130" unbalanced="0"/>
    <cacheHierarchy uniqueName="[Knock_Out_Fixtures].[Round]" caption="Round" attribute="1" defaultMemberUniqueName="[Knock_Out_Fixtures].[Round].[All]" allUniqueName="[Knock_Out_Fixtures].[Round].[All]" dimensionUniqueName="[Knock_Out_Fixtures]" displayFolder="" count="0" memberValueDatatype="130" unbalanced="0"/>
    <cacheHierarchy uniqueName="[Leagues_Of_FA].[Club - League]" caption="Club - League" attribute="1" defaultMemberUniqueName="[Leagues_Of_FA].[Club - League].[All]" allUniqueName="[Leagues_Of_FA].[Club - League].[All]" dimensionUniqueName="[Leagues_Of_FA]" displayFolder="" count="0" memberValueDatatype="130" unbalanced="0"/>
    <cacheHierarchy uniqueName="[Leagues_Of_FA].[Football Association]" caption="Football Association" attribute="1" defaultMemberUniqueName="[Leagues_Of_FA].[Football Association].[All]" allUniqueName="[Leagues_Of_FA].[Football Association].[All]" dimensionUniqueName="[Leagues_Of_FA]" displayFolder="" count="0" memberValueDatatype="130" unbalanced="0"/>
    <cacheHierarchy uniqueName="[Match_Record].[Action]" caption="Action" attribute="1" defaultMemberUniqueName="[Match_Record].[Action].[All]" allUniqueName="[Match_Record].[Action].[All]" dimensionUniqueName="[Match_Record]" displayFolder="" count="0" memberValueDatatype="130" unbalanced="0"/>
    <cacheHierarchy uniqueName="[Match_Record].[Away]" caption="Away" attribute="1" defaultMemberUniqueName="[Match_Record].[Away].[All]" allUniqueName="[Match_Record].[Away].[All]" dimensionUniqueName="[Match_Record]" displayFolder="" count="0" memberValueDatatype="130" unbalanced="0"/>
    <cacheHierarchy uniqueName="[Match_Record].[Date]" caption="Date" attribute="1" time="1" defaultMemberUniqueName="[Match_Record].[Date].[All]" allUniqueName="[Match_Record].[Date].[All]" dimensionUniqueName="[Match_Record]" displayFolder="" count="0" memberValueDatatype="7" unbalanced="0"/>
    <cacheHierarchy uniqueName="[Match_Record].[Home]" caption="Home" attribute="1" defaultMemberUniqueName="[Match_Record].[Home].[All]" allUniqueName="[Match_Record].[Home].[All]" dimensionUniqueName="[Match_Record]" displayFolder="" count="0" memberValueDatatype="130" unbalanced="0"/>
    <cacheHierarchy uniqueName="[Match_Record].[Minutes of Action]" caption="Minutes of Action" attribute="1" defaultMemberUniqueName="[Match_Record].[Minutes of Action].[All]" allUniqueName="[Match_Record].[Minutes of Action].[All]" dimensionUniqueName="[Match_Record]" displayFolder="" count="0" memberValueDatatype="20" unbalanced="0"/>
    <cacheHierarchy uniqueName="[Match_Record].[Player Name]" caption="Player Name" attribute="1" defaultMemberUniqueName="[Match_Record].[Player Name].[All]" allUniqueName="[Match_Record].[Player Name].[All]" dimensionUniqueName="[Match_Record]" displayFolder="" count="0" memberValueDatatype="130" unbalanced="0"/>
    <cacheHierarchy uniqueName="[Match_Record].[Team]" caption="Team" attribute="1" defaultMemberUniqueName="[Match_Record].[Team].[All]" allUniqueName="[Match_Record].[Team].[All]" dimensionUniqueName="[Match_Record]" displayFolder="" count="0" memberValueDatatype="130" unbalanced="0"/>
    <cacheHierarchy uniqueName="[Squads].[Age]" caption="Age" attribute="1" defaultMemberUniqueName="[Squads].[Age].[All]" allUniqueName="[Squads].[Age].[All]" dimensionUniqueName="[Squads]" displayFolder="" count="0" memberValueDatatype="20" unbalanced="0"/>
    <cacheHierarchy uniqueName="[Squads].[Age Range]" caption="Age Range" attribute="1" defaultMemberUniqueName="[Squads].[Age Range].[All]" allUniqueName="[Squads].[Age Range].[All]" dimensionUniqueName="[Squads]" displayFolder="" count="0" memberValueDatatype="130" unbalanced="0"/>
    <cacheHierarchy uniqueName="[Squads].[Caps]" caption="Caps" attribute="1" defaultMemberUniqueName="[Squads].[Caps].[All]" allUniqueName="[Squads].[Caps].[All]" dimensionUniqueName="[Squads]" displayFolder="" count="0" memberValueDatatype="20" unbalanced="0"/>
    <cacheHierarchy uniqueName="[Squads].[Date Of Birth]" caption="Date Of Birth" attribute="1" time="1" defaultMemberUniqueName="[Squads].[Date Of Birth].[All]" allUniqueName="[Squads].[Date Of Birth].[All]" dimensionUniqueName="[Squads]" displayFolder="" count="0" memberValueDatatype="7" unbalanced="0"/>
    <cacheHierarchy uniqueName="[Squads].[Experience]" caption="Experience" attribute="1" defaultMemberUniqueName="[Squads].[Experience].[All]" allUniqueName="[Squads].[Experience].[All]" dimensionUniqueName="[Squads]" displayFolder="" count="2" memberValueDatatype="130" unbalanced="0">
      <fieldsUsage count="2">
        <fieldUsage x="-1"/>
        <fieldUsage x="0"/>
      </fieldsUsage>
    </cacheHierarchy>
    <cacheHierarchy uniqueName="[Squads].[FA]" caption="FA" attribute="1" defaultMemberUniqueName="[Squads].[FA].[All]" allUniqueName="[Squads].[FA].[All]" dimensionUniqueName="[Squads]" displayFolder="" count="0" memberValueDatatype="130" unbalanced="0"/>
    <cacheHierarchy uniqueName="[Squads].[International Goals]" caption="International Goals" attribute="1" defaultMemberUniqueName="[Squads].[International Goals].[All]" allUniqueName="[Squads].[International Goals].[All]" dimensionUniqueName="[Squads]" displayFolder="" count="0" memberValueDatatype="20" unbalanced="0"/>
    <cacheHierarchy uniqueName="[Squads].[Last Four]" caption="Last Four" attribute="1" defaultMemberUniqueName="[Squads].[Last Four].[All]" allUniqueName="[Squads].[Last Four].[All]" dimensionUniqueName="[Squads]" displayFolder="" count="0" memberValueDatatype="20" unbalanced="0"/>
    <cacheHierarchy uniqueName="[Squads].[Player Name]" caption="Player Name" attribute="1" defaultMemberUniqueName="[Squads].[Player Name].[All]" allUniqueName="[Squads].[Player Name].[All]" dimensionUniqueName="[Squads]" displayFolder="" count="0" memberValueDatatype="130" unbalanced="0"/>
    <cacheHierarchy uniqueName="[Squads].[Player No]" caption="Player No" attribute="1" defaultMemberUniqueName="[Squads].[Player No].[All]" allUniqueName="[Squads].[Player No].[All]" dimensionUniqueName="[Squads]" displayFolder="" count="0" memberValueDatatype="20" unbalanced="0"/>
    <cacheHierarchy uniqueName="[Squads].[Position]" caption="Position" attribute="1" defaultMemberUniqueName="[Squads].[Position].[All]" allUniqueName="[Squads].[Position].[All]" dimensionUniqueName="[Squads]" displayFolder="" count="0" memberValueDatatype="130" unbalanced="0"/>
    <cacheHierarchy uniqueName="[Squads].[Squad No]" caption="Squad No" attribute="1" defaultMemberUniqueName="[Squads].[Squad No].[All]" allUniqueName="[Squads].[Squad No].[All]" dimensionUniqueName="[Squads]" displayFolder="" count="0" memberValueDatatype="20" unbalanced="0"/>
    <cacheHierarchy uniqueName="[Squads].[World Cup Result]" caption="World Cup Result" attribute="1" defaultMemberUniqueName="[Squads].[World Cup Result].[All]" allUniqueName="[Squads].[World Cup Result].[All]" dimensionUniqueName="[Squads]" displayFolder="" count="0" memberValueDatatype="130" unbalanced="0"/>
    <cacheHierarchy uniqueName="[Squads 1].[Age]" caption="Age" attribute="1" defaultMemberUniqueName="[Squads 1].[Age].[All]" allUniqueName="[Squads 1].[Age].[All]" dimensionUniqueName="[Squads 1]" displayFolder="" count="0" memberValueDatatype="130" unbalanced="0"/>
    <cacheHierarchy uniqueName="[Squads 1].[Caps]" caption="Caps" attribute="1" defaultMemberUniqueName="[Squads 1].[Caps].[All]" allUniqueName="[Squads 1].[Caps].[All]" dimensionUniqueName="[Squads 1]" displayFolder="" count="0" memberValueDatatype="130" unbalanced="0"/>
    <cacheHierarchy uniqueName="[Squads 1].[ClubID]" caption="ClubID" attribute="1" defaultMemberUniqueName="[Squads 1].[ClubID].[All]" allUniqueName="[Squads 1].[ClubID].[All]" dimensionUniqueName="[Squads 1]" displayFolder="" count="0" memberValueDatatype="130" unbalanced="0"/>
    <cacheHierarchy uniqueName="[Squads 1].[Clubs.Club - League]" caption="Clubs.Club - League" attribute="1" defaultMemberUniqueName="[Squads 1].[Clubs.Club - League].[All]" allUniqueName="[Squads 1].[Clubs.Club - League].[All]" dimensionUniqueName="[Squads 1]" displayFolder="" count="0" memberValueDatatype="130" unbalanced="0"/>
    <cacheHierarchy uniqueName="[Squads 1].[Clubs.Football Association]" caption="Clubs.Football Association" attribute="1" defaultMemberUniqueName="[Squads 1].[Clubs.Football Association].[All]" allUniqueName="[Squads 1].[Clubs.Football Association].[All]" dimensionUniqueName="[Squads 1]" displayFolder="" count="0" memberValueDatatype="130" unbalanced="0"/>
    <cacheHierarchy uniqueName="[Squads 1].[Current Club]" caption="Current Club" attribute="1" defaultMemberUniqueName="[Squads 1].[Current Club].[All]" allUniqueName="[Squads 1].[Current Club].[All]" dimensionUniqueName="[Squads 1]" displayFolder="" count="0" memberValueDatatype="130" unbalanced="0"/>
    <cacheHierarchy uniqueName="[Squads 1].[Date Of Birth]" caption="Date Of Birth" attribute="1" time="1" defaultMemberUniqueName="[Squads 1].[Date Of Birth].[All]" allUniqueName="[Squads 1].[Date Of Birth].[All]" dimensionUniqueName="[Squads 1]" displayFolder="" count="0" memberValueDatatype="7" unbalanced="0"/>
    <cacheHierarchy uniqueName="[Squads 1].[FA]" caption="FA" attribute="1" defaultMemberUniqueName="[Squads 1].[FA].[All]" allUniqueName="[Squads 1].[FA].[All]" dimensionUniqueName="[Squads 1]" displayFolder="" count="0" memberValueDatatype="130" unbalanced="0"/>
    <cacheHierarchy uniqueName="[Squads 1].[FullFA]" caption="FullFA" attribute="1" defaultMemberUniqueName="[Squads 1].[FullFA].[All]" allUniqueName="[Squads 1].[FullFA].[All]" dimensionUniqueName="[Squads 1]" displayFolder="" count="0" memberValueDatatype="130" unbalanced="0"/>
    <cacheHierarchy uniqueName="[Squads 1].[FullPlayerData]" caption="FullPlayerData" attribute="1" defaultMemberUniqueName="[Squads 1].[FullPlayerData].[All]" allUniqueName="[Squads 1].[FullPlayerData].[All]" dimensionUniqueName="[Squads 1]" displayFolder="" count="0" memberValueDatatype="130" unbalanced="0"/>
    <cacheHierarchy uniqueName="[Squads 1].[International Goals]" caption="International Goals" attribute="1" defaultMemberUniqueName="[Squads 1].[International Goals].[All]" allUniqueName="[Squads 1].[International Goals].[All]" dimensionUniqueName="[Squads 1]" displayFolder="" count="0" memberValueDatatype="130" unbalanced="0"/>
    <cacheHierarchy uniqueName="[Squads 1].[Last Four]" caption="Last Four" attribute="1" defaultMemberUniqueName="[Squads 1].[Last Four].[All]" allUniqueName="[Squads 1].[Last Four].[All]" dimensionUniqueName="[Squads 1]" displayFolder="" count="0" memberValueDatatype="130" unbalanced="0"/>
    <cacheHierarchy uniqueName="[Squads 1].[Nation Code]" caption="Nation Code" attribute="1" defaultMemberUniqueName="[Squads 1].[Nation Code].[All]" allUniqueName="[Squads 1].[Nation Code].[All]" dimensionUniqueName="[Squads 1]" displayFolder="" count="0" memberValueDatatype="130" unbalanced="0"/>
    <cacheHierarchy uniqueName="[Squads 1].[Player Name]" caption="Player Name" attribute="1" defaultMemberUniqueName="[Squads 1].[Player Name].[All]" allUniqueName="[Squads 1].[Player Name].[All]" dimensionUniqueName="[Squads 1]" displayFolder="" count="0" memberValueDatatype="130" unbalanced="0"/>
    <cacheHierarchy uniqueName="[Squads 1].[Player No]" caption="Player No" attribute="1" defaultMemberUniqueName="[Squads 1].[Player No].[All]" allUniqueName="[Squads 1].[Player No].[All]" dimensionUniqueName="[Squads 1]" displayFolder="" count="0" memberValueDatatype="130" unbalanced="0"/>
    <cacheHierarchy uniqueName="[Squads 1].[Position]" caption="Position" attribute="1" defaultMemberUniqueName="[Squads 1].[Position].[All]" allUniqueName="[Squads 1].[Position].[All]" dimensionUniqueName="[Squads 1]" displayFolder="" count="0" memberValueDatatype="130" unbalanced="0"/>
    <cacheHierarchy uniqueName="[Squads 1].[Squad No]" caption="Squad No" attribute="1" defaultMemberUniqueName="[Squads 1].[Squad No].[All]" allUniqueName="[Squads 1].[Squad No].[All]" dimensionUniqueName="[Squads 1]" displayFolder="" count="0" memberValueDatatype="130" unbalanced="0"/>
    <cacheHierarchy uniqueName="[Squads 1].[World Cup Result]" caption="World Cup Result" attribute="1" defaultMemberUniqueName="[Squads 1].[World Cup Result].[All]" allUniqueName="[Squads 1].[World Cup Result].[All]" dimensionUniqueName="[Squads 1]" displayFolder="" count="0" memberValueDatatype="130" unbalanced="0"/>
    <cacheHierarchy uniqueName="[Stadiums].[Capacity]" caption="Capacity" attribute="1" defaultMemberUniqueName="[Stadiums].[Capacity].[All]" allUniqueName="[Stadiums].[Capacity].[All]" dimensionUniqueName="[Stadiums]" displayFolder="" count="0" memberValueDatatype="20" unbalanced="0"/>
    <cacheHierarchy uniqueName="[Stadiums].[Location]" caption="Location" attribute="1" defaultMemberUniqueName="[Stadiums].[Location].[All]" allUniqueName="[Stadiums].[Location].[All]" dimensionUniqueName="[Stadiums]" displayFolder="" count="0" memberValueDatatype="130" unbalanced="0"/>
    <cacheHierarchy uniqueName="[Stadiums].[Name]" caption="Name" attribute="1" defaultMemberUniqueName="[Stadiums].[Name].[All]" allUniqueName="[Stadiums].[Name].[All]" dimensionUniqueName="[Stadiums]" displayFolder="" count="0" memberValueDatatype="130" unbalanced="0"/>
    <cacheHierarchy uniqueName="[Stadiums].[Stadium_No]" caption="Stadium_No" attribute="1" defaultMemberUniqueName="[Stadiums].[Stadium_No].[All]" allUniqueName="[Stadiums].[Stadium_No].[All]" dimensionUniqueName="[Stadiums]" displayFolder="" count="0" memberValueDatatype="130" unbalanced="0"/>
    <cacheHierarchy uniqueName="[Stadiums 1].[Capacity]" caption="Capacity" attribute="1" defaultMemberUniqueName="[Stadiums 1].[Capacity].[All]" allUniqueName="[Stadiums 1].[Capacity].[All]" dimensionUniqueName="[Stadiums 1]" displayFolder="" count="0" memberValueDatatype="20" unbalanced="0"/>
    <cacheHierarchy uniqueName="[Stadiums 1].[Location]" caption="Location" attribute="1" defaultMemberUniqueName="[Stadiums 1].[Location].[All]" allUniqueName="[Stadiums 1].[Location].[All]" dimensionUniqueName="[Stadiums 1]" displayFolder="" count="0" memberValueDatatype="130" unbalanced="0"/>
    <cacheHierarchy uniqueName="[Stadiums 1].[Name]" caption="Name" attribute="1" defaultMemberUniqueName="[Stadiums 1].[Name].[All]" allUniqueName="[Stadiums 1].[Name].[All]" dimensionUniqueName="[Stadiums 1]" displayFolder="" count="0" memberValueDatatype="130" unbalanced="0"/>
    <cacheHierarchy uniqueName="[Stadiums 1].[Stadium_No]" caption="Stadium_No" attribute="1" defaultMemberUniqueName="[Stadiums 1].[Stadium_No].[All]" allUniqueName="[Stadiums 1].[Stadium_No].[All]" dimensionUniqueName="[Stadiums 1]" displayFolder="" count="0" memberValueDatatype="130" unbalanced="0"/>
    <cacheHierarchy uniqueName="[WC_Groups].[World Cup Groups]" caption="World Cup Groups" attribute="1" defaultMemberUniqueName="[WC_Groups].[World Cup Groups].[All]" allUniqueName="[WC_Groups].[World Cup Groups].[All]" dimensionUniqueName="[WC_Groups]" displayFolder="" count="0" memberValueDatatype="130" unbalanced="0"/>
    <cacheHierarchy uniqueName="[Club_Leagues].[Football Association]" caption="Football Association" attribute="1" defaultMemberUniqueName="[Club_Leagues].[Football Association].[All]" allUniqueName="[Club_Leagues].[Football Association].[All]" dimensionUniqueName="[Club_Leagues]" displayFolder="" count="0" memberValueDatatype="130" unbalanced="0" hidden="1"/>
    <cacheHierarchy uniqueName="[Clubs].[Club - League]" caption="Club - League" attribute="1" defaultMemberUniqueName="[Clubs].[Club - League].[All]" allUniqueName="[Clubs].[Club - League].[All]" dimensionUniqueName="[Clubs]" displayFolder="" count="0" memberValueDatatype="130" unbalanced="0" hidden="1"/>
    <cacheHierarchy uniqueName="[Clubs].[Football Association]" caption="Football Association" attribute="1" defaultMemberUniqueName="[Clubs].[Football Association].[All]" allUniqueName="[Clubs].[Football Association].[All]" dimensionUniqueName="[Clubs]" displayFolder="" count="0" memberValueDatatype="130" unbalanced="0" hidden="1"/>
    <cacheHierarchy uniqueName="[FIFA_Region 1].[Area]" caption="Area" attribute="1" defaultMemberUniqueName="[FIFA_Region 1].[Area].[All]" allUniqueName="[FIFA_Region 1].[Area].[All]" dimensionUniqueName="[FIFA_Region 1]" displayFolder="" count="0" memberValueDatatype="130" unbalanced="0" hidden="1"/>
    <cacheHierarchy uniqueName="[FIFA_Region 1].[FIFA Region]" caption="FIFA Region" attribute="1" defaultMemberUniqueName="[FIFA_Region 1].[FIFA Region].[All]" allUniqueName="[FIFA_Region 1].[FIFA Region].[All]" dimensionUniqueName="[FIFA_Region 1]" displayFolder="" count="0" memberValueDatatype="130" unbalanced="0" hidden="1"/>
    <cacheHierarchy uniqueName="[Football_Associations].[FIFA Region]" caption="FIFA Region" attribute="1" defaultMemberUniqueName="[Football_Associations].[FIFA Region].[All]" allUniqueName="[Football_Associations].[FIFA Region].[All]" dimensionUniqueName="[Football_Associations]" displayFolder="" count="0" memberValueDatatype="130" unbalanced="0" hidden="1"/>
    <cacheHierarchy uniqueName="[Football_Associations].[World Cup Group]" caption="World Cup Group" attribute="1" defaultMemberUniqueName="[Football_Associations].[World Cup Group].[All]" allUniqueName="[Football_Associations].[World Cup Group].[All]" dimensionUniqueName="[Football_Associations]" displayFolder="" count="0" memberValueDatatype="130" unbalanced="0" hidden="1"/>
    <cacheHierarchy uniqueName="[Group Fixtures].[Date (Month Index)]" caption="Date (Month Index)" attribute="1" defaultMemberUniqueName="[Group Fixtures].[Date (Month Index)].[All]" allUniqueName="[Group Fixtures].[Date (Month Index)].[All]" dimensionUniqueName="[Group Fixtures]" displayFolder="" count="0" memberValueDatatype="20" unbalanced="0" hidden="1"/>
    <cacheHierarchy uniqueName="[Match_Record].[Match No]" caption="Match No" attribute="1" defaultMemberUniqueName="[Match_Record].[Match No].[All]" allUniqueName="[Match_Record].[Match No].[All]" dimensionUniqueName="[Match_Record]" displayFolder="" count="0" memberValueDatatype="20" unbalanced="0" hidden="1"/>
    <cacheHierarchy uniqueName="[Match_Record].[Player_No]" caption="Player_No" attribute="1" defaultMemberUniqueName="[Match_Record].[Player_No].[All]" allUniqueName="[Match_Record].[Player_No].[All]" dimensionUniqueName="[Match_Record]" displayFolder="" count="0" memberValueDatatype="20" unbalanced="0" hidden="1"/>
    <cacheHierarchy uniqueName="[Squads].[Current Club]" caption="Current Club" attribute="1" defaultMemberUniqueName="[Squads].[Current Club].[All]" allUniqueName="[Squads].[Current Club].[All]" dimensionUniqueName="[Squads]" displayFolder="" count="0" memberValueDatatype="130" unbalanced="0" hidden="1"/>
    <cacheHierarchy uniqueName="[Squads].[National Team]" caption="National Team" attribute="1" defaultMemberUniqueName="[Squads].[National Team].[All]" allUniqueName="[Squads].[National Team].[All]" dimensionUniqueName="[Squads]" displayFolder="" count="0" memberValueDatatype="130" unbalanced="0" hidden="1"/>
    <cacheHierarchy uniqueName="[Measures].[__XL_Count FIFA_Region]" caption="__XL_Count FIFA_Region" measure="1" displayFolder="" measureGroup="FIFA_Region" count="0" hidden="1"/>
    <cacheHierarchy uniqueName="[Measures].[__XL_Count Stadiums27]" caption="__XL_Count Stadiums27" measure="1" displayFolder="" measureGroup="Stadiums" count="0" hidden="1"/>
    <cacheHierarchy uniqueName="[Measures].[__XL_Count WC_Groups]" caption="__XL_Count WC_Groups" measure="1" displayFolder="" measureGroup="WC_Groups" count="0" hidden="1"/>
    <cacheHierarchy uniqueName="[Measures].[__XL_Count Football_Associations]" caption="__XL_Count Football_Associations" measure="1" displayFolder="" measureGroup="Football_Associations" count="0" hidden="1"/>
    <cacheHierarchy uniqueName="[Measures].[__XL_Count Club_Leagues]" caption="__XL_Count Club_Leagues" measure="1" displayFolder="" measureGroup="Club_Leagues" count="0" hidden="1"/>
    <cacheHierarchy uniqueName="[Measures].[__XL_Count Clubs]" caption="__XL_Count Clubs" measure="1" displayFolder="" measureGroup="Clubs" count="0" hidden="1"/>
    <cacheHierarchy uniqueName="[Measures].[__XL_Count Fixtures]" caption="__XL_Count Fixtures" measure="1" displayFolder="" measureGroup="Fixtures" count="0" hidden="1"/>
    <cacheHierarchy uniqueName="[Measures].[__XL_Count Knock_Out]" caption="__XL_Count Knock_Out" measure="1" displayFolder="" measureGroup="Knock_Out" count="0" hidden="1"/>
    <cacheHierarchy uniqueName="[Measures].[__XL_Count Squads]" caption="__XL_Count Squads" measure="1" displayFolder="" measureGroup="Squads" count="0" hidden="1"/>
    <cacheHierarchy uniqueName="[Measures].[__XL_Count Match_Record]" caption="__XL_Count Match_Record" measure="1" displayFolder="" measureGroup="Match_Record" count="0" hidden="1"/>
    <cacheHierarchy uniqueName="[Measures].[__XL_Count Group Fixtures]" caption="__XL_Count Group Fixtures" measure="1" displayFolder="" measureGroup="Group Fixtures" count="0" hidden="1"/>
    <cacheHierarchy uniqueName="[Measures].[__XL_Count Knock_Out_Fixtures]" caption="__XL_Count Knock_Out_Fixtures" measure="1" displayFolder="" measureGroup="Knock_Out_Fixtures" count="0" hidden="1"/>
    <cacheHierarchy uniqueName="[Measures].[__XL_Count Football_Associations 1]" caption="__XL_Count Football_Associations 1" measure="1" displayFolder="" measureGroup="Football_Associations 1" count="0" hidden="1"/>
    <cacheHierarchy uniqueName="[Measures].[__XL_Count Stadiums 1]" caption="__XL_Count Stadiums 1" measure="1" displayFolder="" measureGroup="Stadiums 1" count="0" hidden="1"/>
    <cacheHierarchy uniqueName="[Measures].[__XL_Count FIFA_Region 1]" caption="__XL_Count FIFA_Region 1" measure="1" displayFolder="" measureGroup="FIFA_Region 1" count="0" hidden="1"/>
    <cacheHierarchy uniqueName="[Measures].[__XL_Count Leagues_Of_FA]" caption="__XL_Count Leagues_Of_FA" measure="1" displayFolder="" measureGroup="Leagues_Of_FA" count="0" hidden="1"/>
    <cacheHierarchy uniqueName="[Measures].[__XL_Count Clubs 1]" caption="__XL_Count Clubs 1" measure="1" displayFolder="" measureGroup="Clubs 1" count="0" hidden="1"/>
    <cacheHierarchy uniqueName="[Measures].[__XL_Count Squads 1]" caption="__XL_Count Squads 1" measure="1" displayFolder="" measureGroup="Squads 1" count="0" hidden="1"/>
    <cacheHierarchy uniqueName="[Measures].[__XL_Count All_Results]" caption="__XL_Count All_Results" measure="1" displayFolder="" measureGroup="All_Results" count="0" hidden="1"/>
    <cacheHierarchy uniqueName="[Measures].[__No measures defined]" caption="__No measures defined" measure="1" displayFolder="" count="0" hidden="1"/>
    <cacheHierarchy uniqueName="[Measures].[Count of Current Club]" caption="Count of Current Club" measure="1" displayFolder="" measureGroup="Club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Players Represented At World Cup]" caption="Sum of Players Represented At World Cup" measure="1" displayFolder="" measureGroup="Club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lub - League]" caption="Count of Club - League" measure="1" displayFolder="" measureGroup="Club_Leagu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Age]" caption="Sum of Age" measure="1" displayFolder="" measureGroup="Squads" count="0" hidden="1"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Sum of Caps]" caption="Sum of Caps" measure="1" displayFolder="" measureGroup="Squads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Count of Caps]" caption="Count of Caps" measure="1" displayFolder="" measureGroup="Squad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Count of Experience]" caption="Count of Experience" measure="1" displayFolder="" measureGroup="Squads" count="0" hidden="1">
      <extLst>
        <ext xmlns:x15="http://schemas.microsoft.com/office/spreadsheetml/2010/11/main" uri="{B97F6D7D-B522-45F9-BDA1-12C45D357490}">
          <x15:cacheHierarchy aggregatedColumn="127"/>
        </ext>
      </extLst>
    </cacheHierarchy>
    <cacheHierarchy uniqueName="[Measures].[Sum of Attendance]" caption="Sum of Attendance" measure="1" displayFolder="" measureGroup="Knock_Out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unt of Attendance]" caption="Count of Attendance" measure="1" displayFolder="" measureGroup="Knock_Out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Average of Attendance]" caption="Average of Attendance" measure="1" displayFolder="" measureGroup="Knock_Out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Sum of Attendance 2]" caption="Sum of Attendance 2" measure="1" displayFolder="" measureGroup="Group Fixture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Average of Attendance 2]" caption="Average of Attendance 2" measure="1" displayFolder="" measureGroup="Group Fixture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International Goals]" caption="Sum of International Goals" measure="1" displayFolder="" measureGroup="Squads" count="0" hidden="1">
      <extLst>
        <ext xmlns:x15="http://schemas.microsoft.com/office/spreadsheetml/2010/11/main" uri="{B97F6D7D-B522-45F9-BDA1-12C45D357490}">
          <x15:cacheHierarchy aggregatedColumn="129"/>
        </ext>
      </extLst>
    </cacheHierarchy>
    <cacheHierarchy uniqueName="[Measures].[Average of International Goals]" caption="Average of International Goals" measure="1" displayFolder="" measureGroup="Squads" count="0" hidden="1">
      <extLst>
        <ext xmlns:x15="http://schemas.microsoft.com/office/spreadsheetml/2010/11/main" uri="{B97F6D7D-B522-45F9-BDA1-12C45D357490}">
          <x15:cacheHierarchy aggregatedColumn="129"/>
        </ext>
      </extLst>
    </cacheHierarchy>
  </cacheHierarchies>
  <kpis count="0"/>
  <dimensions count="19">
    <dimension name="All_Results" uniqueName="[All_Results]" caption="All_Results"/>
    <dimension name="Club_Leagues" uniqueName="[Club_Leagues]" caption="Club_Leagues"/>
    <dimension name="Clubs" uniqueName="[Clubs]" caption="Clubs"/>
    <dimension name="Clubs 1" uniqueName="[Clubs 1]" caption="Clubs 1"/>
    <dimension name="FIFA_Region" uniqueName="[FIFA_Region]" caption="FIFA_Region"/>
    <dimension name="Fixtures" uniqueName="[Fixtures]" caption="Fixtures"/>
    <dimension name="Football_Associations" uniqueName="[Football_Associations]" caption="Football_Associations"/>
    <dimension name="Football_Associations 1" uniqueName="[Football_Associations 1]" caption="Football_Associations 1"/>
    <dimension name="Group Fixtures" uniqueName="[Group Fixtures]" caption="Group Fixtures"/>
    <dimension name="Knock_Out" uniqueName="[Knock_Out]" caption="Knock_Out"/>
    <dimension name="Knock_Out_Fixtures" uniqueName="[Knock_Out_Fixtures]" caption="Knock_Out_Fixtures"/>
    <dimension name="Leagues_Of_FA" uniqueName="[Leagues_Of_FA]" caption="Leagues_Of_FA"/>
    <dimension name="Match_Record" uniqueName="[Match_Record]" caption="Match_Record"/>
    <dimension measure="1" name="Measures" uniqueName="[Measures]" caption="Measures"/>
    <dimension name="Squads" uniqueName="[Squads]" caption="Squads"/>
    <dimension name="Squads 1" uniqueName="[Squads 1]" caption="Squads 1"/>
    <dimension name="Stadiums" uniqueName="[Stadiums]" caption="Stadiums"/>
    <dimension name="Stadiums 1" uniqueName="[Stadiums 1]" caption="Stadiums 1"/>
    <dimension name="WC_Groups" uniqueName="[WC_Groups]" caption="WC_Groups"/>
  </dimensions>
  <measureGroups count="19">
    <measureGroup name="All_Results" caption="All_Results"/>
    <measureGroup name="Club_Leagues" caption="Club_Leagues"/>
    <measureGroup name="Clubs" caption="Clubs"/>
    <measureGroup name="Clubs 1" caption="Clubs 1"/>
    <measureGroup name="FIFA_Region" caption="FIFA_Region"/>
    <measureGroup name="FIFA_Region 1" caption="FIFA_Region 1"/>
    <measureGroup name="Fixtures" caption="Fixtures"/>
    <measureGroup name="Football_Associations" caption="Football_Associations"/>
    <measureGroup name="Football_Associations 1" caption="Football_Associations 1"/>
    <measureGroup name="Group Fixtures" caption="Group Fixtures"/>
    <measureGroup name="Knock_Out" caption="Knock_Out"/>
    <measureGroup name="Knock_Out_Fixtures" caption="Knock_Out_Fixtures"/>
    <measureGroup name="Leagues_Of_FA" caption="Leagues_Of_FA"/>
    <measureGroup name="Match_Record" caption="Match_Record"/>
    <measureGroup name="Squads" caption="Squads"/>
    <measureGroup name="Squads 1" caption="Squads 1"/>
    <measureGroup name="Stadiums" caption="Stadiums"/>
    <measureGroup name="Stadiums 1" caption="Stadiums 1"/>
    <measureGroup name="WC_Groups" caption="WC_Groups"/>
  </measureGroups>
  <maps count="40">
    <map measureGroup="0" dimension="0"/>
    <map measureGroup="1" dimension="1"/>
    <map measureGroup="1" dimension="4"/>
    <map measureGroup="1" dimension="6"/>
    <map measureGroup="1" dimension="18"/>
    <map measureGroup="2" dimension="1"/>
    <map measureGroup="2" dimension="2"/>
    <map measureGroup="2" dimension="4"/>
    <map measureGroup="2" dimension="6"/>
    <map measureGroup="2" dimension="18"/>
    <map measureGroup="3" dimension="3"/>
    <map measureGroup="4" dimension="4"/>
    <map measureGroup="6" dimension="5"/>
    <map measureGroup="7" dimension="4"/>
    <map measureGroup="7" dimension="6"/>
    <map measureGroup="7" dimension="18"/>
    <map measureGroup="8" dimension="7"/>
    <map measureGroup="9" dimension="8"/>
    <map measureGroup="10" dimension="9"/>
    <map measureGroup="11" dimension="10"/>
    <map measureGroup="12" dimension="11"/>
    <map measureGroup="13" dimension="1"/>
    <map measureGroup="13" dimension="2"/>
    <map measureGroup="13" dimension="4"/>
    <map measureGroup="13" dimension="5"/>
    <map measureGroup="13" dimension="6"/>
    <map measureGroup="13" dimension="9"/>
    <map measureGroup="13" dimension="12"/>
    <map measureGroup="13" dimension="14"/>
    <map measureGroup="13" dimension="18"/>
    <map measureGroup="14" dimension="1"/>
    <map measureGroup="14" dimension="2"/>
    <map measureGroup="14" dimension="4"/>
    <map measureGroup="14" dimension="6"/>
    <map measureGroup="14" dimension="14"/>
    <map measureGroup="14" dimension="18"/>
    <map measureGroup="15" dimension="15"/>
    <map measureGroup="16" dimension="16"/>
    <map measureGroup="17" dimension="17"/>
    <map measureGroup="18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5960.749691666664" createdVersion="8" refreshedVersion="8" minRefreshableVersion="3" recordCount="830" xr:uid="{D1A93674-2526-4A28-A196-7D7D88DE133D}">
  <cacheSource type="worksheet">
    <worksheetSource name="Squads"/>
  </cacheSource>
  <cacheFields count="15">
    <cacheField name="Player No" numFmtId="0">
      <sharedItems containsSemiMixedTypes="0" containsString="0" containsNumber="1" containsInteger="1" minValue="1001" maxValue="1830"/>
    </cacheField>
    <cacheField name="National Team" numFmtId="0">
      <sharedItems/>
    </cacheField>
    <cacheField name="FA" numFmtId="0">
      <sharedItems/>
    </cacheField>
    <cacheField name="Squad No" numFmtId="0">
      <sharedItems containsSemiMixedTypes="0" containsString="0" containsNumber="1" containsInteger="1" minValue="1" maxValue="26"/>
    </cacheField>
    <cacheField name="Position" numFmtId="0">
      <sharedItems/>
    </cacheField>
    <cacheField name="Player Name" numFmtId="0">
      <sharedItems count="830">
        <s v="Franco Armani"/>
        <s v="Juan Foyth"/>
        <s v="Nicolás Tagliafico"/>
        <s v="Gonzalo Montiel"/>
        <s v="Leandro Paredes"/>
        <s v="Germán Pezzella"/>
        <s v="Rodrigo De Paul"/>
        <s v="Marcos Acuña"/>
        <s v="Julián Álvarez"/>
        <s v="Lionel Messi"/>
        <s v="Ángel Di María"/>
        <s v="Gerónimo Rulli"/>
        <s v="Cristian Romero"/>
        <s v="Exequiel Palacios"/>
        <s v="Ángel Correa"/>
        <s v="Thiago Almada"/>
        <s v="Papu Gómez"/>
        <s v="Guido Rodríguez"/>
        <s v="Nicolás Otamendi"/>
        <s v="Alexis Mac Allister"/>
        <s v="Paulo Dybala"/>
        <s v="Lautaro Martínez"/>
        <s v="Emiliano Martínez"/>
        <s v="Enzo Fernández"/>
        <s v="Lisandro Martínez"/>
        <s v="Nahuel Molina"/>
        <s v="Mathew Ryan "/>
        <s v="Miloš Degenek"/>
        <s v="Nathaniel Atkinson"/>
        <s v="Kye Rowles"/>
        <s v="Fran Karačić"/>
        <s v="Martin Boyle"/>
        <s v="Mathew Leckie"/>
        <s v="Bailey Wright"/>
        <s v="Jamie Maclaren"/>
        <s v="Ajdin Hrustic"/>
        <s v="Awer Mabil"/>
        <s v="Andrew Redmayne"/>
        <s v="Aaron Mooy"/>
        <s v="Riley McGree"/>
        <s v="Mitchell Duke"/>
        <s v="Aziz Behich"/>
        <s v="Cameron Devlin"/>
        <s v="Danny Vukovic"/>
        <s v="Harry Souttar"/>
        <s v="Thomas Deng"/>
        <s v="Garang Kuol"/>
        <s v="Jackson Irvine"/>
        <s v="Craig Goodwin"/>
        <s v="Joel King"/>
        <s v="Jason Cummings"/>
        <s v="Keanu Baccus"/>
        <s v="Thibaut Courtois"/>
        <s v="Toby Alderweireld"/>
        <s v="Arthur Theate"/>
        <s v="Wout Faes"/>
        <s v="Jan Vertonghen"/>
        <s v="Axel Witsel"/>
        <s v="Kevin De Bruyne"/>
        <s v="Youri Tielemans"/>
        <s v="Romelu Lukaku"/>
        <s v="Eden Hazard "/>
        <s v="Yannick Carrasco"/>
        <s v="Simon Mignolet"/>
        <s v="Koen Casteels"/>
        <s v="Dries Mertens"/>
        <s v="Thomas Meunier"/>
        <s v="Thorgan Hazard"/>
        <s v="Leandro Trossard"/>
        <s v="Amadou Onana"/>
        <s v="Leander Dendoncker"/>
        <s v="Hans Vanaken"/>
        <s v="Timothy Castagne"/>
        <s v="Charles De Ketelaere"/>
        <s v="Michy Batshuayi"/>
        <s v="Loïs Openda"/>
        <s v="Jérémy Doku"/>
        <s v="Zeno Debast"/>
        <s v="Alisson"/>
        <s v="Danilo"/>
        <s v="Thiago Silva "/>
        <s v="Marquinhos"/>
        <s v="Casemiro"/>
        <s v="Alex Sandro"/>
        <s v="Lucas Paquetá"/>
        <s v="Fred"/>
        <s v="Richarlison"/>
        <s v="Neymar"/>
        <s v="Raphinha"/>
        <s v="Weverton"/>
        <s v="Dani Alves"/>
        <s v="Éder Militão"/>
        <s v="Fabinho"/>
        <s v="Alex Telles"/>
        <s v="Bruno Guimarães"/>
        <s v="Gabriel Jesus"/>
        <s v="Antony"/>
        <s v="Vinícius Júnior"/>
        <s v="Rodrygo"/>
        <s v="Éverton Ribeiro"/>
        <s v="Ederson"/>
        <s v="Bremer"/>
        <s v="Pedro"/>
        <s v="Gabriel Martinelli"/>
        <s v="Simon Ngapandouetnbu"/>
        <s v="Jerome Ngom Mbekeli"/>
        <s v="Nicolas Nkoulou"/>
        <s v="Christopher Wooh"/>
        <s v="Gaël Ondoua"/>
        <s v="Moumi Ngamaleu"/>
        <s v="Georges-Kévin Nkoudou"/>
        <s v="André-Frank Zambo Anguissa"/>
        <s v="Jean-Pierre Nsame"/>
        <s v="Vincent Aboubakar "/>
        <s v="Christian Bassogog"/>
        <s v="Karl Toko Ekambi"/>
        <s v="Eric Maxim Choupo-Moting"/>
        <s v="Samuel Gouet"/>
        <s v="Pierre Kunde"/>
        <s v="Devis Epassy"/>
        <s v="Olivier Mbaizo"/>
        <s v="Martin Hongla"/>
        <s v="Collins Fai"/>
        <s v="Bryan Mbeumo"/>
        <s v="Jean-Charles Castelletto"/>
        <s v="Olivier Ntcham"/>
        <s v="André Onana"/>
        <s v="Enzo Ebosse"/>
        <s v="Nouhou Tolo"/>
        <s v="Souaibou Marou"/>
        <s v="Dayne St. Clair"/>
        <s v="Alistair Johnston"/>
        <s v="Sam Adekugbe"/>
        <s v="Kamal Miller"/>
        <s v="Steven Vitória"/>
        <s v="Samuel Piette"/>
        <s v="Stephen Eustáquio"/>
        <s v="Liam Fraser"/>
        <s v="Lucas Cavallini"/>
        <s v="Junior Hoilett"/>
        <s v="Tajon Buchanan"/>
        <s v="Iké Ugbo"/>
        <s v="Atiba Hutchinson "/>
        <s v="Mark-Anthony Kaye"/>
        <s v="Ismaël Koné"/>
        <s v="James Pantemis"/>
        <s v="Cyle Larin"/>
        <s v="Milan Borjan"/>
        <s v="Alphonso Davies"/>
        <s v="Jonathan David"/>
        <s v="Jonathan Osorio"/>
        <s v="Richie Laryea"/>
        <s v="Liam Millar"/>
        <s v="David Wotherspoon"/>
        <s v="Derek Cornelius"/>
        <s v="Joel Waterman"/>
        <s v="Keylor Navas"/>
        <s v="Daniel Chacón"/>
        <s v="Juan Pablo Vargas"/>
        <s v="Keysher Fuller"/>
        <s v="Celso Borges"/>
        <s v="Óscar Duarte"/>
        <s v="Anthony Contreras"/>
        <s v="Bryan Oviedo"/>
        <s v="Jewison Bennette"/>
        <s v="Bryan Ruiz "/>
        <s v="Johan Venegas"/>
        <s v="Joel Campbell"/>
        <s v="Gerson Torres"/>
        <s v="Youstin Salas"/>
        <s v="Francisco Calvo"/>
        <s v="Carlos Martínez"/>
        <s v="Yeltsin Tejeda"/>
        <s v="Esteban Alvarado"/>
        <s v="Kendall Waston"/>
        <s v="Brandon Aguilera"/>
        <s v="Douglas López"/>
        <s v="Rónald Matarrita"/>
        <s v="Patrick Sequeira"/>
        <s v="Roan Wilson"/>
        <s v="Anthony Hernández"/>
        <s v="Álvaro Zamora"/>
        <s v="Dominik Livaković"/>
        <s v="Josip Stanišić"/>
        <s v="Borna Barišić"/>
        <s v="Ivan Perišić"/>
        <s v="Martin Erlić"/>
        <s v="Dejan Lovren"/>
        <s v="Lovro Majer"/>
        <s v="Mateo Kovačić"/>
        <s v="Andrej Kramarić"/>
        <s v="Luka Modrić "/>
        <s v="Marcelo Brozović"/>
        <s v="Ivo Grbić"/>
        <s v="Nikola Vlašić"/>
        <s v="Marko Livaja"/>
        <s v="Mario Pašalić"/>
        <s v="Bruno Petković"/>
        <s v="Ante Budimir"/>
        <s v="Mislav Oršić"/>
        <s v="Borna Sosa"/>
        <s v="Joško Gvardiol"/>
        <s v="Domagoj Vida"/>
        <s v="Josip Juranović"/>
        <s v="Ivica Ivušić"/>
        <s v="Josip Šutalo"/>
        <s v="Luka Sučić"/>
        <s v="Kristijan Jakić"/>
        <s v="Kasper Schmeichel"/>
        <s v="Joachim Andersen"/>
        <s v="Victor Nelsson"/>
        <s v="Simon Kjær "/>
        <s v="Joakim Mæhle"/>
        <s v="Andreas Christensen"/>
        <s v="Mathias Jensen"/>
        <s v="Thomas Delaney"/>
        <s v="Martin Braithwaite"/>
        <s v="Christian Eriksen"/>
        <s v="Andreas Skov Olsen"/>
        <s v="Kasper Dolberg"/>
        <s v="Rasmus Kristensen"/>
        <s v="Mikkel Damsgaard"/>
        <s v="Christian Nørgaard"/>
        <s v="Oliver Christensen"/>
        <s v="Jens Stryger Larsen"/>
        <s v="Daniel Wass"/>
        <s v="Jonas Wind"/>
        <s v="Yussuf Poulsen"/>
        <s v="Andreas Cornelius"/>
        <s v="Frederik Rønnow"/>
        <s v="Pierre-Emile Højbjerg"/>
        <s v="Robert Skov"/>
        <s v="Jesper Lindstrøm"/>
        <s v="Alexander Bah"/>
        <s v="Hernán Galíndez"/>
        <s v="Félix Torres"/>
        <s v="Piero Hincapié"/>
        <s v="Robert Arboleda"/>
        <s v="José Cifuentes"/>
        <s v="William Pacho"/>
        <s v="Pervis Estupiñán"/>
        <s v="Carlos Gruezo"/>
        <s v="Ayrton Preciado"/>
        <s v="Romario Ibarra"/>
        <s v="Michael Estrada"/>
        <s v="Moisés Ramírez"/>
        <s v="Enner Valencia"/>
        <s v="Xavier Arreaga"/>
        <s v="Ángel Mena"/>
        <s v="Jeremy Sarmiento"/>
        <s v="Ángelo Preciado"/>
        <s v="Diego Palacios"/>
        <s v="Gonzalo Plata"/>
        <s v="Jhegson Méndez"/>
        <s v="Alan Franco"/>
        <s v="Alexander Domínguez"/>
        <s v="Moisés Caicedo"/>
        <s v="Djorkaeff Reasco"/>
        <s v="Jackson Porozo"/>
        <s v="Kevin Rodríguez"/>
        <s v="Jordan Pickford"/>
        <s v="Kyle Walker"/>
        <s v="Luke Shaw"/>
        <s v="Declan Rice"/>
        <s v="John Stones"/>
        <s v="Harry Maguire"/>
        <s v="Jack Grealish"/>
        <s v="Jordan Henderson"/>
        <s v="Harry Kane "/>
        <s v="Raheem Sterling"/>
        <s v="Marcus Rashford"/>
        <s v="Kieran Trippier"/>
        <s v="Nick Pope"/>
        <s v="Kalvin Phillips"/>
        <s v="Eric Dier"/>
        <s v="Conor Coady"/>
        <s v="Bukayo Saka"/>
        <s v="Trent Alexander-Arnold"/>
        <s v="Mason Mount"/>
        <s v="Phil Foden"/>
        <s v="Ben White"/>
        <s v="Jude Bellingham"/>
        <s v="Aaron Ramsdale"/>
        <s v="Callum Wilson"/>
        <s v="James Maddison"/>
        <s v="Conor Gallagher"/>
        <s v="Hugo Lloris "/>
        <s v="Benjamin Pavard"/>
        <s v="Axel Disasi"/>
        <s v="Raphaël Varane"/>
        <s v="Jules Koundé"/>
        <s v="Matteo Guendouzi"/>
        <s v="Antoine Griezmann"/>
        <s v="Aurélien Tchouaméni"/>
        <s v="Olivier Giroud"/>
        <s v="Kylian Mbappé"/>
        <s v="Ousmane Dembélé"/>
        <s v="Randal Kolo Muani"/>
        <s v="Youssouf Fofana"/>
        <s v="Adrien Rabiot"/>
        <s v="Jordan Veretout"/>
        <s v="Steve Mandanda"/>
        <s v="William Saliba"/>
        <s v="Dayot Upamecano"/>
        <s v="Karim Benzema"/>
        <s v="Kingsley Coman"/>
        <s v="Lucas Hernandez"/>
        <s v="Theo Hernandez"/>
        <s v="Alphonse Areola"/>
        <s v="Ibrahima Konaté"/>
        <s v="Eduardo Camavinga"/>
        <s v="Marcus Thuram"/>
        <s v="Manuel Neuer "/>
        <s v="Antonio Rüdiger"/>
        <s v="David Raum"/>
        <s v="Matthias Ginter"/>
        <s v="Thilo Kehrer"/>
        <s v="Joshua Kimmich"/>
        <s v="Kai Havertz"/>
        <s v="Leon Goretzka"/>
        <s v="Niclas Füllkrug"/>
        <s v="Serge Gnabry"/>
        <s v="Mario Götze"/>
        <s v="Kevin Trapp"/>
        <s v="Thomas Müller"/>
        <s v="Jamal Musiala"/>
        <s v="Niklas Süle"/>
        <s v="Lukas Klostermann"/>
        <s v="Julian Brandt"/>
        <s v="Jonas Hofmann"/>
        <s v="Leroy Sané"/>
        <s v="Christian Günter"/>
        <s v="İlkay Gündoğan"/>
        <s v="Marc-André ter Stegen"/>
        <s v="Nico Schlotterbeck"/>
        <s v="Karim Adeyemi"/>
        <s v="Armel Bella-Kotchap"/>
        <s v="Youssoufa Moukoko"/>
        <s v="Lawrence Ati-Zigi"/>
        <s v="Tariq Lamptey"/>
        <s v="Denis Odoi"/>
        <s v="Mohammed Salisu"/>
        <s v="Thomas Partey"/>
        <s v="Elisha Owusu"/>
        <s v="Abdul Fatawu Issahaku"/>
        <s v="Daniel-Kofi Kyereh"/>
        <s v="Jordan Ayew"/>
        <s v="André Ayew "/>
        <s v="Osman Bukari"/>
        <s v="Ibrahim Danlad"/>
        <s v="Daniel Afriyie"/>
        <s v="Gideon Mensah"/>
        <s v="Joseph Aidoo"/>
        <s v="Abdul Manaf Nurudeen"/>
        <s v="Baba Rahman"/>
        <s v="Daniel Amartey"/>
        <s v="Iñaki Williams"/>
        <s v="Mohammed Kudus"/>
        <s v="Salis Abdul Samed"/>
        <s v="Kamaldeen Sulemana"/>
        <s v="Alexander Djiku"/>
        <s v="Kamal Sowah"/>
        <s v="Antoine Semenyo"/>
        <s v="Alidu Seidu"/>
        <s v="Alireza Beiranvand"/>
        <s v="Sadegh Moharrami"/>
        <s v="Ehsan Hajsafi "/>
        <s v="Shojae Khalilzadeh"/>
        <s v="Milad Mohammadi"/>
        <s v="Saeid Ezatolahi"/>
        <s v="Alireza Jahanbakhsh"/>
        <s v="Morteza Pouraliganji"/>
        <s v="Mehdi Taremi"/>
        <s v="Karim Ansarifard"/>
        <s v="Vahid Amiri"/>
        <s v="Payam Niazmand"/>
        <s v="Hossein Kanaanizadegan"/>
        <s v="Saman Ghoddos"/>
        <s v="Rouzbeh Cheshmi"/>
        <s v="Mehdi Torabi"/>
        <s v="Ali Gholizadeh"/>
        <s v="Ali Karimi"/>
        <s v="Majid Hosseini"/>
        <s v="Sardar Azmoun"/>
        <s v="Ahmad Nourollahi"/>
        <s v="Amir Abedzadeh"/>
        <s v="Ramin Rezaeian"/>
        <s v="Hossein Hosseini"/>
        <s v="Abolfazl Jalali"/>
        <s v="Eiji Kawashima"/>
        <s v="Miki Yamane"/>
        <s v="Shogo Taniguchi"/>
        <s v="Ko Itakura"/>
        <s v="Yuto Nagatomo"/>
        <s v="Wataru Endo"/>
        <s v="Gaku Shibasaki"/>
        <s v="Ritsu Dōan"/>
        <s v="Kaoru Mitoma"/>
        <s v="Takumi Minamino"/>
        <s v="Takefusa Kubo"/>
        <s v="Shūichi Gonda"/>
        <s v="Hidemasa Morita"/>
        <s v="Junya Ito"/>
        <s v="Daichi Kamada"/>
        <s v="Takehiro Tomiyasu"/>
        <s v="Ao Tanaka"/>
        <s v="Takuma Asano"/>
        <s v="Hiroki Sakai"/>
        <s v="Shuto Machino"/>
        <s v="Ayase Ueda"/>
        <s v="Maya Yoshida "/>
        <s v="Daniel Schmidt"/>
        <s v="Yuki Soma"/>
        <s v="Daizen Maeda"/>
        <s v="Hiroki Ito"/>
        <s v="Kim Seung-gyu"/>
        <s v="Yoon Jong-gyu"/>
        <s v="Kim Jin-su"/>
        <s v="Kim Min-jae"/>
        <s v="Jung Woo-young"/>
        <s v="Hwang In-beom"/>
        <s v="Son Heung-min "/>
        <s v="Paik Seung-ho"/>
        <s v="Cho Gue-sung"/>
        <s v="Lee Jae-sung"/>
        <s v="Hwang Hee-chan"/>
        <s v="Song Bum-keun"/>
        <s v="Son Jun-ho"/>
        <s v="Hong Chul"/>
        <s v="Kim Moon-hwan"/>
        <s v="Hwang Ui-jo"/>
        <s v="Na Sang-ho"/>
        <s v="Lee Kang-in"/>
        <s v="Kim Young-gwon"/>
        <s v="Kwon Kyung-won"/>
        <s v="Jo Hyeon-woo"/>
        <s v="Kwon Chang-hoon"/>
        <s v="Kim Tae-hwan"/>
        <s v="Cho Yu-min"/>
        <s v="Jeong Woo-yeong"/>
        <s v="Song Min-kyu"/>
        <s v="Alfredo Talavera"/>
        <s v="Néstor Araujo"/>
        <s v="César Montes"/>
        <s v="Edson Álvarez"/>
        <s v="Johan Vásquez"/>
        <s v="Gerardo Arteaga"/>
        <s v="Luis Romo"/>
        <s v="Carlos Rodríguez"/>
        <s v="Raúl Jiménez"/>
        <s v="Alexis Vega"/>
        <s v="Rogelio Funes Mori"/>
        <s v="Rodolfo Cota"/>
        <s v="Guillermo Ochoa"/>
        <s v="Érick Gutiérrez"/>
        <s v="Héctor Moreno"/>
        <s v="Héctor Herrera"/>
        <s v="Orbelín Pineda"/>
        <s v="Andrés Guardado "/>
        <s v="Jorge Sánchez"/>
        <s v="Henry Martín"/>
        <s v="Uriel Antuna"/>
        <s v="Hirving Lozano"/>
        <s v="Jesús Gallardo"/>
        <s v="Luis Chávez"/>
        <s v="Roberto Alvarado"/>
        <s v="Kevin Álvarez"/>
        <s v="Yassine Bounou"/>
        <s v="Achraf Hakimi"/>
        <s v="Noussair Mazraoui"/>
        <s v="Sofyan Amrabat"/>
        <s v="Nayef Aguerd"/>
        <s v="Romain Saïss "/>
        <s v="Hakim Ziyech"/>
        <s v="Azzedine Ounahi"/>
        <s v="Abderrazak Hamdallah"/>
        <s v="Anass Zaroury"/>
        <s v="Abdelhamid Sabiri"/>
        <s v="Munir Mohamedi"/>
        <s v="Ilias Chair"/>
        <s v="Zakaria Aboukhlal"/>
        <s v="Selim Amallah"/>
        <s v="Abde Ezzalzouli"/>
        <s v="Sofiane Boufal"/>
        <s v="Jawad El Yamiq"/>
        <s v="Youssef En-Nesyri"/>
        <s v="Achraf Dari"/>
        <s v="Walid Cheddira"/>
        <s v="Ahmed Reda Tagnaouti"/>
        <s v="Bilal El Khannous"/>
        <s v="Badr Benoun"/>
        <s v="Yahia Attiyat Allah"/>
        <s v="Yahya Jabrane"/>
        <s v="Remko Pasveer"/>
        <s v="Jurriën Timber"/>
        <s v="Matthijs de Ligt"/>
        <s v="Virgil van Dijk "/>
        <s v="Nathan Aké"/>
        <s v="Stefan de Vrij"/>
        <s v="Steven Bergwijn"/>
        <s v="Cody Gakpo"/>
        <s v="Luuk de Jong"/>
        <s v="Memphis Depay"/>
        <s v="Steven Berghuis"/>
        <s v="Noa Lang"/>
        <s v="Justin Bijlow"/>
        <s v="Davy Klaassen"/>
        <s v="Marten de Roon"/>
        <s v="Tyrell Malacia"/>
        <s v="Daley Blind"/>
        <s v="Vincent Janssen"/>
        <s v="Wout Weghorst"/>
        <s v="Teun Koopmeiners"/>
        <s v="Frenkie de Jong"/>
        <s v="Denzel Dumfries"/>
        <s v="Andries Noppert"/>
        <s v="Kenneth Taylor"/>
        <s v="Xavi Simons"/>
        <s v="Jeremie Frimpong"/>
        <s v="Wojciech Szczęsny"/>
        <s v="Matty Cash"/>
        <s v="Artur Jędrzejczyk"/>
        <s v="Mateusz Wieteska"/>
        <s v="Jan Bednarek"/>
        <s v="Krystian Bielik"/>
        <s v="Arkadiusz Milik"/>
        <s v="Damian Szymański"/>
        <s v="Robert Lewandowski "/>
        <s v="Grzegorz Krychowiak"/>
        <s v="Kamil Grosicki"/>
        <s v="Łukasz Skorupski"/>
        <s v="Jakub Kamiński"/>
        <s v="Jakub Kiwior"/>
        <s v="Kamil Glik"/>
        <s v="Karol Świderski"/>
        <s v="Szymon Żurkowski"/>
        <s v="Bartosz Bereszyński"/>
        <s v="Sebastian Szymański"/>
        <s v="Piotr Zieliński"/>
        <s v="Nicola Zalewski"/>
        <s v="Kamil Grabara"/>
        <s v="Krzysztof Piątek"/>
        <s v="Przemysław Frankowski"/>
        <s v="Robert Gumny"/>
        <s v="Michał Skóraś"/>
        <s v="Rui Patrício"/>
        <s v="Diogo Dalot"/>
        <s v="Pepe"/>
        <s v="Rúben Dias"/>
        <s v="Raphaël Guerreiro"/>
        <s v="João Palhinha"/>
        <s v="Cristiano Ronaldo "/>
        <s v="Bruno Fernandes"/>
        <s v="André Silva"/>
        <s v="Bernardo Silva"/>
        <s v="João Félix"/>
        <s v="José Sá"/>
        <s v="Danilo Pereira"/>
        <s v="William Carvalho"/>
        <s v="Rafael Leão"/>
        <s v="Vitinha"/>
        <s v="João Mário"/>
        <s v="Rúben Neves"/>
        <s v="Nuno Mendes"/>
        <s v="João Cancelo"/>
        <s v="Ricardo Horta"/>
        <s v="Diogo Costa"/>
        <s v="Matheus Nunes"/>
        <s v="António Silva"/>
        <s v="Otávio"/>
        <s v="Gonçalo Ramos"/>
        <s v="Saad Al-Sheeb"/>
        <s v="Ró-Ró"/>
        <s v="Abdelkarim Hassan"/>
        <s v="Mohammed Waad"/>
        <s v="Tarek Salman"/>
        <s v="Abdulaziz Hatem"/>
        <s v="Ahmed Alaaeldin"/>
        <s v="Ali Assadalla"/>
        <s v="Mohammed Muntari"/>
        <s v="Hassan Al-Haydos"/>
        <s v="Akram Afif"/>
        <s v="Karim Boudiaf"/>
        <s v="Musab Kheder"/>
        <s v="Homam Ahmed"/>
        <s v="Bassam Al-Rawi"/>
        <s v="Boualem Khoukhi"/>
        <s v="Ismaeel Mohammad"/>
        <s v="Khalid Muneer"/>
        <s v="Almoez Ali"/>
        <s v="Salem Al-Hajri"/>
        <s v="Yousef Hassan"/>
        <s v="Meshaal Barsham"/>
        <s v="Assim Madibo"/>
        <s v="Naif Al-Hadhrami"/>
        <s v="Jassem Gaber"/>
        <s v="Mostafa Meshaal"/>
        <s v="Mohammed Al-Rubaie"/>
        <s v="Sultan Al-Ghannam"/>
        <s v="Abdullah Madu"/>
        <s v="Abdulelah Al-Amri"/>
        <s v="Ali Al-Bulaihi"/>
        <s v="Mohammed Al-Breik"/>
        <s v="Salman Al-Faraj "/>
        <s v="Abdulellah Al-Malki"/>
        <s v="Firas Al-Buraikan"/>
        <s v="Salem Al-Dawsari"/>
        <s v="Saleh Al-Shehri"/>
        <s v="Saud Abdulhamid"/>
        <s v="Yasser Al-Shahrani"/>
        <s v="Abdullah Otayf"/>
        <s v="Ali Al-Hassan"/>
        <s v="Sami Al-Najei"/>
        <s v="Hassan Al-Tambakti"/>
        <s v="Nawaf Al-Abed"/>
        <s v="Hattan Bahebri"/>
        <s v="Abdulrahman Al-Aboud"/>
        <s v="Mohammed Al-Owais"/>
        <s v="Nawaf Al-Aqidi"/>
        <s v="Mohamed Kanno"/>
        <s v="Nasser Al-Dawsari"/>
        <s v="Haitham Asiri"/>
        <s v="Riyadh Sharahili"/>
        <s v="Seny Dieng"/>
        <s v="Formose Mendy"/>
        <s v="Kalidou Koulibaly "/>
        <s v="Pape Abou Cissé"/>
        <s v="Idrissa Gueye"/>
        <s v="Nampalys Mendy"/>
        <s v="Nicolas Jackson"/>
        <s v="Cheikhou Kouyaté"/>
        <s v="Boulaye Dia"/>
        <s v="Pathé Ciss"/>
        <s v="Fodé Ballo-Touré"/>
        <s v="Iliman Ndiaye"/>
        <s v="Ismail Jakobs"/>
        <s v="Krépin Diatta"/>
        <s v="Édouard Mendy"/>
        <s v="Pape Matar Sarr"/>
        <s v="Ismaïla Sarr"/>
        <s v="Famara Diédhiou"/>
        <s v="Bamba Dieng"/>
        <s v="Youssouf Sabaly"/>
        <s v="Abdou Diallo"/>
        <s v="Alfred Gomis"/>
        <s v="Moustapha Name"/>
        <s v="Mamadou Loum"/>
        <s v="Pape Gueye"/>
        <s v="Marko Dmitrović"/>
        <s v="Strahinja Pavlović"/>
        <s v="Strahinja Eraković"/>
        <s v="Nikola Milenković"/>
        <s v="Miloš Veljković"/>
        <s v="Nemanja Maksimović"/>
        <s v="Nemanja Radonjić"/>
        <s v="Nemanja Gudelj"/>
        <s v="Aleksandar Mitrović"/>
        <s v="Dušan Tadić"/>
        <s v="Luka Jović"/>
        <s v="Predrag Rajković"/>
        <s v="Stefan Mitrović"/>
        <s v="Andrija Živković"/>
        <s v="Srđan Babić"/>
        <s v="Saša Lukić"/>
        <s v="Filip Kostić"/>
        <s v="Dušan Vlahović"/>
        <s v="Uroš Račić"/>
        <s v="Sergej Milinković-Savić"/>
        <s v="Filip Đuričić"/>
        <s v="Darko Lazović"/>
        <s v="Vanja Milinković-Savić"/>
        <s v="Ivan Ilić"/>
        <s v="Filip Mladenović"/>
        <s v="Marko Grujić"/>
        <s v="Robert Sánchez"/>
        <s v="César Azpilicueta"/>
        <s v="Eric García"/>
        <s v="Pau Torres"/>
        <s v="Sergio Busquets "/>
        <s v="Marcos Llorente"/>
        <s v="Álvaro Morata"/>
        <s v="Koke"/>
        <s v="Gavi"/>
        <s v="Marco Asensio"/>
        <s v="Ferran Torres"/>
        <s v="Nico Williams"/>
        <s v="David Raya"/>
        <s v="Alejandro Balde"/>
        <s v="Hugo Guillamón"/>
        <s v="Rodri"/>
        <s v="Yeremy Pino"/>
        <s v="Jordi Alba"/>
        <s v="Carlos Soler"/>
        <s v="Dani Carvajal"/>
        <s v="Dani Olmo"/>
        <s v="Pablo Sarabia"/>
        <s v="Unai Simón"/>
        <s v="Aymeric Laporte"/>
        <s v="Ansu Fati"/>
        <s v="Pedri"/>
        <s v="Yann Sommer"/>
        <s v="Edimilson Fernandes"/>
        <s v="Silvan Widmer"/>
        <s v="Nico Elvedi"/>
        <s v="Manuel Akanji"/>
        <s v="Denis Zakaria"/>
        <s v="Breel Embolo"/>
        <s v="Remo Freuler"/>
        <s v="Haris Seferovic"/>
        <s v="Granit Xhaka "/>
        <s v="Renato Steffen"/>
        <s v="Jonas Omlin"/>
        <s v="Ricardo Rodriguez"/>
        <s v="Michel Aebischer"/>
        <s v="Djibril Sow"/>
        <s v="Christian Fassnacht"/>
        <s v="Ruben Vargas"/>
        <s v="Eray Cömert"/>
        <s v="Noah Okafor"/>
        <s v="Fabian Frei"/>
        <s v="Gregor Kobel"/>
        <s v="Fabian Schär"/>
        <s v="Xherdan Shaqiri"/>
        <s v="Philipp Köhn"/>
        <s v="Fabian Rieder"/>
        <s v="Ardon Jashari"/>
        <s v="Aymen Mathlouthi"/>
        <s v="Bilel Ifa"/>
        <s v="Montassar Talbi"/>
        <s v="Yassine Meriah"/>
        <s v="Nader Ghandri"/>
        <s v="Dylan Bronn"/>
        <s v="Youssef Msakni "/>
        <s v="Hannibal Mejbri"/>
        <s v="Issam Jebali"/>
        <s v="Wahbi Khazri"/>
        <s v="Taha Yassine Khenissi"/>
        <s v="Ali Maâloul"/>
        <s v="Ferjani Sassi"/>
        <s v="Aïssa Laïdouni"/>
        <s v="Mohamed Ali Ben Romdhane"/>
        <s v="Aymen Dahmen"/>
        <s v="Ellyes Skhiri"/>
        <s v="Ghailene Chaalali"/>
        <s v="Seifeddine Jaziri"/>
        <s v="Mohamed Dräger"/>
        <s v="Wajdi Kechrida"/>
        <s v="Bechir Ben Saïd"/>
        <s v="Naïm Sliti"/>
        <s v="Ali Abdi"/>
        <s v="Anis Ben Slimane"/>
        <s v="Mouez Hassen"/>
        <s v="Fernando Muslera"/>
        <s v="José Giménez"/>
        <s v="Diego Godín "/>
        <s v="Ronald Araújo"/>
        <s v="Matías Vecino"/>
        <s v="Rodrigo Bentancur"/>
        <s v="Nicolás de la Cruz"/>
        <s v="Facundo Pellistri"/>
        <s v="Luis Suárez"/>
        <s v="Giorgian de Arrascaeta"/>
        <s v="Darwin Núñez"/>
        <s v="Sebastián Sosa"/>
        <s v="Guillermo Varela"/>
        <s v="Lucas Torreira"/>
        <s v="Federico Valverde"/>
        <s v="Mathías Olivera"/>
        <s v="Matías Viña"/>
        <s v="Maxi Gómez"/>
        <s v="Sebastián Coates"/>
        <s v="Facundo Torres"/>
        <s v="Edinson Cavani"/>
        <s v="Martín Cáceres"/>
        <s v="Sergio Rochet"/>
        <s v="Agustín Canobbio"/>
        <s v="Manuel Ugarte"/>
        <s v="José Luis Rodríguez"/>
        <s v="Matt Turner"/>
        <s v="Sergiño Dest"/>
        <s v="Walker Zimmerman"/>
        <s v="Tyler Adams"/>
        <s v="Antonee Robinson"/>
        <s v="Yunus Musah"/>
        <s v="Giovanni Reyna"/>
        <s v="Weston McKennie"/>
        <s v="Jesús Ferreira"/>
        <s v="Christian Pulisic"/>
        <s v="Brenden Aaronson"/>
        <s v="Ethan Horvath"/>
        <s v="Tim Ream"/>
        <s v="Luca de la Torre"/>
        <s v="Aaron Long"/>
        <s v="Jordan Morris"/>
        <s v="Cristian Roldan"/>
        <s v="Shaq Moore"/>
        <s v="Haji Wright"/>
        <s v="Cameron Carter-Vickers"/>
        <s v="Timothy Weah"/>
        <s v="DeAndre Yedlin"/>
        <s v="Kellyn Acosta"/>
        <s v="Josh Sargent"/>
        <s v="Sean Johnson"/>
        <s v="Joe Scally"/>
        <s v="Wayne Hennessey"/>
        <s v="Chris Gunter"/>
        <s v="Neco Williams"/>
        <s v="Ben Davies"/>
        <s v="Chris Mepham"/>
        <s v="Joe Rodon"/>
        <s v="Joe Allen"/>
        <s v="Harry Wilson"/>
        <s v="Brennan Johnson"/>
        <s v="Aaron Ramsey"/>
        <s v="Gareth Bale "/>
        <s v="Danny Ward"/>
        <s v="Kieffer Moore"/>
        <s v="Connor Roberts"/>
        <s v="Ethan Ampadu"/>
        <s v="Joe Morrell"/>
        <s v="Tom Lockyer"/>
        <s v="Jonny Williams"/>
        <s v="Mark Harris"/>
        <s v="Daniel James"/>
        <s v="Adam Davies"/>
        <s v="Sorba Thomas"/>
        <s v="Dylan Levitt"/>
        <s v="Ben Cabango"/>
        <s v="Rubin Colwill"/>
        <s v="Matthew Smith"/>
      </sharedItems>
    </cacheField>
    <cacheField name="Date Of Birth" numFmtId="164">
      <sharedItems containsSemiMixedTypes="0" containsNonDate="0" containsDate="1" containsString="0" minDate="1982-09-18T00:00:00" maxDate="2004-11-21T00:00:00"/>
    </cacheField>
    <cacheField name="Age" numFmtId="1">
      <sharedItems containsSemiMixedTypes="0" containsString="0" containsNumber="1" containsInteger="1" minValue="18" maxValue="40"/>
    </cacheField>
    <cacheField name="Caps" numFmtId="0">
      <sharedItems containsSemiMixedTypes="0" containsString="0" containsNumber="1" containsInteger="1" minValue="0" maxValue="191"/>
    </cacheField>
    <cacheField name="International Goals" numFmtId="0">
      <sharedItems containsSemiMixedTypes="0" containsString="0" containsNumber="1" containsInteger="1" minValue="0" maxValue="117"/>
    </cacheField>
    <cacheField name="Current Club" numFmtId="0">
      <sharedItems/>
    </cacheField>
    <cacheField name="ClubID" numFmtId="0">
      <sharedItems/>
    </cacheField>
    <cacheField name="World Cup Result" numFmtId="0">
      <sharedItems/>
    </cacheField>
    <cacheField name="Last Four" numFmtId="0">
      <sharedItems containsSemiMixedTypes="0" containsString="0" containsNumber="1" containsInteger="1" minValue="0" maxValue="1"/>
    </cacheField>
    <cacheField name="Average Gaols Per Game" numFmtId="0" formula="'International Goals'/Caps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5960.779196759257" createdVersion="5" refreshedVersion="8" minRefreshableVersion="3" recordCount="0" supportSubquery="1" supportAdvancedDrill="1" xr:uid="{ECD9B674-2C0A-497F-B78D-95E66CE8042D}">
  <cacheSource type="external" connectionId="12"/>
  <cacheFields count="2">
    <cacheField name="[Football_Associations].[Football Association].[Football Association]" caption="Football Association" numFmtId="0" hierarchy="49" level="1">
      <sharedItems count="30">
        <s v="Argentina"/>
        <s v="Australia"/>
        <s v="Austria"/>
        <s v="Belgium"/>
        <s v="Brasil"/>
        <s v="Costa Rica"/>
        <s v="Croatia"/>
        <s v="Denmark"/>
        <s v="Ecuador"/>
        <s v="England"/>
        <s v="France"/>
        <s v="Germany"/>
        <s v="Greece"/>
        <s v="Iran"/>
        <s v="Italy"/>
        <s v="Japan"/>
        <s v="Korea Rep"/>
        <s v="Mexico"/>
        <s v="Morocco"/>
        <s v="Netherlands"/>
        <s v="Poland"/>
        <s v="Portugal"/>
        <s v="Qatar"/>
        <s v="Saudi Arabia"/>
        <s v="Scotland"/>
        <s v="Spain"/>
        <s v="Switzerland"/>
        <s v="Tunisia"/>
        <s v="Turkey"/>
        <s v="USA"/>
      </sharedItems>
    </cacheField>
    <cacheField name="[Measures].[Sum of Players Represented At World Cup]" caption="Sum of Players Represented At World Cup" numFmtId="0" hierarchy="196" level="32767"/>
  </cacheFields>
  <cacheHierarchies count="209">
    <cacheHierarchy uniqueName="[All_Results].[Attendance]" caption="Attendance" attribute="1" defaultMemberUniqueName="[All_Results].[Attendance].[All]" allUniqueName="[All_Results].[Attendance].[All]" dimensionUniqueName="[All_Results]" displayFolder="" count="0" memberValueDatatype="130" unbalanced="0"/>
    <cacheHierarchy uniqueName="[All_Results].[Away]" caption="Away" attribute="1" defaultMemberUniqueName="[All_Results].[Away].[All]" allUniqueName="[All_Results].[Away].[All]" dimensionUniqueName="[All_Results]" displayFolder="" count="0" memberValueDatatype="130" unbalanced="0"/>
    <cacheHierarchy uniqueName="[All_Results].[Away Score]" caption="Away Score" attribute="1" defaultMemberUniqueName="[All_Results].[Away Score].[All]" allUniqueName="[All_Results].[Away Score].[All]" dimensionUniqueName="[All_Results]" displayFolder="" count="0" memberValueDatatype="130" unbalanced="0"/>
    <cacheHierarchy uniqueName="[All_Results].[Date]" caption="Date" attribute="1" defaultMemberUniqueName="[All_Results].[Date].[All]" allUniqueName="[All_Results].[Date].[All]" dimensionUniqueName="[All_Results]" displayFolder="" count="0" memberValueDatatype="130" unbalanced="0"/>
    <cacheHierarchy uniqueName="[All_Results].[Home]" caption="Home" attribute="1" defaultMemberUniqueName="[All_Results].[Home].[All]" allUniqueName="[All_Results].[Home].[All]" dimensionUniqueName="[All_Results]" displayFolder="" count="0" memberValueDatatype="130" unbalanced="0"/>
    <cacheHierarchy uniqueName="[All_Results].[Home Score]" caption="Home Score" attribute="1" defaultMemberUniqueName="[All_Results].[Home Score].[All]" allUniqueName="[All_Results].[Home Score].[All]" dimensionUniqueName="[All_Results]" displayFolder="" count="0" memberValueDatatype="130" unbalanced="0"/>
    <cacheHierarchy uniqueName="[All_Results].[Location]" caption="Location" attribute="1" defaultMemberUniqueName="[All_Results].[Location].[All]" allUniqueName="[All_Results].[Location].[All]" dimensionUniqueName="[All_Results]" displayFolder="" count="0" memberValueDatatype="130" unbalanced="0"/>
    <cacheHierarchy uniqueName="[All_Results].[Match Category]" caption="Match Category" attribute="1" defaultMemberUniqueName="[All_Results].[Match Category].[All]" allUniqueName="[All_Results].[Match Category].[All]" dimensionUniqueName="[All_Results]" displayFolder="" count="0" memberValueDatatype="130" unbalanced="0"/>
    <cacheHierarchy uniqueName="[All_Results].[Match No]" caption="Match No" attribute="1" defaultMemberUniqueName="[All_Results].[Match No].[All]" allUniqueName="[All_Results].[Match No].[All]" dimensionUniqueName="[All_Results]" displayFolder="" count="0" memberValueDatatype="130" unbalanced="0"/>
    <cacheHierarchy uniqueName="[All_Results].[Merged]" caption="Merged" attribute="1" defaultMemberUniqueName="[All_Results].[Merged].[All]" allUniqueName="[All_Results].[Merged].[All]" dimensionUniqueName="[All_Results]" displayFolder="" count="0" memberValueDatatype="130" unbalanced="0"/>
    <cacheHierarchy uniqueName="[All_Results].[Round]" caption="Round" attribute="1" defaultMemberUniqueName="[All_Results].[Round].[All]" allUniqueName="[All_Results].[Round].[All]" dimensionUniqueName="[All_Results]" displayFolder="" count="0" memberValueDatatype="130" unbalanced="0"/>
    <cacheHierarchy uniqueName="[All_Results].[Time]" caption="Time" attribute="1" defaultMemberUniqueName="[All_Results].[Time].[All]" allUniqueName="[All_Results].[Time].[All]" dimensionUniqueName="[All_Results]" displayFolder="" count="0" memberValueDatatype="130" unbalanced="0"/>
    <cacheHierarchy uniqueName="[All_Results].[Total Goals]" caption="Total Goals" attribute="1" defaultMemberUniqueName="[All_Results].[Total Goals].[All]" allUniqueName="[All_Results].[Total Goals].[All]" dimensionUniqueName="[All_Results]" displayFolder="" count="0" memberValueDatatype="130" unbalanced="0"/>
    <cacheHierarchy uniqueName="[Club_Leagues].[Club - League]" caption="Club - League" attribute="1" defaultMemberUniqueName="[Club_Leagues].[Club - League].[All]" allUniqueName="[Club_Leagues].[Club - League].[All]" dimensionUniqueName="[Club_Leagues]" displayFolder="" count="0" memberValueDatatype="130" unbalanced="0"/>
    <cacheHierarchy uniqueName="[Clubs].[Current Club]" caption="Current Club" attribute="1" defaultMemberUniqueName="[Clubs].[Current Club].[All]" allUniqueName="[Clubs].[Current Club].[All]" dimensionUniqueName="[Clubs]" displayFolder="" count="0" memberValueDatatype="130" unbalanced="0"/>
    <cacheHierarchy uniqueName="[Clubs].[Players Represented At World Cup]" caption="Players Represented At World Cup" attribute="1" defaultMemberUniqueName="[Clubs].[Players Represented At World Cup].[All]" allUniqueName="[Clubs].[Players Represented At World Cup].[All]" dimensionUniqueName="[Clubs]" displayFolder="" count="0" memberValueDatatype="20" unbalanced="0"/>
    <cacheHierarchy uniqueName="[Clubs 1].[Club - League]" caption="Club - League" attribute="1" defaultMemberUniqueName="[Clubs 1].[Club - League].[All]" allUniqueName="[Clubs 1].[Club - League].[All]" dimensionUniqueName="[Clubs 1]" displayFolder="" count="0" memberValueDatatype="130" unbalanced="0"/>
    <cacheHierarchy uniqueName="[Clubs 1].[ClubID]" caption="ClubID" attribute="1" defaultMemberUniqueName="[Clubs 1].[ClubID].[All]" allUniqueName="[Clubs 1].[ClubID].[All]" dimensionUniqueName="[Clubs 1]" displayFolder="" count="0" memberValueDatatype="130" unbalanced="0"/>
    <cacheHierarchy uniqueName="[Clubs 1].[Current Club]" caption="Current Club" attribute="1" defaultMemberUniqueName="[Clubs 1].[Current Club].[All]" allUniqueName="[Clubs 1].[Current Club].[All]" dimensionUniqueName="[Clubs 1]" displayFolder="" count="0" memberValueDatatype="130" unbalanced="0"/>
    <cacheHierarchy uniqueName="[Clubs 1].[Football Association]" caption="Football Association" attribute="1" defaultMemberUniqueName="[Clubs 1].[Football Association].[All]" allUniqueName="[Clubs 1].[Football Association].[All]" dimensionUniqueName="[Clubs 1]" displayFolder="" count="0" memberValueDatatype="130" unbalanced="0"/>
    <cacheHierarchy uniqueName="[Clubs 1].[FullData]" caption="FullData" attribute="1" defaultMemberUniqueName="[Clubs 1].[FullData].[All]" allUniqueName="[Clubs 1].[FullData].[All]" dimensionUniqueName="[Clubs 1]" displayFolder="" count="0" memberValueDatatype="130" unbalanced="0"/>
    <cacheHierarchy uniqueName="[FIFA_Region].[Area]" caption="Area" attribute="1" defaultMemberUniqueName="[FIFA_Region].[Area].[All]" allUniqueName="[FIFA_Region].[Area].[All]" dimensionUniqueName="[FIFA_Region]" displayFolder="" count="0" memberValueDatatype="130" unbalanced="0"/>
    <cacheHierarchy uniqueName="[FIFA_Region].[FIFA Region]" caption="FIFA Region" attribute="1" defaultMemberUniqueName="[FIFA_Region].[FIFA Region].[All]" allUniqueName="[FIFA_Region].[FIFA Region].[All]" dimensionUniqueName="[FIFA_Region]" displayFolder="" count="0" memberValueDatatype="130" unbalanced="0"/>
    <cacheHierarchy uniqueName="[Fixtures].[Attendance]" caption="Attendance" attribute="1" defaultMemberUniqueName="[Fixtures].[Attendance].[All]" allUniqueName="[Fixtures].[Attendance].[All]" dimensionUniqueName="[Fixtures]" displayFolder="" count="0" memberValueDatatype="20" unbalanced="0"/>
    <cacheHierarchy uniqueName="[Fixtures].[Away]" caption="Away" attribute="1" defaultMemberUniqueName="[Fixtures].[Away].[All]" allUniqueName="[Fixtures].[Away].[All]" dimensionUniqueName="[Fixtures]" displayFolder="" count="0" memberValueDatatype="130" unbalanced="0"/>
    <cacheHierarchy uniqueName="[Fixtures].[Away Draw Points]" caption="Away Draw Points" attribute="1" defaultMemberUniqueName="[Fixtures].[Away Draw Points].[All]" allUniqueName="[Fixtures].[Away Draw Points].[All]" dimensionUniqueName="[Fixtures]" displayFolder="" count="0" memberValueDatatype="20" unbalanced="0"/>
    <cacheHierarchy uniqueName="[Fixtures].[Away Games Played]" caption="Away Games Played" attribute="1" defaultMemberUniqueName="[Fixtures].[Away Games Played].[All]" allUniqueName="[Fixtures].[Away Games Played].[All]" dimensionUniqueName="[Fixtures]" displayFolder="" count="0" memberValueDatatype="20" unbalanced="0"/>
    <cacheHierarchy uniqueName="[Fixtures].[Away Points]" caption="Away Points" attribute="1" defaultMemberUniqueName="[Fixtures].[Away Points].[All]" allUniqueName="[Fixtures].[Away Points].[All]" dimensionUniqueName="[Fixtures]" displayFolder="" count="0" memberValueDatatype="20" unbalanced="0"/>
    <cacheHierarchy uniqueName="[Fixtures].[Away Score]" caption="Away Score" attribute="1" defaultMemberUniqueName="[Fixtures].[Away Score].[All]" allUniqueName="[Fixtures].[Away Score].[All]" dimensionUniqueName="[Fixtures]" displayFolder="" count="0" memberValueDatatype="20" unbalanced="0"/>
    <cacheHierarchy uniqueName="[Fixtures].[Date]" caption="Date" attribute="1" time="1" defaultMemberUniqueName="[Fixtures].[Date].[All]" allUniqueName="[Fixtures].[Date].[All]" dimensionUniqueName="[Fixtures]" displayFolder="" count="0" memberValueDatatype="7" unbalanced="0"/>
    <cacheHierarchy uniqueName="[Fixtures].[Forecast Result]" caption="Forecast Result" attribute="1" defaultMemberUniqueName="[Fixtures].[Forecast Result].[All]" allUniqueName="[Fixtures].[Forecast Result].[All]" dimensionUniqueName="[Fixtures]" displayFolder="" count="0" memberValueDatatype="130" unbalanced="0"/>
    <cacheHierarchy uniqueName="[Fixtures].[Home]" caption="Home" attribute="1" defaultMemberUniqueName="[Fixtures].[Home].[All]" allUniqueName="[Fixtures].[Home].[All]" dimensionUniqueName="[Fixtures]" displayFolder="" count="0" memberValueDatatype="130" unbalanced="0"/>
    <cacheHierarchy uniqueName="[Fixtures].[Home Draw Points]" caption="Home Draw Points" attribute="1" defaultMemberUniqueName="[Fixtures].[Home Draw Points].[All]" allUniqueName="[Fixtures].[Home Draw Points].[All]" dimensionUniqueName="[Fixtures]" displayFolder="" count="0" memberValueDatatype="20" unbalanced="0"/>
    <cacheHierarchy uniqueName="[Fixtures].[Home Games Played]" caption="Home Games Played" attribute="1" defaultMemberUniqueName="[Fixtures].[Home Games Played].[All]" allUniqueName="[Fixtures].[Home Games Played].[All]" dimensionUniqueName="[Fixtures]" displayFolder="" count="0" memberValueDatatype="20" unbalanced="0"/>
    <cacheHierarchy uniqueName="[Fixtures].[Home Points]" caption="Home Points" attribute="1" defaultMemberUniqueName="[Fixtures].[Home Points].[All]" allUniqueName="[Fixtures].[Home Points].[All]" dimensionUniqueName="[Fixtures]" displayFolder="" count="0" memberValueDatatype="20" unbalanced="0"/>
    <cacheHierarchy uniqueName="[Fixtures].[Home Score]" caption="Home Score" attribute="1" defaultMemberUniqueName="[Fixtures].[Home Score].[All]" allUniqueName="[Fixtures].[Home Score].[All]" dimensionUniqueName="[Fixtures]" displayFolder="" count="0" memberValueDatatype="20" unbalanced="0"/>
    <cacheHierarchy uniqueName="[Fixtures].[Knock Out Rounds Away]" caption="Knock Out Rounds Away" attribute="1" defaultMemberUniqueName="[Fixtures].[Knock Out Rounds Away].[All]" allUniqueName="[Fixtures].[Knock Out Rounds Away].[All]" dimensionUniqueName="[Fixtures]" displayFolder="" count="0" memberValueDatatype="130" unbalanced="0"/>
    <cacheHierarchy uniqueName="[Fixtures].[Knock Out Rounds Home]" caption="Knock Out Rounds Home" attribute="1" defaultMemberUniqueName="[Fixtures].[Knock Out Rounds Home].[All]" allUniqueName="[Fixtures].[Knock Out Rounds Home].[All]" dimensionUniqueName="[Fixtures]" displayFolder="" count="0" memberValueDatatype="130" unbalanced="0"/>
    <cacheHierarchy uniqueName="[Fixtures].[Knock Out Rounds Home2]" caption="Knock Out Rounds Home2" attribute="1" defaultMemberUniqueName="[Fixtures].[Knock Out Rounds Home2].[All]" allUniqueName="[Fixtures].[Knock Out Rounds Home2].[All]" dimensionUniqueName="[Fixtures]" displayFolder="" count="0" memberValueDatatype="130" unbalanced="0"/>
    <cacheHierarchy uniqueName="[Fixtures].[Knock Out Winner]" caption="Knock Out Winner" attribute="1" defaultMemberUniqueName="[Fixtures].[Knock Out Winner].[All]" allUniqueName="[Fixtures].[Knock Out Winner].[All]" dimensionUniqueName="[Fixtures]" displayFolder="" count="0" memberValueDatatype="130" unbalanced="0"/>
    <cacheHierarchy uniqueName="[Fixtures].[Location]" caption="Location" attribute="1" defaultMemberUniqueName="[Fixtures].[Location].[All]" allUniqueName="[Fixtures].[Location].[All]" dimensionUniqueName="[Fixtures]" displayFolder="" count="0" memberValueDatatype="130" unbalanced="0"/>
    <cacheHierarchy uniqueName="[Fixtures].[Match Category]" caption="Match Category" attribute="1" defaultMemberUniqueName="[Fixtures].[Match Category].[All]" allUniqueName="[Fixtures].[Match Category].[All]" dimensionUniqueName="[Fixtures]" displayFolder="" count="0" memberValueDatatype="130" unbalanced="0"/>
    <cacheHierarchy uniqueName="[Fixtures].[Match No]" caption="Match No" attribute="1" defaultMemberUniqueName="[Fixtures].[Match No].[All]" allUniqueName="[Fixtures].[Match No].[All]" dimensionUniqueName="[Fixtures]" displayFolder="" count="0" memberValueDatatype="20" unbalanced="0"/>
    <cacheHierarchy uniqueName="[Fixtures].[Outcome]" caption="Outcome" attribute="1" defaultMemberUniqueName="[Fixtures].[Outcome].[All]" allUniqueName="[Fixtures].[Outcome].[All]" dimensionUniqueName="[Fixtures]" displayFolder="" count="0" memberValueDatatype="130" unbalanced="0"/>
    <cacheHierarchy uniqueName="[Fixtures].[Result]" caption="Result" attribute="1" defaultMemberUniqueName="[Fixtures].[Result].[All]" allUniqueName="[Fixtures].[Result].[All]" dimensionUniqueName="[Fixtures]" displayFolder="" count="0" memberValueDatatype="130" unbalanced="0"/>
    <cacheHierarchy uniqueName="[Fixtures].[Round]" caption="Round" attribute="1" defaultMemberUniqueName="[Fixtures].[Round].[All]" allUniqueName="[Fixtures].[Round].[All]" dimensionUniqueName="[Fixtures]" displayFolder="" count="0" memberValueDatatype="130" unbalanced="0"/>
    <cacheHierarchy uniqueName="[Fixtures].[Time]" caption="Time" attribute="1" time="1" defaultMemberUniqueName="[Fixtures].[Time].[All]" allUniqueName="[Fixtures].[Time].[All]" dimensionUniqueName="[Fixtures]" displayFolder="" count="0" memberValueDatatype="7" unbalanced="0"/>
    <cacheHierarchy uniqueName="[Fixtures].[Total Goals]" caption="Total Goals" attribute="1" defaultMemberUniqueName="[Fixtures].[Total Goals].[All]" allUniqueName="[Fixtures].[Total Goals].[All]" dimensionUniqueName="[Fixtures]" displayFolder="" count="0" memberValueDatatype="20" unbalanced="0"/>
    <cacheHierarchy uniqueName="[Football_Associations].[FIFA Ranking]" caption="FIFA Ranking" attribute="1" defaultMemberUniqueName="[Football_Associations].[FIFA Ranking].[All]" allUniqueName="[Football_Associations].[FIFA Ranking].[All]" dimensionUniqueName="[Football_Associations]" displayFolder="" count="0" memberValueDatatype="20" unbalanced="0"/>
    <cacheHierarchy uniqueName="[Football_Associations].[Football Association]" caption="Football Association" attribute="1" defaultMemberUniqueName="[Football_Associations].[Football Association].[All]" allUniqueName="[Football_Associations].[Football Association].[All]" dimensionUniqueName="[Football_Associations]" displayFolder="" count="2" memberValueDatatype="130" unbalanced="0">
      <fieldsUsage count="2">
        <fieldUsage x="-1"/>
        <fieldUsage x="0"/>
      </fieldsUsage>
    </cacheHierarchy>
    <cacheHierarchy uniqueName="[Football_Associations].[Nation Code]" caption="Nation Code" attribute="1" defaultMemberUniqueName="[Football_Associations].[Nation Code].[All]" allUniqueName="[Football_Associations].[Nation Code].[All]" dimensionUniqueName="[Football_Associations]" displayFolder="" count="0" memberValueDatatype="130" unbalanced="0"/>
    <cacheHierarchy uniqueName="[Football_Associations].[World Cup 2022 Qualification Status]" caption="World Cup 2022 Qualification Status" attribute="1" defaultMemberUniqueName="[Football_Associations].[World Cup 2022 Qualification Status].[All]" allUniqueName="[Football_Associations].[World Cup 2022 Qualification Status].[All]" dimensionUniqueName="[Football_Associations]" displayFolder="" count="0" memberValueDatatype="130" unbalanced="0"/>
    <cacheHierarchy uniqueName="[Football_Associations].[World Cup Result]" caption="World Cup Result" attribute="1" defaultMemberUniqueName="[Football_Associations].[World Cup Result].[All]" allUniqueName="[Football_Associations].[World Cup Result].[All]" dimensionUniqueName="[Football_Associations]" displayFolder="" count="0" memberValueDatatype="130" unbalanced="0"/>
    <cacheHierarchy uniqueName="[Football_Associations 1].[FIFA Ranking]" caption="FIFA Ranking" attribute="1" defaultMemberUniqueName="[Football_Associations 1].[FIFA Ranking].[All]" allUniqueName="[Football_Associations 1].[FIFA Ranking].[All]" dimensionUniqueName="[Football_Associations 1]" displayFolder="" count="0" memberValueDatatype="20" unbalanced="0"/>
    <cacheHierarchy uniqueName="[Football_Associations 1].[FIFA Region]" caption="FIFA Region" attribute="1" defaultMemberUniqueName="[Football_Associations 1].[FIFA Region].[All]" allUniqueName="[Football_Associations 1].[FIFA Region].[All]" dimensionUniqueName="[Football_Associations 1]" displayFolder="" count="0" memberValueDatatype="130" unbalanced="0"/>
    <cacheHierarchy uniqueName="[Football_Associations 1].[Football Association]" caption="Football Association" attribute="1" defaultMemberUniqueName="[Football_Associations 1].[Football Association].[All]" allUniqueName="[Football_Associations 1].[Football Association].[All]" dimensionUniqueName="[Football_Associations 1]" displayFolder="" count="0" memberValueDatatype="130" unbalanced="0"/>
    <cacheHierarchy uniqueName="[Football_Associations 1].[Nation Code]" caption="Nation Code" attribute="1" defaultMemberUniqueName="[Football_Associations 1].[Nation Code].[All]" allUniqueName="[Football_Associations 1].[Nation Code].[All]" dimensionUniqueName="[Football_Associations 1]" displayFolder="" count="0" memberValueDatatype="130" unbalanced="0"/>
    <cacheHierarchy uniqueName="[Football_Associations 1].[World Cup 2022 Qualification Status]" caption="World Cup 2022 Qualification Status" attribute="1" defaultMemberUniqueName="[Football_Associations 1].[World Cup 2022 Qualification Status].[All]" allUniqueName="[Football_Associations 1].[World Cup 2022 Qualification Status].[All]" dimensionUniqueName="[Football_Associations 1]" displayFolder="" count="0" memberValueDatatype="130" unbalanced="0"/>
    <cacheHierarchy uniqueName="[Football_Associations 1].[World Cup Group]" caption="World Cup Group" attribute="1" defaultMemberUniqueName="[Football_Associations 1].[World Cup Group].[All]" allUniqueName="[Football_Associations 1].[World Cup Group].[All]" dimensionUniqueName="[Football_Associations 1]" displayFolder="" count="0" memberValueDatatype="130" unbalanced="0"/>
    <cacheHierarchy uniqueName="[Football_Associations 1].[World Cup Result]" caption="World Cup Result" attribute="1" defaultMemberUniqueName="[Football_Associations 1].[World Cup Result].[All]" allUniqueName="[Football_Associations 1].[World Cup Result].[All]" dimensionUniqueName="[Football_Associations 1]" displayFolder="" count="0" memberValueDatatype="130" unbalanced="0"/>
    <cacheHierarchy uniqueName="[Group Fixtures].[Attendance]" caption="Attendance" attribute="1" defaultMemberUniqueName="[Group Fixtures].[Attendance].[All]" allUniqueName="[Group Fixtures].[Attendance].[All]" dimensionUniqueName="[Group Fixtures]" displayFolder="" count="0" memberValueDatatype="5" unbalanced="0"/>
    <cacheHierarchy uniqueName="[Group Fixtures].[Away]" caption="Away" attribute="1" defaultMemberUniqueName="[Group Fixtures].[Away].[All]" allUniqueName="[Group Fixtures].[Away].[All]" dimensionUniqueName="[Group Fixtures]" displayFolder="" count="0" memberValueDatatype="130" unbalanced="0"/>
    <cacheHierarchy uniqueName="[Group Fixtures].[Away Draw Points]" caption="Away Draw Points" attribute="1" defaultMemberUniqueName="[Group Fixtures].[Away Draw Points].[All]" allUniqueName="[Group Fixtures].[Away Draw Points].[All]" dimensionUniqueName="[Group Fixtures]" displayFolder="" count="0" memberValueDatatype="20" unbalanced="0"/>
    <cacheHierarchy uniqueName="[Group Fixtures].[Away Games Played]" caption="Away Games Played" attribute="1" defaultMemberUniqueName="[Group Fixtures].[Away Games Played].[All]" allUniqueName="[Group Fixtures].[Away Games Played].[All]" dimensionUniqueName="[Group Fixtures]" displayFolder="" count="0" memberValueDatatype="20" unbalanced="0"/>
    <cacheHierarchy uniqueName="[Group Fixtures].[Away Points]" caption="Away Points" attribute="1" defaultMemberUniqueName="[Group Fixtures].[Away Points].[All]" allUniqueName="[Group Fixtures].[Away Points].[All]" dimensionUniqueName="[Group Fixtures]" displayFolder="" count="0" memberValueDatatype="20" unbalanced="0"/>
    <cacheHierarchy uniqueName="[Group Fixtures].[Away Score]" caption="Away Score" attribute="1" defaultMemberUniqueName="[Group Fixtures].[Away Score].[All]" allUniqueName="[Group Fixtures].[Away Score].[All]" dimensionUniqueName="[Group Fixtures]" displayFolder="" count="0" memberValueDatatype="20" unbalanced="0"/>
    <cacheHierarchy uniqueName="[Group Fixtures].[Date]" caption="Date" attribute="1" time="1" defaultMemberUniqueName="[Group Fixtures].[Date].[All]" allUniqueName="[Group Fixtures].[Date].[All]" dimensionUniqueName="[Group Fixtures]" displayFolder="" count="0" memberValueDatatype="7" unbalanced="0"/>
    <cacheHierarchy uniqueName="[Group Fixtures].[Date (Month)]" caption="Date (Month)" attribute="1" defaultMemberUniqueName="[Group Fixtures].[Date (Month)].[All]" allUniqueName="[Group Fixtures].[Date (Month)].[All]" dimensionUniqueName="[Group Fixtures]" displayFolder="" count="0" memberValueDatatype="130" unbalanced="0"/>
    <cacheHierarchy uniqueName="[Group Fixtures].[Forecast Result]" caption="Forecast Result" attribute="1" defaultMemberUniqueName="[Group Fixtures].[Forecast Result].[All]" allUniqueName="[Group Fixtures].[Forecast Result].[All]" dimensionUniqueName="[Group Fixtures]" displayFolder="" count="0" memberValueDatatype="130" unbalanced="0"/>
    <cacheHierarchy uniqueName="[Group Fixtures].[Home]" caption="Home" attribute="1" defaultMemberUniqueName="[Group Fixtures].[Home].[All]" allUniqueName="[Group Fixtures].[Home].[All]" dimensionUniqueName="[Group Fixtures]" displayFolder="" count="0" memberValueDatatype="130" unbalanced="0"/>
    <cacheHierarchy uniqueName="[Group Fixtures].[Home Draw Points]" caption="Home Draw Points" attribute="1" defaultMemberUniqueName="[Group Fixtures].[Home Draw Points].[All]" allUniqueName="[Group Fixtures].[Home Draw Points].[All]" dimensionUniqueName="[Group Fixtures]" displayFolder="" count="0" memberValueDatatype="20" unbalanced="0"/>
    <cacheHierarchy uniqueName="[Group Fixtures].[Home Games Played]" caption="Home Games Played" attribute="1" defaultMemberUniqueName="[Group Fixtures].[Home Games Played].[All]" allUniqueName="[Group Fixtures].[Home Games Played].[All]" dimensionUniqueName="[Group Fixtures]" displayFolder="" count="0" memberValueDatatype="20" unbalanced="0"/>
    <cacheHierarchy uniqueName="[Group Fixtures].[Home Points]" caption="Home Points" attribute="1" defaultMemberUniqueName="[Group Fixtures].[Home Points].[All]" allUniqueName="[Group Fixtures].[Home Points].[All]" dimensionUniqueName="[Group Fixtures]" displayFolder="" count="0" memberValueDatatype="20" unbalanced="0"/>
    <cacheHierarchy uniqueName="[Group Fixtures].[Home Score]" caption="Home Score" attribute="1" defaultMemberUniqueName="[Group Fixtures].[Home Score].[All]" allUniqueName="[Group Fixtures].[Home Score].[All]" dimensionUniqueName="[Group Fixtures]" displayFolder="" count="0" memberValueDatatype="20" unbalanced="0"/>
    <cacheHierarchy uniqueName="[Group Fixtures].[Knock Out Rounds Away]" caption="Knock Out Rounds Away" attribute="1" defaultMemberUniqueName="[Group Fixtures].[Knock Out Rounds Away].[All]" allUniqueName="[Group Fixtures].[Knock Out Rounds Away].[All]" dimensionUniqueName="[Group Fixtures]" displayFolder="" count="0" memberValueDatatype="130" unbalanced="0"/>
    <cacheHierarchy uniqueName="[Group Fixtures].[Knock Out Rounds Home]" caption="Knock Out Rounds Home" attribute="1" defaultMemberUniqueName="[Group Fixtures].[Knock Out Rounds Home].[All]" allUniqueName="[Group Fixtures].[Knock Out Rounds Home].[All]" dimensionUniqueName="[Group Fixtures]" displayFolder="" count="0" memberValueDatatype="130" unbalanced="0"/>
    <cacheHierarchy uniqueName="[Group Fixtures].[Knock Out Rounds Home2]" caption="Knock Out Rounds Home2" attribute="1" defaultMemberUniqueName="[Group Fixtures].[Knock Out Rounds Home2].[All]" allUniqueName="[Group Fixtures].[Knock Out Rounds Home2].[All]" dimensionUniqueName="[Group Fixtures]" displayFolder="" count="0" memberValueDatatype="130" unbalanced="0"/>
    <cacheHierarchy uniqueName="[Group Fixtures].[Knock Out Winner]" caption="Knock Out Winner" attribute="1" defaultMemberUniqueName="[Group Fixtures].[Knock Out Winner].[All]" allUniqueName="[Group Fixtures].[Knock Out Winner].[All]" dimensionUniqueName="[Group Fixtures]" displayFolder="" count="0" memberValueDatatype="130" unbalanced="0"/>
    <cacheHierarchy uniqueName="[Group Fixtures].[Location]" caption="Location" attribute="1" defaultMemberUniqueName="[Group Fixtures].[Location].[All]" allUniqueName="[Group Fixtures].[Location].[All]" dimensionUniqueName="[Group Fixtures]" displayFolder="" count="0" memberValueDatatype="130" unbalanced="0"/>
    <cacheHierarchy uniqueName="[Group Fixtures].[Match Category]" caption="Match Category" attribute="1" defaultMemberUniqueName="[Group Fixtures].[Match Category].[All]" allUniqueName="[Group Fixtures].[Match Category].[All]" dimensionUniqueName="[Group Fixtures]" displayFolder="" count="0" memberValueDatatype="130" unbalanced="0"/>
    <cacheHierarchy uniqueName="[Group Fixtures].[Match No]" caption="Match No" attribute="1" defaultMemberUniqueName="[Group Fixtures].[Match No].[All]" allUniqueName="[Group Fixtures].[Match No].[All]" dimensionUniqueName="[Group Fixtures]" displayFolder="" count="0" memberValueDatatype="20" unbalanced="0"/>
    <cacheHierarchy uniqueName="[Group Fixtures].[Outcome]" caption="Outcome" attribute="1" defaultMemberUniqueName="[Group Fixtures].[Outcome].[All]" allUniqueName="[Group Fixtures].[Outcome].[All]" dimensionUniqueName="[Group Fixtures]" displayFolder="" count="0" memberValueDatatype="130" unbalanced="0"/>
    <cacheHierarchy uniqueName="[Group Fixtures].[Result]" caption="Result" attribute="1" defaultMemberUniqueName="[Group Fixtures].[Result].[All]" allUniqueName="[Group Fixtures].[Result].[All]" dimensionUniqueName="[Group Fixtures]" displayFolder="" count="0" memberValueDatatype="130" unbalanced="0"/>
    <cacheHierarchy uniqueName="[Group Fixtures].[Round]" caption="Round" attribute="1" defaultMemberUniqueName="[Group Fixtures].[Round].[All]" allUniqueName="[Group Fixtures].[Round].[All]" dimensionUniqueName="[Group Fixtures]" displayFolder="" count="0" memberValueDatatype="130" unbalanced="0"/>
    <cacheHierarchy uniqueName="[Group Fixtures].[Total Goals]" caption="Total Goals" attribute="1" defaultMemberUniqueName="[Group Fixtures].[Total Goals].[All]" allUniqueName="[Group Fixtures].[Total Goals].[All]" dimensionUniqueName="[Group Fixtures]" displayFolder="" count="0" memberValueDatatype="20" unbalanced="0"/>
    <cacheHierarchy uniqueName="[Knock_Out].[Attendance]" caption="Attendance" attribute="1" defaultMemberUniqueName="[Knock_Out].[Attendance].[All]" allUniqueName="[Knock_Out].[Attendance].[All]" dimensionUniqueName="[Knock_Out]" displayFolder="" count="0" memberValueDatatype="20" unbalanced="0"/>
    <cacheHierarchy uniqueName="[Knock_Out].[Away]" caption="Away" attribute="1" defaultMemberUniqueName="[Knock_Out].[Away].[All]" allUniqueName="[Knock_Out].[Away].[All]" dimensionUniqueName="[Knock_Out]" displayFolder="" count="0" memberValueDatatype="130" unbalanced="0"/>
    <cacheHierarchy uniqueName="[Knock_Out].[Away Score]" caption="Away Score" attribute="1" defaultMemberUniqueName="[Knock_Out].[Away Score].[All]" allUniqueName="[Knock_Out].[Away Score].[All]" dimensionUniqueName="[Knock_Out]" displayFolder="" count="0" memberValueDatatype="20" unbalanced="0"/>
    <cacheHierarchy uniqueName="[Knock_Out].[Date]" caption="Date" attribute="1" time="1" defaultMemberUniqueName="[Knock_Out].[Date].[All]" allUniqueName="[Knock_Out].[Date].[All]" dimensionUniqueName="[Knock_Out]" displayFolder="" count="0" memberValueDatatype="7" unbalanced="0"/>
    <cacheHierarchy uniqueName="[Knock_Out].[Home]" caption="Home" attribute="1" defaultMemberUniqueName="[Knock_Out].[Home].[All]" allUniqueName="[Knock_Out].[Home].[All]" dimensionUniqueName="[Knock_Out]" displayFolder="" count="0" memberValueDatatype="130" unbalanced="0"/>
    <cacheHierarchy uniqueName="[Knock_Out].[Home Score]" caption="Home Score" attribute="1" defaultMemberUniqueName="[Knock_Out].[Home Score].[All]" allUniqueName="[Knock_Out].[Home Score].[All]" dimensionUniqueName="[Knock_Out]" displayFolder="" count="0" memberValueDatatype="20" unbalanced="0"/>
    <cacheHierarchy uniqueName="[Knock_Out].[Knock Out Rounds Away]" caption="Knock Out Rounds Away" attribute="1" defaultMemberUniqueName="[Knock_Out].[Knock Out Rounds Away].[All]" allUniqueName="[Knock_Out].[Knock Out Rounds Away].[All]" dimensionUniqueName="[Knock_Out]" displayFolder="" count="0" memberValueDatatype="130" unbalanced="0"/>
    <cacheHierarchy uniqueName="[Knock_Out].[Knock Out Rounds Home]" caption="Knock Out Rounds Home" attribute="1" defaultMemberUniqueName="[Knock_Out].[Knock Out Rounds Home].[All]" allUniqueName="[Knock_Out].[Knock Out Rounds Home].[All]" dimensionUniqueName="[Knock_Out]" displayFolder="" count="0" memberValueDatatype="130" unbalanced="0"/>
    <cacheHierarchy uniqueName="[Knock_Out].[Knock Out Winner]" caption="Knock Out Winner" attribute="1" defaultMemberUniqueName="[Knock_Out].[Knock Out Winner].[All]" allUniqueName="[Knock_Out].[Knock Out Winner].[All]" dimensionUniqueName="[Knock_Out]" displayFolder="" count="0" memberValueDatatype="130" unbalanced="0"/>
    <cacheHierarchy uniqueName="[Knock_Out].[Location]" caption="Location" attribute="1" defaultMemberUniqueName="[Knock_Out].[Location].[All]" allUniqueName="[Knock_Out].[Location].[All]" dimensionUniqueName="[Knock_Out]" displayFolder="" count="0" memberValueDatatype="130" unbalanced="0"/>
    <cacheHierarchy uniqueName="[Knock_Out].[Match Category]" caption="Match Category" attribute="1" defaultMemberUniqueName="[Knock_Out].[Match Category].[All]" allUniqueName="[Knock_Out].[Match Category].[All]" dimensionUniqueName="[Knock_Out]" displayFolder="" count="0" memberValueDatatype="130" unbalanced="0"/>
    <cacheHierarchy uniqueName="[Knock_Out].[Match No]" caption="Match No" attribute="1" defaultMemberUniqueName="[Knock_Out].[Match No].[All]" allUniqueName="[Knock_Out].[Match No].[All]" dimensionUniqueName="[Knock_Out]" displayFolder="" count="0" memberValueDatatype="20" unbalanced="0"/>
    <cacheHierarchy uniqueName="[Knock_Out].[Outcome]" caption="Outcome" attribute="1" defaultMemberUniqueName="[Knock_Out].[Outcome].[All]" allUniqueName="[Knock_Out].[Outcome].[All]" dimensionUniqueName="[Knock_Out]" displayFolder="" count="0" memberValueDatatype="130" unbalanced="0"/>
    <cacheHierarchy uniqueName="[Knock_Out].[Round]" caption="Round" attribute="1" defaultMemberUniqueName="[Knock_Out].[Round].[All]" allUniqueName="[Knock_Out].[Round].[All]" dimensionUniqueName="[Knock_Out]" displayFolder="" count="0" memberValueDatatype="130" unbalanced="0"/>
    <cacheHierarchy uniqueName="[Knock_Out].[Time]" caption="Time" attribute="1" time="1" defaultMemberUniqueName="[Knock_Out].[Time].[All]" allUniqueName="[Knock_Out].[Time].[All]" dimensionUniqueName="[Knock_Out]" displayFolder="" count="0" memberValueDatatype="7" unbalanced="0"/>
    <cacheHierarchy uniqueName="[Knock_Out_Fixtures].[Attendance]" caption="Attendance" attribute="1" defaultMemberUniqueName="[Knock_Out_Fixtures].[Attendance].[All]" allUniqueName="[Knock_Out_Fixtures].[Attendance].[All]" dimensionUniqueName="[Knock_Out_Fixtures]" displayFolder="" count="0" memberValueDatatype="5" unbalanced="0"/>
    <cacheHierarchy uniqueName="[Knock_Out_Fixtures].[Away]" caption="Away" attribute="1" defaultMemberUniqueName="[Knock_Out_Fixtures].[Away].[All]" allUniqueName="[Knock_Out_Fixtures].[Away].[All]" dimensionUniqueName="[Knock_Out_Fixtures]" displayFolder="" count="0" memberValueDatatype="130" unbalanced="0"/>
    <cacheHierarchy uniqueName="[Knock_Out_Fixtures].[Away Score]" caption="Away Score" attribute="1" defaultMemberUniqueName="[Knock_Out_Fixtures].[Away Score].[All]" allUniqueName="[Knock_Out_Fixtures].[Away Score].[All]" dimensionUniqueName="[Knock_Out_Fixtures]" displayFolder="" count="0" memberValueDatatype="20" unbalanced="0"/>
    <cacheHierarchy uniqueName="[Knock_Out_Fixtures].[Date]" caption="Date" attribute="1" time="1" defaultMemberUniqueName="[Knock_Out_Fixtures].[Date].[All]" allUniqueName="[Knock_Out_Fixtures].[Date].[All]" dimensionUniqueName="[Knock_Out_Fixtures]" displayFolder="" count="0" memberValueDatatype="7" unbalanced="0"/>
    <cacheHierarchy uniqueName="[Knock_Out_Fixtures].[Home]" caption="Home" attribute="1" defaultMemberUniqueName="[Knock_Out_Fixtures].[Home].[All]" allUniqueName="[Knock_Out_Fixtures].[Home].[All]" dimensionUniqueName="[Knock_Out_Fixtures]" displayFolder="" count="0" memberValueDatatype="130" unbalanced="0"/>
    <cacheHierarchy uniqueName="[Knock_Out_Fixtures].[Home Score]" caption="Home Score" attribute="1" defaultMemberUniqueName="[Knock_Out_Fixtures].[Home Score].[All]" allUniqueName="[Knock_Out_Fixtures].[Home Score].[All]" dimensionUniqueName="[Knock_Out_Fixtures]" displayFolder="" count="0" memberValueDatatype="20" unbalanced="0"/>
    <cacheHierarchy uniqueName="[Knock_Out_Fixtures].[Knock Out Rounds Away]" caption="Knock Out Rounds Away" attribute="1" defaultMemberUniqueName="[Knock_Out_Fixtures].[Knock Out Rounds Away].[All]" allUniqueName="[Knock_Out_Fixtures].[Knock Out Rounds Away].[All]" dimensionUniqueName="[Knock_Out_Fixtures]" displayFolder="" count="0" memberValueDatatype="130" unbalanced="0"/>
    <cacheHierarchy uniqueName="[Knock_Out_Fixtures].[Knock Out Rounds Home]" caption="Knock Out Rounds Home" attribute="1" defaultMemberUniqueName="[Knock_Out_Fixtures].[Knock Out Rounds Home].[All]" allUniqueName="[Knock_Out_Fixtures].[Knock Out Rounds Home].[All]" dimensionUniqueName="[Knock_Out_Fixtures]" displayFolder="" count="0" memberValueDatatype="130" unbalanced="0"/>
    <cacheHierarchy uniqueName="[Knock_Out_Fixtures].[Knock Out Winner]" caption="Knock Out Winner" attribute="1" defaultMemberUniqueName="[Knock_Out_Fixtures].[Knock Out Winner].[All]" allUniqueName="[Knock_Out_Fixtures].[Knock Out Winner].[All]" dimensionUniqueName="[Knock_Out_Fixtures]" displayFolder="" count="0" memberValueDatatype="130" unbalanced="0"/>
    <cacheHierarchy uniqueName="[Knock_Out_Fixtures].[Location]" caption="Location" attribute="1" defaultMemberUniqueName="[Knock_Out_Fixtures].[Location].[All]" allUniqueName="[Knock_Out_Fixtures].[Location].[All]" dimensionUniqueName="[Knock_Out_Fixtures]" displayFolder="" count="0" memberValueDatatype="130" unbalanced="0"/>
    <cacheHierarchy uniqueName="[Knock_Out_Fixtures].[Match Category]" caption="Match Category" attribute="1" defaultMemberUniqueName="[Knock_Out_Fixtures].[Match Category].[All]" allUniqueName="[Knock_Out_Fixtures].[Match Category].[All]" dimensionUniqueName="[Knock_Out_Fixtures]" displayFolder="" count="0" memberValueDatatype="130" unbalanced="0"/>
    <cacheHierarchy uniqueName="[Knock_Out_Fixtures].[Match No]" caption="Match No" attribute="1" defaultMemberUniqueName="[Knock_Out_Fixtures].[Match No].[All]" allUniqueName="[Knock_Out_Fixtures].[Match No].[All]" dimensionUniqueName="[Knock_Out_Fixtures]" displayFolder="" count="0" memberValueDatatype="20" unbalanced="0"/>
    <cacheHierarchy uniqueName="[Knock_Out_Fixtures].[Outcome]" caption="Outcome" attribute="1" defaultMemberUniqueName="[Knock_Out_Fixtures].[Outcome].[All]" allUniqueName="[Knock_Out_Fixtures].[Outcome].[All]" dimensionUniqueName="[Knock_Out_Fixtures]" displayFolder="" count="0" memberValueDatatype="130" unbalanced="0"/>
    <cacheHierarchy uniqueName="[Knock_Out_Fixtures].[Round]" caption="Round" attribute="1" defaultMemberUniqueName="[Knock_Out_Fixtures].[Round].[All]" allUniqueName="[Knock_Out_Fixtures].[Round].[All]" dimensionUniqueName="[Knock_Out_Fixtures]" displayFolder="" count="0" memberValueDatatype="130" unbalanced="0"/>
    <cacheHierarchy uniqueName="[Leagues_Of_FA].[Club - League]" caption="Club - League" attribute="1" defaultMemberUniqueName="[Leagues_Of_FA].[Club - League].[All]" allUniqueName="[Leagues_Of_FA].[Club - League].[All]" dimensionUniqueName="[Leagues_Of_FA]" displayFolder="" count="0" memberValueDatatype="130" unbalanced="0"/>
    <cacheHierarchy uniqueName="[Leagues_Of_FA].[Football Association]" caption="Football Association" attribute="1" defaultMemberUniqueName="[Leagues_Of_FA].[Football Association].[All]" allUniqueName="[Leagues_Of_FA].[Football Association].[All]" dimensionUniqueName="[Leagues_Of_FA]" displayFolder="" count="0" memberValueDatatype="130" unbalanced="0"/>
    <cacheHierarchy uniqueName="[Match_Record].[Action]" caption="Action" attribute="1" defaultMemberUniqueName="[Match_Record].[Action].[All]" allUniqueName="[Match_Record].[Action].[All]" dimensionUniqueName="[Match_Record]" displayFolder="" count="0" memberValueDatatype="130" unbalanced="0"/>
    <cacheHierarchy uniqueName="[Match_Record].[Away]" caption="Away" attribute="1" defaultMemberUniqueName="[Match_Record].[Away].[All]" allUniqueName="[Match_Record].[Away].[All]" dimensionUniqueName="[Match_Record]" displayFolder="" count="0" memberValueDatatype="130" unbalanced="0"/>
    <cacheHierarchy uniqueName="[Match_Record].[Date]" caption="Date" attribute="1" time="1" defaultMemberUniqueName="[Match_Record].[Date].[All]" allUniqueName="[Match_Record].[Date].[All]" dimensionUniqueName="[Match_Record]" displayFolder="" count="0" memberValueDatatype="7" unbalanced="0"/>
    <cacheHierarchy uniqueName="[Match_Record].[Home]" caption="Home" attribute="1" defaultMemberUniqueName="[Match_Record].[Home].[All]" allUniqueName="[Match_Record].[Home].[All]" dimensionUniqueName="[Match_Record]" displayFolder="" count="0" memberValueDatatype="130" unbalanced="0"/>
    <cacheHierarchy uniqueName="[Match_Record].[Minutes of Action]" caption="Minutes of Action" attribute="1" defaultMemberUniqueName="[Match_Record].[Minutes of Action].[All]" allUniqueName="[Match_Record].[Minutes of Action].[All]" dimensionUniqueName="[Match_Record]" displayFolder="" count="0" memberValueDatatype="20" unbalanced="0"/>
    <cacheHierarchy uniqueName="[Match_Record].[Player Name]" caption="Player Name" attribute="1" defaultMemberUniqueName="[Match_Record].[Player Name].[All]" allUniqueName="[Match_Record].[Player Name].[All]" dimensionUniqueName="[Match_Record]" displayFolder="" count="0" memberValueDatatype="130" unbalanced="0"/>
    <cacheHierarchy uniqueName="[Match_Record].[Team]" caption="Team" attribute="1" defaultMemberUniqueName="[Match_Record].[Team].[All]" allUniqueName="[Match_Record].[Team].[All]" dimensionUniqueName="[Match_Record]" displayFolder="" count="0" memberValueDatatype="130" unbalanced="0"/>
    <cacheHierarchy uniqueName="[Squads].[Age]" caption="Age" attribute="1" defaultMemberUniqueName="[Squads].[Age].[All]" allUniqueName="[Squads].[Age].[All]" dimensionUniqueName="[Squads]" displayFolder="" count="0" memberValueDatatype="20" unbalanced="0"/>
    <cacheHierarchy uniqueName="[Squads].[Age Range]" caption="Age Range" attribute="1" defaultMemberUniqueName="[Squads].[Age Range].[All]" allUniqueName="[Squads].[Age Range].[All]" dimensionUniqueName="[Squads]" displayFolder="" count="0" memberValueDatatype="130" unbalanced="0"/>
    <cacheHierarchy uniqueName="[Squads].[Caps]" caption="Caps" attribute="1" defaultMemberUniqueName="[Squads].[Caps].[All]" allUniqueName="[Squads].[Caps].[All]" dimensionUniqueName="[Squads]" displayFolder="" count="0" memberValueDatatype="20" unbalanced="0"/>
    <cacheHierarchy uniqueName="[Squads].[Date Of Birth]" caption="Date Of Birth" attribute="1" time="1" defaultMemberUniqueName="[Squads].[Date Of Birth].[All]" allUniqueName="[Squads].[Date Of Birth].[All]" dimensionUniqueName="[Squads]" displayFolder="" count="0" memberValueDatatype="7" unbalanced="0"/>
    <cacheHierarchy uniqueName="[Squads].[Experience]" caption="Experience" attribute="1" defaultMemberUniqueName="[Squads].[Experience].[All]" allUniqueName="[Squads].[Experience].[All]" dimensionUniqueName="[Squads]" displayFolder="" count="0" memberValueDatatype="130" unbalanced="0"/>
    <cacheHierarchy uniqueName="[Squads].[FA]" caption="FA" attribute="1" defaultMemberUniqueName="[Squads].[FA].[All]" allUniqueName="[Squads].[FA].[All]" dimensionUniqueName="[Squads]" displayFolder="" count="0" memberValueDatatype="130" unbalanced="0"/>
    <cacheHierarchy uniqueName="[Squads].[International Goals]" caption="International Goals" attribute="1" defaultMemberUniqueName="[Squads].[International Goals].[All]" allUniqueName="[Squads].[International Goals].[All]" dimensionUniqueName="[Squads]" displayFolder="" count="0" memberValueDatatype="20" unbalanced="0"/>
    <cacheHierarchy uniqueName="[Squads].[Last Four]" caption="Last Four" attribute="1" defaultMemberUniqueName="[Squads].[Last Four].[All]" allUniqueName="[Squads].[Last Four].[All]" dimensionUniqueName="[Squads]" displayFolder="" count="0" memberValueDatatype="20" unbalanced="0"/>
    <cacheHierarchy uniqueName="[Squads].[Player Name]" caption="Player Name" attribute="1" defaultMemberUniqueName="[Squads].[Player Name].[All]" allUniqueName="[Squads].[Player Name].[All]" dimensionUniqueName="[Squads]" displayFolder="" count="0" memberValueDatatype="130" unbalanced="0"/>
    <cacheHierarchy uniqueName="[Squads].[Player No]" caption="Player No" attribute="1" defaultMemberUniqueName="[Squads].[Player No].[All]" allUniqueName="[Squads].[Player No].[All]" dimensionUniqueName="[Squads]" displayFolder="" count="0" memberValueDatatype="20" unbalanced="0"/>
    <cacheHierarchy uniqueName="[Squads].[Position]" caption="Position" attribute="1" defaultMemberUniqueName="[Squads].[Position].[All]" allUniqueName="[Squads].[Position].[All]" dimensionUniqueName="[Squads]" displayFolder="" count="0" memberValueDatatype="130" unbalanced="0"/>
    <cacheHierarchy uniqueName="[Squads].[Squad No]" caption="Squad No" attribute="1" defaultMemberUniqueName="[Squads].[Squad No].[All]" allUniqueName="[Squads].[Squad No].[All]" dimensionUniqueName="[Squads]" displayFolder="" count="0" memberValueDatatype="20" unbalanced="0"/>
    <cacheHierarchy uniqueName="[Squads].[World Cup Result]" caption="World Cup Result" attribute="1" defaultMemberUniqueName="[Squads].[World Cup Result].[All]" allUniqueName="[Squads].[World Cup Result].[All]" dimensionUniqueName="[Squads]" displayFolder="" count="0" memberValueDatatype="130" unbalanced="0"/>
    <cacheHierarchy uniqueName="[Squads 1].[Age]" caption="Age" attribute="1" defaultMemberUniqueName="[Squads 1].[Age].[All]" allUniqueName="[Squads 1].[Age].[All]" dimensionUniqueName="[Squads 1]" displayFolder="" count="0" memberValueDatatype="130" unbalanced="0"/>
    <cacheHierarchy uniqueName="[Squads 1].[Caps]" caption="Caps" attribute="1" defaultMemberUniqueName="[Squads 1].[Caps].[All]" allUniqueName="[Squads 1].[Caps].[All]" dimensionUniqueName="[Squads 1]" displayFolder="" count="0" memberValueDatatype="130" unbalanced="0"/>
    <cacheHierarchy uniqueName="[Squads 1].[ClubID]" caption="ClubID" attribute="1" defaultMemberUniqueName="[Squads 1].[ClubID].[All]" allUniqueName="[Squads 1].[ClubID].[All]" dimensionUniqueName="[Squads 1]" displayFolder="" count="0" memberValueDatatype="130" unbalanced="0"/>
    <cacheHierarchy uniqueName="[Squads 1].[Clubs.Club - League]" caption="Clubs.Club - League" attribute="1" defaultMemberUniqueName="[Squads 1].[Clubs.Club - League].[All]" allUniqueName="[Squads 1].[Clubs.Club - League].[All]" dimensionUniqueName="[Squads 1]" displayFolder="" count="0" memberValueDatatype="130" unbalanced="0"/>
    <cacheHierarchy uniqueName="[Squads 1].[Clubs.Football Association]" caption="Clubs.Football Association" attribute="1" defaultMemberUniqueName="[Squads 1].[Clubs.Football Association].[All]" allUniqueName="[Squads 1].[Clubs.Football Association].[All]" dimensionUniqueName="[Squads 1]" displayFolder="" count="0" memberValueDatatype="130" unbalanced="0"/>
    <cacheHierarchy uniqueName="[Squads 1].[Current Club]" caption="Current Club" attribute="1" defaultMemberUniqueName="[Squads 1].[Current Club].[All]" allUniqueName="[Squads 1].[Current Club].[All]" dimensionUniqueName="[Squads 1]" displayFolder="" count="0" memberValueDatatype="130" unbalanced="0"/>
    <cacheHierarchy uniqueName="[Squads 1].[Date Of Birth]" caption="Date Of Birth" attribute="1" time="1" defaultMemberUniqueName="[Squads 1].[Date Of Birth].[All]" allUniqueName="[Squads 1].[Date Of Birth].[All]" dimensionUniqueName="[Squads 1]" displayFolder="" count="0" memberValueDatatype="7" unbalanced="0"/>
    <cacheHierarchy uniqueName="[Squads 1].[FA]" caption="FA" attribute="1" defaultMemberUniqueName="[Squads 1].[FA].[All]" allUniqueName="[Squads 1].[FA].[All]" dimensionUniqueName="[Squads 1]" displayFolder="" count="0" memberValueDatatype="130" unbalanced="0"/>
    <cacheHierarchy uniqueName="[Squads 1].[FullFA]" caption="FullFA" attribute="1" defaultMemberUniqueName="[Squads 1].[FullFA].[All]" allUniqueName="[Squads 1].[FullFA].[All]" dimensionUniqueName="[Squads 1]" displayFolder="" count="0" memberValueDatatype="130" unbalanced="0"/>
    <cacheHierarchy uniqueName="[Squads 1].[FullPlayerData]" caption="FullPlayerData" attribute="1" defaultMemberUniqueName="[Squads 1].[FullPlayerData].[All]" allUniqueName="[Squads 1].[FullPlayerData].[All]" dimensionUniqueName="[Squads 1]" displayFolder="" count="0" memberValueDatatype="130" unbalanced="0"/>
    <cacheHierarchy uniqueName="[Squads 1].[International Goals]" caption="International Goals" attribute="1" defaultMemberUniqueName="[Squads 1].[International Goals].[All]" allUniqueName="[Squads 1].[International Goals].[All]" dimensionUniqueName="[Squads 1]" displayFolder="" count="0" memberValueDatatype="130" unbalanced="0"/>
    <cacheHierarchy uniqueName="[Squads 1].[Last Four]" caption="Last Four" attribute="1" defaultMemberUniqueName="[Squads 1].[Last Four].[All]" allUniqueName="[Squads 1].[Last Four].[All]" dimensionUniqueName="[Squads 1]" displayFolder="" count="0" memberValueDatatype="130" unbalanced="0"/>
    <cacheHierarchy uniqueName="[Squads 1].[Nation Code]" caption="Nation Code" attribute="1" defaultMemberUniqueName="[Squads 1].[Nation Code].[All]" allUniqueName="[Squads 1].[Nation Code].[All]" dimensionUniqueName="[Squads 1]" displayFolder="" count="0" memberValueDatatype="130" unbalanced="0"/>
    <cacheHierarchy uniqueName="[Squads 1].[Player Name]" caption="Player Name" attribute="1" defaultMemberUniqueName="[Squads 1].[Player Name].[All]" allUniqueName="[Squads 1].[Player Name].[All]" dimensionUniqueName="[Squads 1]" displayFolder="" count="0" memberValueDatatype="130" unbalanced="0"/>
    <cacheHierarchy uniqueName="[Squads 1].[Player No]" caption="Player No" attribute="1" defaultMemberUniqueName="[Squads 1].[Player No].[All]" allUniqueName="[Squads 1].[Player No].[All]" dimensionUniqueName="[Squads 1]" displayFolder="" count="0" memberValueDatatype="130" unbalanced="0"/>
    <cacheHierarchy uniqueName="[Squads 1].[Position]" caption="Position" attribute="1" defaultMemberUniqueName="[Squads 1].[Position].[All]" allUniqueName="[Squads 1].[Position].[All]" dimensionUniqueName="[Squads 1]" displayFolder="" count="0" memberValueDatatype="130" unbalanced="0"/>
    <cacheHierarchy uniqueName="[Squads 1].[Squad No]" caption="Squad No" attribute="1" defaultMemberUniqueName="[Squads 1].[Squad No].[All]" allUniqueName="[Squads 1].[Squad No].[All]" dimensionUniqueName="[Squads 1]" displayFolder="" count="0" memberValueDatatype="130" unbalanced="0"/>
    <cacheHierarchy uniqueName="[Squads 1].[World Cup Result]" caption="World Cup Result" attribute="1" defaultMemberUniqueName="[Squads 1].[World Cup Result].[All]" allUniqueName="[Squads 1].[World Cup Result].[All]" dimensionUniqueName="[Squads 1]" displayFolder="" count="0" memberValueDatatype="130" unbalanced="0"/>
    <cacheHierarchy uniqueName="[Stadiums].[Capacity]" caption="Capacity" attribute="1" defaultMemberUniqueName="[Stadiums].[Capacity].[All]" allUniqueName="[Stadiums].[Capacity].[All]" dimensionUniqueName="[Stadiums]" displayFolder="" count="0" memberValueDatatype="20" unbalanced="0"/>
    <cacheHierarchy uniqueName="[Stadiums].[Location]" caption="Location" attribute="1" defaultMemberUniqueName="[Stadiums].[Location].[All]" allUniqueName="[Stadiums].[Location].[All]" dimensionUniqueName="[Stadiums]" displayFolder="" count="0" memberValueDatatype="130" unbalanced="0"/>
    <cacheHierarchy uniqueName="[Stadiums].[Name]" caption="Name" attribute="1" defaultMemberUniqueName="[Stadiums].[Name].[All]" allUniqueName="[Stadiums].[Name].[All]" dimensionUniqueName="[Stadiums]" displayFolder="" count="0" memberValueDatatype="130" unbalanced="0"/>
    <cacheHierarchy uniqueName="[Stadiums].[Stadium_No]" caption="Stadium_No" attribute="1" defaultMemberUniqueName="[Stadiums].[Stadium_No].[All]" allUniqueName="[Stadiums].[Stadium_No].[All]" dimensionUniqueName="[Stadiums]" displayFolder="" count="0" memberValueDatatype="130" unbalanced="0"/>
    <cacheHierarchy uniqueName="[Stadiums 1].[Capacity]" caption="Capacity" attribute="1" defaultMemberUniqueName="[Stadiums 1].[Capacity].[All]" allUniqueName="[Stadiums 1].[Capacity].[All]" dimensionUniqueName="[Stadiums 1]" displayFolder="" count="0" memberValueDatatype="20" unbalanced="0"/>
    <cacheHierarchy uniqueName="[Stadiums 1].[Location]" caption="Location" attribute="1" defaultMemberUniqueName="[Stadiums 1].[Location].[All]" allUniqueName="[Stadiums 1].[Location].[All]" dimensionUniqueName="[Stadiums 1]" displayFolder="" count="0" memberValueDatatype="130" unbalanced="0"/>
    <cacheHierarchy uniqueName="[Stadiums 1].[Name]" caption="Name" attribute="1" defaultMemberUniqueName="[Stadiums 1].[Name].[All]" allUniqueName="[Stadiums 1].[Name].[All]" dimensionUniqueName="[Stadiums 1]" displayFolder="" count="0" memberValueDatatype="130" unbalanced="0"/>
    <cacheHierarchy uniqueName="[Stadiums 1].[Stadium_No]" caption="Stadium_No" attribute="1" defaultMemberUniqueName="[Stadiums 1].[Stadium_No].[All]" allUniqueName="[Stadiums 1].[Stadium_No].[All]" dimensionUniqueName="[Stadiums 1]" displayFolder="" count="0" memberValueDatatype="130" unbalanced="0"/>
    <cacheHierarchy uniqueName="[WC_Groups].[World Cup Groups]" caption="World Cup Groups" attribute="1" defaultMemberUniqueName="[WC_Groups].[World Cup Groups].[All]" allUniqueName="[WC_Groups].[World Cup Groups].[All]" dimensionUniqueName="[WC_Groups]" displayFolder="" count="0" memberValueDatatype="130" unbalanced="0"/>
    <cacheHierarchy uniqueName="[Club_Leagues].[Football Association]" caption="Football Association" attribute="1" defaultMemberUniqueName="[Club_Leagues].[Football Association].[All]" allUniqueName="[Club_Leagues].[Football Association].[All]" dimensionUniqueName="[Club_Leagues]" displayFolder="" count="0" memberValueDatatype="130" unbalanced="0" hidden="1"/>
    <cacheHierarchy uniqueName="[Clubs].[Club - League]" caption="Club - League" attribute="1" defaultMemberUniqueName="[Clubs].[Club - League].[All]" allUniqueName="[Clubs].[Club - League].[All]" dimensionUniqueName="[Clubs]" displayFolder="" count="0" memberValueDatatype="130" unbalanced="0" hidden="1"/>
    <cacheHierarchy uniqueName="[Clubs].[Football Association]" caption="Football Association" attribute="1" defaultMemberUniqueName="[Clubs].[Football Association].[All]" allUniqueName="[Clubs].[Football Association].[All]" dimensionUniqueName="[Clubs]" displayFolder="" count="0" memberValueDatatype="130" unbalanced="0" hidden="1"/>
    <cacheHierarchy uniqueName="[FIFA_Region 1].[Area]" caption="Area" attribute="1" defaultMemberUniqueName="[FIFA_Region 1].[Area].[All]" allUniqueName="[FIFA_Region 1].[Area].[All]" dimensionUniqueName="[FIFA_Region 1]" displayFolder="" count="0" memberValueDatatype="130" unbalanced="0" hidden="1"/>
    <cacheHierarchy uniqueName="[FIFA_Region 1].[FIFA Region]" caption="FIFA Region" attribute="1" defaultMemberUniqueName="[FIFA_Region 1].[FIFA Region].[All]" allUniqueName="[FIFA_Region 1].[FIFA Region].[All]" dimensionUniqueName="[FIFA_Region 1]" displayFolder="" count="0" memberValueDatatype="130" unbalanced="0" hidden="1"/>
    <cacheHierarchy uniqueName="[Football_Associations].[FIFA Region]" caption="FIFA Region" attribute="1" defaultMemberUniqueName="[Football_Associations].[FIFA Region].[All]" allUniqueName="[Football_Associations].[FIFA Region].[All]" dimensionUniqueName="[Football_Associations]" displayFolder="" count="0" memberValueDatatype="130" unbalanced="0" hidden="1"/>
    <cacheHierarchy uniqueName="[Football_Associations].[World Cup Group]" caption="World Cup Group" attribute="1" defaultMemberUniqueName="[Football_Associations].[World Cup Group].[All]" allUniqueName="[Football_Associations].[World Cup Group].[All]" dimensionUniqueName="[Football_Associations]" displayFolder="" count="0" memberValueDatatype="130" unbalanced="0" hidden="1"/>
    <cacheHierarchy uniqueName="[Group Fixtures].[Date (Month Index)]" caption="Date (Month Index)" attribute="1" defaultMemberUniqueName="[Group Fixtures].[Date (Month Index)].[All]" allUniqueName="[Group Fixtures].[Date (Month Index)].[All]" dimensionUniqueName="[Group Fixtures]" displayFolder="" count="0" memberValueDatatype="20" unbalanced="0" hidden="1"/>
    <cacheHierarchy uniqueName="[Match_Record].[Match No]" caption="Match No" attribute="1" defaultMemberUniqueName="[Match_Record].[Match No].[All]" allUniqueName="[Match_Record].[Match No].[All]" dimensionUniqueName="[Match_Record]" displayFolder="" count="0" memberValueDatatype="20" unbalanced="0" hidden="1"/>
    <cacheHierarchy uniqueName="[Match_Record].[Player_No]" caption="Player_No" attribute="1" defaultMemberUniqueName="[Match_Record].[Player_No].[All]" allUniqueName="[Match_Record].[Player_No].[All]" dimensionUniqueName="[Match_Record]" displayFolder="" count="0" memberValueDatatype="20" unbalanced="0" hidden="1"/>
    <cacheHierarchy uniqueName="[Squads].[Current Club]" caption="Current Club" attribute="1" defaultMemberUniqueName="[Squads].[Current Club].[All]" allUniqueName="[Squads].[Current Club].[All]" dimensionUniqueName="[Squads]" displayFolder="" count="0" memberValueDatatype="130" unbalanced="0" hidden="1"/>
    <cacheHierarchy uniqueName="[Squads].[National Team]" caption="National Team" attribute="1" defaultMemberUniqueName="[Squads].[National Team].[All]" allUniqueName="[Squads].[National Team].[All]" dimensionUniqueName="[Squads]" displayFolder="" count="0" memberValueDatatype="130" unbalanced="0" hidden="1"/>
    <cacheHierarchy uniqueName="[Measures].[__XL_Count FIFA_Region]" caption="__XL_Count FIFA_Region" measure="1" displayFolder="" measureGroup="FIFA_Region" count="0" hidden="1"/>
    <cacheHierarchy uniqueName="[Measures].[__XL_Count Stadiums27]" caption="__XL_Count Stadiums27" measure="1" displayFolder="" measureGroup="Stadiums" count="0" hidden="1"/>
    <cacheHierarchy uniqueName="[Measures].[__XL_Count WC_Groups]" caption="__XL_Count WC_Groups" measure="1" displayFolder="" measureGroup="WC_Groups" count="0" hidden="1"/>
    <cacheHierarchy uniqueName="[Measures].[__XL_Count Football_Associations]" caption="__XL_Count Football_Associations" measure="1" displayFolder="" measureGroup="Football_Associations" count="0" hidden="1"/>
    <cacheHierarchy uniqueName="[Measures].[__XL_Count Club_Leagues]" caption="__XL_Count Club_Leagues" measure="1" displayFolder="" measureGroup="Club_Leagues" count="0" hidden="1"/>
    <cacheHierarchy uniqueName="[Measures].[__XL_Count Clubs]" caption="__XL_Count Clubs" measure="1" displayFolder="" measureGroup="Clubs" count="0" hidden="1"/>
    <cacheHierarchy uniqueName="[Measures].[__XL_Count Fixtures]" caption="__XL_Count Fixtures" measure="1" displayFolder="" measureGroup="Fixtures" count="0" hidden="1"/>
    <cacheHierarchy uniqueName="[Measures].[__XL_Count Knock_Out]" caption="__XL_Count Knock_Out" measure="1" displayFolder="" measureGroup="Knock_Out" count="0" hidden="1"/>
    <cacheHierarchy uniqueName="[Measures].[__XL_Count Squads]" caption="__XL_Count Squads" measure="1" displayFolder="" measureGroup="Squads" count="0" hidden="1"/>
    <cacheHierarchy uniqueName="[Measures].[__XL_Count Match_Record]" caption="__XL_Count Match_Record" measure="1" displayFolder="" measureGroup="Match_Record" count="0" hidden="1"/>
    <cacheHierarchy uniqueName="[Measures].[__XL_Count Group Fixtures]" caption="__XL_Count Group Fixtures" measure="1" displayFolder="" measureGroup="Group Fixtures" count="0" hidden="1"/>
    <cacheHierarchy uniqueName="[Measures].[__XL_Count Knock_Out_Fixtures]" caption="__XL_Count Knock_Out_Fixtures" measure="1" displayFolder="" measureGroup="Knock_Out_Fixtures" count="0" hidden="1"/>
    <cacheHierarchy uniqueName="[Measures].[__XL_Count Football_Associations 1]" caption="__XL_Count Football_Associations 1" measure="1" displayFolder="" measureGroup="Football_Associations 1" count="0" hidden="1"/>
    <cacheHierarchy uniqueName="[Measures].[__XL_Count Stadiums 1]" caption="__XL_Count Stadiums 1" measure="1" displayFolder="" measureGroup="Stadiums 1" count="0" hidden="1"/>
    <cacheHierarchy uniqueName="[Measures].[__XL_Count FIFA_Region 1]" caption="__XL_Count FIFA_Region 1" measure="1" displayFolder="" measureGroup="FIFA_Region 1" count="0" hidden="1"/>
    <cacheHierarchy uniqueName="[Measures].[__XL_Count Leagues_Of_FA]" caption="__XL_Count Leagues_Of_FA" measure="1" displayFolder="" measureGroup="Leagues_Of_FA" count="0" hidden="1"/>
    <cacheHierarchy uniqueName="[Measures].[__XL_Count Clubs 1]" caption="__XL_Count Clubs 1" measure="1" displayFolder="" measureGroup="Clubs 1" count="0" hidden="1"/>
    <cacheHierarchy uniqueName="[Measures].[__XL_Count Squads 1]" caption="__XL_Count Squads 1" measure="1" displayFolder="" measureGroup="Squads 1" count="0" hidden="1"/>
    <cacheHierarchy uniqueName="[Measures].[__XL_Count All_Results]" caption="__XL_Count All_Results" measure="1" displayFolder="" measureGroup="All_Results" count="0" hidden="1"/>
    <cacheHierarchy uniqueName="[Measures].[__No measures defined]" caption="__No measures defined" measure="1" displayFolder="" count="0" hidden="1"/>
    <cacheHierarchy uniqueName="[Measures].[Count of Current Club]" caption="Count of Current Club" measure="1" displayFolder="" measureGroup="Club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Players Represented At World Cup]" caption="Sum of Players Represented At World Cup" measure="1" displayFolder="" measureGroup="Club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lub - League]" caption="Count of Club - League" measure="1" displayFolder="" measureGroup="Club_Leagu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Age]" caption="Sum of Age" measure="1" displayFolder="" measureGroup="Squads" count="0" hidden="1"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Sum of Caps]" caption="Sum of Caps" measure="1" displayFolder="" measureGroup="Squads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Count of Caps]" caption="Count of Caps" measure="1" displayFolder="" measureGroup="Squads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Count of Experience]" caption="Count of Experience" measure="1" displayFolder="" measureGroup="Squads" count="0" hidden="1">
      <extLst>
        <ext xmlns:x15="http://schemas.microsoft.com/office/spreadsheetml/2010/11/main" uri="{B97F6D7D-B522-45F9-BDA1-12C45D357490}">
          <x15:cacheHierarchy aggregatedColumn="127"/>
        </ext>
      </extLst>
    </cacheHierarchy>
    <cacheHierarchy uniqueName="[Measures].[Sum of Attendance]" caption="Sum of Attendance" measure="1" displayFolder="" measureGroup="Knock_Out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unt of Attendance]" caption="Count of Attendance" measure="1" displayFolder="" measureGroup="Knock_Out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Average of Attendance]" caption="Average of Attendance" measure="1" displayFolder="" measureGroup="Knock_Out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Sum of Attendance 2]" caption="Sum of Attendance 2" measure="1" displayFolder="" measureGroup="Group Fixture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Average of Attendance 2]" caption="Average of Attendance 2" measure="1" displayFolder="" measureGroup="Group Fixture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International Goals]" caption="Sum of International Goals" measure="1" displayFolder="" measureGroup="Squads" count="0" hidden="1">
      <extLst>
        <ext xmlns:x15="http://schemas.microsoft.com/office/spreadsheetml/2010/11/main" uri="{B97F6D7D-B522-45F9-BDA1-12C45D357490}">
          <x15:cacheHierarchy aggregatedColumn="129"/>
        </ext>
      </extLst>
    </cacheHierarchy>
    <cacheHierarchy uniqueName="[Measures].[Average of International Goals]" caption="Average of International Goals" measure="1" displayFolder="" measureGroup="Squads" count="0" hidden="1">
      <extLst>
        <ext xmlns:x15="http://schemas.microsoft.com/office/spreadsheetml/2010/11/main" uri="{B97F6D7D-B522-45F9-BDA1-12C45D357490}">
          <x15:cacheHierarchy aggregatedColumn="129"/>
        </ext>
      </extLst>
    </cacheHierarchy>
  </cacheHierarchies>
  <kpis count="0"/>
  <dimensions count="19">
    <dimension name="All_Results" uniqueName="[All_Results]" caption="All_Results"/>
    <dimension name="Club_Leagues" uniqueName="[Club_Leagues]" caption="Club_Leagues"/>
    <dimension name="Clubs" uniqueName="[Clubs]" caption="Clubs"/>
    <dimension name="Clubs 1" uniqueName="[Clubs 1]" caption="Clubs 1"/>
    <dimension name="FIFA_Region" uniqueName="[FIFA_Region]" caption="FIFA_Region"/>
    <dimension name="Fixtures" uniqueName="[Fixtures]" caption="Fixtures"/>
    <dimension name="Football_Associations" uniqueName="[Football_Associations]" caption="Football_Associations"/>
    <dimension name="Football_Associations 1" uniqueName="[Football_Associations 1]" caption="Football_Associations 1"/>
    <dimension name="Group Fixtures" uniqueName="[Group Fixtures]" caption="Group Fixtures"/>
    <dimension name="Knock_Out" uniqueName="[Knock_Out]" caption="Knock_Out"/>
    <dimension name="Knock_Out_Fixtures" uniqueName="[Knock_Out_Fixtures]" caption="Knock_Out_Fixtures"/>
    <dimension name="Leagues_Of_FA" uniqueName="[Leagues_Of_FA]" caption="Leagues_Of_FA"/>
    <dimension name="Match_Record" uniqueName="[Match_Record]" caption="Match_Record"/>
    <dimension measure="1" name="Measures" uniqueName="[Measures]" caption="Measures"/>
    <dimension name="Squads" uniqueName="[Squads]" caption="Squads"/>
    <dimension name="Squads 1" uniqueName="[Squads 1]" caption="Squads 1"/>
    <dimension name="Stadiums" uniqueName="[Stadiums]" caption="Stadiums"/>
    <dimension name="Stadiums 1" uniqueName="[Stadiums 1]" caption="Stadiums 1"/>
    <dimension name="WC_Groups" uniqueName="[WC_Groups]" caption="WC_Groups"/>
  </dimensions>
  <measureGroups count="19">
    <measureGroup name="All_Results" caption="All_Results"/>
    <measureGroup name="Club_Leagues" caption="Club_Leagues"/>
    <measureGroup name="Clubs" caption="Clubs"/>
    <measureGroup name="Clubs 1" caption="Clubs 1"/>
    <measureGroup name="FIFA_Region" caption="FIFA_Region"/>
    <measureGroup name="FIFA_Region 1" caption="FIFA_Region 1"/>
    <measureGroup name="Fixtures" caption="Fixtures"/>
    <measureGroup name="Football_Associations" caption="Football_Associations"/>
    <measureGroup name="Football_Associations 1" caption="Football_Associations 1"/>
    <measureGroup name="Group Fixtures" caption="Group Fixtures"/>
    <measureGroup name="Knock_Out" caption="Knock_Out"/>
    <measureGroup name="Knock_Out_Fixtures" caption="Knock_Out_Fixtures"/>
    <measureGroup name="Leagues_Of_FA" caption="Leagues_Of_FA"/>
    <measureGroup name="Match_Record" caption="Match_Record"/>
    <measureGroup name="Squads" caption="Squads"/>
    <measureGroup name="Squads 1" caption="Squads 1"/>
    <measureGroup name="Stadiums" caption="Stadiums"/>
    <measureGroup name="Stadiums 1" caption="Stadiums 1"/>
    <measureGroup name="WC_Groups" caption="WC_Groups"/>
  </measureGroups>
  <maps count="40">
    <map measureGroup="0" dimension="0"/>
    <map measureGroup="1" dimension="1"/>
    <map measureGroup="1" dimension="4"/>
    <map measureGroup="1" dimension="6"/>
    <map measureGroup="1" dimension="18"/>
    <map measureGroup="2" dimension="1"/>
    <map measureGroup="2" dimension="2"/>
    <map measureGroup="2" dimension="4"/>
    <map measureGroup="2" dimension="6"/>
    <map measureGroup="2" dimension="18"/>
    <map measureGroup="3" dimension="3"/>
    <map measureGroup="4" dimension="4"/>
    <map measureGroup="6" dimension="5"/>
    <map measureGroup="7" dimension="4"/>
    <map measureGroup="7" dimension="6"/>
    <map measureGroup="7" dimension="18"/>
    <map measureGroup="8" dimension="7"/>
    <map measureGroup="9" dimension="8"/>
    <map measureGroup="10" dimension="9"/>
    <map measureGroup="11" dimension="10"/>
    <map measureGroup="12" dimension="11"/>
    <map measureGroup="13" dimension="1"/>
    <map measureGroup="13" dimension="2"/>
    <map measureGroup="13" dimension="4"/>
    <map measureGroup="13" dimension="5"/>
    <map measureGroup="13" dimension="6"/>
    <map measureGroup="13" dimension="9"/>
    <map measureGroup="13" dimension="12"/>
    <map measureGroup="13" dimension="14"/>
    <map measureGroup="13" dimension="18"/>
    <map measureGroup="14" dimension="1"/>
    <map measureGroup="14" dimension="2"/>
    <map measureGroup="14" dimension="4"/>
    <map measureGroup="14" dimension="6"/>
    <map measureGroup="14" dimension="14"/>
    <map measureGroup="14" dimension="18"/>
    <map measureGroup="15" dimension="15"/>
    <map measureGroup="16" dimension="16"/>
    <map measureGroup="17" dimension="17"/>
    <map measureGroup="18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5960.782323495368" createdVersion="5" refreshedVersion="8" minRefreshableVersion="3" recordCount="0" supportSubquery="1" supportAdvancedDrill="1" xr:uid="{3F0DBF0D-EFB9-4418-B6BB-368DADED27B7}">
  <cacheSource type="external" connectionId="12"/>
  <cacheFields count="2">
    <cacheField name="[Clubs].[Current Club].[Current Club]" caption="Current Club" numFmtId="0" hierarchy="14" level="1">
      <sharedItems count="296">
        <s v=" Ajax"/>
        <s v=" Al-Duhail"/>
        <s v=" Al-Hilal"/>
        <s v=" Al-Nassr"/>
        <s v=" Al-Sadd"/>
        <s v=" Arsenal"/>
        <s v=" Atlético Madrid"/>
        <s v=" Barcelona"/>
        <s v=" Bayern Munich"/>
        <s v=" Benfica"/>
        <s v=" Borussia Dortmund"/>
        <s v=" Borussia Mönchengladbach"/>
        <s v=" Brentford"/>
        <s v=" Brighton &amp; Hove Albion"/>
        <s v=" CF Montréal"/>
        <s v=" Chelsea"/>
        <s v=" Club Brugge"/>
        <s v=" Eintracht Frankfurt"/>
        <s v=" Juventus"/>
        <s v=" Leicester City"/>
        <s v=" Liverpool"/>
        <s v=" Manchester City"/>
        <s v=" Manchester United"/>
        <s v=" Milan"/>
        <s v=" Paris Saint-Germain"/>
        <s v=" RB Leipzig"/>
        <s v=" Real Madrid"/>
        <s v=" Rennes"/>
        <s v=" Sevilla"/>
        <s v=" Tottenham Hotspur"/>
        <s v=" 1. FC Köln" u="1"/>
        <s v=" 1899 Hoffenheim" u="1"/>
        <s v=" Abha" u="1"/>
        <s v=" Adelaide United" u="1"/>
        <s v=" AEK Athens" u="1"/>
        <s v=" AFC Wimbledon" u="1"/>
        <s v=" Al Ahly" u="1"/>
        <s v=" Al-Ahli" u="1"/>
        <s v=" Al-Ahli Doha" u="1"/>
        <s v=" Alajuelense" u="1"/>
        <s v=" Alanyaspor" u="1"/>
        <s v=" Al-Arabi" u="1"/>
        <s v=" Albirex Niigata" u="1"/>
        <s v=" Al-Ettifaq" u="1"/>
        <s v=" Al-Fateh" u="1"/>
        <s v=" Al-Gharafa" u="1"/>
        <s v=" Al-Ittihad" u="1"/>
        <s v=" Almería" u="1"/>
        <s v=" Al-Rayyan" u="1"/>
        <s v=" Al-Shabab" u="1"/>
        <s v=" Al-Tai" u="1"/>
        <s v=" Al-Wakrah" u="1"/>
        <s v=" Al-Wehda" u="1"/>
        <s v=" América" u="1"/>
        <s v=" Amiens" u="1"/>
        <s v=" Anderlecht" u="1"/>
        <s v=" Angers" u="1"/>
        <s v=" Antalyaspor" u="1"/>
        <s v=" Antwerp" u="1"/>
        <s v=" Aris" u="1"/>
        <s v=" Asante Kotoko" u="1"/>
        <s v=" Aston Villa" u="1"/>
        <s v=" Atalanta" u="1"/>
        <s v=" Athletic Bilbao" u="1"/>
        <s v=" Athletico Paranaense" u="1"/>
        <s v=" Atlanta United FC" u="1"/>
        <s v=" Atromitos" u="1"/>
        <s v=" Aucas" u="1"/>
        <s v=" Auxerre" u="1"/>
        <s v=" Bari" u="1"/>
        <s v=" Basel" u="1"/>
        <s v=" Bayer Leverkusen" u="1"/>
        <s v=" Benevento" u="1"/>
        <s v=" Beşiktaş" u="1"/>
        <s v=" Birmingham City" u="1"/>
        <s v=" Bologna" u="1"/>
        <s v=" Bournemouth" u="1"/>
        <s v=" Braga" u="1"/>
        <s v=" Brescia" u="1"/>
        <s v=" Brest" u="1"/>
        <s v=" Bristol City" u="1"/>
        <s v=" Brøndby" u="1"/>
        <s v=" Burnley" u="1"/>
        <s v=" Cádiz" u="1"/>
        <s v=" Caen" u="1"/>
        <s v=" Cardiff City" u="1"/>
        <s v=" Cartaginés" u="1"/>
        <s v=" Celta Vigo" u="1"/>
        <s v=" Celtic" u="1"/>
        <s v=" Central Coast Mariners" u="1"/>
        <s v=" Cercle Brugge" u="1"/>
        <s v=" Charleroi" u="1"/>
        <s v=" Charlotte FC" u="1"/>
        <s v=" Chaves" u="1"/>
        <s v=" Chicago Fire FC" u="1"/>
        <s v=" Clermont" u="1"/>
        <s v=" Club Africain" u="1"/>
        <s v=" Colombe Sportive" u="1"/>
        <s v=" Columbus Crew" u="1"/>
        <s v=" Copenhagen" u="1"/>
        <s v=" Coton Sport" u="1"/>
        <s v=" Cremonese" u="1"/>
        <s v=" Cruz Azul" u="1"/>
        <s v=" Crystal Palace" u="1"/>
        <s v=" CS Sfaxien" u="1"/>
        <s v=" Daegu FC" u="1"/>
        <s v=" Daejeon Hana Citizen" u="1"/>
        <s v=" Deinze" u="1"/>
        <s v=" Dinamo Zagreb" u="1"/>
        <s v=" Dundee United" u="1"/>
        <s v=" Dynamo Moscow" u="1"/>
        <s v=" Espanyol" u="1"/>
        <s v=" Espérance de Tunis" u="1"/>
        <s v=" Esteghlal" u="1"/>
        <s v=" Étoile du Sahel" u="1"/>
        <s v=" Eupen" u="1"/>
        <s v=" Everton" u="1"/>
        <s v=" Fagiano Okayama" u="1"/>
        <s v=" FC Augsburg" u="1"/>
        <s v=" FC Cincinnati" u="1"/>
        <s v=" FC Dallas" u="1"/>
        <s v=" FC Seoul" u="1"/>
        <s v=" FC St. Pauli" u="1"/>
        <s v=" FC Tokyo" u="1"/>
        <s v=" Fenerbahçe" u="1"/>
        <s v=" Ferencváros" u="1"/>
        <s v=" Feyenoord" u="1"/>
        <s v=" Fiorentina" u="1"/>
        <s v=" Flamengo" u="1"/>
        <s v=" Fortuna Düsseldorf" u="1"/>
        <s v=" Fulham" u="1"/>
        <s v=" Galatasaray" u="1"/>
        <s v=" Gamba Osaka" u="1"/>
        <s v=" Genk" u="1"/>
        <s v=" Gent" u="1"/>
        <s v=" Getafe" u="1"/>
        <s v=" Gimcheon Sangmu" u="1"/>
        <s v=" Guadalajara" u="1"/>
        <s v=" Guanacasteca" u="1"/>
        <s v=" Hajduk Split" u="1"/>
        <s v=" Hannover 96" u="1"/>
        <s v=" Hatayspor" u="1"/>
        <s v=" Heart of Midlothian" u="1"/>
        <s v=" Hearts of Oak" u="1"/>
        <s v=" Heerenveen" u="1"/>
        <s v=" Hellas Verona" u="1"/>
        <s v=" Herediano" u="1"/>
        <s v=" Hertha BSC" u="1"/>
        <s v=" Hibernian" u="1"/>
        <s v=" Houston Dynamo FC" u="1"/>
        <s v=" Huddersfield Town" u="1"/>
        <s v=" Imbabura" u="1"/>
        <s v=" Independiente" u="1"/>
        <s v=" Independiente del Valle" u="1"/>
        <s v=" Inter Miami CF" u="1"/>
        <s v=" Internazionale" u="1"/>
        <s v=" Jeonbuk Hyundai Motors" u="1"/>
        <s v=" Juárez" u="1"/>
        <s v=" Kawasaki Frontale" u="1"/>
        <s v=" Kayserispor" u="1"/>
        <s v=" Konyaspor" u="1"/>
        <s v=" Kuwait SC" u="1"/>
        <s v=" LA Galaxy" u="1"/>
        <s v=" Lazio" u="1"/>
        <s v=" LDU Quito" u="1"/>
        <s v=" Lech Poznań" u="1"/>
        <s v=" Leeds United" u="1"/>
        <s v=" Leganés" u="1"/>
        <s v=" Legia Warsaw" u="1"/>
        <s v=" Lens" u="1"/>
        <s v=" León" u="1"/>
        <s v=" Lille" u="1"/>
        <s v=" Lorient" u="1"/>
        <s v=" Los Angeles FC" u="1"/>
        <s v=" Lugano" u="1"/>
        <s v=" Lugo" u="1"/>
        <s v=" Luton Town" u="1"/>
        <s v=" Luzern" u="1"/>
        <s v=" Lyon" u="1"/>
        <s v=" Mainz 05" u="1"/>
        <s v=" Mallorca" u="1"/>
        <s v=" Marseille" u="1"/>
        <s v=" Mechelen" u="1"/>
        <s v=" Melbourne City" u="1"/>
        <s v=" Middlesbrough" u="1"/>
        <s v=" Millonarios" u="1"/>
        <s v=" Milton Keynes Dons" u="1"/>
        <s v=" Minnesota United FC" u="1"/>
        <s v=" Monaco" u="1"/>
        <s v=" Monterrey" u="1"/>
        <s v=" Montpellier" u="1"/>
        <s v=" Municipal Grecia" u="1"/>
        <s v=" Nacional" u="1"/>
        <s v=" Nagoya Grampus" u="1"/>
        <s v=" Nantes" u="1"/>
        <s v=" Napoli" u="1"/>
        <s v=" Nashville SC" u="1"/>
        <s v=" New York City FC" u="1"/>
        <s v=" New York Red Bulls" u="1"/>
        <s v=" Newcastle United" u="1"/>
        <s v=" Newell's Old Boys" u="1"/>
        <s v=" Nice" u="1"/>
        <s v=" Norwich City" u="1"/>
        <s v=" Nottingham Forest" u="1"/>
        <s v=" OB" u="1"/>
        <s v=" Olympiacos" u="1"/>
        <s v=" Omonia" u="1"/>
        <s v=" Orlando City SC" u="1"/>
        <s v=" Osasuna" u="1"/>
        <s v=" Osijek" u="1"/>
        <s v=" Pachuca" u="1"/>
        <s v=" Pafos" u="1"/>
        <s v=" Palmeiras" u="1"/>
        <s v=" Panetolikos" u="1"/>
        <s v=" PAOK" u="1"/>
        <s v=" Persepolis" u="1"/>
        <s v=" Philadelphia Union" u="1"/>
        <s v=" Pogoń Szczecin" u="1"/>
        <s v=" Ponferradina" u="1"/>
        <s v=" Porto" u="1"/>
        <s v=" Portsmouth" u="1"/>
        <s v=" PSV Eindhoven" u="1"/>
        <s v=" Puntarenas" u="1"/>
        <s v=" Qatar SC" u="1"/>
        <s v=" Queens Park Rangers" u="1"/>
        <s v=" Rangers" u="1"/>
        <s v=" Rayo Vallecano" u="1"/>
        <s v=" Reading" u="1"/>
        <s v=" Real Betis" u="1"/>
        <s v=" Real Salt Lake" u="1"/>
        <s v=" Real Sociedad" u="1"/>
        <s v=" Red Bull Salzburg" u="1"/>
        <s v=" Red Star Belgrade" u="1"/>
        <s v=" Reims" u="1"/>
        <s v=" River Plate" u="1"/>
        <s v=" Roma" u="1"/>
        <s v=" Salernitana" u="1"/>
        <s v=" Sampdoria" u="1"/>
        <s v=" San Carlos" u="1"/>
        <s v=" Santos Laguna" u="1"/>
        <s v=" São Paulo" u="1"/>
        <s v=" Saprissa" u="1"/>
        <s v=" Sassuolo" u="1"/>
        <s v=" SC Freiburg" u="1"/>
        <s v=" Schalke 04" u="1"/>
        <s v=" Seattle Sounders FC" u="1"/>
        <s v=" Sepahan" u="1"/>
        <s v=" Shabab Al-Ahli" u="1"/>
        <s v=" Shandong Taishan" u="1"/>
        <s v=" Shanghai Shenhua" u="1"/>
        <s v=" Sheffield United" u="1"/>
        <s v=" Shimizu S-Pulse" u="1"/>
        <s v=" Shonan Bellmare" u="1"/>
        <s v=" Sint-Truiden" u="1"/>
        <s v=" Southampton" u="1"/>
        <s v=" Spezia" u="1"/>
        <s v=" Sporting CP" u="1"/>
        <s v=" St Johnstone" u="1"/>
        <s v=" St Mirren" u="1"/>
        <s v=" St. Gallen" u="1"/>
        <s v=" Standard Liège" u="1"/>
        <s v=" Stoke City" u="1"/>
        <s v=" Strasbourg" u="1"/>
        <s v=" Sunderland" u="1"/>
        <s v=" Swansea City" u="1"/>
        <s v=" Swindon Town" u="1"/>
        <s v=" Sydney FC" u="1"/>
        <s v=" Talleres" u="1"/>
        <s v=" Torino" u="1"/>
        <s v=" Toronto FC" u="1"/>
        <s v=" Toulouse" u="1"/>
        <s v=" Trabzonspor" u="1"/>
        <s v=" Troyes" u="1"/>
        <s v=" Udinese" u="1"/>
        <s v=" Ulsan Hyundai" u="1"/>
        <s v=" UNAM" u="1"/>
        <s v=" Union Berlin" u="1"/>
        <s v=" Urawa Red Diamonds" u="1"/>
        <s v=" US Monastir" u="1"/>
        <s v=" Valencia" u="1"/>
        <s v=" Valladolid" u="1"/>
        <s v=" Vancouver Whitecaps FC" u="1"/>
        <s v=" Vejle" u="1"/>
        <s v=" Vélez Sarsfield" u="1"/>
        <s v=" VfB Stuttgart" u="1"/>
        <s v=" VfL Bochum" u="1"/>
        <s v=" VfL Wolfsburg" u="1"/>
        <s v=" Villarreal" u="1"/>
        <s v=" Watford" u="1"/>
        <s v=" Werder Bremen" u="1"/>
        <s v=" West Ham United" u="1"/>
        <s v=" Wolverhampton Wanderers" u="1"/>
        <s v=" Wydad AC" u="1"/>
        <s v=" Young Boys" u="1"/>
        <s v=" Zamalek" u="1"/>
        <s v=" Zenit Saint Petersburg" u="1"/>
      </sharedItems>
    </cacheField>
    <cacheField name="[Measures].[Sum of Players Represented At World Cup]" caption="Sum of Players Represented At World Cup" numFmtId="0" hierarchy="196" level="32767"/>
  </cacheFields>
  <cacheHierarchies count="209">
    <cacheHierarchy uniqueName="[All_Results].[Attendance]" caption="Attendance" attribute="1" defaultMemberUniqueName="[All_Results].[Attendance].[All]" allUniqueName="[All_Results].[Attendance].[All]" dimensionUniqueName="[All_Results]" displayFolder="" count="0" memberValueDatatype="130" unbalanced="0"/>
    <cacheHierarchy uniqueName="[All_Results].[Away]" caption="Away" attribute="1" defaultMemberUniqueName="[All_Results].[Away].[All]" allUniqueName="[All_Results].[Away].[All]" dimensionUniqueName="[All_Results]" displayFolder="" count="0" memberValueDatatype="130" unbalanced="0"/>
    <cacheHierarchy uniqueName="[All_Results].[Away Score]" caption="Away Score" attribute="1" defaultMemberUniqueName="[All_Results].[Away Score].[All]" allUniqueName="[All_Results].[Away Score].[All]" dimensionUniqueName="[All_Results]" displayFolder="" count="0" memberValueDatatype="130" unbalanced="0"/>
    <cacheHierarchy uniqueName="[All_Results].[Date]" caption="Date" attribute="1" defaultMemberUniqueName="[All_Results].[Date].[All]" allUniqueName="[All_Results].[Date].[All]" dimensionUniqueName="[All_Results]" displayFolder="" count="0" memberValueDatatype="130" unbalanced="0"/>
    <cacheHierarchy uniqueName="[All_Results].[Home]" caption="Home" attribute="1" defaultMemberUniqueName="[All_Results].[Home].[All]" allUniqueName="[All_Results].[Home].[All]" dimensionUniqueName="[All_Results]" displayFolder="" count="0" memberValueDatatype="130" unbalanced="0"/>
    <cacheHierarchy uniqueName="[All_Results].[Home Score]" caption="Home Score" attribute="1" defaultMemberUniqueName="[All_Results].[Home Score].[All]" allUniqueName="[All_Results].[Home Score].[All]" dimensionUniqueName="[All_Results]" displayFolder="" count="0" memberValueDatatype="130" unbalanced="0"/>
    <cacheHierarchy uniqueName="[All_Results].[Location]" caption="Location" attribute="1" defaultMemberUniqueName="[All_Results].[Location].[All]" allUniqueName="[All_Results].[Location].[All]" dimensionUniqueName="[All_Results]" displayFolder="" count="0" memberValueDatatype="130" unbalanced="0"/>
    <cacheHierarchy uniqueName="[All_Results].[Match Category]" caption="Match Category" attribute="1" defaultMemberUniqueName="[All_Results].[Match Category].[All]" allUniqueName="[All_Results].[Match Category].[All]" dimensionUniqueName="[All_Results]" displayFolder="" count="0" memberValueDatatype="130" unbalanced="0"/>
    <cacheHierarchy uniqueName="[All_Results].[Match No]" caption="Match No" attribute="1" defaultMemberUniqueName="[All_Results].[Match No].[All]" allUniqueName="[All_Results].[Match No].[All]" dimensionUniqueName="[All_Results]" displayFolder="" count="0" memberValueDatatype="130" unbalanced="0"/>
    <cacheHierarchy uniqueName="[All_Results].[Merged]" caption="Merged" attribute="1" defaultMemberUniqueName="[All_Results].[Merged].[All]" allUniqueName="[All_Results].[Merged].[All]" dimensionUniqueName="[All_Results]" displayFolder="" count="0" memberValueDatatype="130" unbalanced="0"/>
    <cacheHierarchy uniqueName="[All_Results].[Round]" caption="Round" attribute="1" defaultMemberUniqueName="[All_Results].[Round].[All]" allUniqueName="[All_Results].[Round].[All]" dimensionUniqueName="[All_Results]" displayFolder="" count="0" memberValueDatatype="130" unbalanced="0"/>
    <cacheHierarchy uniqueName="[All_Results].[Time]" caption="Time" attribute="1" defaultMemberUniqueName="[All_Results].[Time].[All]" allUniqueName="[All_Results].[Time].[All]" dimensionUniqueName="[All_Results]" displayFolder="" count="0" memberValueDatatype="130" unbalanced="0"/>
    <cacheHierarchy uniqueName="[All_Results].[Total Goals]" caption="Total Goals" attribute="1" defaultMemberUniqueName="[All_Results].[Total Goals].[All]" allUniqueName="[All_Results].[Total Goals].[All]" dimensionUniqueName="[All_Results]" displayFolder="" count="0" memberValueDatatype="130" unbalanced="0"/>
    <cacheHierarchy uniqueName="[Club_Leagues].[Club - League]" caption="Club - League" attribute="1" defaultMemberUniqueName="[Club_Leagues].[Club - League].[All]" allUniqueName="[Club_Leagues].[Club - League].[All]" dimensionUniqueName="[Club_Leagues]" displayFolder="" count="0" memberValueDatatype="130" unbalanced="0"/>
    <cacheHierarchy uniqueName="[Clubs].[Current Club]" caption="Current Club" attribute="1" defaultMemberUniqueName="[Clubs].[Current Club].[All]" allUniqueName="[Clubs].[Current Club].[All]" dimensionUniqueName="[Clubs]" displayFolder="" count="2" memberValueDatatype="130" unbalanced="0">
      <fieldsUsage count="2">
        <fieldUsage x="-1"/>
        <fieldUsage x="0"/>
      </fieldsUsage>
    </cacheHierarchy>
    <cacheHierarchy uniqueName="[Clubs].[Players Represented At World Cup]" caption="Players Represented At World Cup" attribute="1" defaultMemberUniqueName="[Clubs].[Players Represented At World Cup].[All]" allUniqueName="[Clubs].[Players Represented At World Cup].[All]" dimensionUniqueName="[Clubs]" displayFolder="" count="0" memberValueDatatype="20" unbalanced="0"/>
    <cacheHierarchy uniqueName="[Clubs 1].[Club - League]" caption="Club - League" attribute="1" defaultMemberUniqueName="[Clubs 1].[Club - League].[All]" allUniqueName="[Clubs 1].[Club - League].[All]" dimensionUniqueName="[Clubs 1]" displayFolder="" count="0" memberValueDatatype="130" unbalanced="0"/>
    <cacheHierarchy uniqueName="[Clubs 1].[ClubID]" caption="ClubID" attribute="1" defaultMemberUniqueName="[Clubs 1].[ClubID].[All]" allUniqueName="[Clubs 1].[ClubID].[All]" dimensionUniqueName="[Clubs 1]" displayFolder="" count="0" memberValueDatatype="130" unbalanced="0"/>
    <cacheHierarchy uniqueName="[Clubs 1].[Current Club]" caption="Current Club" attribute="1" defaultMemberUniqueName="[Clubs 1].[Current Club].[All]" allUniqueName="[Clubs 1].[Current Club].[All]" dimensionUniqueName="[Clubs 1]" displayFolder="" count="0" memberValueDatatype="130" unbalanced="0"/>
    <cacheHierarchy uniqueName="[Clubs 1].[Football Association]" caption="Football Association" attribute="1" defaultMemberUniqueName="[Clubs 1].[Football Association].[All]" allUniqueName="[Clubs 1].[Football Association].[All]" dimensionUniqueName="[Clubs 1]" displayFolder="" count="0" memberValueDatatype="130" unbalanced="0"/>
    <cacheHierarchy uniqueName="[Clubs 1].[FullData]" caption="FullData" attribute="1" defaultMemberUniqueName="[Clubs 1].[FullData].[All]" allUniqueName="[Clubs 1].[FullData].[All]" dimensionUniqueName="[Clubs 1]" displayFolder="" count="0" memberValueDatatype="130" unbalanced="0"/>
    <cacheHierarchy uniqueName="[FIFA_Region].[Area]" caption="Area" attribute="1" defaultMemberUniqueName="[FIFA_Region].[Area].[All]" allUniqueName="[FIFA_Region].[Area].[All]" dimensionUniqueName="[FIFA_Region]" displayFolder="" count="0" memberValueDatatype="130" unbalanced="0"/>
    <cacheHierarchy uniqueName="[FIFA_Region].[FIFA Region]" caption="FIFA Region" attribute="1" defaultMemberUniqueName="[FIFA_Region].[FIFA Region].[All]" allUniqueName="[FIFA_Region].[FIFA Region].[All]" dimensionUniqueName="[FIFA_Region]" displayFolder="" count="0" memberValueDatatype="130" unbalanced="0"/>
    <cacheHierarchy uniqueName="[Fixtures].[Attendance]" caption="Attendance" attribute="1" defaultMemberUniqueName="[Fixtures].[Attendance].[All]" allUniqueName="[Fixtures].[Attendance].[All]" dimensionUniqueName="[Fixtures]" displayFolder="" count="0" memberValueDatatype="20" unbalanced="0"/>
    <cacheHierarchy uniqueName="[Fixtures].[Away]" caption="Away" attribute="1" defaultMemberUniqueName="[Fixtures].[Away].[All]" allUniqueName="[Fixtures].[Away].[All]" dimensionUniqueName="[Fixtures]" displayFolder="" count="0" memberValueDatatype="130" unbalanced="0"/>
    <cacheHierarchy uniqueName="[Fixtures].[Away Draw Points]" caption="Away Draw Points" attribute="1" defaultMemberUniqueName="[Fixtures].[Away Draw Points].[All]" allUniqueName="[Fixtures].[Away Draw Points].[All]" dimensionUniqueName="[Fixtures]" displayFolder="" count="0" memberValueDatatype="20" unbalanced="0"/>
    <cacheHierarchy uniqueName="[Fixtures].[Away Games Played]" caption="Away Games Played" attribute="1" defaultMemberUniqueName="[Fixtures].[Away Games Played].[All]" allUniqueName="[Fixtures].[Away Games Played].[All]" dimensionUniqueName="[Fixtures]" displayFolder="" count="0" memberValueDatatype="20" unbalanced="0"/>
    <cacheHierarchy uniqueName="[Fixtures].[Away Points]" caption="Away Points" attribute="1" defaultMemberUniqueName="[Fixtures].[Away Points].[All]" allUniqueName="[Fixtures].[Away Points].[All]" dimensionUniqueName="[Fixtures]" displayFolder="" count="0" memberValueDatatype="20" unbalanced="0"/>
    <cacheHierarchy uniqueName="[Fixtures].[Away Score]" caption="Away Score" attribute="1" defaultMemberUniqueName="[Fixtures].[Away Score].[All]" allUniqueName="[Fixtures].[Away Score].[All]" dimensionUniqueName="[Fixtures]" displayFolder="" count="0" memberValueDatatype="20" unbalanced="0"/>
    <cacheHierarchy uniqueName="[Fixtures].[Date]" caption="Date" attribute="1" time="1" defaultMemberUniqueName="[Fixtures].[Date].[All]" allUniqueName="[Fixtures].[Date].[All]" dimensionUniqueName="[Fixtures]" displayFolder="" count="0" memberValueDatatype="7" unbalanced="0"/>
    <cacheHierarchy uniqueName="[Fixtures].[Forecast Result]" caption="Forecast Result" attribute="1" defaultMemberUniqueName="[Fixtures].[Forecast Result].[All]" allUniqueName="[Fixtures].[Forecast Result].[All]" dimensionUniqueName="[Fixtures]" displayFolder="" count="0" memberValueDatatype="130" unbalanced="0"/>
    <cacheHierarchy uniqueName="[Fixtures].[Home]" caption="Home" attribute="1" defaultMemberUniqueName="[Fixtures].[Home].[All]" allUniqueName="[Fixtures].[Home].[All]" dimensionUniqueName="[Fixtures]" displayFolder="" count="0" memberValueDatatype="130" unbalanced="0"/>
    <cacheHierarchy uniqueName="[Fixtures].[Home Draw Points]" caption="Home Draw Points" attribute="1" defaultMemberUniqueName="[Fixtures].[Home Draw Points].[All]" allUniqueName="[Fixtures].[Home Draw Points].[All]" dimensionUniqueName="[Fixtures]" displayFolder="" count="0" memberValueDatatype="20" unbalanced="0"/>
    <cacheHierarchy uniqueName="[Fixtures].[Home Games Played]" caption="Home Games Played" attribute="1" defaultMemberUniqueName="[Fixtures].[Home Games Played].[All]" allUniqueName="[Fixtures].[Home Games Played].[All]" dimensionUniqueName="[Fixtures]" displayFolder="" count="0" memberValueDatatype="20" unbalanced="0"/>
    <cacheHierarchy uniqueName="[Fixtures].[Home Points]" caption="Home Points" attribute="1" defaultMemberUniqueName="[Fixtures].[Home Points].[All]" allUniqueName="[Fixtures].[Home Points].[All]" dimensionUniqueName="[Fixtures]" displayFolder="" count="0" memberValueDatatype="20" unbalanced="0"/>
    <cacheHierarchy uniqueName="[Fixtures].[Home Score]" caption="Home Score" attribute="1" defaultMemberUniqueName="[Fixtures].[Home Score].[All]" allUniqueName="[Fixtures].[Home Score].[All]" dimensionUniqueName="[Fixtures]" displayFolder="" count="0" memberValueDatatype="20" unbalanced="0"/>
    <cacheHierarchy uniqueName="[Fixtures].[Knock Out Rounds Away]" caption="Knock Out Rounds Away" attribute="1" defaultMemberUniqueName="[Fixtures].[Knock Out Rounds Away].[All]" allUniqueName="[Fixtures].[Knock Out Rounds Away].[All]" dimensionUniqueName="[Fixtures]" displayFolder="" count="0" memberValueDatatype="130" unbalanced="0"/>
    <cacheHierarchy uniqueName="[Fixtures].[Knock Out Rounds Home]" caption="Knock Out Rounds Home" attribute="1" defaultMemberUniqueName="[Fixtures].[Knock Out Rounds Home].[All]" allUniqueName="[Fixtures].[Knock Out Rounds Home].[All]" dimensionUniqueName="[Fixtures]" displayFolder="" count="0" memberValueDatatype="130" unbalanced="0"/>
    <cacheHierarchy uniqueName="[Fixtures].[Knock Out Rounds Home2]" caption="Knock Out Rounds Home2" attribute="1" defaultMemberUniqueName="[Fixtures].[Knock Out Rounds Home2].[All]" allUniqueName="[Fixtures].[Knock Out Rounds Home2].[All]" dimensionUniqueName="[Fixtures]" displayFolder="" count="0" memberValueDatatype="130" unbalanced="0"/>
    <cacheHierarchy uniqueName="[Fixtures].[Knock Out Winner]" caption="Knock Out Winner" attribute="1" defaultMemberUniqueName="[Fixtures].[Knock Out Winner].[All]" allUniqueName="[Fixtures].[Knock Out Winner].[All]" dimensionUniqueName="[Fixtures]" displayFolder="" count="0" memberValueDatatype="130" unbalanced="0"/>
    <cacheHierarchy uniqueName="[Fixtures].[Location]" caption="Location" attribute="1" defaultMemberUniqueName="[Fixtures].[Location].[All]" allUniqueName="[Fixtures].[Location].[All]" dimensionUniqueName="[Fixtures]" displayFolder="" count="0" memberValueDatatype="130" unbalanced="0"/>
    <cacheHierarchy uniqueName="[Fixtures].[Match Category]" caption="Match Category" attribute="1" defaultMemberUniqueName="[Fixtures].[Match Category].[All]" allUniqueName="[Fixtures].[Match Category].[All]" dimensionUniqueName="[Fixtures]" displayFolder="" count="0" memberValueDatatype="130" unbalanced="0"/>
    <cacheHierarchy uniqueName="[Fixtures].[Match No]" caption="Match No" attribute="1" defaultMemberUniqueName="[Fixtures].[Match No].[All]" allUniqueName="[Fixtures].[Match No].[All]" dimensionUniqueName="[Fixtures]" displayFolder="" count="0" memberValueDatatype="20" unbalanced="0"/>
    <cacheHierarchy uniqueName="[Fixtures].[Outcome]" caption="Outcome" attribute="1" defaultMemberUniqueName="[Fixtures].[Outcome].[All]" allUniqueName="[Fixtures].[Outcome].[All]" dimensionUniqueName="[Fixtures]" displayFolder="" count="0" memberValueDatatype="130" unbalanced="0"/>
    <cacheHierarchy uniqueName="[Fixtures].[Result]" caption="Result" attribute="1" defaultMemberUniqueName="[Fixtures].[Result].[All]" allUniqueName="[Fixtures].[Result].[All]" dimensionUniqueName="[Fixtures]" displayFolder="" count="0" memberValueDatatype="130" unbalanced="0"/>
    <cacheHierarchy uniqueName="[Fixtures].[Round]" caption="Round" attribute="1" defaultMemberUniqueName="[Fixtures].[Round].[All]" allUniqueName="[Fixtures].[Round].[All]" dimensionUniqueName="[Fixtures]" displayFolder="" count="0" memberValueDatatype="130" unbalanced="0"/>
    <cacheHierarchy uniqueName="[Fixtures].[Time]" caption="Time" attribute="1" time="1" defaultMemberUniqueName="[Fixtures].[Time].[All]" allUniqueName="[Fixtures].[Time].[All]" dimensionUniqueName="[Fixtures]" displayFolder="" count="0" memberValueDatatype="7" unbalanced="0"/>
    <cacheHierarchy uniqueName="[Fixtures].[Total Goals]" caption="Total Goals" attribute="1" defaultMemberUniqueName="[Fixtures].[Total Goals].[All]" allUniqueName="[Fixtures].[Total Goals].[All]" dimensionUniqueName="[Fixtures]" displayFolder="" count="0" memberValueDatatype="20" unbalanced="0"/>
    <cacheHierarchy uniqueName="[Football_Associations].[FIFA Ranking]" caption="FIFA Ranking" attribute="1" defaultMemberUniqueName="[Football_Associations].[FIFA Ranking].[All]" allUniqueName="[Football_Associations].[FIFA Ranking].[All]" dimensionUniqueName="[Football_Associations]" displayFolder="" count="0" memberValueDatatype="20" unbalanced="0"/>
    <cacheHierarchy uniqueName="[Football_Associations].[Football Association]" caption="Football Association" attribute="1" defaultMemberUniqueName="[Football_Associations].[Football Association].[All]" allUniqueName="[Football_Associations].[Football Association].[All]" dimensionUniqueName="[Football_Associations]" displayFolder="" count="0" memberValueDatatype="130" unbalanced="0"/>
    <cacheHierarchy uniqueName="[Football_Associations].[Nation Code]" caption="Nation Code" attribute="1" defaultMemberUniqueName="[Football_Associations].[Nation Code].[All]" allUniqueName="[Football_Associations].[Nation Code].[All]" dimensionUniqueName="[Football_Associations]" displayFolder="" count="0" memberValueDatatype="130" unbalanced="0"/>
    <cacheHierarchy uniqueName="[Football_Associations].[World Cup 2022 Qualification Status]" caption="World Cup 2022 Qualification Status" attribute="1" defaultMemberUniqueName="[Football_Associations].[World Cup 2022 Qualification Status].[All]" allUniqueName="[Football_Associations].[World Cup 2022 Qualification Status].[All]" dimensionUniqueName="[Football_Associations]" displayFolder="" count="0" memberValueDatatype="130" unbalanced="0"/>
    <cacheHierarchy uniqueName="[Football_Associations].[World Cup Result]" caption="World Cup Result" attribute="1" defaultMemberUniqueName="[Football_Associations].[World Cup Result].[All]" allUniqueName="[Football_Associations].[World Cup Result].[All]" dimensionUniqueName="[Football_Associations]" displayFolder="" count="0" memberValueDatatype="130" unbalanced="0"/>
    <cacheHierarchy uniqueName="[Football_Associations 1].[FIFA Ranking]" caption="FIFA Ranking" attribute="1" defaultMemberUniqueName="[Football_Associations 1].[FIFA Ranking].[All]" allUniqueName="[Football_Associations 1].[FIFA Ranking].[All]" dimensionUniqueName="[Football_Associations 1]" displayFolder="" count="0" memberValueDatatype="20" unbalanced="0"/>
    <cacheHierarchy uniqueName="[Football_Associations 1].[FIFA Region]" caption="FIFA Region" attribute="1" defaultMemberUniqueName="[Football_Associations 1].[FIFA Region].[All]" allUniqueName="[Football_Associations 1].[FIFA Region].[All]" dimensionUniqueName="[Football_Associations 1]" displayFolder="" count="0" memberValueDatatype="130" unbalanced="0"/>
    <cacheHierarchy uniqueName="[Football_Associations 1].[Football Association]" caption="Football Association" attribute="1" defaultMemberUniqueName="[Football_Associations 1].[Football Association].[All]" allUniqueName="[Football_Associations 1].[Football Association].[All]" dimensionUniqueName="[Football_Associations 1]" displayFolder="" count="0" memberValueDatatype="130" unbalanced="0"/>
    <cacheHierarchy uniqueName="[Football_Associations 1].[Nation Code]" caption="Nation Code" attribute="1" defaultMemberUniqueName="[Football_Associations 1].[Nation Code].[All]" allUniqueName="[Football_Associations 1].[Nation Code].[All]" dimensionUniqueName="[Football_Associations 1]" displayFolder="" count="0" memberValueDatatype="130" unbalanced="0"/>
    <cacheHierarchy uniqueName="[Football_Associations 1].[World Cup 2022 Qualification Status]" caption="World Cup 2022 Qualification Status" attribute="1" defaultMemberUniqueName="[Football_Associations 1].[World Cup 2022 Qualification Status].[All]" allUniqueName="[Football_Associations 1].[World Cup 2022 Qualification Status].[All]" dimensionUniqueName="[Football_Associations 1]" displayFolder="" count="0" memberValueDatatype="130" unbalanced="0"/>
    <cacheHierarchy uniqueName="[Football_Associations 1].[World Cup Group]" caption="World Cup Group" attribute="1" defaultMemberUniqueName="[Football_Associations 1].[World Cup Group].[All]" allUniqueName="[Football_Associations 1].[World Cup Group].[All]" dimensionUniqueName="[Football_Associations 1]" displayFolder="" count="0" memberValueDatatype="130" unbalanced="0"/>
    <cacheHierarchy uniqueName="[Football_Associations 1].[World Cup Result]" caption="World Cup Result" attribute="1" defaultMemberUniqueName="[Football_Associations 1].[World Cup Result].[All]" allUniqueName="[Football_Associations 1].[World Cup Result].[All]" dimensionUniqueName="[Football_Associations 1]" displayFolder="" count="0" memberValueDatatype="130" unbalanced="0"/>
    <cacheHierarchy uniqueName="[Group Fixtures].[Attendance]" caption="Attendance" attribute="1" defaultMemberUniqueName="[Group Fixtures].[Attendance].[All]" allUniqueName="[Group Fixtures].[Attendance].[All]" dimensionUniqueName="[Group Fixtures]" displayFolder="" count="0" memberValueDatatype="5" unbalanced="0"/>
    <cacheHierarchy uniqueName="[Group Fixtures].[Away]" caption="Away" attribute="1" defaultMemberUniqueName="[Group Fixtures].[Away].[All]" allUniqueName="[Group Fixtures].[Away].[All]" dimensionUniqueName="[Group Fixtures]" displayFolder="" count="0" memberValueDatatype="130" unbalanced="0"/>
    <cacheHierarchy uniqueName="[Group Fixtures].[Away Draw Points]" caption="Away Draw Points" attribute="1" defaultMemberUniqueName="[Group Fixtures].[Away Draw Points].[All]" allUniqueName="[Group Fixtures].[Away Draw Points].[All]" dimensionUniqueName="[Group Fixtures]" displayFolder="" count="0" memberValueDatatype="20" unbalanced="0"/>
    <cacheHierarchy uniqueName="[Group Fixtures].[Away Games Played]" caption="Away Games Played" attribute="1" defaultMemberUniqueName="[Group Fixtures].[Away Games Played].[All]" allUniqueName="[Group Fixtures].[Away Games Played].[All]" dimensionUniqueName="[Group Fixtures]" displayFolder="" count="0" memberValueDatatype="20" unbalanced="0"/>
    <cacheHierarchy uniqueName="[Group Fixtures].[Away Points]" caption="Away Points" attribute="1" defaultMemberUniqueName="[Group Fixtures].[Away Points].[All]" allUniqueName="[Group Fixtures].[Away Points].[All]" dimensionUniqueName="[Group Fixtures]" displayFolder="" count="0" memberValueDatatype="20" unbalanced="0"/>
    <cacheHierarchy uniqueName="[Group Fixtures].[Away Score]" caption="Away Score" attribute="1" defaultMemberUniqueName="[Group Fixtures].[Away Score].[All]" allUniqueName="[Group Fixtures].[Away Score].[All]" dimensionUniqueName="[Group Fixtures]" displayFolder="" count="0" memberValueDatatype="20" unbalanced="0"/>
    <cacheHierarchy uniqueName="[Group Fixtures].[Date]" caption="Date" attribute="1" time="1" defaultMemberUniqueName="[Group Fixtures].[Date].[All]" allUniqueName="[Group Fixtures].[Date].[All]" dimensionUniqueName="[Group Fixtures]" displayFolder="" count="0" memberValueDatatype="7" unbalanced="0"/>
    <cacheHierarchy uniqueName="[Group Fixtures].[Date (Month)]" caption="Date (Month)" attribute="1" defaultMemberUniqueName="[Group Fixtures].[Date (Month)].[All]" allUniqueName="[Group Fixtures].[Date (Month)].[All]" dimensionUniqueName="[Group Fixtures]" displayFolder="" count="0" memberValueDatatype="130" unbalanced="0"/>
    <cacheHierarchy uniqueName="[Group Fixtures].[Forecast Result]" caption="Forecast Result" attribute="1" defaultMemberUniqueName="[Group Fixtures].[Forecast Result].[All]" allUniqueName="[Group Fixtures].[Forecast Result].[All]" dimensionUniqueName="[Group Fixtures]" displayFolder="" count="0" memberValueDatatype="130" unbalanced="0"/>
    <cacheHierarchy uniqueName="[Group Fixtures].[Home]" caption="Home" attribute="1" defaultMemberUniqueName="[Group Fixtures].[Home].[All]" allUniqueName="[Group Fixtures].[Home].[All]" dimensionUniqueName="[Group Fixtures]" displayFolder="" count="0" memberValueDatatype="130" unbalanced="0"/>
    <cacheHierarchy uniqueName="[Group Fixtures].[Home Draw Points]" caption="Home Draw Points" attribute="1" defaultMemberUniqueName="[Group Fixtures].[Home Draw Points].[All]" allUniqueName="[Group Fixtures].[Home Draw Points].[All]" dimensionUniqueName="[Group Fixtures]" displayFolder="" count="0" memberValueDatatype="20" unbalanced="0"/>
    <cacheHierarchy uniqueName="[Group Fixtures].[Home Games Played]" caption="Home Games Played" attribute="1" defaultMemberUniqueName="[Group Fixtures].[Home Games Played].[All]" allUniqueName="[Group Fixtures].[Home Games Played].[All]" dimensionUniqueName="[Group Fixtures]" displayFolder="" count="0" memberValueDatatype="20" unbalanced="0"/>
    <cacheHierarchy uniqueName="[Group Fixtures].[Home Points]" caption="Home Points" attribute="1" defaultMemberUniqueName="[Group Fixtures].[Home Points].[All]" allUniqueName="[Group Fixtures].[Home Points].[All]" dimensionUniqueName="[Group Fixtures]" displayFolder="" count="0" memberValueDatatype="20" unbalanced="0"/>
    <cacheHierarchy uniqueName="[Group Fixtures].[Home Score]" caption="Home Score" attribute="1" defaultMemberUniqueName="[Group Fixtures].[Home Score].[All]" allUniqueName="[Group Fixtures].[Home Score].[All]" dimensionUniqueName="[Group Fixtures]" displayFolder="" count="0" memberValueDatatype="20" unbalanced="0"/>
    <cacheHierarchy uniqueName="[Group Fixtures].[Knock Out Rounds Away]" caption="Knock Out Rounds Away" attribute="1" defaultMemberUniqueName="[Group Fixtures].[Knock Out Rounds Away].[All]" allUniqueName="[Group Fixtures].[Knock Out Rounds Away].[All]" dimensionUniqueName="[Group Fixtures]" displayFolder="" count="0" memberValueDatatype="130" unbalanced="0"/>
    <cacheHierarchy uniqueName="[Group Fixtures].[Knock Out Rounds Home]" caption="Knock Out Rounds Home" attribute="1" defaultMemberUniqueName="[Group Fixtures].[Knock Out Rounds Home].[All]" allUniqueName="[Group Fixtures].[Knock Out Rounds Home].[All]" dimensionUniqueName="[Group Fixtures]" displayFolder="" count="0" memberValueDatatype="130" unbalanced="0"/>
    <cacheHierarchy uniqueName="[Group Fixtures].[Knock Out Rounds Home2]" caption="Knock Out Rounds Home2" attribute="1" defaultMemberUniqueName="[Group Fixtures].[Knock Out Rounds Home2].[All]" allUniqueName="[Group Fixtures].[Knock Out Rounds Home2].[All]" dimensionUniqueName="[Group Fixtures]" displayFolder="" count="0" memberValueDatatype="130" unbalanced="0"/>
    <cacheHierarchy uniqueName="[Group Fixtures].[Knock Out Winner]" caption="Knock Out Winner" attribute="1" defaultMemberUniqueName="[Group Fixtures].[Knock Out Winner].[All]" allUniqueName="[Group Fixtures].[Knock Out Winner].[All]" dimensionUniqueName="[Group Fixtures]" displayFolder="" count="0" memberValueDatatype="130" unbalanced="0"/>
    <cacheHierarchy uniqueName="[Group Fixtures].[Location]" caption="Location" attribute="1" defaultMemberUniqueName="[Group Fixtures].[Location].[All]" allUniqueName="[Group Fixtures].[Location].[All]" dimensionUniqueName="[Group Fixtures]" displayFolder="" count="0" memberValueDatatype="130" unbalanced="0"/>
    <cacheHierarchy uniqueName="[Group Fixtures].[Match Category]" caption="Match Category" attribute="1" defaultMemberUniqueName="[Group Fixtures].[Match Category].[All]" allUniqueName="[Group Fixtures].[Match Category].[All]" dimensionUniqueName="[Group Fixtures]" displayFolder="" count="0" memberValueDatatype="130" unbalanced="0"/>
    <cacheHierarchy uniqueName="[Group Fixtures].[Match No]" caption="Match No" attribute="1" defaultMemberUniqueName="[Group Fixtures].[Match No].[All]" allUniqueName="[Group Fixtures].[Match No].[All]" dimensionUniqueName="[Group Fixtures]" displayFolder="" count="0" memberValueDatatype="20" unbalanced="0"/>
    <cacheHierarchy uniqueName="[Group Fixtures].[Outcome]" caption="Outcome" attribute="1" defaultMemberUniqueName="[Group Fixtures].[Outcome].[All]" allUniqueName="[Group Fixtures].[Outcome].[All]" dimensionUniqueName="[Group Fixtures]" displayFolder="" count="0" memberValueDatatype="130" unbalanced="0"/>
    <cacheHierarchy uniqueName="[Group Fixtures].[Result]" caption="Result" attribute="1" defaultMemberUniqueName="[Group Fixtures].[Result].[All]" allUniqueName="[Group Fixtures].[Result].[All]" dimensionUniqueName="[Group Fixtures]" displayFolder="" count="0" memberValueDatatype="130" unbalanced="0"/>
    <cacheHierarchy uniqueName="[Group Fixtures].[Round]" caption="Round" attribute="1" defaultMemberUniqueName="[Group Fixtures].[Round].[All]" allUniqueName="[Group Fixtures].[Round].[All]" dimensionUniqueName="[Group Fixtures]" displayFolder="" count="0" memberValueDatatype="130" unbalanced="0"/>
    <cacheHierarchy uniqueName="[Group Fixtures].[Total Goals]" caption="Total Goals" attribute="1" defaultMemberUniqueName="[Group Fixtures].[Total Goals].[All]" allUniqueName="[Group Fixtures].[Total Goals].[All]" dimensionUniqueName="[Group Fixtures]" displayFolder="" count="0" memberValueDatatype="20" unbalanced="0"/>
    <cacheHierarchy uniqueName="[Knock_Out].[Attendance]" caption="Attendance" attribute="1" defaultMemberUniqueName="[Knock_Out].[Attendance].[All]" allUniqueName="[Knock_Out].[Attendance].[All]" dimensionUniqueName="[Knock_Out]" displayFolder="" count="0" memberValueDatatype="20" unbalanced="0"/>
    <cacheHierarchy uniqueName="[Knock_Out].[Away]" caption="Away" attribute="1" defaultMemberUniqueName="[Knock_Out].[Away].[All]" allUniqueName="[Knock_Out].[Away].[All]" dimensionUniqueName="[Knock_Out]" displayFolder="" count="0" memberValueDatatype="130" unbalanced="0"/>
    <cacheHierarchy uniqueName="[Knock_Out].[Away Score]" caption="Away Score" attribute="1" defaultMemberUniqueName="[Knock_Out].[Away Score].[All]" allUniqueName="[Knock_Out].[Away Score].[All]" dimensionUniqueName="[Knock_Out]" displayFolder="" count="0" memberValueDatatype="20" unbalanced="0"/>
    <cacheHierarchy uniqueName="[Knock_Out].[Date]" caption="Date" attribute="1" time="1" defaultMemberUniqueName="[Knock_Out].[Date].[All]" allUniqueName="[Knock_Out].[Date].[All]" dimensionUniqueName="[Knock_Out]" displayFolder="" count="0" memberValueDatatype="7" unbalanced="0"/>
    <cacheHierarchy uniqueName="[Knock_Out].[Home]" caption="Home" attribute="1" defaultMemberUniqueName="[Knock_Out].[Home].[All]" allUniqueName="[Knock_Out].[Home].[All]" dimensionUniqueName="[Knock_Out]" displayFolder="" count="0" memberValueDatatype="130" unbalanced="0"/>
    <cacheHierarchy uniqueName="[Knock_Out].[Home Score]" caption="Home Score" attribute="1" defaultMemberUniqueName="[Knock_Out].[Home Score].[All]" allUniqueName="[Knock_Out].[Home Score].[All]" dimensionUniqueName="[Knock_Out]" displayFolder="" count="0" memberValueDatatype="20" unbalanced="0"/>
    <cacheHierarchy uniqueName="[Knock_Out].[Knock Out Rounds Away]" caption="Knock Out Rounds Away" attribute="1" defaultMemberUniqueName="[Knock_Out].[Knock Out Rounds Away].[All]" allUniqueName="[Knock_Out].[Knock Out Rounds Away].[All]" dimensionUniqueName="[Knock_Out]" displayFolder="" count="0" memberValueDatatype="130" unbalanced="0"/>
    <cacheHierarchy uniqueName="[Knock_Out].[Knock Out Rounds Home]" caption="Knock Out Rounds Home" attribute="1" defaultMemberUniqueName="[Knock_Out].[Knock Out Rounds Home].[All]" allUniqueName="[Knock_Out].[Knock Out Rounds Home].[All]" dimensionUniqueName="[Knock_Out]" displayFolder="" count="0" memberValueDatatype="130" unbalanced="0"/>
    <cacheHierarchy uniqueName="[Knock_Out].[Knock Out Winner]" caption="Knock Out Winner" attribute="1" defaultMemberUniqueName="[Knock_Out].[Knock Out Winner].[All]" allUniqueName="[Knock_Out].[Knock Out Winner].[All]" dimensionUniqueName="[Knock_Out]" displayFolder="" count="0" memberValueDatatype="130" unbalanced="0"/>
    <cacheHierarchy uniqueName="[Knock_Out].[Location]" caption="Location" attribute="1" defaultMemberUniqueName="[Knock_Out].[Location].[All]" allUniqueName="[Knock_Out].[Location].[All]" dimensionUniqueName="[Knock_Out]" displayFolder="" count="0" memberValueDatatype="130" unbalanced="0"/>
    <cacheHierarchy uniqueName="[Knock_Out].[Match Category]" caption="Match Category" attribute="1" defaultMemberUniqueName="[Knock_Out].[Match Category].[All]" allUniqueName="[Knock_Out].[Match Category].[All]" dimensionUniqueName="[Knock_Out]" displayFolder="" count="0" memberValueDatatype="130" unbalanced="0"/>
    <cacheHierarchy uniqueName="[Knock_Out].[Match No]" caption="Match No" attribute="1" defaultMemberUniqueName="[Knock_Out].[Match No].[All]" allUniqueName="[Knock_Out].[Match No].[All]" dimensionUniqueName="[Knock_Out]" displayFolder="" count="0" memberValueDatatype="20" unbalanced="0"/>
    <cacheHierarchy uniqueName="[Knock_Out].[Outcome]" caption="Outcome" attribute="1" defaultMemberUniqueName="[Knock_Out].[Outcome].[All]" allUniqueName="[Knock_Out].[Outcome].[All]" dimensionUniqueName="[Knock_Out]" displayFolder="" count="0" memberValueDatatype="130" unbalanced="0"/>
    <cacheHierarchy uniqueName="[Knock_Out].[Round]" caption="Round" attribute="1" defaultMemberUniqueName="[Knock_Out].[Round].[All]" allUniqueName="[Knock_Out].[Round].[All]" dimensionUniqueName="[Knock_Out]" displayFolder="" count="0" memberValueDatatype="130" unbalanced="0"/>
    <cacheHierarchy uniqueName="[Knock_Out].[Time]" caption="Time" attribute="1" time="1" defaultMemberUniqueName="[Knock_Out].[Time].[All]" allUniqueName="[Knock_Out].[Time].[All]" dimensionUniqueName="[Knock_Out]" displayFolder="" count="0" memberValueDatatype="7" unbalanced="0"/>
    <cacheHierarchy uniqueName="[Knock_Out_Fixtures].[Attendance]" caption="Attendance" attribute="1" defaultMemberUniqueName="[Knock_Out_Fixtures].[Attendance].[All]" allUniqueName="[Knock_Out_Fixtures].[Attendance].[All]" dimensionUniqueName="[Knock_Out_Fixtures]" displayFolder="" count="0" memberValueDatatype="5" unbalanced="0"/>
    <cacheHierarchy uniqueName="[Knock_Out_Fixtures].[Away]" caption="Away" attribute="1" defaultMemberUniqueName="[Knock_Out_Fixtures].[Away].[All]" allUniqueName="[Knock_Out_Fixtures].[Away].[All]" dimensionUniqueName="[Knock_Out_Fixtures]" displayFolder="" count="0" memberValueDatatype="130" unbalanced="0"/>
    <cacheHierarchy uniqueName="[Knock_Out_Fixtures].[Away Score]" caption="Away Score" attribute="1" defaultMemberUniqueName="[Knock_Out_Fixtures].[Away Score].[All]" allUniqueName="[Knock_Out_Fixtures].[Away Score].[All]" dimensionUniqueName="[Knock_Out_Fixtures]" displayFolder="" count="0" memberValueDatatype="20" unbalanced="0"/>
    <cacheHierarchy uniqueName="[Knock_Out_Fixtures].[Date]" caption="Date" attribute="1" time="1" defaultMemberUniqueName="[Knock_Out_Fixtures].[Date].[All]" allUniqueName="[Knock_Out_Fixtures].[Date].[All]" dimensionUniqueName="[Knock_Out_Fixtures]" displayFolder="" count="0" memberValueDatatype="7" unbalanced="0"/>
    <cacheHierarchy uniqueName="[Knock_Out_Fixtures].[Home]" caption="Home" attribute="1" defaultMemberUniqueName="[Knock_Out_Fixtures].[Home].[All]" allUniqueName="[Knock_Out_Fixtures].[Home].[All]" dimensionUniqueName="[Knock_Out_Fixtures]" displayFolder="" count="0" memberValueDatatype="130" unbalanced="0"/>
    <cacheHierarchy uniqueName="[Knock_Out_Fixtures].[Home Score]" caption="Home Score" attribute="1" defaultMemberUniqueName="[Knock_Out_Fixtures].[Home Score].[All]" allUniqueName="[Knock_Out_Fixtures].[Home Score].[All]" dimensionUniqueName="[Knock_Out_Fixtures]" displayFolder="" count="0" memberValueDatatype="20" unbalanced="0"/>
    <cacheHierarchy uniqueName="[Knock_Out_Fixtures].[Knock Out Rounds Away]" caption="Knock Out Rounds Away" attribute="1" defaultMemberUniqueName="[Knock_Out_Fixtures].[Knock Out Rounds Away].[All]" allUniqueName="[Knock_Out_Fixtures].[Knock Out Rounds Away].[All]" dimensionUniqueName="[Knock_Out_Fixtures]" displayFolder="" count="0" memberValueDatatype="130" unbalanced="0"/>
    <cacheHierarchy uniqueName="[Knock_Out_Fixtures].[Knock Out Rounds Home]" caption="Knock Out Rounds Home" attribute="1" defaultMemberUniqueName="[Knock_Out_Fixtures].[Knock Out Rounds Home].[All]" allUniqueName="[Knock_Out_Fixtures].[Knock Out Rounds Home].[All]" dimensionUniqueName="[Knock_Out_Fixtures]" displayFolder="" count="0" memberValueDatatype="130" unbalanced="0"/>
    <cacheHierarchy uniqueName="[Knock_Out_Fixtures].[Knock Out Winner]" caption="Knock Out Winner" attribute="1" defaultMemberUniqueName="[Knock_Out_Fixtures].[Knock Out Winner].[All]" allUniqueName="[Knock_Out_Fixtures].[Knock Out Winner].[All]" dimensionUniqueName="[Knock_Out_Fixtures]" displayFolder="" count="0" memberValueDatatype="130" unbalanced="0"/>
    <cacheHierarchy uniqueName="[Knock_Out_Fixtures].[Location]" caption="Location" attribute="1" defaultMemberUniqueName="[Knock_Out_Fixtures].[Location].[All]" allUniqueName="[Knock_Out_Fixtures].[Location].[All]" dimensionUniqueName="[Knock_Out_Fixtures]" displayFolder="" count="0" memberValueDatatype="130" unbalanced="0"/>
    <cacheHierarchy uniqueName="[Knock_Out_Fixtures].[Match Category]" caption="Match Category" attribute="1" defaultMemberUniqueName="[Knock_Out_Fixtures].[Match Category].[All]" allUniqueName="[Knock_Out_Fixtures].[Match Category].[All]" dimensionUniqueName="[Knock_Out_Fixtures]" displayFolder="" count="0" memberValueDatatype="130" unbalanced="0"/>
    <cacheHierarchy uniqueName="[Knock_Out_Fixtures].[Match No]" caption="Match No" attribute="1" defaultMemberUniqueName="[Knock_Out_Fixtures].[Match No].[All]" allUniqueName="[Knock_Out_Fixtures].[Match No].[All]" dimensionUniqueName="[Knock_Out_Fixtures]" displayFolder="" count="0" memberValueDatatype="20" unbalanced="0"/>
    <cacheHierarchy uniqueName="[Knock_Out_Fixtures].[Outcome]" caption="Outcome" attribute="1" defaultMemberUniqueName="[Knock_Out_Fixtures].[Outcome].[All]" allUniqueName="[Knock_Out_Fixtures].[Outcome].[All]" dimensionUniqueName="[Knock_Out_Fixtures]" displayFolder="" count="0" memberValueDatatype="130" unbalanced="0"/>
    <cacheHierarchy uniqueName="[Knock_Out_Fixtures].[Round]" caption="Round" attribute="1" defaultMemberUniqueName="[Knock_Out_Fixtures].[Round].[All]" allUniqueName="[Knock_Out_Fixtures].[Round].[All]" dimensionUniqueName="[Knock_Out_Fixtures]" displayFolder="" count="0" memberValueDatatype="130" unbalanced="0"/>
    <cacheHierarchy uniqueName="[Leagues_Of_FA].[Club - League]" caption="Club - League" attribute="1" defaultMemberUniqueName="[Leagues_Of_FA].[Club - League].[All]" allUniqueName="[Leagues_Of_FA].[Club - League].[All]" dimensionUniqueName="[Leagues_Of_FA]" displayFolder="" count="0" memberValueDatatype="130" unbalanced="0"/>
    <cacheHierarchy uniqueName="[Leagues_Of_FA].[Football Association]" caption="Football Association" attribute="1" defaultMemberUniqueName="[Leagues_Of_FA].[Football Association].[All]" allUniqueName="[Leagues_Of_FA].[Football Association].[All]" dimensionUniqueName="[Leagues_Of_FA]" displayFolder="" count="0" memberValueDatatype="130" unbalanced="0"/>
    <cacheHierarchy uniqueName="[Match_Record].[Action]" caption="Action" attribute="1" defaultMemberUniqueName="[Match_Record].[Action].[All]" allUniqueName="[Match_Record].[Action].[All]" dimensionUniqueName="[Match_Record]" displayFolder="" count="0" memberValueDatatype="130" unbalanced="0"/>
    <cacheHierarchy uniqueName="[Match_Record].[Away]" caption="Away" attribute="1" defaultMemberUniqueName="[Match_Record].[Away].[All]" allUniqueName="[Match_Record].[Away].[All]" dimensionUniqueName="[Match_Record]" displayFolder="" count="0" memberValueDatatype="130" unbalanced="0"/>
    <cacheHierarchy uniqueName="[Match_Record].[Date]" caption="Date" attribute="1" time="1" defaultMemberUniqueName="[Match_Record].[Date].[All]" allUniqueName="[Match_Record].[Date].[All]" dimensionUniqueName="[Match_Record]" displayFolder="" count="0" memberValueDatatype="7" unbalanced="0"/>
    <cacheHierarchy uniqueName="[Match_Record].[Home]" caption="Home" attribute="1" defaultMemberUniqueName="[Match_Record].[Home].[All]" allUniqueName="[Match_Record].[Home].[All]" dimensionUniqueName="[Match_Record]" displayFolder="" count="0" memberValueDatatype="130" unbalanced="0"/>
    <cacheHierarchy uniqueName="[Match_Record].[Minutes of Action]" caption="Minutes of Action" attribute="1" defaultMemberUniqueName="[Match_Record].[Minutes of Action].[All]" allUniqueName="[Match_Record].[Minutes of Action].[All]" dimensionUniqueName="[Match_Record]" displayFolder="" count="0" memberValueDatatype="20" unbalanced="0"/>
    <cacheHierarchy uniqueName="[Match_Record].[Player Name]" caption="Player Name" attribute="1" defaultMemberUniqueName="[Match_Record].[Player Name].[All]" allUniqueName="[Match_Record].[Player Name].[All]" dimensionUniqueName="[Match_Record]" displayFolder="" count="0" memberValueDatatype="130" unbalanced="0"/>
    <cacheHierarchy uniqueName="[Match_Record].[Team]" caption="Team" attribute="1" defaultMemberUniqueName="[Match_Record].[Team].[All]" allUniqueName="[Match_Record].[Team].[All]" dimensionUniqueName="[Match_Record]" displayFolder="" count="0" memberValueDatatype="130" unbalanced="0"/>
    <cacheHierarchy uniqueName="[Squads].[Age]" caption="Age" attribute="1" defaultMemberUniqueName="[Squads].[Age].[All]" allUniqueName="[Squads].[Age].[All]" dimensionUniqueName="[Squads]" displayFolder="" count="0" memberValueDatatype="20" unbalanced="0"/>
    <cacheHierarchy uniqueName="[Squads].[Age Range]" caption="Age Range" attribute="1" defaultMemberUniqueName="[Squads].[Age Range].[All]" allUniqueName="[Squads].[Age Range].[All]" dimensionUniqueName="[Squads]" displayFolder="" count="0" memberValueDatatype="130" unbalanced="0"/>
    <cacheHierarchy uniqueName="[Squads].[Caps]" caption="Caps" attribute="1" defaultMemberUniqueName="[Squads].[Caps].[All]" allUniqueName="[Squads].[Caps].[All]" dimensionUniqueName="[Squads]" displayFolder="" count="0" memberValueDatatype="20" unbalanced="0"/>
    <cacheHierarchy uniqueName="[Squads].[Date Of Birth]" caption="Date Of Birth" attribute="1" time="1" defaultMemberUniqueName="[Squads].[Date Of Birth].[All]" allUniqueName="[Squads].[Date Of Birth].[All]" dimensionUniqueName="[Squads]" displayFolder="" count="0" memberValueDatatype="7" unbalanced="0"/>
    <cacheHierarchy uniqueName="[Squads].[Experience]" caption="Experience" attribute="1" defaultMemberUniqueName="[Squads].[Experience].[All]" allUniqueName="[Squads].[Experience].[All]" dimensionUniqueName="[Squads]" displayFolder="" count="0" memberValueDatatype="130" unbalanced="0"/>
    <cacheHierarchy uniqueName="[Squads].[FA]" caption="FA" attribute="1" defaultMemberUniqueName="[Squads].[FA].[All]" allUniqueName="[Squads].[FA].[All]" dimensionUniqueName="[Squads]" displayFolder="" count="0" memberValueDatatype="130" unbalanced="0"/>
    <cacheHierarchy uniqueName="[Squads].[International Goals]" caption="International Goals" attribute="1" defaultMemberUniqueName="[Squads].[International Goals].[All]" allUniqueName="[Squads].[International Goals].[All]" dimensionUniqueName="[Squads]" displayFolder="" count="0" memberValueDatatype="20" unbalanced="0"/>
    <cacheHierarchy uniqueName="[Squads].[Last Four]" caption="Last Four" attribute="1" defaultMemberUniqueName="[Squads].[Last Four].[All]" allUniqueName="[Squads].[Last Four].[All]" dimensionUniqueName="[Squads]" displayFolder="" count="0" memberValueDatatype="20" unbalanced="0"/>
    <cacheHierarchy uniqueName="[Squads].[Player Name]" caption="Player Name" attribute="1" defaultMemberUniqueName="[Squads].[Player Name].[All]" allUniqueName="[Squads].[Player Name].[All]" dimensionUniqueName="[Squads]" displayFolder="" count="0" memberValueDatatype="130" unbalanced="0"/>
    <cacheHierarchy uniqueName="[Squads].[Player No]" caption="Player No" attribute="1" defaultMemberUniqueName="[Squads].[Player No].[All]" allUniqueName="[Squads].[Player No].[All]" dimensionUniqueName="[Squads]" displayFolder="" count="0" memberValueDatatype="20" unbalanced="0"/>
    <cacheHierarchy uniqueName="[Squads].[Position]" caption="Position" attribute="1" defaultMemberUniqueName="[Squads].[Position].[All]" allUniqueName="[Squads].[Position].[All]" dimensionUniqueName="[Squads]" displayFolder="" count="0" memberValueDatatype="130" unbalanced="0"/>
    <cacheHierarchy uniqueName="[Squads].[Squad No]" caption="Squad No" attribute="1" defaultMemberUniqueName="[Squads].[Squad No].[All]" allUniqueName="[Squads].[Squad No].[All]" dimensionUniqueName="[Squads]" displayFolder="" count="0" memberValueDatatype="20" unbalanced="0"/>
    <cacheHierarchy uniqueName="[Squads].[World Cup Result]" caption="World Cup Result" attribute="1" defaultMemberUniqueName="[Squads].[World Cup Result].[All]" allUniqueName="[Squads].[World Cup Result].[All]" dimensionUniqueName="[Squads]" displayFolder="" count="0" memberValueDatatype="130" unbalanced="0"/>
    <cacheHierarchy uniqueName="[Squads 1].[Age]" caption="Age" attribute="1" defaultMemberUniqueName="[Squads 1].[Age].[All]" allUniqueName="[Squads 1].[Age].[All]" dimensionUniqueName="[Squads 1]" displayFolder="" count="0" memberValueDatatype="130" unbalanced="0"/>
    <cacheHierarchy uniqueName="[Squads 1].[Caps]" caption="Caps" attribute="1" defaultMemberUniqueName="[Squads 1].[Caps].[All]" allUniqueName="[Squads 1].[Caps].[All]" dimensionUniqueName="[Squads 1]" displayFolder="" count="0" memberValueDatatype="130" unbalanced="0"/>
    <cacheHierarchy uniqueName="[Squads 1].[ClubID]" caption="ClubID" attribute="1" defaultMemberUniqueName="[Squads 1].[ClubID].[All]" allUniqueName="[Squads 1].[ClubID].[All]" dimensionUniqueName="[Squads 1]" displayFolder="" count="0" memberValueDatatype="130" unbalanced="0"/>
    <cacheHierarchy uniqueName="[Squads 1].[Clubs.Club - League]" caption="Clubs.Club - League" attribute="1" defaultMemberUniqueName="[Squads 1].[Clubs.Club - League].[All]" allUniqueName="[Squads 1].[Clubs.Club - League].[All]" dimensionUniqueName="[Squads 1]" displayFolder="" count="0" memberValueDatatype="130" unbalanced="0"/>
    <cacheHierarchy uniqueName="[Squads 1].[Clubs.Football Association]" caption="Clubs.Football Association" attribute="1" defaultMemberUniqueName="[Squads 1].[Clubs.Football Association].[All]" allUniqueName="[Squads 1].[Clubs.Football Association].[All]" dimensionUniqueName="[Squads 1]" displayFolder="" count="0" memberValueDatatype="130" unbalanced="0"/>
    <cacheHierarchy uniqueName="[Squads 1].[Current Club]" caption="Current Club" attribute="1" defaultMemberUniqueName="[Squads 1].[Current Club].[All]" allUniqueName="[Squads 1].[Current Club].[All]" dimensionUniqueName="[Squads 1]" displayFolder="" count="0" memberValueDatatype="130" unbalanced="0"/>
    <cacheHierarchy uniqueName="[Squads 1].[Date Of Birth]" caption="Date Of Birth" attribute="1" time="1" defaultMemberUniqueName="[Squads 1].[Date Of Birth].[All]" allUniqueName="[Squads 1].[Date Of Birth].[All]" dimensionUniqueName="[Squads 1]" displayFolder="" count="0" memberValueDatatype="7" unbalanced="0"/>
    <cacheHierarchy uniqueName="[Squads 1].[FA]" caption="FA" attribute="1" defaultMemberUniqueName="[Squads 1].[FA].[All]" allUniqueName="[Squads 1].[FA].[All]" dimensionUniqueName="[Squads 1]" displayFolder="" count="0" memberValueDatatype="130" unbalanced="0"/>
    <cacheHierarchy uniqueName="[Squads 1].[FullFA]" caption="FullFA" attribute="1" defaultMemberUniqueName="[Squads 1].[FullFA].[All]" allUniqueName="[Squads 1].[FullFA].[All]" dimensionUniqueName="[Squads 1]" displayFolder="" count="0" memberValueDatatype="130" unbalanced="0"/>
    <cacheHierarchy uniqueName="[Squads 1].[FullPlayerData]" caption="FullPlayerData" attribute="1" defaultMemberUniqueName="[Squads 1].[FullPlayerData].[All]" allUniqueName="[Squads 1].[FullPlayerData].[All]" dimensionUniqueName="[Squads 1]" displayFolder="" count="0" memberValueDatatype="130" unbalanced="0"/>
    <cacheHierarchy uniqueName="[Squads 1].[International Goals]" caption="International Goals" attribute="1" defaultMemberUniqueName="[Squads 1].[International Goals].[All]" allUniqueName="[Squads 1].[International Goals].[All]" dimensionUniqueName="[Squads 1]" displayFolder="" count="0" memberValueDatatype="130" unbalanced="0"/>
    <cacheHierarchy uniqueName="[Squads 1].[Last Four]" caption="Last Four" attribute="1" defaultMemberUniqueName="[Squads 1].[Last Four].[All]" allUniqueName="[Squads 1].[Last Four].[All]" dimensionUniqueName="[Squads 1]" displayFolder="" count="0" memberValueDatatype="130" unbalanced="0"/>
    <cacheHierarchy uniqueName="[Squads 1].[Nation Code]" caption="Nation Code" attribute="1" defaultMemberUniqueName="[Squads 1].[Nation Code].[All]" allUniqueName="[Squads 1].[Nation Code].[All]" dimensionUniqueName="[Squads 1]" displayFolder="" count="0" memberValueDatatype="130" unbalanced="0"/>
    <cacheHierarchy uniqueName="[Squads 1].[Player Name]" caption="Player Name" attribute="1" defaultMemberUniqueName="[Squads 1].[Player Name].[All]" allUniqueName="[Squads 1].[Player Name].[All]" dimensionUniqueName="[Squads 1]" displayFolder="" count="0" memberValueDatatype="130" unbalanced="0"/>
    <cacheHierarchy uniqueName="[Squads 1].[Player No]" caption="Player No" attribute="1" defaultMemberUniqueName="[Squads 1].[Player No].[All]" allUniqueName="[Squads 1].[Player No].[All]" dimensionUniqueName="[Squads 1]" displayFolder="" count="0" memberValueDatatype="130" unbalanced="0"/>
    <cacheHierarchy uniqueName="[Squads 1].[Position]" caption="Position" attribute="1" defaultMemberUniqueName="[Squads 1].[Position].[All]" allUniqueName="[Squads 1].[Position].[All]" dimensionUniqueName="[Squads 1]" displayFolder="" count="0" memberValueDatatype="130" unbalanced="0"/>
    <cacheHierarchy uniqueName="[Squads 1].[Squad No]" caption="Squad No" attribute="1" defaultMemberUniqueName="[Squads 1].[Squad No].[All]" allUniqueName="[Squads 1].[Squad No].[All]" dimensionUniqueName="[Squads 1]" displayFolder="" count="0" memberValueDatatype="130" unbalanced="0"/>
    <cacheHierarchy uniqueName="[Squads 1].[World Cup Result]" caption="World Cup Result" attribute="1" defaultMemberUniqueName="[Squads 1].[World Cup Result].[All]" allUniqueName="[Squads 1].[World Cup Result].[All]" dimensionUniqueName="[Squads 1]" displayFolder="" count="0" memberValueDatatype="130" unbalanced="0"/>
    <cacheHierarchy uniqueName="[Stadiums].[Capacity]" caption="Capacity" attribute="1" defaultMemberUniqueName="[Stadiums].[Capacity].[All]" allUniqueName="[Stadiums].[Capacity].[All]" dimensionUniqueName="[Stadiums]" displayFolder="" count="0" memberValueDatatype="20" unbalanced="0"/>
    <cacheHierarchy uniqueName="[Stadiums].[Location]" caption="Location" attribute="1" defaultMemberUniqueName="[Stadiums].[Location].[All]" allUniqueName="[Stadiums].[Location].[All]" dimensionUniqueName="[Stadiums]" displayFolder="" count="0" memberValueDatatype="130" unbalanced="0"/>
    <cacheHierarchy uniqueName="[Stadiums].[Name]" caption="Name" attribute="1" defaultMemberUniqueName="[Stadiums].[Name].[All]" allUniqueName="[Stadiums].[Name].[All]" dimensionUniqueName="[Stadiums]" displayFolder="" count="0" memberValueDatatype="130" unbalanced="0"/>
    <cacheHierarchy uniqueName="[Stadiums].[Stadium_No]" caption="Stadium_No" attribute="1" defaultMemberUniqueName="[Stadiums].[Stadium_No].[All]" allUniqueName="[Stadiums].[Stadium_No].[All]" dimensionUniqueName="[Stadiums]" displayFolder="" count="0" memberValueDatatype="130" unbalanced="0"/>
    <cacheHierarchy uniqueName="[Stadiums 1].[Capacity]" caption="Capacity" attribute="1" defaultMemberUniqueName="[Stadiums 1].[Capacity].[All]" allUniqueName="[Stadiums 1].[Capacity].[All]" dimensionUniqueName="[Stadiums 1]" displayFolder="" count="0" memberValueDatatype="20" unbalanced="0"/>
    <cacheHierarchy uniqueName="[Stadiums 1].[Location]" caption="Location" attribute="1" defaultMemberUniqueName="[Stadiums 1].[Location].[All]" allUniqueName="[Stadiums 1].[Location].[All]" dimensionUniqueName="[Stadiums 1]" displayFolder="" count="0" memberValueDatatype="130" unbalanced="0"/>
    <cacheHierarchy uniqueName="[Stadiums 1].[Name]" caption="Name" attribute="1" defaultMemberUniqueName="[Stadiums 1].[Name].[All]" allUniqueName="[Stadiums 1].[Name].[All]" dimensionUniqueName="[Stadiums 1]" displayFolder="" count="0" memberValueDatatype="130" unbalanced="0"/>
    <cacheHierarchy uniqueName="[Stadiums 1].[Stadium_No]" caption="Stadium_No" attribute="1" defaultMemberUniqueName="[Stadiums 1].[Stadium_No].[All]" allUniqueName="[Stadiums 1].[Stadium_No].[All]" dimensionUniqueName="[Stadiums 1]" displayFolder="" count="0" memberValueDatatype="130" unbalanced="0"/>
    <cacheHierarchy uniqueName="[WC_Groups].[World Cup Groups]" caption="World Cup Groups" attribute="1" defaultMemberUniqueName="[WC_Groups].[World Cup Groups].[All]" allUniqueName="[WC_Groups].[World Cup Groups].[All]" dimensionUniqueName="[WC_Groups]" displayFolder="" count="0" memberValueDatatype="130" unbalanced="0"/>
    <cacheHierarchy uniqueName="[Club_Leagues].[Football Association]" caption="Football Association" attribute="1" defaultMemberUniqueName="[Club_Leagues].[Football Association].[All]" allUniqueName="[Club_Leagues].[Football Association].[All]" dimensionUniqueName="[Club_Leagues]" displayFolder="" count="0" memberValueDatatype="130" unbalanced="0" hidden="1"/>
    <cacheHierarchy uniqueName="[Clubs].[Club - League]" caption="Club - League" attribute="1" defaultMemberUniqueName="[Clubs].[Club - League].[All]" allUniqueName="[Clubs].[Club - League].[All]" dimensionUniqueName="[Clubs]" displayFolder="" count="0" memberValueDatatype="130" unbalanced="0" hidden="1"/>
    <cacheHierarchy uniqueName="[Clubs].[Football Association]" caption="Football Association" attribute="1" defaultMemberUniqueName="[Clubs].[Football Association].[All]" allUniqueName="[Clubs].[Football Association].[All]" dimensionUniqueName="[Clubs]" displayFolder="" count="0" memberValueDatatype="130" unbalanced="0" hidden="1"/>
    <cacheHierarchy uniqueName="[FIFA_Region 1].[Area]" caption="Area" attribute="1" defaultMemberUniqueName="[FIFA_Region 1].[Area].[All]" allUniqueName="[FIFA_Region 1].[Area].[All]" dimensionUniqueName="[FIFA_Region 1]" displayFolder="" count="0" memberValueDatatype="130" unbalanced="0" hidden="1"/>
    <cacheHierarchy uniqueName="[FIFA_Region 1].[FIFA Region]" caption="FIFA Region" attribute="1" defaultMemberUniqueName="[FIFA_Region 1].[FIFA Region].[All]" allUniqueName="[FIFA_Region 1].[FIFA Region].[All]" dimensionUniqueName="[FIFA_Region 1]" displayFolder="" count="0" memberValueDatatype="130" unbalanced="0" hidden="1"/>
    <cacheHierarchy uniqueName="[Football_Associations].[FIFA Region]" caption="FIFA Region" attribute="1" defaultMemberUniqueName="[Football_Associations].[FIFA Region].[All]" allUniqueName="[Football_Associations].[FIFA Region].[All]" dimensionUniqueName="[Football_Associations]" displayFolder="" count="0" memberValueDatatype="130" unbalanced="0" hidden="1"/>
    <cacheHierarchy uniqueName="[Football_Associations].[World Cup Group]" caption="World Cup Group" attribute="1" defaultMemberUniqueName="[Football_Associations].[World Cup Group].[All]" allUniqueName="[Football_Associations].[World Cup Group].[All]" dimensionUniqueName="[Football_Associations]" displayFolder="" count="0" memberValueDatatype="130" unbalanced="0" hidden="1"/>
    <cacheHierarchy uniqueName="[Group Fixtures].[Date (Month Index)]" caption="Date (Month Index)" attribute="1" defaultMemberUniqueName="[Group Fixtures].[Date (Month Index)].[All]" allUniqueName="[Group Fixtures].[Date (Month Index)].[All]" dimensionUniqueName="[Group Fixtures]" displayFolder="" count="0" memberValueDatatype="20" unbalanced="0" hidden="1"/>
    <cacheHierarchy uniqueName="[Match_Record].[Match No]" caption="Match No" attribute="1" defaultMemberUniqueName="[Match_Record].[Match No].[All]" allUniqueName="[Match_Record].[Match No].[All]" dimensionUniqueName="[Match_Record]" displayFolder="" count="0" memberValueDatatype="20" unbalanced="0" hidden="1"/>
    <cacheHierarchy uniqueName="[Match_Record].[Player_No]" caption="Player_No" attribute="1" defaultMemberUniqueName="[Match_Record].[Player_No].[All]" allUniqueName="[Match_Record].[Player_No].[All]" dimensionUniqueName="[Match_Record]" displayFolder="" count="0" memberValueDatatype="20" unbalanced="0" hidden="1"/>
    <cacheHierarchy uniqueName="[Squads].[Current Club]" caption="Current Club" attribute="1" defaultMemberUniqueName="[Squads].[Current Club].[All]" allUniqueName="[Squads].[Current Club].[All]" dimensionUniqueName="[Squads]" displayFolder="" count="0" memberValueDatatype="130" unbalanced="0" hidden="1"/>
    <cacheHierarchy uniqueName="[Squads].[National Team]" caption="National Team" attribute="1" defaultMemberUniqueName="[Squads].[National Team].[All]" allUniqueName="[Squads].[National Team].[All]" dimensionUniqueName="[Squads]" displayFolder="" count="0" memberValueDatatype="130" unbalanced="0" hidden="1"/>
    <cacheHierarchy uniqueName="[Measures].[__XL_Count FIFA_Region]" caption="__XL_Count FIFA_Region" measure="1" displayFolder="" measureGroup="FIFA_Region" count="0" hidden="1"/>
    <cacheHierarchy uniqueName="[Measures].[__XL_Count Stadiums27]" caption="__XL_Count Stadiums27" measure="1" displayFolder="" measureGroup="Stadiums" count="0" hidden="1"/>
    <cacheHierarchy uniqueName="[Measures].[__XL_Count WC_Groups]" caption="__XL_Count WC_Groups" measure="1" displayFolder="" measureGroup="WC_Groups" count="0" hidden="1"/>
    <cacheHierarchy uniqueName="[Measures].[__XL_Count Football_Associations]" caption="__XL_Count Football_Associations" measure="1" displayFolder="" measureGroup="Football_Associations" count="0" hidden="1"/>
    <cacheHierarchy uniqueName="[Measures].[__XL_Count Club_Leagues]" caption="__XL_Count Club_Leagues" measure="1" displayFolder="" measureGroup="Club_Leagues" count="0" hidden="1"/>
    <cacheHierarchy uniqueName="[Measures].[__XL_Count Clubs]" caption="__XL_Count Clubs" measure="1" displayFolder="" measureGroup="Clubs" count="0" hidden="1"/>
    <cacheHierarchy uniqueName="[Measures].[__XL_Count Fixtures]" caption="__XL_Count Fixtures" measure="1" displayFolder="" measureGroup="Fixtures" count="0" hidden="1"/>
    <cacheHierarchy uniqueName="[Measures].[__XL_Count Knock_Out]" caption="__XL_Count Knock_Out" measure="1" displayFolder="" measureGroup="Knock_Out" count="0" hidden="1"/>
    <cacheHierarchy uniqueName="[Measures].[__XL_Count Squads]" caption="__XL_Count Squads" measure="1" displayFolder="" measureGroup="Squads" count="0" hidden="1"/>
    <cacheHierarchy uniqueName="[Measures].[__XL_Count Match_Record]" caption="__XL_Count Match_Record" measure="1" displayFolder="" measureGroup="Match_Record" count="0" hidden="1"/>
    <cacheHierarchy uniqueName="[Measures].[__XL_Count Group Fixtures]" caption="__XL_Count Group Fixtures" measure="1" displayFolder="" measureGroup="Group Fixtures" count="0" hidden="1"/>
    <cacheHierarchy uniqueName="[Measures].[__XL_Count Knock_Out_Fixtures]" caption="__XL_Count Knock_Out_Fixtures" measure="1" displayFolder="" measureGroup="Knock_Out_Fixtures" count="0" hidden="1"/>
    <cacheHierarchy uniqueName="[Measures].[__XL_Count Football_Associations 1]" caption="__XL_Count Football_Associations 1" measure="1" displayFolder="" measureGroup="Football_Associations 1" count="0" hidden="1"/>
    <cacheHierarchy uniqueName="[Measures].[__XL_Count Stadiums 1]" caption="__XL_Count Stadiums 1" measure="1" displayFolder="" measureGroup="Stadiums 1" count="0" hidden="1"/>
    <cacheHierarchy uniqueName="[Measures].[__XL_Count FIFA_Region 1]" caption="__XL_Count FIFA_Region 1" measure="1" displayFolder="" measureGroup="FIFA_Region 1" count="0" hidden="1"/>
    <cacheHierarchy uniqueName="[Measures].[__XL_Count Leagues_Of_FA]" caption="__XL_Count Leagues_Of_FA" measure="1" displayFolder="" measureGroup="Leagues_Of_FA" count="0" hidden="1"/>
    <cacheHierarchy uniqueName="[Measures].[__XL_Count Clubs 1]" caption="__XL_Count Clubs 1" measure="1" displayFolder="" measureGroup="Clubs 1" count="0" hidden="1"/>
    <cacheHierarchy uniqueName="[Measures].[__XL_Count Squads 1]" caption="__XL_Count Squads 1" measure="1" displayFolder="" measureGroup="Squads 1" count="0" hidden="1"/>
    <cacheHierarchy uniqueName="[Measures].[__XL_Count All_Results]" caption="__XL_Count All_Results" measure="1" displayFolder="" measureGroup="All_Results" count="0" hidden="1"/>
    <cacheHierarchy uniqueName="[Measures].[__No measures defined]" caption="__No measures defined" measure="1" displayFolder="" count="0" hidden="1"/>
    <cacheHierarchy uniqueName="[Measures].[Count of Current Club]" caption="Count of Current Club" measure="1" displayFolder="" measureGroup="Clubs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Players Represented At World Cup]" caption="Sum of Players Represented At World Cup" measure="1" displayFolder="" measureGroup="Club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unt of Club - League]" caption="Count of Club - League" measure="1" displayFolder="" measureGroup="Club_League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Age]" caption="Sum of Age" measure="1" displayFolder="" measureGroup="Squads" count="0" hidden="1">
      <extLst>
        <ext xmlns:x15="http://schemas.microsoft.com/office/spreadsheetml/2010/11/main" uri="{B97F6D7D-B522-45F9-BDA1-12C45D357490}">
          <x15:cacheHierarchy aggregatedColumn="123"/>
        </ext>
      </extLst>
    </cacheHierarchy>
    <cacheHierarchy uniqueName="[Measures].[Sum of Caps]" caption="Sum of Caps" measure="1" displayFolder="" measureGroup="Squads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Count of Caps]" caption="Count of Caps" measure="1" displayFolder="" measureGroup="Squads" count="0" hidden="1">
      <extLst>
        <ext xmlns:x15="http://schemas.microsoft.com/office/spreadsheetml/2010/11/main" uri="{B97F6D7D-B522-45F9-BDA1-12C45D357490}">
          <x15:cacheHierarchy aggregatedColumn="125"/>
        </ext>
      </extLst>
    </cacheHierarchy>
    <cacheHierarchy uniqueName="[Measures].[Count of Experience]" caption="Count of Experience" measure="1" displayFolder="" measureGroup="Squads" count="0" hidden="1">
      <extLst>
        <ext xmlns:x15="http://schemas.microsoft.com/office/spreadsheetml/2010/11/main" uri="{B97F6D7D-B522-45F9-BDA1-12C45D357490}">
          <x15:cacheHierarchy aggregatedColumn="127"/>
        </ext>
      </extLst>
    </cacheHierarchy>
    <cacheHierarchy uniqueName="[Measures].[Sum of Attendance]" caption="Sum of Attendance" measure="1" displayFolder="" measureGroup="Knock_Out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unt of Attendance]" caption="Count of Attendance" measure="1" displayFolder="" measureGroup="Knock_Out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Average of Attendance]" caption="Average of Attendance" measure="1" displayFolder="" measureGroup="Knock_Out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Sum of Attendance 2]" caption="Sum of Attendance 2" measure="1" displayFolder="" measureGroup="Group Fixture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Average of Attendance 2]" caption="Average of Attendance 2" measure="1" displayFolder="" measureGroup="Group Fixtures" count="0" hidden="1">
      <extLst>
        <ext xmlns:x15="http://schemas.microsoft.com/office/spreadsheetml/2010/11/main" uri="{B97F6D7D-B522-45F9-BDA1-12C45D357490}">
          <x15:cacheHierarchy aggregatedColumn="60"/>
        </ext>
      </extLst>
    </cacheHierarchy>
    <cacheHierarchy uniqueName="[Measures].[Sum of International Goals]" caption="Sum of International Goals" measure="1" displayFolder="" measureGroup="Squads" count="0" hidden="1">
      <extLst>
        <ext xmlns:x15="http://schemas.microsoft.com/office/spreadsheetml/2010/11/main" uri="{B97F6D7D-B522-45F9-BDA1-12C45D357490}">
          <x15:cacheHierarchy aggregatedColumn="129"/>
        </ext>
      </extLst>
    </cacheHierarchy>
    <cacheHierarchy uniqueName="[Measures].[Average of International Goals]" caption="Average of International Goals" measure="1" displayFolder="" measureGroup="Squads" count="0" hidden="1">
      <extLst>
        <ext xmlns:x15="http://schemas.microsoft.com/office/spreadsheetml/2010/11/main" uri="{B97F6D7D-B522-45F9-BDA1-12C45D357490}">
          <x15:cacheHierarchy aggregatedColumn="129"/>
        </ext>
      </extLst>
    </cacheHierarchy>
  </cacheHierarchies>
  <kpis count="0"/>
  <dimensions count="19">
    <dimension name="All_Results" uniqueName="[All_Results]" caption="All_Results"/>
    <dimension name="Club_Leagues" uniqueName="[Club_Leagues]" caption="Club_Leagues"/>
    <dimension name="Clubs" uniqueName="[Clubs]" caption="Clubs"/>
    <dimension name="Clubs 1" uniqueName="[Clubs 1]" caption="Clubs 1"/>
    <dimension name="FIFA_Region" uniqueName="[FIFA_Region]" caption="FIFA_Region"/>
    <dimension name="Fixtures" uniqueName="[Fixtures]" caption="Fixtures"/>
    <dimension name="Football_Associations" uniqueName="[Football_Associations]" caption="Football_Associations"/>
    <dimension name="Football_Associations 1" uniqueName="[Football_Associations 1]" caption="Football_Associations 1"/>
    <dimension name="Group Fixtures" uniqueName="[Group Fixtures]" caption="Group Fixtures"/>
    <dimension name="Knock_Out" uniqueName="[Knock_Out]" caption="Knock_Out"/>
    <dimension name="Knock_Out_Fixtures" uniqueName="[Knock_Out_Fixtures]" caption="Knock_Out_Fixtures"/>
    <dimension name="Leagues_Of_FA" uniqueName="[Leagues_Of_FA]" caption="Leagues_Of_FA"/>
    <dimension name="Match_Record" uniqueName="[Match_Record]" caption="Match_Record"/>
    <dimension measure="1" name="Measures" uniqueName="[Measures]" caption="Measures"/>
    <dimension name="Squads" uniqueName="[Squads]" caption="Squads"/>
    <dimension name="Squads 1" uniqueName="[Squads 1]" caption="Squads 1"/>
    <dimension name="Stadiums" uniqueName="[Stadiums]" caption="Stadiums"/>
    <dimension name="Stadiums 1" uniqueName="[Stadiums 1]" caption="Stadiums 1"/>
    <dimension name="WC_Groups" uniqueName="[WC_Groups]" caption="WC_Groups"/>
  </dimensions>
  <measureGroups count="19">
    <measureGroup name="All_Results" caption="All_Results"/>
    <measureGroup name="Club_Leagues" caption="Club_Leagues"/>
    <measureGroup name="Clubs" caption="Clubs"/>
    <measureGroup name="Clubs 1" caption="Clubs 1"/>
    <measureGroup name="FIFA_Region" caption="FIFA_Region"/>
    <measureGroup name="FIFA_Region 1" caption="FIFA_Region 1"/>
    <measureGroup name="Fixtures" caption="Fixtures"/>
    <measureGroup name="Football_Associations" caption="Football_Associations"/>
    <measureGroup name="Football_Associations 1" caption="Football_Associations 1"/>
    <measureGroup name="Group Fixtures" caption="Group Fixtures"/>
    <measureGroup name="Knock_Out" caption="Knock_Out"/>
    <measureGroup name="Knock_Out_Fixtures" caption="Knock_Out_Fixtures"/>
    <measureGroup name="Leagues_Of_FA" caption="Leagues_Of_FA"/>
    <measureGroup name="Match_Record" caption="Match_Record"/>
    <measureGroup name="Squads" caption="Squads"/>
    <measureGroup name="Squads 1" caption="Squads 1"/>
    <measureGroup name="Stadiums" caption="Stadiums"/>
    <measureGroup name="Stadiums 1" caption="Stadiums 1"/>
    <measureGroup name="WC_Groups" caption="WC_Groups"/>
  </measureGroups>
  <maps count="40">
    <map measureGroup="0" dimension="0"/>
    <map measureGroup="1" dimension="1"/>
    <map measureGroup="1" dimension="4"/>
    <map measureGroup="1" dimension="6"/>
    <map measureGroup="1" dimension="18"/>
    <map measureGroup="2" dimension="1"/>
    <map measureGroup="2" dimension="2"/>
    <map measureGroup="2" dimension="4"/>
    <map measureGroup="2" dimension="6"/>
    <map measureGroup="2" dimension="18"/>
    <map measureGroup="3" dimension="3"/>
    <map measureGroup="4" dimension="4"/>
    <map measureGroup="6" dimension="5"/>
    <map measureGroup="7" dimension="4"/>
    <map measureGroup="7" dimension="6"/>
    <map measureGroup="7" dimension="18"/>
    <map measureGroup="8" dimension="7"/>
    <map measureGroup="9" dimension="8"/>
    <map measureGroup="10" dimension="9"/>
    <map measureGroup="11" dimension="10"/>
    <map measureGroup="12" dimension="11"/>
    <map measureGroup="13" dimension="1"/>
    <map measureGroup="13" dimension="2"/>
    <map measureGroup="13" dimension="4"/>
    <map measureGroup="13" dimension="5"/>
    <map measureGroup="13" dimension="6"/>
    <map measureGroup="13" dimension="9"/>
    <map measureGroup="13" dimension="12"/>
    <map measureGroup="13" dimension="14"/>
    <map measureGroup="13" dimension="18"/>
    <map measureGroup="14" dimension="1"/>
    <map measureGroup="14" dimension="2"/>
    <map measureGroup="14" dimension="4"/>
    <map measureGroup="14" dimension="6"/>
    <map measureGroup="14" dimension="14"/>
    <map measureGroup="14" dimension="18"/>
    <map measureGroup="15" dimension="15"/>
    <map measureGroup="16" dimension="16"/>
    <map measureGroup="17" dimension="17"/>
    <map measureGroup="18" dimension="1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7">
  <r>
    <n v="1"/>
    <d v="2022-11-20T00:00:00"/>
    <s v="Qatar"/>
    <s v="Ecuador"/>
    <x v="0"/>
    <n v="15"/>
    <n v="1572"/>
    <x v="0"/>
    <x v="0"/>
  </r>
  <r>
    <n v="1"/>
    <d v="2022-11-20T00:00:00"/>
    <s v="Qatar"/>
    <s v="Ecuador"/>
    <x v="1"/>
    <n v="16"/>
    <n v="1247"/>
    <x v="1"/>
    <x v="1"/>
  </r>
  <r>
    <n v="1"/>
    <d v="2022-11-20T00:00:00"/>
    <s v="Qatar"/>
    <s v="Ecuador"/>
    <x v="0"/>
    <n v="22"/>
    <n v="1590"/>
    <x v="2"/>
    <x v="0"/>
  </r>
  <r>
    <n v="1"/>
    <d v="2022-11-20T00:00:00"/>
    <s v="Qatar"/>
    <s v="Ecuador"/>
    <x v="0"/>
    <n v="29"/>
    <n v="1257"/>
    <x v="3"/>
    <x v="1"/>
  </r>
  <r>
    <n v="1"/>
    <d v="2022-11-20T00:00:00"/>
    <s v="Qatar"/>
    <s v="Ecuador"/>
    <x v="1"/>
    <n v="31"/>
    <n v="1247"/>
    <x v="1"/>
    <x v="1"/>
  </r>
  <r>
    <n v="1"/>
    <d v="2022-11-20T00:00:00"/>
    <s v="Qatar"/>
    <s v="Ecuador"/>
    <x v="0"/>
    <n v="36"/>
    <n v="1583"/>
    <x v="4"/>
    <x v="0"/>
  </r>
  <r>
    <n v="1"/>
    <d v="2022-11-20T00:00:00"/>
    <s v="Qatar"/>
    <s v="Ecuador"/>
    <x v="0"/>
    <n v="78"/>
    <n v="1582"/>
    <x v="5"/>
    <x v="0"/>
  </r>
  <r>
    <n v="1"/>
    <d v="2022-11-20T00:00:00"/>
    <s v="Qatar"/>
    <s v="Ecuador"/>
    <x v="2"/>
    <n v="31"/>
    <n v="1251"/>
    <x v="6"/>
    <x v="1"/>
  </r>
  <r>
    <n v="1"/>
    <d v="2022-11-20T00:00:00"/>
    <s v="Qatar"/>
    <s v="Ecuador"/>
    <x v="0"/>
    <n v="56"/>
    <n v="1254"/>
    <x v="7"/>
    <x v="1"/>
  </r>
  <r>
    <n v="3"/>
    <d v="2022-11-21T00:00:00"/>
    <s v="England"/>
    <s v="Iran"/>
    <x v="1"/>
    <n v="35"/>
    <n v="1282"/>
    <x v="8"/>
    <x v="2"/>
  </r>
  <r>
    <n v="3"/>
    <d v="2022-11-21T00:00:00"/>
    <s v="England"/>
    <s v="Iran"/>
    <x v="2"/>
    <n v="35"/>
    <n v="1263"/>
    <x v="9"/>
    <x v="2"/>
  </r>
  <r>
    <n v="3"/>
    <d v="2022-11-21T00:00:00"/>
    <s v="England"/>
    <s v="Iran"/>
    <x v="1"/>
    <n v="43"/>
    <n v="1277"/>
    <x v="10"/>
    <x v="2"/>
  </r>
  <r>
    <n v="3"/>
    <d v="2022-11-21T00:00:00"/>
    <s v="England"/>
    <s v="Iran"/>
    <x v="2"/>
    <n v="43"/>
    <n v="1266"/>
    <x v="11"/>
    <x v="2"/>
  </r>
  <r>
    <n v="3"/>
    <d v="2022-11-21T00:00:00"/>
    <s v="England"/>
    <s v="Iran"/>
    <x v="1"/>
    <n v="45"/>
    <n v="1270"/>
    <x v="12"/>
    <x v="2"/>
  </r>
  <r>
    <n v="3"/>
    <d v="2022-11-21T00:00:00"/>
    <s v="England"/>
    <s v="Iran"/>
    <x v="2"/>
    <n v="45"/>
    <n v="1269"/>
    <x v="13"/>
    <x v="2"/>
  </r>
  <r>
    <n v="3"/>
    <d v="2022-11-21T00:00:00"/>
    <s v="England"/>
    <s v="Iran"/>
    <x v="1"/>
    <n v="62"/>
    <n v="1277"/>
    <x v="10"/>
    <x v="2"/>
  </r>
  <r>
    <n v="3"/>
    <d v="2022-11-21T00:00:00"/>
    <s v="England"/>
    <s v="Iran"/>
    <x v="2"/>
    <n v="62"/>
    <n v="1270"/>
    <x v="12"/>
    <x v="2"/>
  </r>
  <r>
    <n v="3"/>
    <d v="2022-11-21T00:00:00"/>
    <s v="England"/>
    <s v="Iran"/>
    <x v="1"/>
    <n v="71"/>
    <n v="1271"/>
    <x v="14"/>
    <x v="2"/>
  </r>
  <r>
    <n v="3"/>
    <d v="2022-11-21T00:00:00"/>
    <s v="England"/>
    <s v="Iran"/>
    <x v="2"/>
    <n v="71"/>
    <n v="1269"/>
    <x v="13"/>
    <x v="2"/>
  </r>
  <r>
    <n v="3"/>
    <d v="2022-11-21T00:00:00"/>
    <s v="England"/>
    <s v="Iran"/>
    <x v="1"/>
    <n v="90"/>
    <n v="1267"/>
    <x v="15"/>
    <x v="2"/>
  </r>
  <r>
    <n v="3"/>
    <d v="2022-11-21T00:00:00"/>
    <s v="England"/>
    <s v="Iran"/>
    <x v="2"/>
    <n v="90"/>
    <n v="1284"/>
    <x v="16"/>
    <x v="2"/>
  </r>
  <r>
    <n v="3"/>
    <d v="2022-11-21T00:00:00"/>
    <s v="England"/>
    <s v="Iran"/>
    <x v="0"/>
    <n v="25"/>
    <n v="1371"/>
    <x v="17"/>
    <x v="3"/>
  </r>
  <r>
    <n v="3"/>
    <d v="2022-11-21T00:00:00"/>
    <s v="England"/>
    <s v="Iran"/>
    <x v="0"/>
    <n v="48"/>
    <n v="1372"/>
    <x v="18"/>
    <x v="3"/>
  </r>
  <r>
    <n v="3"/>
    <d v="2022-11-21T00:00:00"/>
    <s v="England"/>
    <s v="Iran"/>
    <x v="1"/>
    <n v="65"/>
    <n v="1373"/>
    <x v="19"/>
    <x v="3"/>
  </r>
  <r>
    <n v="3"/>
    <d v="2022-11-21T00:00:00"/>
    <s v="England"/>
    <s v="Iran"/>
    <x v="1"/>
    <n v="103"/>
    <n v="1373"/>
    <x v="19"/>
    <x v="3"/>
  </r>
  <r>
    <n v="2"/>
    <d v="2022-11-21T00:00:00"/>
    <s v="Senegal"/>
    <s v="Netherlands"/>
    <x v="0"/>
    <n v="56"/>
    <n v="1496"/>
    <x v="20"/>
    <x v="4"/>
  </r>
  <r>
    <n v="2"/>
    <d v="2022-11-21T00:00:00"/>
    <s v="Senegal"/>
    <s v="Netherlands"/>
    <x v="1"/>
    <n v="84"/>
    <n v="1501"/>
    <x v="21"/>
    <x v="4"/>
  </r>
  <r>
    <n v="2"/>
    <d v="2022-11-21T00:00:00"/>
    <s v="Senegal"/>
    <s v="Netherlands"/>
    <x v="2"/>
    <n v="84"/>
    <n v="1514"/>
    <x v="22"/>
    <x v="4"/>
  </r>
  <r>
    <n v="2"/>
    <d v="2022-11-21T00:00:00"/>
    <s v="Senegal"/>
    <s v="Netherlands"/>
    <x v="1"/>
    <n v="99"/>
    <n v="1507"/>
    <x v="23"/>
    <x v="4"/>
  </r>
  <r>
    <n v="2"/>
    <d v="2022-11-21T00:00:00"/>
    <s v="Senegal"/>
    <s v="Netherlands"/>
    <x v="0"/>
    <n v="94"/>
    <n v="1629"/>
    <x v="24"/>
    <x v="5"/>
  </r>
  <r>
    <n v="2"/>
    <d v="2022-11-21T00:00:00"/>
    <s v="Senegal"/>
    <s v="Netherlands"/>
    <x v="0"/>
    <n v="96"/>
    <n v="1628"/>
    <x v="25"/>
    <x v="5"/>
  </r>
  <r>
    <n v="4"/>
    <d v="2022-11-21T00:00:00"/>
    <s v="USA"/>
    <s v="Wales"/>
    <x v="0"/>
    <n v="11"/>
    <n v="1780"/>
    <x v="26"/>
    <x v="6"/>
  </r>
  <r>
    <n v="4"/>
    <d v="2022-11-21T00:00:00"/>
    <s v="USA"/>
    <s v="Wales"/>
    <x v="0"/>
    <n v="13"/>
    <n v="1786"/>
    <x v="27"/>
    <x v="6"/>
  </r>
  <r>
    <n v="4"/>
    <d v="2022-11-21T00:00:00"/>
    <s v="USA"/>
    <s v="Wales"/>
    <x v="1"/>
    <n v="36"/>
    <n v="1799"/>
    <x v="28"/>
    <x v="6"/>
  </r>
  <r>
    <n v="4"/>
    <d v="2022-11-21T00:00:00"/>
    <s v="USA"/>
    <s v="Wales"/>
    <x v="2"/>
    <n v="36"/>
    <n v="1788"/>
    <x v="29"/>
    <x v="6"/>
  </r>
  <r>
    <n v="4"/>
    <d v="2022-11-21T00:00:00"/>
    <s v="USA"/>
    <s v="Wales"/>
    <x v="0"/>
    <n v="51"/>
    <n v="1791"/>
    <x v="30"/>
    <x v="6"/>
  </r>
  <r>
    <n v="4"/>
    <d v="2022-11-21T00:00:00"/>
    <s v="USA"/>
    <s v="Wales"/>
    <x v="0"/>
    <n v="100"/>
    <n v="1801"/>
    <x v="31"/>
    <x v="6"/>
  </r>
  <r>
    <n v="4"/>
    <d v="2022-11-21T00:00:00"/>
    <s v="USA"/>
    <s v="Wales"/>
    <x v="0"/>
    <n v="40"/>
    <n v="1815"/>
    <x v="32"/>
    <x v="7"/>
  </r>
  <r>
    <n v="4"/>
    <d v="2022-11-21T00:00:00"/>
    <s v="USA"/>
    <s v="Wales"/>
    <x v="0"/>
    <n v="45"/>
    <n v="1809"/>
    <x v="33"/>
    <x v="7"/>
  </r>
  <r>
    <n v="4"/>
    <d v="2022-11-21T00:00:00"/>
    <s v="USA"/>
    <s v="Wales"/>
    <x v="1"/>
    <n v="82"/>
    <n v="1815"/>
    <x v="32"/>
    <x v="7"/>
  </r>
  <r>
    <n v="5"/>
    <d v="2022-11-22T00:00:00"/>
    <s v="Argentina"/>
    <s v="Saudi Arabia"/>
    <x v="1"/>
    <n v="10"/>
    <n v="1010"/>
    <x v="34"/>
    <x v="8"/>
  </r>
  <r>
    <n v="5"/>
    <d v="2022-11-22T00:00:00"/>
    <s v="Argentina"/>
    <s v="Saudi Arabia"/>
    <x v="1"/>
    <n v="48"/>
    <n v="1608"/>
    <x v="35"/>
    <x v="9"/>
  </r>
  <r>
    <n v="5"/>
    <d v="2022-11-22T00:00:00"/>
    <s v="Argentina"/>
    <s v="Saudi Arabia"/>
    <x v="2"/>
    <n v="48"/>
    <n v="1606"/>
    <x v="36"/>
    <x v="9"/>
  </r>
  <r>
    <n v="5"/>
    <d v="2022-11-22T00:00:00"/>
    <s v="Argentina"/>
    <s v="Saudi Arabia"/>
    <x v="1"/>
    <n v="53"/>
    <n v="1607"/>
    <x v="37"/>
    <x v="9"/>
  </r>
  <r>
    <n v="5"/>
    <d v="2022-11-22T00:00:00"/>
    <s v="Argentina"/>
    <s v="Saudi Arabia"/>
    <x v="0"/>
    <n v="67"/>
    <n v="1605"/>
    <x v="38"/>
    <x v="9"/>
  </r>
  <r>
    <n v="5"/>
    <d v="2022-11-22T00:00:00"/>
    <s v="Argentina"/>
    <s v="Saudi Arabia"/>
    <x v="0"/>
    <n v="75"/>
    <n v="1602"/>
    <x v="39"/>
    <x v="9"/>
  </r>
  <r>
    <n v="5"/>
    <d v="2022-11-22T00:00:00"/>
    <s v="Argentina"/>
    <s v="Saudi Arabia"/>
    <x v="0"/>
    <n v="79"/>
    <n v="1607"/>
    <x v="37"/>
    <x v="9"/>
  </r>
  <r>
    <n v="5"/>
    <d v="2022-11-22T00:00:00"/>
    <s v="Argentina"/>
    <s v="Saudi Arabia"/>
    <x v="0"/>
    <n v="82"/>
    <n v="1609"/>
    <x v="40"/>
    <x v="9"/>
  </r>
  <r>
    <n v="5"/>
    <d v="2022-11-22T00:00:00"/>
    <s v="Argentina"/>
    <s v="Saudi Arabia"/>
    <x v="0"/>
    <n v="88"/>
    <n v="1615"/>
    <x v="41"/>
    <x v="9"/>
  </r>
  <r>
    <n v="5"/>
    <d v="2022-11-22T00:00:00"/>
    <s v="Argentina"/>
    <s v="Saudi Arabia"/>
    <x v="0"/>
    <n v="92"/>
    <n v="1618"/>
    <x v="42"/>
    <x v="9"/>
  </r>
  <r>
    <n v="6"/>
    <d v="2022-11-22T00:00:00"/>
    <s v="Denmark"/>
    <s v="Tunisia"/>
    <x v="0"/>
    <n v="24"/>
    <n v="1221"/>
    <x v="43"/>
    <x v="10"/>
  </r>
  <r>
    <n v="6"/>
    <d v="2022-11-22T00:00:00"/>
    <s v="Denmark"/>
    <s v="Tunisia"/>
    <x v="0"/>
    <n v="78"/>
    <n v="1215"/>
    <x v="44"/>
    <x v="10"/>
  </r>
  <r>
    <n v="6"/>
    <d v="2022-11-22T00:00:00"/>
    <s v="Denmark"/>
    <s v="Tunisia"/>
    <x v="0"/>
    <n v="86"/>
    <n v="1737"/>
    <x v="45"/>
    <x v="11"/>
  </r>
  <r>
    <n v="7"/>
    <d v="2022-11-22T00:00:00"/>
    <s v="Mexico"/>
    <s v="Poland"/>
    <x v="0"/>
    <n v="29"/>
    <n v="1460"/>
    <x v="46"/>
    <x v="12"/>
  </r>
  <r>
    <n v="7"/>
    <d v="2022-11-22T00:00:00"/>
    <s v="Mexico"/>
    <s v="Poland"/>
    <x v="0"/>
    <n v="56"/>
    <n v="1456"/>
    <x v="47"/>
    <x v="12"/>
  </r>
  <r>
    <n v="7"/>
    <d v="2022-11-22T00:00:00"/>
    <s v="Mexico"/>
    <s v="Poland"/>
    <x v="3"/>
    <n v="58"/>
    <n v="1528"/>
    <x v="48"/>
    <x v="13"/>
  </r>
  <r>
    <n v="7"/>
    <d v="2022-11-22T00:00:00"/>
    <s v="Mexico"/>
    <s v="Poland"/>
    <x v="0"/>
    <n v="76"/>
    <n v="1543"/>
    <x v="49"/>
    <x v="13"/>
  </r>
  <r>
    <n v="8"/>
    <d v="2022-11-22T00:00:00"/>
    <s v="France"/>
    <s v="Australia"/>
    <x v="1"/>
    <n v="9"/>
    <n v="1049"/>
    <x v="50"/>
    <x v="14"/>
  </r>
  <r>
    <n v="8"/>
    <d v="2022-11-22T00:00:00"/>
    <s v="France"/>
    <s v="Australia"/>
    <x v="2"/>
    <n v="9"/>
    <n v="1033"/>
    <x v="51"/>
    <x v="14"/>
  </r>
  <r>
    <n v="8"/>
    <d v="2022-11-22T00:00:00"/>
    <s v="France"/>
    <s v="Australia"/>
    <x v="0"/>
    <n v="55"/>
    <n v="1041"/>
    <x v="52"/>
    <x v="14"/>
  </r>
  <r>
    <n v="8"/>
    <d v="2022-11-22T00:00:00"/>
    <s v="France"/>
    <s v="Australia"/>
    <x v="0"/>
    <n v="80"/>
    <n v="1048"/>
    <x v="53"/>
    <x v="14"/>
  </r>
  <r>
    <n v="8"/>
    <d v="2022-11-22T00:00:00"/>
    <s v="France"/>
    <s v="Australia"/>
    <x v="0"/>
    <n v="95"/>
    <n v="1039"/>
    <x v="54"/>
    <x v="14"/>
  </r>
  <r>
    <n v="8"/>
    <d v="2022-11-22T00:00:00"/>
    <s v="France"/>
    <s v="Australia"/>
    <x v="1"/>
    <n v="27"/>
    <n v="1300"/>
    <x v="55"/>
    <x v="15"/>
  </r>
  <r>
    <n v="8"/>
    <d v="2022-11-22T00:00:00"/>
    <s v="France"/>
    <s v="Australia"/>
    <x v="2"/>
    <n v="27"/>
    <n v="1308"/>
    <x v="56"/>
    <x v="15"/>
  </r>
  <r>
    <n v="8"/>
    <d v="2022-11-22T00:00:00"/>
    <s v="France"/>
    <s v="Australia"/>
    <x v="1"/>
    <n v="32"/>
    <n v="1295"/>
    <x v="57"/>
    <x v="15"/>
  </r>
  <r>
    <n v="8"/>
    <d v="2022-11-22T00:00:00"/>
    <s v="France"/>
    <s v="Australia"/>
    <x v="2"/>
    <n v="32"/>
    <n v="1300"/>
    <x v="55"/>
    <x v="15"/>
  </r>
  <r>
    <n v="8"/>
    <d v="2022-11-22T00:00:00"/>
    <s v="France"/>
    <s v="Australia"/>
    <x v="1"/>
    <n v="68"/>
    <n v="1296"/>
    <x v="58"/>
    <x v="15"/>
  </r>
  <r>
    <n v="8"/>
    <d v="2022-11-22T00:00:00"/>
    <s v="France"/>
    <s v="Australia"/>
    <x v="2"/>
    <n v="68"/>
    <n v="1297"/>
    <x v="59"/>
    <x v="15"/>
  </r>
  <r>
    <n v="8"/>
    <d v="2022-11-22T00:00:00"/>
    <s v="France"/>
    <s v="Australia"/>
    <x v="1"/>
    <n v="71"/>
    <n v="1295"/>
    <x v="57"/>
    <x v="15"/>
  </r>
  <r>
    <n v="8"/>
    <d v="2022-11-22T00:00:00"/>
    <s v="France"/>
    <s v="Australia"/>
    <x v="2"/>
    <n v="71"/>
    <n v="1296"/>
    <x v="58"/>
    <x v="15"/>
  </r>
  <r>
    <n v="9"/>
    <d v="2022-11-23T00:00:00"/>
    <s v="Morocco"/>
    <s v="Croatia"/>
    <x v="0"/>
    <n v="78"/>
    <n v="1471"/>
    <x v="60"/>
    <x v="16"/>
  </r>
  <r>
    <n v="10"/>
    <d v="2022-11-23T00:00:00"/>
    <s v="Germany"/>
    <s v="Japan"/>
    <x v="1"/>
    <n v="33"/>
    <n v="1333"/>
    <x v="61"/>
    <x v="17"/>
  </r>
  <r>
    <n v="10"/>
    <d v="2022-11-23T00:00:00"/>
    <s v="Germany"/>
    <s v="Japan"/>
    <x v="1"/>
    <n v="75"/>
    <n v="1397"/>
    <x v="62"/>
    <x v="18"/>
  </r>
  <r>
    <n v="10"/>
    <d v="2022-11-23T00:00:00"/>
    <s v="Germany"/>
    <s v="Japan"/>
    <x v="1"/>
    <n v="83"/>
    <n v="1407"/>
    <x v="63"/>
    <x v="18"/>
  </r>
  <r>
    <n v="10"/>
    <d v="2022-11-23T00:00:00"/>
    <s v="Germany"/>
    <s v="Japan"/>
    <x v="2"/>
    <n v="83"/>
    <n v="1393"/>
    <x v="64"/>
    <x v="18"/>
  </r>
  <r>
    <n v="11"/>
    <d v="2022-11-23T00:00:00"/>
    <s v="Spain"/>
    <s v="Costa Rica"/>
    <x v="1"/>
    <n v="11"/>
    <n v="1695"/>
    <x v="65"/>
    <x v="19"/>
  </r>
  <r>
    <n v="11"/>
    <d v="2022-11-23T00:00:00"/>
    <s v="Spain"/>
    <s v="Costa Rica"/>
    <x v="1"/>
    <n v="21"/>
    <n v="1684"/>
    <x v="66"/>
    <x v="19"/>
  </r>
  <r>
    <n v="11"/>
    <d v="2022-11-23T00:00:00"/>
    <s v="Spain"/>
    <s v="Costa Rica"/>
    <x v="2"/>
    <n v="21"/>
    <n v="1692"/>
    <x v="67"/>
    <x v="19"/>
  </r>
  <r>
    <n v="11"/>
    <d v="2022-11-23T00:00:00"/>
    <s v="Spain"/>
    <s v="Costa Rica"/>
    <x v="1"/>
    <n v="31"/>
    <n v="1685"/>
    <x v="68"/>
    <x v="19"/>
  </r>
  <r>
    <n v="11"/>
    <d v="2022-11-23T00:00:00"/>
    <s v="Spain"/>
    <s v="Costa Rica"/>
    <x v="1"/>
    <n v="54"/>
    <n v="1685"/>
    <x v="68"/>
    <x v="19"/>
  </r>
  <r>
    <n v="11"/>
    <d v="2022-11-23T00:00:00"/>
    <s v="Spain"/>
    <s v="Costa Rica"/>
    <x v="1"/>
    <n v="74"/>
    <n v="1683"/>
    <x v="69"/>
    <x v="19"/>
  </r>
  <r>
    <n v="11"/>
    <d v="2022-11-23T00:00:00"/>
    <s v="Spain"/>
    <s v="Costa Rica"/>
    <x v="2"/>
    <n v="74"/>
    <n v="1681"/>
    <x v="70"/>
    <x v="19"/>
  </r>
  <r>
    <n v="11"/>
    <d v="2022-11-23T00:00:00"/>
    <s v="Spain"/>
    <s v="Costa Rica"/>
    <x v="1"/>
    <n v="90"/>
    <n v="1693"/>
    <x v="71"/>
    <x v="19"/>
  </r>
  <r>
    <n v="11"/>
    <d v="2022-11-23T00:00:00"/>
    <s v="Spain"/>
    <s v="Costa Rica"/>
    <x v="1"/>
    <n v="92"/>
    <n v="1681"/>
    <x v="70"/>
    <x v="19"/>
  </r>
  <r>
    <n v="11"/>
    <d v="2022-11-23T00:00:00"/>
    <s v="Spain"/>
    <s v="Costa Rica"/>
    <x v="2"/>
    <n v="92"/>
    <n v="1695"/>
    <x v="65"/>
    <x v="19"/>
  </r>
  <r>
    <n v="11"/>
    <d v="2022-11-23T00:00:00"/>
    <s v="Spain"/>
    <s v="Costa Rica"/>
    <x v="0"/>
    <n v="68"/>
    <n v="1171"/>
    <x v="72"/>
    <x v="20"/>
  </r>
  <r>
    <n v="11"/>
    <d v="2022-11-23T00:00:00"/>
    <s v="Spain"/>
    <s v="Costa Rica"/>
    <x v="0"/>
    <n v="97"/>
    <n v="1168"/>
    <x v="73"/>
    <x v="20"/>
  </r>
  <r>
    <n v="12"/>
    <d v="2022-11-23T00:00:00"/>
    <s v="Belgium"/>
    <s v="Canada"/>
    <x v="0"/>
    <n v="9"/>
    <n v="1063"/>
    <x v="74"/>
    <x v="21"/>
  </r>
  <r>
    <n v="12"/>
    <d v="2022-11-23T00:00:00"/>
    <s v="Belgium"/>
    <s v="Canada"/>
    <x v="1"/>
    <n v="44"/>
    <n v="1075"/>
    <x v="75"/>
    <x v="21"/>
  </r>
  <r>
    <n v="12"/>
    <d v="2022-11-23T00:00:00"/>
    <s v="Belgium"/>
    <s v="Canada"/>
    <x v="2"/>
    <n v="44"/>
    <n v="1054"/>
    <x v="76"/>
    <x v="21"/>
  </r>
  <r>
    <n v="12"/>
    <d v="2022-11-23T00:00:00"/>
    <s v="Belgium"/>
    <s v="Canada"/>
    <x v="0"/>
    <n v="54"/>
    <n v="1067"/>
    <x v="77"/>
    <x v="21"/>
  </r>
  <r>
    <n v="12"/>
    <d v="2022-11-23T00:00:00"/>
    <s v="Belgium"/>
    <s v="Canada"/>
    <x v="0"/>
    <n v="56"/>
    <n v="1070"/>
    <x v="78"/>
    <x v="21"/>
  </r>
  <r>
    <n v="12"/>
    <d v="2022-11-23T00:00:00"/>
    <s v="Belgium"/>
    <s v="Canada"/>
    <x v="3"/>
    <n v="11"/>
    <n v="1149"/>
    <x v="79"/>
    <x v="22"/>
  </r>
  <r>
    <n v="12"/>
    <d v="2022-11-23T00:00:00"/>
    <s v="Belgium"/>
    <s v="Canada"/>
    <x v="0"/>
    <n v="81"/>
    <n v="1149"/>
    <x v="79"/>
    <x v="22"/>
  </r>
  <r>
    <n v="12"/>
    <d v="2022-11-23T00:00:00"/>
    <s v="Belgium"/>
    <s v="Canada"/>
    <x v="0"/>
    <n v="83"/>
    <n v="1132"/>
    <x v="80"/>
    <x v="22"/>
  </r>
  <r>
    <n v="13"/>
    <d v="2022-11-24T00:00:00"/>
    <s v="Switzerland"/>
    <s v="Cameroon"/>
    <x v="1"/>
    <n v="48"/>
    <n v="1707"/>
    <x v="81"/>
    <x v="23"/>
  </r>
  <r>
    <n v="13"/>
    <d v="2022-11-24T00:00:00"/>
    <s v="Switzerland"/>
    <s v="Cameroon"/>
    <x v="2"/>
    <n v="48"/>
    <n v="1723"/>
    <x v="82"/>
    <x v="23"/>
  </r>
  <r>
    <n v="13"/>
    <d v="2022-11-24T00:00:00"/>
    <s v="Switzerland"/>
    <s v="Cameroon"/>
    <x v="0"/>
    <n v="64"/>
    <n v="1704"/>
    <x v="83"/>
    <x v="23"/>
  </r>
  <r>
    <n v="13"/>
    <d v="2022-11-24T00:00:00"/>
    <s v="Switzerland"/>
    <s v="Cameroon"/>
    <x v="0"/>
    <n v="83"/>
    <n v="1705"/>
    <x v="84"/>
    <x v="23"/>
  </r>
  <r>
    <n v="13"/>
    <d v="2022-11-24T00:00:00"/>
    <s v="Switzerland"/>
    <s v="Cameroon"/>
    <x v="0"/>
    <n v="36"/>
    <n v="1123"/>
    <x v="85"/>
    <x v="24"/>
  </r>
  <r>
    <n v="14"/>
    <d v="2022-11-24T00:00:00"/>
    <s v="Uruguay"/>
    <s v="Korea Rep"/>
    <x v="0"/>
    <n v="64"/>
    <n v="1774"/>
    <x v="86"/>
    <x v="25"/>
  </r>
  <r>
    <n v="14"/>
    <d v="2022-11-24T00:00:00"/>
    <s v="Uruguay"/>
    <s v="Korea Rep"/>
    <x v="0"/>
    <n v="88"/>
    <n v="1424"/>
    <x v="87"/>
    <x v="26"/>
  </r>
  <r>
    <n v="15"/>
    <d v="2022-11-24T00:00:00"/>
    <s v="Portugal"/>
    <s v="Ghana"/>
    <x v="1"/>
    <n v="65"/>
    <n v="1552"/>
    <x v="88"/>
    <x v="27"/>
  </r>
  <r>
    <n v="15"/>
    <d v="2022-11-24T00:00:00"/>
    <s v="Portugal"/>
    <s v="Ghana"/>
    <x v="1"/>
    <n v="78"/>
    <n v="1556"/>
    <x v="89"/>
    <x v="27"/>
  </r>
  <r>
    <n v="15"/>
    <d v="2022-11-24T00:00:00"/>
    <s v="Portugal"/>
    <s v="Ghana"/>
    <x v="2"/>
    <n v="78"/>
    <n v="1553"/>
    <x v="90"/>
    <x v="27"/>
  </r>
  <r>
    <n v="15"/>
    <d v="2022-11-24T00:00:00"/>
    <s v="Portugal"/>
    <s v="Ghana"/>
    <x v="1"/>
    <n v="80"/>
    <n v="1560"/>
    <x v="91"/>
    <x v="27"/>
  </r>
  <r>
    <n v="15"/>
    <d v="2022-11-24T00:00:00"/>
    <s v="Portugal"/>
    <s v="Ghana"/>
    <x v="2"/>
    <n v="80"/>
    <n v="1553"/>
    <x v="90"/>
    <x v="27"/>
  </r>
  <r>
    <n v="15"/>
    <d v="2022-11-24T00:00:00"/>
    <s v="Portugal"/>
    <s v="Ghana"/>
    <x v="0"/>
    <n v="91"/>
    <n v="1558"/>
    <x v="92"/>
    <x v="27"/>
  </r>
  <r>
    <n v="15"/>
    <d v="2022-11-24T00:00:00"/>
    <s v="Portugal"/>
    <s v="Ghana"/>
    <x v="0"/>
    <n v="45"/>
    <n v="1358"/>
    <x v="93"/>
    <x v="28"/>
  </r>
  <r>
    <n v="15"/>
    <d v="2022-11-24T00:00:00"/>
    <s v="Portugal"/>
    <s v="Ghana"/>
    <x v="0"/>
    <n v="49"/>
    <n v="1348"/>
    <x v="94"/>
    <x v="28"/>
  </r>
  <r>
    <n v="15"/>
    <d v="2022-11-24T00:00:00"/>
    <s v="Portugal"/>
    <s v="Ghana"/>
    <x v="0"/>
    <n v="57"/>
    <n v="1364"/>
    <x v="95"/>
    <x v="28"/>
  </r>
  <r>
    <n v="15"/>
    <d v="2022-11-24T00:00:00"/>
    <s v="Portugal"/>
    <s v="Ghana"/>
    <x v="1"/>
    <n v="73"/>
    <n v="1348"/>
    <x v="94"/>
    <x v="28"/>
  </r>
  <r>
    <n v="15"/>
    <d v="2022-11-24T00:00:00"/>
    <s v="Portugal"/>
    <s v="Ghana"/>
    <x v="1"/>
    <n v="89"/>
    <n v="1349"/>
    <x v="96"/>
    <x v="28"/>
  </r>
  <r>
    <n v="15"/>
    <d v="2022-11-24T00:00:00"/>
    <s v="Portugal"/>
    <s v="Ghana"/>
    <x v="0"/>
    <n v="91"/>
    <n v="1357"/>
    <x v="97"/>
    <x v="28"/>
  </r>
  <r>
    <n v="16"/>
    <d v="2022-11-24T00:00:00"/>
    <s v="Brasil"/>
    <s v="Serbia"/>
    <x v="1"/>
    <n v="62"/>
    <n v="1087"/>
    <x v="98"/>
    <x v="29"/>
  </r>
  <r>
    <n v="16"/>
    <d v="2022-11-24T00:00:00"/>
    <s v="Brasil"/>
    <s v="Serbia"/>
    <x v="1"/>
    <n v="73"/>
    <n v="1087"/>
    <x v="98"/>
    <x v="29"/>
  </r>
  <r>
    <n v="16"/>
    <d v="2022-11-24T00:00:00"/>
    <s v="Brasil"/>
    <s v="Serbia"/>
    <x v="2"/>
    <n v="73"/>
    <n v="1098"/>
    <x v="99"/>
    <x v="29"/>
  </r>
  <r>
    <n v="16"/>
    <d v="2022-11-24T00:00:00"/>
    <s v="Brasil"/>
    <s v="Serbia"/>
    <x v="0"/>
    <n v="7"/>
    <n v="1650"/>
    <x v="100"/>
    <x v="30"/>
  </r>
  <r>
    <n v="16"/>
    <d v="2022-11-24T00:00:00"/>
    <s v="Brasil"/>
    <s v="Serbia"/>
    <x v="0"/>
    <n v="49"/>
    <n v="1656"/>
    <x v="101"/>
    <x v="30"/>
  </r>
  <r>
    <n v="16"/>
    <d v="2022-11-24T00:00:00"/>
    <s v="Brasil"/>
    <s v="Serbia"/>
    <x v="0"/>
    <n v="64"/>
    <n v="1664"/>
    <x v="102"/>
    <x v="30"/>
  </r>
  <r>
    <n v="17"/>
    <d v="2022-11-25T00:00:00"/>
    <s v="Wales"/>
    <s v="Iran"/>
    <x v="0"/>
    <n v="45"/>
    <n v="1810"/>
    <x v="103"/>
    <x v="7"/>
  </r>
  <r>
    <n v="17"/>
    <d v="2022-11-25T00:00:00"/>
    <s v="Wales"/>
    <s v="Iran"/>
    <x v="4"/>
    <n v="86"/>
    <n v="1805"/>
    <x v="104"/>
    <x v="7"/>
  </r>
  <r>
    <n v="17"/>
    <d v="2022-11-25T00:00:00"/>
    <s v="Wales"/>
    <s v="Iran"/>
    <x v="0"/>
    <n v="95"/>
    <n v="1387"/>
    <x v="105"/>
    <x v="3"/>
  </r>
  <r>
    <n v="17"/>
    <d v="2022-11-25T00:00:00"/>
    <s v="Wales"/>
    <s v="Iran"/>
    <x v="0"/>
    <n v="95"/>
    <n v="1371"/>
    <x v="17"/>
    <x v="3"/>
  </r>
  <r>
    <n v="17"/>
    <d v="2022-11-25T00:00:00"/>
    <s v="Wales"/>
    <s v="Iran"/>
    <x v="1"/>
    <n v="98"/>
    <n v="1379"/>
    <x v="106"/>
    <x v="3"/>
  </r>
  <r>
    <n v="17"/>
    <d v="2022-11-25T00:00:00"/>
    <s v="Wales"/>
    <s v="Iran"/>
    <x v="1"/>
    <n v="101"/>
    <n v="1387"/>
    <x v="105"/>
    <x v="3"/>
  </r>
  <r>
    <n v="17"/>
    <d v="2022-11-25T00:00:00"/>
    <s v="Wales"/>
    <s v="Iran"/>
    <x v="2"/>
    <n v="101"/>
    <n v="1373"/>
    <x v="19"/>
    <x v="3"/>
  </r>
  <r>
    <n v="18"/>
    <d v="2022-11-25T00:00:00"/>
    <s v="Qatar"/>
    <s v="Senegal"/>
    <x v="0"/>
    <n v="20"/>
    <n v="1588"/>
    <x v="107"/>
    <x v="0"/>
  </r>
  <r>
    <n v="18"/>
    <d v="2022-11-25T00:00:00"/>
    <s v="Qatar"/>
    <s v="Senegal"/>
    <x v="0"/>
    <n v="45"/>
    <n v="1585"/>
    <x v="108"/>
    <x v="0"/>
  </r>
  <r>
    <n v="18"/>
    <d v="2022-11-25T00:00:00"/>
    <s v="Qatar"/>
    <s v="Senegal"/>
    <x v="1"/>
    <n v="78"/>
    <n v="1580"/>
    <x v="109"/>
    <x v="0"/>
  </r>
  <r>
    <n v="18"/>
    <d v="2022-11-25T00:00:00"/>
    <s v="Qatar"/>
    <s v="Senegal"/>
    <x v="2"/>
    <n v="78"/>
    <n v="1588"/>
    <x v="107"/>
    <x v="0"/>
  </r>
  <r>
    <n v="18"/>
    <d v="2022-11-25T00:00:00"/>
    <s v="Qatar"/>
    <s v="Senegal"/>
    <x v="0"/>
    <n v="91"/>
    <n v="1594"/>
    <x v="110"/>
    <x v="0"/>
  </r>
  <r>
    <n v="18"/>
    <d v="2022-11-25T00:00:00"/>
    <s v="Qatar"/>
    <s v="Senegal"/>
    <x v="0"/>
    <n v="30"/>
    <n v="1632"/>
    <x v="111"/>
    <x v="5"/>
  </r>
  <r>
    <n v="18"/>
    <d v="2022-11-25T00:00:00"/>
    <s v="Qatar"/>
    <s v="Senegal"/>
    <x v="1"/>
    <n v="41"/>
    <n v="1632"/>
    <x v="111"/>
    <x v="5"/>
  </r>
  <r>
    <n v="18"/>
    <d v="2022-11-25T00:00:00"/>
    <s v="Qatar"/>
    <s v="Senegal"/>
    <x v="1"/>
    <n v="48"/>
    <n v="1641"/>
    <x v="112"/>
    <x v="5"/>
  </r>
  <r>
    <n v="18"/>
    <d v="2022-11-25T00:00:00"/>
    <s v="Qatar"/>
    <s v="Senegal"/>
    <x v="2"/>
    <n v="48"/>
    <n v="1636"/>
    <x v="113"/>
    <x v="5"/>
  </r>
  <r>
    <n v="18"/>
    <d v="2022-11-25T00:00:00"/>
    <s v="Qatar"/>
    <s v="Senegal"/>
    <x v="1"/>
    <n v="84"/>
    <n v="1642"/>
    <x v="114"/>
    <x v="5"/>
  </r>
  <r>
    <n v="18"/>
    <d v="2022-11-25T00:00:00"/>
    <s v="Qatar"/>
    <s v="Senegal"/>
    <x v="2"/>
    <n v="84"/>
    <n v="1635"/>
    <x v="115"/>
    <x v="5"/>
  </r>
  <r>
    <n v="18"/>
    <d v="2022-11-25T00:00:00"/>
    <s v="Qatar"/>
    <s v="Senegal"/>
    <x v="0"/>
    <n v="87"/>
    <n v="1633"/>
    <x v="116"/>
    <x v="5"/>
  </r>
  <r>
    <n v="19"/>
    <d v="2022-11-25T00:00:00"/>
    <s v="Netherlands"/>
    <s v="Ecuador"/>
    <x v="1"/>
    <n v="6"/>
    <n v="1501"/>
    <x v="21"/>
    <x v="4"/>
  </r>
  <r>
    <n v="19"/>
    <d v="2022-11-25T00:00:00"/>
    <s v="Netherlands"/>
    <s v="Ecuador"/>
    <x v="2"/>
    <n v="6"/>
    <n v="1507"/>
    <x v="23"/>
    <x v="4"/>
  </r>
  <r>
    <n v="19"/>
    <d v="2022-11-25T00:00:00"/>
    <s v="Netherlands"/>
    <s v="Ecuador"/>
    <x v="1"/>
    <n v="49"/>
    <n v="1247"/>
    <x v="1"/>
    <x v="1"/>
  </r>
  <r>
    <n v="19"/>
    <d v="2022-11-25T00:00:00"/>
    <s v="Netherlands"/>
    <s v="Ecuador"/>
    <x v="0"/>
    <n v="57"/>
    <n v="1254"/>
    <x v="7"/>
    <x v="1"/>
  </r>
  <r>
    <n v="21"/>
    <d v="2022-11-26T00:00:00"/>
    <s v="Tunisia"/>
    <s v="Australia"/>
    <x v="0"/>
    <n v="26"/>
    <n v="1740"/>
    <x v="117"/>
    <x v="11"/>
  </r>
  <r>
    <n v="21"/>
    <d v="2022-11-26T00:00:00"/>
    <s v="Tunisia"/>
    <s v="Australia"/>
    <x v="0"/>
    <n v="64"/>
    <n v="1750"/>
    <x v="118"/>
    <x v="11"/>
  </r>
  <r>
    <n v="21"/>
    <d v="2022-11-26T00:00:00"/>
    <s v="Tunisia"/>
    <s v="Australia"/>
    <x v="0"/>
    <n v="93"/>
    <n v="1739"/>
    <x v="119"/>
    <x v="11"/>
  </r>
  <r>
    <n v="21"/>
    <d v="2022-11-26T00:00:00"/>
    <s v="Tunisia"/>
    <s v="Australia"/>
    <x v="1"/>
    <n v="41"/>
    <n v="1041"/>
    <x v="52"/>
    <x v="14"/>
  </r>
  <r>
    <n v="22"/>
    <d v="2022-11-26T00:00:00"/>
    <s v="Poland"/>
    <s v="Saudi Arabia"/>
    <x v="0"/>
    <n v="15"/>
    <n v="1533"/>
    <x v="120"/>
    <x v="13"/>
  </r>
  <r>
    <n v="22"/>
    <d v="2022-11-26T00:00:00"/>
    <s v="Poland"/>
    <s v="Saudi Arabia"/>
    <x v="0"/>
    <n v="16"/>
    <n v="1521"/>
    <x v="121"/>
    <x v="13"/>
  </r>
  <r>
    <n v="22"/>
    <d v="2022-11-26T00:00:00"/>
    <s v="Poland"/>
    <s v="Saudi Arabia"/>
    <x v="0"/>
    <n v="19"/>
    <n v="1526"/>
    <x v="122"/>
    <x v="13"/>
  </r>
  <r>
    <n v="22"/>
    <d v="2022-11-26T00:00:00"/>
    <s v="Poland"/>
    <s v="Saudi Arabia"/>
    <x v="1"/>
    <n v="39"/>
    <n v="1539"/>
    <x v="123"/>
    <x v="13"/>
  </r>
  <r>
    <n v="22"/>
    <d v="2022-11-26T00:00:00"/>
    <s v="Poland"/>
    <s v="Saudi Arabia"/>
    <x v="2"/>
    <n v="39"/>
    <n v="1528"/>
    <x v="48"/>
    <x v="13"/>
  </r>
  <r>
    <n v="22"/>
    <d v="2022-11-26T00:00:00"/>
    <s v="Poland"/>
    <s v="Saudi Arabia"/>
    <x v="0"/>
    <n v="20"/>
    <n v="1605"/>
    <x v="38"/>
    <x v="9"/>
  </r>
  <r>
    <n v="22"/>
    <d v="2022-11-26T00:00:00"/>
    <s v="Poland"/>
    <s v="Saudi Arabia"/>
    <x v="3"/>
    <n v="45"/>
    <n v="1621"/>
    <x v="124"/>
    <x v="9"/>
  </r>
  <r>
    <n v="22"/>
    <d v="2022-11-26T00:00:00"/>
    <s v="Poland"/>
    <s v="Saudi Arabia"/>
    <x v="0"/>
    <n v="45"/>
    <n v="1601"/>
    <x v="125"/>
    <x v="9"/>
  </r>
  <r>
    <n v="23"/>
    <d v="2022-11-26T00:00:00"/>
    <s v="France"/>
    <s v="Denmark"/>
    <x v="0"/>
    <n v="43"/>
    <n v="1291"/>
    <x v="126"/>
    <x v="15"/>
  </r>
  <r>
    <n v="23"/>
    <d v="2022-11-26T00:00:00"/>
    <s v="France"/>
    <s v="Denmark"/>
    <x v="1"/>
    <n v="61"/>
    <n v="1296"/>
    <x v="58"/>
    <x v="15"/>
  </r>
  <r>
    <n v="23"/>
    <d v="2022-11-26T00:00:00"/>
    <s v="France"/>
    <s v="Denmark"/>
    <x v="2"/>
    <n v="61"/>
    <n v="1308"/>
    <x v="56"/>
    <x v="15"/>
  </r>
  <r>
    <n v="23"/>
    <d v="2022-11-26T00:00:00"/>
    <s v="France"/>
    <s v="Denmark"/>
    <x v="1"/>
    <n v="86"/>
    <n v="1296"/>
    <x v="58"/>
    <x v="15"/>
  </r>
  <r>
    <n v="23"/>
    <d v="2022-11-26T00:00:00"/>
    <s v="France"/>
    <s v="Denmark"/>
    <x v="2"/>
    <n v="86"/>
    <n v="1293"/>
    <x v="127"/>
    <x v="15"/>
  </r>
  <r>
    <n v="23"/>
    <d v="2022-11-26T00:00:00"/>
    <s v="France"/>
    <s v="Denmark"/>
    <x v="0"/>
    <n v="20"/>
    <n v="1214"/>
    <x v="128"/>
    <x v="10"/>
  </r>
  <r>
    <n v="23"/>
    <d v="2022-11-26T00:00:00"/>
    <s v="France"/>
    <s v="Denmark"/>
    <x v="0"/>
    <n v="23"/>
    <n v="1229"/>
    <x v="129"/>
    <x v="10"/>
  </r>
  <r>
    <n v="23"/>
    <d v="2022-11-26T00:00:00"/>
    <s v="France"/>
    <s v="Denmark"/>
    <x v="1"/>
    <n v="68"/>
    <n v="1214"/>
    <x v="128"/>
    <x v="10"/>
  </r>
  <r>
    <n v="23"/>
    <d v="2022-11-26T00:00:00"/>
    <s v="France"/>
    <s v="Denmark"/>
    <x v="2"/>
    <n v="68"/>
    <n v="1210"/>
    <x v="130"/>
    <x v="10"/>
  </r>
  <r>
    <n v="24"/>
    <d v="2022-11-26T00:00:00"/>
    <s v="Argentina"/>
    <s v="Mexico"/>
    <x v="0"/>
    <n v="43"/>
    <n v="1004"/>
    <x v="131"/>
    <x v="8"/>
  </r>
  <r>
    <n v="24"/>
    <d v="2022-11-26T00:00:00"/>
    <s v="Argentina"/>
    <s v="Mexico"/>
    <x v="1"/>
    <n v="64"/>
    <n v="1010"/>
    <x v="34"/>
    <x v="8"/>
  </r>
  <r>
    <n v="24"/>
    <d v="2022-11-26T00:00:00"/>
    <s v="Argentina"/>
    <s v="Mexico"/>
    <x v="2"/>
    <n v="64"/>
    <n v="1011"/>
    <x v="132"/>
    <x v="8"/>
  </r>
  <r>
    <n v="24"/>
    <d v="2022-11-26T00:00:00"/>
    <s v="Argentina"/>
    <s v="Mexico"/>
    <x v="1"/>
    <n v="87"/>
    <n v="1024"/>
    <x v="133"/>
    <x v="8"/>
  </r>
  <r>
    <n v="24"/>
    <d v="2022-11-26T00:00:00"/>
    <s v="Argentina"/>
    <s v="Mexico"/>
    <x v="2"/>
    <n v="87"/>
    <n v="1010"/>
    <x v="34"/>
    <x v="8"/>
  </r>
  <r>
    <n v="24"/>
    <d v="2022-11-26T00:00:00"/>
    <s v="Argentina"/>
    <s v="Mexico"/>
    <x v="0"/>
    <n v="22"/>
    <n v="1443"/>
    <x v="134"/>
    <x v="12"/>
  </r>
  <r>
    <n v="24"/>
    <d v="2022-11-26T00:00:00"/>
    <s v="Argentina"/>
    <s v="Mexico"/>
    <x v="0"/>
    <n v="50"/>
    <n v="1455"/>
    <x v="135"/>
    <x v="12"/>
  </r>
  <r>
    <n v="24"/>
    <d v="2022-11-26T00:00:00"/>
    <s v="Argentina"/>
    <s v="Mexico"/>
    <x v="0"/>
    <n v="66"/>
    <n v="1457"/>
    <x v="136"/>
    <x v="12"/>
  </r>
  <r>
    <n v="24"/>
    <d v="2022-11-26T00:00:00"/>
    <s v="Argentina"/>
    <s v="Mexico"/>
    <x v="0"/>
    <n v="89"/>
    <n v="1466"/>
    <x v="137"/>
    <x v="12"/>
  </r>
  <r>
    <n v="25"/>
    <d v="2022-11-27T00:00:00"/>
    <s v="Japan"/>
    <s v="Costa Rica"/>
    <x v="0"/>
    <n v="44"/>
    <n v="1391"/>
    <x v="138"/>
    <x v="18"/>
  </r>
  <r>
    <n v="25"/>
    <d v="2022-11-27T00:00:00"/>
    <s v="Japan"/>
    <s v="Costa Rica"/>
    <x v="0"/>
    <n v="84"/>
    <n v="1393"/>
    <x v="64"/>
    <x v="18"/>
  </r>
  <r>
    <n v="25"/>
    <d v="2022-11-27T00:00:00"/>
    <s v="Japan"/>
    <s v="Costa Rica"/>
    <x v="0"/>
    <n v="93"/>
    <n v="1395"/>
    <x v="139"/>
    <x v="18"/>
  </r>
  <r>
    <n v="25"/>
    <d v="2022-11-27T00:00:00"/>
    <s v="Japan"/>
    <s v="Costa Rica"/>
    <x v="0"/>
    <n v="41"/>
    <n v="1163"/>
    <x v="140"/>
    <x v="20"/>
  </r>
  <r>
    <n v="25"/>
    <d v="2022-11-27T00:00:00"/>
    <s v="Japan"/>
    <s v="Costa Rica"/>
    <x v="0"/>
    <n v="61"/>
    <n v="1161"/>
    <x v="141"/>
    <x v="20"/>
  </r>
  <r>
    <n v="25"/>
    <d v="2022-11-27T00:00:00"/>
    <s v="Japan"/>
    <s v="Costa Rica"/>
    <x v="0"/>
    <n v="70"/>
    <n v="1171"/>
    <x v="72"/>
    <x v="20"/>
  </r>
  <r>
    <n v="25"/>
    <d v="2022-11-27T00:00:00"/>
    <s v="Japan"/>
    <s v="Costa Rica"/>
    <x v="1"/>
    <n v="81"/>
    <n v="1160"/>
    <x v="142"/>
    <x v="20"/>
  </r>
  <r>
    <n v="25"/>
    <d v="2022-11-27T00:00:00"/>
    <s v="Japan"/>
    <s v="Costa Rica"/>
    <x v="2"/>
    <n v="81"/>
    <n v="1173"/>
    <x v="143"/>
    <x v="20"/>
  </r>
  <r>
    <n v="26"/>
    <d v="2022-11-27T00:00:00"/>
    <s v="Belgium"/>
    <s v="Morocco"/>
    <x v="0"/>
    <n v="29"/>
    <n v="1070"/>
    <x v="78"/>
    <x v="21"/>
  </r>
  <r>
    <n v="26"/>
    <d v="2022-11-27T00:00:00"/>
    <s v="Belgium"/>
    <s v="Morocco"/>
    <x v="1"/>
    <n v="73"/>
    <n v="1473"/>
    <x v="144"/>
    <x v="16"/>
  </r>
  <r>
    <n v="26"/>
    <d v="2022-11-27T00:00:00"/>
    <s v="Belgium"/>
    <s v="Morocco"/>
    <x v="2"/>
    <n v="73"/>
    <n v="1478"/>
    <x v="145"/>
    <x v="16"/>
  </r>
  <r>
    <n v="26"/>
    <d v="2022-11-27T00:00:00"/>
    <s v="Belgium"/>
    <s v="Morocco"/>
    <x v="1"/>
    <n v="92"/>
    <n v="1481"/>
    <x v="146"/>
    <x v="16"/>
  </r>
  <r>
    <n v="26"/>
    <d v="2022-11-27T00:00:00"/>
    <s v="Belgium"/>
    <s v="Morocco"/>
    <x v="2"/>
    <n v="92"/>
    <n v="1474"/>
    <x v="147"/>
    <x v="16"/>
  </r>
  <r>
    <n v="26"/>
    <d v="2022-11-27T00:00:00"/>
    <s v="Belgium"/>
    <s v="Morocco"/>
    <x v="0"/>
    <n v="95"/>
    <n v="1478"/>
    <x v="145"/>
    <x v="16"/>
  </r>
  <r>
    <n v="27"/>
    <d v="2022-11-27T00:00:00"/>
    <s v="Croatia"/>
    <s v="Canada"/>
    <x v="1"/>
    <n v="36"/>
    <n v="1191"/>
    <x v="148"/>
    <x v="31"/>
  </r>
  <r>
    <n v="27"/>
    <d v="2022-11-27T00:00:00"/>
    <s v="Croatia"/>
    <s v="Canada"/>
    <x v="2"/>
    <n v="36"/>
    <n v="1186"/>
    <x v="149"/>
    <x v="31"/>
  </r>
  <r>
    <n v="27"/>
    <d v="2022-11-27T00:00:00"/>
    <s v="Croatia"/>
    <s v="Canada"/>
    <x v="1"/>
    <n v="44"/>
    <n v="1196"/>
    <x v="150"/>
    <x v="31"/>
  </r>
  <r>
    <n v="27"/>
    <d v="2022-11-27T00:00:00"/>
    <s v="Croatia"/>
    <s v="Canada"/>
    <x v="2"/>
    <n v="44"/>
    <n v="1204"/>
    <x v="151"/>
    <x v="31"/>
  </r>
  <r>
    <n v="27"/>
    <d v="2022-11-27T00:00:00"/>
    <s v="Croatia"/>
    <s v="Canada"/>
    <x v="0"/>
    <n v="56"/>
    <n v="1188"/>
    <x v="152"/>
    <x v="31"/>
  </r>
  <r>
    <n v="27"/>
    <d v="2022-11-27T00:00:00"/>
    <s v="Croatia"/>
    <s v="Canada"/>
    <x v="1"/>
    <n v="70"/>
    <n v="1191"/>
    <x v="148"/>
    <x v="31"/>
  </r>
  <r>
    <n v="27"/>
    <d v="2022-11-27T00:00:00"/>
    <s v="Croatia"/>
    <s v="Canada"/>
    <x v="2"/>
    <n v="70"/>
    <n v="1186"/>
    <x v="149"/>
    <x v="31"/>
  </r>
  <r>
    <n v="27"/>
    <d v="2022-11-27T00:00:00"/>
    <s v="Croatia"/>
    <s v="Canada"/>
    <x v="0"/>
    <n v="85"/>
    <n v="1192"/>
    <x v="153"/>
    <x v="31"/>
  </r>
  <r>
    <n v="27"/>
    <d v="2022-11-27T00:00:00"/>
    <s v="Croatia"/>
    <s v="Canada"/>
    <x v="1"/>
    <n v="94"/>
    <n v="1189"/>
    <x v="154"/>
    <x v="31"/>
  </r>
  <r>
    <n v="27"/>
    <d v="2022-11-27T00:00:00"/>
    <s v="Croatia"/>
    <s v="Canada"/>
    <x v="2"/>
    <n v="94"/>
    <n v="1200"/>
    <x v="155"/>
    <x v="31"/>
  </r>
  <r>
    <n v="27"/>
    <d v="2022-11-27T00:00:00"/>
    <s v="Croatia"/>
    <s v="Canada"/>
    <x v="1"/>
    <n v="2"/>
    <n v="1149"/>
    <x v="79"/>
    <x v="22"/>
  </r>
  <r>
    <n v="27"/>
    <d v="2022-11-27T00:00:00"/>
    <s v="Croatia"/>
    <s v="Canada"/>
    <x v="2"/>
    <n v="2"/>
    <n v="1141"/>
    <x v="156"/>
    <x v="22"/>
  </r>
  <r>
    <n v="27"/>
    <d v="2022-11-27T00:00:00"/>
    <s v="Croatia"/>
    <s v="Canada"/>
    <x v="0"/>
    <n v="52"/>
    <n v="1141"/>
    <x v="156"/>
    <x v="22"/>
  </r>
  <r>
    <n v="27"/>
    <d v="2022-11-27T00:00:00"/>
    <s v="Croatia"/>
    <s v="Canada"/>
    <x v="0"/>
    <n v="85"/>
    <n v="1134"/>
    <x v="157"/>
    <x v="22"/>
  </r>
  <r>
    <n v="28"/>
    <d v="2022-11-27T00:00:00"/>
    <s v="Spain"/>
    <s v="Germany"/>
    <x v="0"/>
    <n v="44"/>
    <n v="1679"/>
    <x v="158"/>
    <x v="19"/>
  </r>
  <r>
    <n v="28"/>
    <d v="2022-11-27T00:00:00"/>
    <s v="Spain"/>
    <s v="Germany"/>
    <x v="1"/>
    <n v="62"/>
    <n v="1681"/>
    <x v="70"/>
    <x v="19"/>
  </r>
  <r>
    <n v="28"/>
    <d v="2022-11-27T00:00:00"/>
    <s v="Spain"/>
    <s v="Germany"/>
    <x v="2"/>
    <n v="62"/>
    <n v="1685"/>
    <x v="68"/>
    <x v="19"/>
  </r>
  <r>
    <n v="28"/>
    <d v="2022-11-27T00:00:00"/>
    <s v="Spain"/>
    <s v="Germany"/>
    <x v="0"/>
    <n v="37"/>
    <n v="1317"/>
    <x v="159"/>
    <x v="17"/>
  </r>
  <r>
    <n v="28"/>
    <d v="2022-11-27T00:00:00"/>
    <s v="Spain"/>
    <s v="Germany"/>
    <x v="0"/>
    <n v="58"/>
    <n v="1320"/>
    <x v="160"/>
    <x v="17"/>
  </r>
  <r>
    <n v="28"/>
    <d v="2022-11-27T00:00:00"/>
    <s v="Spain"/>
    <s v="Germany"/>
    <x v="0"/>
    <n v="60"/>
    <n v="1318"/>
    <x v="161"/>
    <x v="17"/>
  </r>
  <r>
    <n v="28"/>
    <d v="2022-11-27T00:00:00"/>
    <s v="Spain"/>
    <s v="Germany"/>
    <x v="1"/>
    <n v="83"/>
    <n v="1321"/>
    <x v="162"/>
    <x v="17"/>
  </r>
  <r>
    <n v="28"/>
    <d v="2022-11-27T00:00:00"/>
    <s v="Spain"/>
    <s v="Germany"/>
    <x v="2"/>
    <n v="83"/>
    <n v="1326"/>
    <x v="163"/>
    <x v="17"/>
  </r>
  <r>
    <n v="29"/>
    <d v="2022-11-28T00:00:00"/>
    <s v="Cameroon"/>
    <s v="Serbia"/>
    <x v="0"/>
    <n v="24"/>
    <n v="1107"/>
    <x v="164"/>
    <x v="24"/>
  </r>
  <r>
    <n v="29"/>
    <d v="2022-11-28T00:00:00"/>
    <s v="Cameroon"/>
    <s v="Serbia"/>
    <x v="1"/>
    <n v="29"/>
    <n v="1125"/>
    <x v="165"/>
    <x v="24"/>
  </r>
  <r>
    <n v="29"/>
    <d v="2022-11-28T00:00:00"/>
    <s v="Cameroon"/>
    <s v="Serbia"/>
    <x v="2"/>
    <n v="29"/>
    <n v="1107"/>
    <x v="164"/>
    <x v="24"/>
  </r>
  <r>
    <n v="29"/>
    <d v="2022-11-28T00:00:00"/>
    <s v="Cameroon"/>
    <s v="Serbia"/>
    <x v="0"/>
    <n v="30"/>
    <n v="1115"/>
    <x v="166"/>
    <x v="24"/>
  </r>
  <r>
    <n v="29"/>
    <d v="2022-11-28T00:00:00"/>
    <s v="Cameroon"/>
    <s v="Serbia"/>
    <x v="1"/>
    <n v="63"/>
    <n v="1114"/>
    <x v="167"/>
    <x v="24"/>
  </r>
  <r>
    <n v="29"/>
    <d v="2022-11-28T00:00:00"/>
    <s v="Cameroon"/>
    <s v="Serbia"/>
    <x v="2"/>
    <n v="63"/>
    <n v="1125"/>
    <x v="165"/>
    <x v="24"/>
  </r>
  <r>
    <n v="29"/>
    <d v="2022-11-28T00:00:00"/>
    <s v="Cameroon"/>
    <s v="Serbia"/>
    <x v="1"/>
    <n v="66"/>
    <n v="1117"/>
    <x v="168"/>
    <x v="24"/>
  </r>
  <r>
    <n v="29"/>
    <d v="2022-11-28T00:00:00"/>
    <s v="Cameroon"/>
    <s v="Serbia"/>
    <x v="2"/>
    <n v="66"/>
    <n v="1114"/>
    <x v="167"/>
    <x v="24"/>
  </r>
  <r>
    <n v="29"/>
    <d v="2022-11-28T00:00:00"/>
    <s v="Cameroon"/>
    <s v="Serbia"/>
    <x v="1"/>
    <n v="45"/>
    <n v="1650"/>
    <x v="100"/>
    <x v="30"/>
  </r>
  <r>
    <n v="29"/>
    <d v="2022-11-28T00:00:00"/>
    <s v="Cameroon"/>
    <s v="Serbia"/>
    <x v="2"/>
    <n v="45"/>
    <n v="1658"/>
    <x v="169"/>
    <x v="30"/>
  </r>
  <r>
    <n v="29"/>
    <d v="2022-11-28T00:00:00"/>
    <s v="Cameroon"/>
    <s v="Serbia"/>
    <x v="1"/>
    <n v="45"/>
    <n v="1668"/>
    <x v="170"/>
    <x v="30"/>
  </r>
  <r>
    <n v="29"/>
    <d v="2022-11-28T00:00:00"/>
    <s v="Cameroon"/>
    <s v="Serbia"/>
    <x v="2"/>
    <n v="45"/>
    <n v="1662"/>
    <x v="171"/>
    <x v="30"/>
  </r>
  <r>
    <n v="29"/>
    <d v="2022-11-28T00:00:00"/>
    <s v="Cameroon"/>
    <s v="Serbia"/>
    <x v="0"/>
    <n v="45"/>
    <n v="1659"/>
    <x v="172"/>
    <x v="30"/>
  </r>
  <r>
    <n v="29"/>
    <d v="2022-11-28T00:00:00"/>
    <s v="Cameroon"/>
    <s v="Serbia"/>
    <x v="1"/>
    <n v="53"/>
    <n v="1657"/>
    <x v="173"/>
    <x v="30"/>
  </r>
  <r>
    <n v="29"/>
    <d v="2022-11-28T00:00:00"/>
    <s v="Cameroon"/>
    <s v="Serbia"/>
    <x v="2"/>
    <n v="53"/>
    <n v="1662"/>
    <x v="171"/>
    <x v="30"/>
  </r>
  <r>
    <n v="29"/>
    <d v="2022-11-28T00:00:00"/>
    <s v="Cameroon"/>
    <s v="Serbia"/>
    <x v="0"/>
    <n v="93"/>
    <n v="1652"/>
    <x v="174"/>
    <x v="30"/>
  </r>
  <r>
    <n v="30"/>
    <d v="2022-11-28T00:00:00"/>
    <s v="Korea Rep"/>
    <s v="Ghana"/>
    <x v="0"/>
    <n v="27"/>
    <n v="1420"/>
    <x v="175"/>
    <x v="26"/>
  </r>
  <r>
    <n v="30"/>
    <d v="2022-11-28T00:00:00"/>
    <s v="Korea Rep"/>
    <s v="Ghana"/>
    <x v="1"/>
    <n v="58"/>
    <n v="1424"/>
    <x v="87"/>
    <x v="26"/>
  </r>
  <r>
    <n v="30"/>
    <d v="2022-11-28T00:00:00"/>
    <s v="Korea Rep"/>
    <s v="Ghana"/>
    <x v="2"/>
    <n v="58"/>
    <n v="1433"/>
    <x v="176"/>
    <x v="26"/>
  </r>
  <r>
    <n v="30"/>
    <d v="2022-11-28T00:00:00"/>
    <s v="Korea Rep"/>
    <s v="Ghana"/>
    <x v="1"/>
    <n v="61"/>
    <n v="1424"/>
    <x v="87"/>
    <x v="26"/>
  </r>
  <r>
    <n v="30"/>
    <d v="2022-11-28T00:00:00"/>
    <s v="Korea Rep"/>
    <s v="Ghana"/>
    <x v="2"/>
    <n v="61"/>
    <n v="1418"/>
    <x v="177"/>
    <x v="26"/>
  </r>
  <r>
    <n v="30"/>
    <d v="2022-11-28T00:00:00"/>
    <s v="Korea Rep"/>
    <s v="Ghana"/>
    <x v="0"/>
    <n v="77"/>
    <n v="1434"/>
    <x v="178"/>
    <x v="26"/>
  </r>
  <r>
    <n v="30"/>
    <d v="2022-11-28T00:00:00"/>
    <s v="Korea Rep"/>
    <s v="Ghana"/>
    <x v="0"/>
    <n v="21"/>
    <n v="1356"/>
    <x v="179"/>
    <x v="28"/>
  </r>
  <r>
    <n v="30"/>
    <d v="2022-11-28T00:00:00"/>
    <s v="Korea Rep"/>
    <s v="Ghana"/>
    <x v="1"/>
    <n v="24"/>
    <n v="1342"/>
    <x v="180"/>
    <x v="28"/>
  </r>
  <r>
    <n v="30"/>
    <d v="2022-11-28T00:00:00"/>
    <s v="Korea Rep"/>
    <s v="Ghana"/>
    <x v="1"/>
    <n v="34"/>
    <n v="1358"/>
    <x v="93"/>
    <x v="28"/>
  </r>
  <r>
    <n v="30"/>
    <d v="2022-11-28T00:00:00"/>
    <s v="Korea Rep"/>
    <s v="Ghana"/>
    <x v="2"/>
    <n v="34"/>
    <n v="1347"/>
    <x v="181"/>
    <x v="28"/>
  </r>
  <r>
    <n v="30"/>
    <d v="2022-11-28T00:00:00"/>
    <s v="Korea Rep"/>
    <s v="Ghana"/>
    <x v="1"/>
    <n v="68"/>
    <n v="1358"/>
    <x v="93"/>
    <x v="28"/>
  </r>
  <r>
    <n v="30"/>
    <d v="2022-11-28T00:00:00"/>
    <s v="Korea Rep"/>
    <s v="Ghana"/>
    <x v="2"/>
    <n v="68"/>
    <n v="1357"/>
    <x v="97"/>
    <x v="28"/>
  </r>
  <r>
    <n v="30"/>
    <d v="2022-11-28T00:00:00"/>
    <s v="Korea Rep"/>
    <s v="Ghana"/>
    <x v="0"/>
    <n v="73"/>
    <n v="1340"/>
    <x v="182"/>
    <x v="28"/>
  </r>
  <r>
    <n v="31"/>
    <d v="2022-11-28T00:00:00"/>
    <s v="Brasil"/>
    <s v="Switzerland"/>
    <x v="0"/>
    <n v="52"/>
    <n v="1086"/>
    <x v="183"/>
    <x v="29"/>
  </r>
  <r>
    <n v="31"/>
    <d v="2022-11-28T00:00:00"/>
    <s v="Brasil"/>
    <s v="Switzerland"/>
    <x v="1"/>
    <n v="83"/>
    <n v="1083"/>
    <x v="184"/>
    <x v="29"/>
  </r>
  <r>
    <n v="31"/>
    <d v="2022-11-28T00:00:00"/>
    <s v="Brasil"/>
    <s v="Switzerland"/>
    <x v="2"/>
    <n v="83"/>
    <n v="1099"/>
    <x v="185"/>
    <x v="29"/>
  </r>
  <r>
    <n v="31"/>
    <d v="2022-11-28T00:00:00"/>
    <s v="Brasil"/>
    <s v="Switzerland"/>
    <x v="0"/>
    <n v="50"/>
    <n v="1725"/>
    <x v="186"/>
    <x v="23"/>
  </r>
  <r>
    <n v="32"/>
    <d v="2022-11-28T00:00:00"/>
    <s v="Portugal"/>
    <s v="Uruguay"/>
    <x v="0"/>
    <n v="38"/>
    <n v="1563"/>
    <x v="187"/>
    <x v="27"/>
  </r>
  <r>
    <n v="32"/>
    <d v="2022-11-28T00:00:00"/>
    <s v="Portugal"/>
    <s v="Uruguay"/>
    <x v="1"/>
    <n v="54"/>
    <n v="1553"/>
    <x v="90"/>
    <x v="27"/>
  </r>
  <r>
    <n v="32"/>
    <d v="2022-11-28T00:00:00"/>
    <s v="Portugal"/>
    <s v="Uruguay"/>
    <x v="2"/>
    <n v="54"/>
    <n v="1550"/>
    <x v="188"/>
    <x v="27"/>
  </r>
  <r>
    <n v="32"/>
    <d v="2022-11-28T00:00:00"/>
    <s v="Portugal"/>
    <s v="Uruguay"/>
    <x v="0"/>
    <n v="77"/>
    <n v="1556"/>
    <x v="89"/>
    <x v="27"/>
  </r>
  <r>
    <n v="32"/>
    <d v="2022-11-28T00:00:00"/>
    <s v="Portugal"/>
    <s v="Uruguay"/>
    <x v="0"/>
    <n v="89"/>
    <n v="1549"/>
    <x v="189"/>
    <x v="27"/>
  </r>
  <r>
    <n v="32"/>
    <d v="2022-11-28T00:00:00"/>
    <s v="Portugal"/>
    <s v="Uruguay"/>
    <x v="1"/>
    <n v="93"/>
    <n v="1553"/>
    <x v="90"/>
    <x v="27"/>
  </r>
  <r>
    <n v="32"/>
    <d v="2022-11-28T00:00:00"/>
    <s v="Portugal"/>
    <s v="Uruguay"/>
    <x v="0"/>
    <n v="6"/>
    <n v="1758"/>
    <x v="190"/>
    <x v="25"/>
  </r>
  <r>
    <n v="32"/>
    <d v="2022-11-28T00:00:00"/>
    <s v="Portugal"/>
    <s v="Uruguay"/>
    <x v="0"/>
    <n v="44"/>
    <n v="1768"/>
    <x v="191"/>
    <x v="25"/>
  </r>
  <r>
    <n v="33"/>
    <d v="2022-11-29T00:00:00"/>
    <s v="Ecuador"/>
    <s v="Senegal"/>
    <x v="1"/>
    <n v="67"/>
    <n v="1257"/>
    <x v="3"/>
    <x v="1"/>
  </r>
  <r>
    <n v="33"/>
    <d v="2022-11-29T00:00:00"/>
    <s v="Ecuador"/>
    <s v="Senegal"/>
    <x v="2"/>
    <n v="67"/>
    <n v="1236"/>
    <x v="192"/>
    <x v="1"/>
  </r>
  <r>
    <n v="33"/>
    <d v="2022-11-29T00:00:00"/>
    <s v="Ecuador"/>
    <s v="Senegal"/>
    <x v="1"/>
    <n v="44"/>
    <n v="1640"/>
    <x v="193"/>
    <x v="5"/>
  </r>
  <r>
    <n v="33"/>
    <d v="2022-11-29T00:00:00"/>
    <s v="Ecuador"/>
    <s v="Senegal"/>
    <x v="0"/>
    <n v="66"/>
    <n v="1628"/>
    <x v="25"/>
    <x v="5"/>
  </r>
  <r>
    <n v="33"/>
    <d v="2022-11-29T00:00:00"/>
    <s v="Ecuador"/>
    <s v="Senegal"/>
    <x v="1"/>
    <n v="70"/>
    <n v="1626"/>
    <x v="194"/>
    <x v="5"/>
  </r>
  <r>
    <n v="34"/>
    <d v="2022-11-29T00:00:00"/>
    <s v="Netherlands"/>
    <s v="Qatar"/>
    <x v="1"/>
    <n v="26"/>
    <n v="1501"/>
    <x v="21"/>
    <x v="4"/>
  </r>
  <r>
    <n v="34"/>
    <d v="2022-11-29T00:00:00"/>
    <s v="Netherlands"/>
    <s v="Qatar"/>
    <x v="2"/>
    <n v="26"/>
    <n v="1507"/>
    <x v="23"/>
    <x v="4"/>
  </r>
  <r>
    <n v="34"/>
    <d v="2022-11-29T00:00:00"/>
    <s v="Netherlands"/>
    <s v="Qatar"/>
    <x v="1"/>
    <n v="49"/>
    <n v="1514"/>
    <x v="22"/>
    <x v="4"/>
  </r>
  <r>
    <n v="34"/>
    <d v="2022-11-29T00:00:00"/>
    <s v="Netherlands"/>
    <s v="Qatar"/>
    <x v="0"/>
    <n v="52"/>
    <n v="1498"/>
    <x v="195"/>
    <x v="4"/>
  </r>
  <r>
    <n v="35"/>
    <d v="2022-11-29T00:00:00"/>
    <s v="Iran"/>
    <s v="USA"/>
    <x v="0"/>
    <n v="77"/>
    <n v="1383"/>
    <x v="196"/>
    <x v="3"/>
  </r>
  <r>
    <n v="35"/>
    <d v="2022-11-29T00:00:00"/>
    <s v="Iran"/>
    <s v="USA"/>
    <x v="0"/>
    <n v="96"/>
    <n v="1389"/>
    <x v="197"/>
    <x v="3"/>
  </r>
  <r>
    <n v="35"/>
    <d v="2022-11-29T00:00:00"/>
    <s v="Iran"/>
    <s v="USA"/>
    <x v="1"/>
    <n v="38"/>
    <n v="1788"/>
    <x v="29"/>
    <x v="6"/>
  </r>
  <r>
    <n v="35"/>
    <d v="2022-11-29T00:00:00"/>
    <s v="Iran"/>
    <s v="USA"/>
    <x v="2"/>
    <n v="38"/>
    <n v="1780"/>
    <x v="26"/>
    <x v="6"/>
  </r>
  <r>
    <n v="35"/>
    <d v="2022-11-29T00:00:00"/>
    <s v="Iran"/>
    <s v="USA"/>
    <x v="0"/>
    <n v="43"/>
    <n v="1782"/>
    <x v="198"/>
    <x v="6"/>
  </r>
  <r>
    <n v="36"/>
    <d v="2022-11-29T00:00:00"/>
    <s v="Wales"/>
    <s v="England"/>
    <x v="0"/>
    <n v="29"/>
    <n v="1824"/>
    <x v="199"/>
    <x v="7"/>
  </r>
  <r>
    <n v="36"/>
    <d v="2022-11-29T00:00:00"/>
    <s v="Wales"/>
    <s v="England"/>
    <x v="0"/>
    <n v="61"/>
    <n v="1814"/>
    <x v="200"/>
    <x v="7"/>
  </r>
  <r>
    <n v="36"/>
    <d v="2022-11-29T00:00:00"/>
    <s v="Wales"/>
    <s v="England"/>
    <x v="1"/>
    <n v="50"/>
    <n v="1271"/>
    <x v="14"/>
    <x v="2"/>
  </r>
  <r>
    <n v="36"/>
    <d v="2022-11-29T00:00:00"/>
    <s v="Wales"/>
    <s v="England"/>
    <x v="1"/>
    <n v="51"/>
    <n v="1280"/>
    <x v="201"/>
    <x v="2"/>
  </r>
  <r>
    <n v="36"/>
    <d v="2022-11-29T00:00:00"/>
    <s v="Wales"/>
    <s v="England"/>
    <x v="2"/>
    <n v="51"/>
    <n v="1269"/>
    <x v="13"/>
    <x v="2"/>
  </r>
  <r>
    <n v="36"/>
    <d v="2022-11-29T00:00:00"/>
    <s v="Wales"/>
    <s v="England"/>
    <x v="1"/>
    <n v="68"/>
    <n v="1271"/>
    <x v="14"/>
    <x v="2"/>
  </r>
  <r>
    <n v="36"/>
    <d v="2022-11-29T00:00:00"/>
    <s v="Wales"/>
    <s v="England"/>
    <x v="2"/>
    <n v="68"/>
    <n v="1274"/>
    <x v="202"/>
    <x v="2"/>
  </r>
  <r>
    <n v="37"/>
    <d v="2022-11-30T00:00:00"/>
    <s v="Australia"/>
    <s v="Denmark"/>
    <x v="0"/>
    <n v="4"/>
    <n v="1042"/>
    <x v="203"/>
    <x v="14"/>
  </r>
  <r>
    <n v="37"/>
    <d v="2022-11-30T00:00:00"/>
    <s v="Australia"/>
    <s v="Denmark"/>
    <x v="0"/>
    <n v="57"/>
    <n v="1028"/>
    <x v="204"/>
    <x v="14"/>
  </r>
  <r>
    <n v="37"/>
    <d v="2022-11-30T00:00:00"/>
    <s v="Australia"/>
    <s v="Denmark"/>
    <x v="1"/>
    <n v="60"/>
    <n v="1033"/>
    <x v="51"/>
    <x v="14"/>
  </r>
  <r>
    <n v="37"/>
    <d v="2022-11-30T00:00:00"/>
    <s v="Australia"/>
    <s v="Denmark"/>
    <x v="2"/>
    <n v="60"/>
    <n v="1040"/>
    <x v="205"/>
    <x v="14"/>
  </r>
  <r>
    <n v="37"/>
    <d v="2022-11-30T00:00:00"/>
    <s v="Australia"/>
    <s v="Denmark"/>
    <x v="0"/>
    <n v="75"/>
    <n v="1232"/>
    <x v="206"/>
    <x v="10"/>
  </r>
  <r>
    <n v="38"/>
    <d v="2022-11-30T00:00:00"/>
    <s v="Tunisia"/>
    <s v="France"/>
    <x v="0"/>
    <n v="28"/>
    <n v="1747"/>
    <x v="207"/>
    <x v="11"/>
  </r>
  <r>
    <n v="38"/>
    <d v="2022-11-30T00:00:00"/>
    <s v="Tunisia"/>
    <s v="France"/>
    <x v="1"/>
    <n v="58"/>
    <n v="1736"/>
    <x v="208"/>
    <x v="11"/>
  </r>
  <r>
    <n v="38"/>
    <d v="2022-11-30T00:00:00"/>
    <s v="Tunisia"/>
    <s v="France"/>
    <x v="2"/>
    <n v="58"/>
    <n v="1740"/>
    <x v="117"/>
    <x v="11"/>
  </r>
  <r>
    <n v="39"/>
    <d v="2022-11-30T00:00:00"/>
    <s v="Poland"/>
    <s v="Argentina"/>
    <x v="0"/>
    <n v="78"/>
    <n v="1529"/>
    <x v="209"/>
    <x v="13"/>
  </r>
  <r>
    <n v="39"/>
    <d v="2022-11-30T00:00:00"/>
    <s v="Poland"/>
    <s v="Argentina"/>
    <x v="3"/>
    <n v="39"/>
    <n v="1010"/>
    <x v="34"/>
    <x v="8"/>
  </r>
  <r>
    <n v="39"/>
    <d v="2022-11-30T00:00:00"/>
    <s v="Poland"/>
    <s v="Argentina"/>
    <x v="1"/>
    <n v="46"/>
    <n v="1020"/>
    <x v="210"/>
    <x v="8"/>
  </r>
  <r>
    <n v="39"/>
    <d v="2022-11-30T00:00:00"/>
    <s v="Poland"/>
    <s v="Argentina"/>
    <x v="2"/>
    <n v="46"/>
    <n v="1026"/>
    <x v="211"/>
    <x v="8"/>
  </r>
  <r>
    <n v="39"/>
    <d v="2022-11-30T00:00:00"/>
    <s v="Poland"/>
    <s v="Argentina"/>
    <x v="0"/>
    <n v="49"/>
    <n v="1008"/>
    <x v="212"/>
    <x v="8"/>
  </r>
  <r>
    <n v="39"/>
    <d v="2022-11-30T00:00:00"/>
    <s v="Poland"/>
    <s v="Argentina"/>
    <x v="1"/>
    <n v="67"/>
    <n v="1009"/>
    <x v="213"/>
    <x v="8"/>
  </r>
  <r>
    <n v="39"/>
    <d v="2022-11-30T00:00:00"/>
    <s v="Poland"/>
    <s v="Argentina"/>
    <x v="2"/>
    <n v="67"/>
    <n v="1024"/>
    <x v="133"/>
    <x v="8"/>
  </r>
  <r>
    <n v="40"/>
    <d v="2022-11-30T00:00:00"/>
    <s v="Saudi Arabia"/>
    <s v="Mexico"/>
    <x v="0"/>
    <n v="28"/>
    <n v="1608"/>
    <x v="35"/>
    <x v="9"/>
  </r>
  <r>
    <n v="40"/>
    <d v="2022-11-30T00:00:00"/>
    <s v="Saudi Arabia"/>
    <s v="Mexico"/>
    <x v="0"/>
    <n v="34"/>
    <n v="1612"/>
    <x v="214"/>
    <x v="9"/>
  </r>
  <r>
    <n v="40"/>
    <d v="2022-11-30T00:00:00"/>
    <s v="Saudi Arabia"/>
    <s v="Mexico"/>
    <x v="0"/>
    <n v="52"/>
    <n v="1614"/>
    <x v="215"/>
    <x v="9"/>
  </r>
  <r>
    <n v="40"/>
    <d v="2022-11-30T00:00:00"/>
    <s v="Saudi Arabia"/>
    <s v="Mexico"/>
    <x v="0"/>
    <n v="81"/>
    <n v="1600"/>
    <x v="216"/>
    <x v="9"/>
  </r>
  <r>
    <n v="40"/>
    <d v="2022-11-30T00:00:00"/>
    <s v="Saudi Arabia"/>
    <s v="Mexico"/>
    <x v="0"/>
    <n v="91"/>
    <n v="1601"/>
    <x v="125"/>
    <x v="9"/>
  </r>
  <r>
    <n v="40"/>
    <d v="2022-11-30T00:00:00"/>
    <s v="Saudi Arabia"/>
    <s v="Mexico"/>
    <x v="1"/>
    <n v="95"/>
    <n v="1607"/>
    <x v="37"/>
    <x v="9"/>
  </r>
  <r>
    <n v="40"/>
    <d v="2022-11-30T00:00:00"/>
    <s v="Saudi Arabia"/>
    <s v="Mexico"/>
    <x v="2"/>
    <n v="95"/>
    <n v="1616"/>
    <x v="217"/>
    <x v="9"/>
  </r>
  <r>
    <n v="40"/>
    <d v="2022-11-30T00:00:00"/>
    <s v="Saudi Arabia"/>
    <s v="Mexico"/>
    <x v="0"/>
    <n v="97"/>
    <n v="1616"/>
    <x v="217"/>
    <x v="9"/>
  </r>
  <r>
    <n v="40"/>
    <d v="2022-11-30T00:00:00"/>
    <s v="Saudi Arabia"/>
    <s v="Mexico"/>
    <x v="0"/>
    <n v="16"/>
    <n v="1445"/>
    <x v="218"/>
    <x v="12"/>
  </r>
  <r>
    <n v="40"/>
    <d v="2022-11-30T00:00:00"/>
    <s v="Saudi Arabia"/>
    <s v="Mexico"/>
    <x v="1"/>
    <n v="47"/>
    <n v="1461"/>
    <x v="219"/>
    <x v="12"/>
  </r>
  <r>
    <n v="40"/>
    <d v="2022-11-30T00:00:00"/>
    <s v="Saudi Arabia"/>
    <s v="Mexico"/>
    <x v="2"/>
    <n v="47"/>
    <n v="1444"/>
    <x v="220"/>
    <x v="12"/>
  </r>
  <r>
    <n v="40"/>
    <d v="2022-11-30T00:00:00"/>
    <s v="Saudi Arabia"/>
    <s v="Mexico"/>
    <x v="1"/>
    <n v="52"/>
    <n v="1465"/>
    <x v="221"/>
    <x v="12"/>
  </r>
  <r>
    <n v="41"/>
    <d v="2022-12-01T00:00:00"/>
    <s v="Canada"/>
    <s v="Morocco"/>
    <x v="0"/>
    <n v="7"/>
    <n v="1140"/>
    <x v="222"/>
    <x v="22"/>
  </r>
  <r>
    <n v="41"/>
    <d v="2022-12-01T00:00:00"/>
    <s v="Canada"/>
    <s v="Morocco"/>
    <x v="0"/>
    <n v="26"/>
    <n v="1151"/>
    <x v="223"/>
    <x v="22"/>
  </r>
  <r>
    <n v="41"/>
    <d v="2022-12-01T00:00:00"/>
    <s v="Canada"/>
    <s v="Morocco"/>
    <x v="5"/>
    <n v="40"/>
    <n v="1472"/>
    <x v="224"/>
    <x v="16"/>
  </r>
  <r>
    <n v="41"/>
    <d v="2022-12-01T00:00:00"/>
    <s v="Canada"/>
    <s v="Morocco"/>
    <x v="0"/>
    <n v="45"/>
    <n v="1133"/>
    <x v="225"/>
    <x v="22"/>
  </r>
  <r>
    <n v="41"/>
    <d v="2022-12-01T00:00:00"/>
    <s v="Canada"/>
    <s v="Morocco"/>
    <x v="0"/>
    <n v="84"/>
    <n v="1135"/>
    <x v="226"/>
    <x v="22"/>
  </r>
  <r>
    <n v="41"/>
    <d v="2022-12-01T00:00:00"/>
    <s v="Canada"/>
    <s v="Morocco"/>
    <x v="1"/>
    <n v="4"/>
    <n v="1474"/>
    <x v="147"/>
    <x v="16"/>
  </r>
  <r>
    <n v="41"/>
    <d v="2022-12-01T00:00:00"/>
    <s v="Canada"/>
    <s v="Morocco"/>
    <x v="1"/>
    <n v="23"/>
    <n v="1486"/>
    <x v="227"/>
    <x v="16"/>
  </r>
  <r>
    <n v="41"/>
    <d v="2022-12-01T00:00:00"/>
    <s v="Canada"/>
    <s v="Morocco"/>
    <x v="2"/>
    <n v="23"/>
    <n v="1469"/>
    <x v="228"/>
    <x v="16"/>
  </r>
  <r>
    <n v="42"/>
    <d v="2022-12-01T00:00:00"/>
    <s v="Croatia"/>
    <s v="Belgium"/>
    <x v="0"/>
    <n v="67"/>
    <n v="1071"/>
    <x v="229"/>
    <x v="21"/>
  </r>
  <r>
    <n v="43"/>
    <d v="2022-12-01T00:00:00"/>
    <s v="Costa Rica"/>
    <s v="Germany"/>
    <x v="1"/>
    <n v="58"/>
    <n v="1173"/>
    <x v="143"/>
    <x v="20"/>
  </r>
  <r>
    <n v="43"/>
    <d v="2022-12-01T00:00:00"/>
    <s v="Costa Rica"/>
    <s v="Germany"/>
    <x v="5"/>
    <n v="70"/>
    <n v="1313"/>
    <x v="230"/>
    <x v="17"/>
  </r>
  <r>
    <n v="43"/>
    <d v="2022-12-01T00:00:00"/>
    <s v="Costa Rica"/>
    <s v="Germany"/>
    <x v="0"/>
    <n v="77"/>
    <n v="1162"/>
    <x v="231"/>
    <x v="20"/>
  </r>
  <r>
    <n v="43"/>
    <d v="2022-12-01T00:00:00"/>
    <s v="Costa Rica"/>
    <s v="Germany"/>
    <x v="1"/>
    <n v="10"/>
    <n v="1322"/>
    <x v="232"/>
    <x v="17"/>
  </r>
  <r>
    <n v="43"/>
    <d v="2022-12-01T00:00:00"/>
    <s v="Costa Rica"/>
    <s v="Germany"/>
    <x v="2"/>
    <n v="10"/>
    <n v="1315"/>
    <x v="233"/>
    <x v="17"/>
  </r>
  <r>
    <n v="43"/>
    <d v="2022-12-01T00:00:00"/>
    <s v="Costa Rica"/>
    <s v="Germany"/>
    <x v="1"/>
    <n v="73"/>
    <n v="1319"/>
    <x v="234"/>
    <x v="17"/>
  </r>
  <r>
    <n v="43"/>
    <d v="2022-12-01T00:00:00"/>
    <s v="Costa Rica"/>
    <s v="Germany"/>
    <x v="2"/>
    <n v="73"/>
    <n v="1321"/>
    <x v="162"/>
    <x v="17"/>
  </r>
  <r>
    <n v="43"/>
    <d v="2022-12-01T00:00:00"/>
    <s v="Costa Rica"/>
    <s v="Germany"/>
    <x v="1"/>
    <n v="85"/>
    <n v="1319"/>
    <x v="234"/>
    <x v="17"/>
  </r>
  <r>
    <n v="43"/>
    <d v="2022-12-01T00:00:00"/>
    <s v="Costa Rica"/>
    <s v="Germany"/>
    <x v="2"/>
    <n v="85"/>
    <n v="1322"/>
    <x v="232"/>
    <x v="17"/>
  </r>
  <r>
    <n v="43"/>
    <d v="2022-12-01T00:00:00"/>
    <s v="Costa Rica"/>
    <s v="Germany"/>
    <x v="1"/>
    <n v="89"/>
    <n v="1321"/>
    <x v="162"/>
    <x v="17"/>
  </r>
  <r>
    <n v="43"/>
    <d v="2022-12-01T00:00:00"/>
    <s v="Costa Rica"/>
    <s v="Germany"/>
    <x v="2"/>
    <n v="89"/>
    <n v="1331"/>
    <x v="235"/>
    <x v="17"/>
  </r>
  <r>
    <n v="44"/>
    <d v="2022-12-01T00:00:00"/>
    <s v="Japan"/>
    <s v="Spain"/>
    <x v="0"/>
    <n v="39"/>
    <n v="1393"/>
    <x v="64"/>
    <x v="18"/>
  </r>
  <r>
    <n v="44"/>
    <d v="2022-12-01T00:00:00"/>
    <s v="Japan"/>
    <s v="Spain"/>
    <x v="0"/>
    <n v="44"/>
    <n v="1392"/>
    <x v="236"/>
    <x v="18"/>
  </r>
  <r>
    <n v="44"/>
    <d v="2022-12-01T00:00:00"/>
    <s v="Japan"/>
    <s v="Spain"/>
    <x v="0"/>
    <n v="45"/>
    <n v="1411"/>
    <x v="237"/>
    <x v="18"/>
  </r>
  <r>
    <n v="44"/>
    <d v="2022-12-01T00:00:00"/>
    <s v="Japan"/>
    <s v="Spain"/>
    <x v="1"/>
    <n v="48"/>
    <n v="1397"/>
    <x v="62"/>
    <x v="18"/>
  </r>
  <r>
    <n v="44"/>
    <d v="2022-12-01T00:00:00"/>
    <s v="Japan"/>
    <s v="Spain"/>
    <x v="2"/>
    <n v="48"/>
    <n v="1403"/>
    <x v="238"/>
    <x v="18"/>
  </r>
  <r>
    <n v="44"/>
    <d v="2022-12-01T00:00:00"/>
    <s v="Japan"/>
    <s v="Spain"/>
    <x v="1"/>
    <n v="51"/>
    <n v="1406"/>
    <x v="239"/>
    <x v="18"/>
  </r>
  <r>
    <n v="44"/>
    <d v="2022-12-01T00:00:00"/>
    <s v="Japan"/>
    <s v="Spain"/>
    <x v="2"/>
    <n v="51"/>
    <n v="1398"/>
    <x v="240"/>
    <x v="18"/>
  </r>
  <r>
    <n v="44"/>
    <d v="2022-12-01T00:00:00"/>
    <s v="Japan"/>
    <s v="Spain"/>
    <x v="1"/>
    <n v="11"/>
    <n v="1681"/>
    <x v="70"/>
    <x v="19"/>
  </r>
  <r>
    <n v="44"/>
    <d v="2022-12-01T00:00:00"/>
    <s v="Japan"/>
    <s v="Spain"/>
    <x v="2"/>
    <n v="11"/>
    <n v="1676"/>
    <x v="241"/>
    <x v="19"/>
  </r>
  <r>
    <n v="45"/>
    <d v="2022-12-02T00:00:00"/>
    <s v="Ghana"/>
    <s v="Uruguay"/>
    <x v="3"/>
    <n v="21"/>
    <n v="1348"/>
    <x v="94"/>
    <x v="28"/>
  </r>
  <r>
    <n v="45"/>
    <d v="2022-12-02T00:00:00"/>
    <s v="Ghana"/>
    <s v="Uruguay"/>
    <x v="0"/>
    <n v="86"/>
    <n v="1360"/>
    <x v="242"/>
    <x v="28"/>
  </r>
  <r>
    <n v="45"/>
    <d v="2022-12-02T00:00:00"/>
    <s v="Ghana"/>
    <s v="Uruguay"/>
    <x v="0"/>
    <n v="99"/>
    <n v="1364"/>
    <x v="95"/>
    <x v="28"/>
  </r>
  <r>
    <n v="45"/>
    <d v="2022-12-02T00:00:00"/>
    <s v="Ghana"/>
    <s v="Uruguay"/>
    <x v="0"/>
    <n v="20"/>
    <n v="1763"/>
    <x v="243"/>
    <x v="25"/>
  </r>
  <r>
    <n v="45"/>
    <d v="2022-12-02T00:00:00"/>
    <s v="Ghana"/>
    <s v="Uruguay"/>
    <x v="1"/>
    <n v="26"/>
    <n v="1762"/>
    <x v="244"/>
    <x v="25"/>
  </r>
  <r>
    <n v="45"/>
    <d v="2022-12-02T00:00:00"/>
    <s v="Ghana"/>
    <s v="Uruguay"/>
    <x v="1"/>
    <n v="32"/>
    <n v="1762"/>
    <x v="244"/>
    <x v="25"/>
  </r>
  <r>
    <n v="45"/>
    <d v="2022-12-02T00:00:00"/>
    <s v="Ghana"/>
    <s v="Uruguay"/>
    <x v="2"/>
    <n v="32"/>
    <n v="1761"/>
    <x v="245"/>
    <x v="25"/>
  </r>
  <r>
    <n v="45"/>
    <d v="2022-12-02T00:00:00"/>
    <s v="Ghana"/>
    <s v="Uruguay"/>
    <x v="0"/>
    <n v="60"/>
    <n v="1761"/>
    <x v="245"/>
    <x v="25"/>
  </r>
  <r>
    <n v="45"/>
    <d v="2022-12-02T00:00:00"/>
    <s v="Ghana"/>
    <s v="Uruguay"/>
    <x v="0"/>
    <n v="87"/>
    <n v="1771"/>
    <x v="246"/>
    <x v="25"/>
  </r>
  <r>
    <n v="45"/>
    <d v="2022-12-02T00:00:00"/>
    <s v="Ghana"/>
    <s v="Uruguay"/>
    <x v="0"/>
    <n v="100"/>
    <n v="1754"/>
    <x v="247"/>
    <x v="25"/>
  </r>
  <r>
    <n v="45"/>
    <d v="2022-12-02T00:00:00"/>
    <s v="Ghana"/>
    <s v="Uruguay"/>
    <x v="0"/>
    <n v="100"/>
    <n v="1773"/>
    <x v="248"/>
    <x v="25"/>
  </r>
  <r>
    <n v="46"/>
    <d v="2022-12-02T00:00:00"/>
    <s v="Korea Rep"/>
    <s v="Portugal"/>
    <x v="1"/>
    <n v="27"/>
    <n v="1434"/>
    <x v="178"/>
    <x v="26"/>
  </r>
  <r>
    <n v="46"/>
    <d v="2022-12-02T00:00:00"/>
    <s v="Korea Rep"/>
    <s v="Portugal"/>
    <x v="0"/>
    <n v="36"/>
    <n v="1433"/>
    <x v="176"/>
    <x v="26"/>
  </r>
  <r>
    <n v="46"/>
    <d v="2022-12-02T00:00:00"/>
    <s v="Korea Rep"/>
    <s v="Portugal"/>
    <x v="1"/>
    <n v="91"/>
    <n v="1426"/>
    <x v="249"/>
    <x v="26"/>
  </r>
  <r>
    <n v="46"/>
    <d v="2022-12-02T00:00:00"/>
    <s v="Korea Rep"/>
    <s v="Portugal"/>
    <x v="2"/>
    <n v="91"/>
    <n v="1422"/>
    <x v="250"/>
    <x v="26"/>
  </r>
  <r>
    <n v="46"/>
    <d v="2022-12-02T00:00:00"/>
    <s v="Korea Rep"/>
    <s v="Portugal"/>
    <x v="0"/>
    <n v="92"/>
    <n v="1426"/>
    <x v="249"/>
    <x v="26"/>
  </r>
  <r>
    <n v="46"/>
    <d v="2022-12-02T00:00:00"/>
    <s v="Korea Rep"/>
    <s v="Portugal"/>
    <x v="1"/>
    <n v="5"/>
    <n v="1566"/>
    <x v="251"/>
    <x v="27"/>
  </r>
  <r>
    <n v="46"/>
    <d v="2022-12-02T00:00:00"/>
    <s v="Korea Rep"/>
    <s v="Portugal"/>
    <x v="2"/>
    <n v="5"/>
    <n v="1547"/>
    <x v="252"/>
    <x v="27"/>
  </r>
  <r>
    <n v="47"/>
    <d v="2022-12-02T00:00:00"/>
    <s v="Cameroon"/>
    <s v="Brasil"/>
    <x v="0"/>
    <n v="6"/>
    <n v="1129"/>
    <x v="253"/>
    <x v="24"/>
  </r>
  <r>
    <n v="47"/>
    <d v="2022-12-02T00:00:00"/>
    <s v="Cameroon"/>
    <s v="Brasil"/>
    <x v="0"/>
    <n v="28"/>
    <n v="1119"/>
    <x v="254"/>
    <x v="24"/>
  </r>
  <r>
    <n v="47"/>
    <d v="2022-12-02T00:00:00"/>
    <s v="Cameroon"/>
    <s v="Brasil"/>
    <x v="0"/>
    <n v="32"/>
    <n v="1123"/>
    <x v="85"/>
    <x v="24"/>
  </r>
  <r>
    <n v="47"/>
    <d v="2022-12-02T00:00:00"/>
    <s v="Cameroon"/>
    <s v="Brasil"/>
    <x v="0"/>
    <n v="81"/>
    <n v="1114"/>
    <x v="167"/>
    <x v="24"/>
  </r>
  <r>
    <n v="47"/>
    <d v="2022-12-02T00:00:00"/>
    <s v="Cameroon"/>
    <s v="Brasil"/>
    <x v="1"/>
    <n v="92"/>
    <n v="1114"/>
    <x v="167"/>
    <x v="24"/>
  </r>
  <r>
    <n v="47"/>
    <d v="2022-12-02T00:00:00"/>
    <s v="Cameroon"/>
    <s v="Brasil"/>
    <x v="2"/>
    <n v="92"/>
    <n v="1106"/>
    <x v="255"/>
    <x v="24"/>
  </r>
  <r>
    <n v="47"/>
    <d v="2022-12-02T00:00:00"/>
    <s v="Cameroon"/>
    <s v="Brasil"/>
    <x v="4"/>
    <n v="93"/>
    <n v="1114"/>
    <x v="167"/>
    <x v="24"/>
  </r>
  <r>
    <n v="47"/>
    <d v="2022-12-02T00:00:00"/>
    <s v="Cameroon"/>
    <s v="Brasil"/>
    <x v="0"/>
    <n v="7"/>
    <n v="1092"/>
    <x v="256"/>
    <x v="29"/>
  </r>
  <r>
    <n v="47"/>
    <d v="2022-12-02T00:00:00"/>
    <s v="Cameroon"/>
    <s v="Brasil"/>
    <x v="0"/>
    <n v="85"/>
    <n v="1095"/>
    <x v="257"/>
    <x v="29"/>
  </r>
  <r>
    <n v="48"/>
    <d v="2022-12-02T00:00:00"/>
    <s v="Serbia"/>
    <s v="Switzerland"/>
    <x v="1"/>
    <n v="26"/>
    <n v="1657"/>
    <x v="173"/>
    <x v="30"/>
  </r>
  <r>
    <n v="48"/>
    <d v="2022-12-02T00:00:00"/>
    <s v="Serbia"/>
    <s v="Switzerland"/>
    <x v="2"/>
    <n v="26"/>
    <n v="1658"/>
    <x v="169"/>
    <x v="30"/>
  </r>
  <r>
    <n v="48"/>
    <d v="2022-12-02T00:00:00"/>
    <s v="Serbia"/>
    <s v="Switzerland"/>
    <x v="1"/>
    <n v="35"/>
    <n v="1666"/>
    <x v="258"/>
    <x v="30"/>
  </r>
  <r>
    <n v="48"/>
    <d v="2022-12-02T00:00:00"/>
    <s v="Serbia"/>
    <s v="Switzerland"/>
    <x v="0"/>
    <n v="47"/>
    <n v="1668"/>
    <x v="170"/>
    <x v="30"/>
  </r>
  <r>
    <n v="48"/>
    <d v="2022-12-02T00:00:00"/>
    <s v="Serbia"/>
    <s v="Switzerland"/>
    <x v="0"/>
    <n v="56"/>
    <n v="1650"/>
    <x v="100"/>
    <x v="30"/>
  </r>
  <r>
    <n v="48"/>
    <d v="2022-12-02T00:00:00"/>
    <s v="Serbia"/>
    <s v="Switzerland"/>
    <x v="0"/>
    <n v="66"/>
    <n v="1660"/>
    <x v="259"/>
    <x v="30"/>
  </r>
  <r>
    <n v="48"/>
    <d v="2022-12-02T00:00:00"/>
    <s v="Serbia"/>
    <s v="Switzerland"/>
    <x v="0"/>
    <n v="81"/>
    <n v="1656"/>
    <x v="101"/>
    <x v="30"/>
  </r>
  <r>
    <n v="48"/>
    <d v="2022-12-02T00:00:00"/>
    <s v="Serbia"/>
    <s v="Switzerland"/>
    <x v="0"/>
    <n v="82"/>
    <n v="1657"/>
    <x v="173"/>
    <x v="30"/>
  </r>
  <r>
    <n v="48"/>
    <d v="2022-12-02T00:00:00"/>
    <s v="Serbia"/>
    <s v="Switzerland"/>
    <x v="0"/>
    <n v="95"/>
    <n v="1652"/>
    <x v="174"/>
    <x v="30"/>
  </r>
  <r>
    <n v="48"/>
    <d v="2022-12-02T00:00:00"/>
    <s v="Serbia"/>
    <s v="Switzerland"/>
    <x v="0"/>
    <n v="100"/>
    <n v="1664"/>
    <x v="102"/>
    <x v="30"/>
  </r>
  <r>
    <n v="48"/>
    <d v="2022-12-02T00:00:00"/>
    <s v="Serbia"/>
    <s v="Switzerland"/>
    <x v="0"/>
    <n v="15"/>
    <n v="1703"/>
    <x v="260"/>
    <x v="23"/>
  </r>
  <r>
    <n v="48"/>
    <d v="2022-12-02T00:00:00"/>
    <s v="Serbia"/>
    <s v="Switzerland"/>
    <x v="1"/>
    <n v="20"/>
    <n v="1723"/>
    <x v="82"/>
    <x v="23"/>
  </r>
  <r>
    <n v="48"/>
    <d v="2022-12-02T00:00:00"/>
    <s v="Serbia"/>
    <s v="Switzerland"/>
    <x v="2"/>
    <n v="20"/>
    <n v="1715"/>
    <x v="261"/>
    <x v="23"/>
  </r>
  <r>
    <n v="48"/>
    <d v="2022-12-02T00:00:00"/>
    <s v="Serbia"/>
    <s v="Switzerland"/>
    <x v="0"/>
    <n v="34"/>
    <n v="1717"/>
    <x v="262"/>
    <x v="23"/>
  </r>
  <r>
    <n v="48"/>
    <d v="2022-12-02T00:00:00"/>
    <s v="Serbia"/>
    <s v="Switzerland"/>
    <x v="1"/>
    <n v="44"/>
    <n v="1707"/>
    <x v="81"/>
    <x v="23"/>
  </r>
  <r>
    <n v="48"/>
    <d v="2022-12-02T00:00:00"/>
    <s v="Serbia"/>
    <s v="Switzerland"/>
    <x v="2"/>
    <n v="44"/>
    <n v="1703"/>
    <x v="260"/>
    <x v="23"/>
  </r>
  <r>
    <n v="48"/>
    <d v="2022-12-02T00:00:00"/>
    <s v="Serbia"/>
    <s v="Switzerland"/>
    <x v="1"/>
    <n v="48"/>
    <n v="1708"/>
    <x v="263"/>
    <x v="23"/>
  </r>
  <r>
    <n v="48"/>
    <d v="2022-12-02T00:00:00"/>
    <s v="Serbia"/>
    <s v="Switzerland"/>
    <x v="2"/>
    <n v="48"/>
    <n v="1717"/>
    <x v="262"/>
    <x v="23"/>
  </r>
  <r>
    <n v="48"/>
    <d v="2022-12-02T00:00:00"/>
    <s v="Serbia"/>
    <s v="Switzerland"/>
    <x v="0"/>
    <n v="95"/>
    <n v="1710"/>
    <x v="264"/>
    <x v="23"/>
  </r>
  <r>
    <n v="48"/>
    <d v="2022-12-02T00:00:00"/>
    <s v="Serbia"/>
    <s v="Switzerland"/>
    <x v="0"/>
    <n v="99"/>
    <n v="1722"/>
    <x v="265"/>
    <x v="23"/>
  </r>
  <r>
    <n v="49"/>
    <d v="2022-12-03T00:00:00"/>
    <s v="Netherlands"/>
    <s v="USA"/>
    <x v="1"/>
    <n v="10"/>
    <n v="1503"/>
    <x v="266"/>
    <x v="4"/>
  </r>
  <r>
    <n v="49"/>
    <d v="2022-12-03T00:00:00"/>
    <s v="Netherlands"/>
    <s v="USA"/>
    <x v="2"/>
    <n v="10"/>
    <n v="1515"/>
    <x v="267"/>
    <x v="4"/>
  </r>
  <r>
    <n v="49"/>
    <d v="2022-12-03T00:00:00"/>
    <s v="Netherlands"/>
    <s v="USA"/>
    <x v="1"/>
    <n v="45"/>
    <n v="1510"/>
    <x v="268"/>
    <x v="4"/>
  </r>
  <r>
    <n v="49"/>
    <d v="2022-12-03T00:00:00"/>
    <s v="Netherlands"/>
    <s v="USA"/>
    <x v="2"/>
    <n v="45"/>
    <n v="1515"/>
    <x v="267"/>
    <x v="4"/>
  </r>
  <r>
    <n v="49"/>
    <d v="2022-12-03T00:00:00"/>
    <s v="Netherlands"/>
    <s v="USA"/>
    <x v="0"/>
    <n v="60"/>
    <n v="1513"/>
    <x v="269"/>
    <x v="4"/>
  </r>
  <r>
    <n v="49"/>
    <d v="2022-12-03T00:00:00"/>
    <s v="Netherlands"/>
    <s v="USA"/>
    <x v="1"/>
    <n v="81"/>
    <n v="1515"/>
    <x v="267"/>
    <x v="4"/>
  </r>
  <r>
    <n v="49"/>
    <d v="2022-12-03T00:00:00"/>
    <s v="Netherlands"/>
    <s v="USA"/>
    <x v="2"/>
    <n v="81"/>
    <n v="1510"/>
    <x v="268"/>
    <x v="4"/>
  </r>
  <r>
    <n v="49"/>
    <d v="2022-12-03T00:00:00"/>
    <s v="Netherlands"/>
    <s v="USA"/>
    <x v="0"/>
    <n v="87"/>
    <n v="1514"/>
    <x v="22"/>
    <x v="4"/>
  </r>
  <r>
    <n v="49"/>
    <d v="2022-12-03T00:00:00"/>
    <s v="Netherlands"/>
    <s v="USA"/>
    <x v="1"/>
    <n v="76"/>
    <n v="1797"/>
    <x v="270"/>
    <x v="6"/>
  </r>
  <r>
    <n v="49"/>
    <d v="2022-12-03T00:00:00"/>
    <s v="Netherlands"/>
    <s v="USA"/>
    <x v="2"/>
    <n v="76"/>
    <n v="1788"/>
    <x v="29"/>
    <x v="6"/>
  </r>
  <r>
    <n v="50"/>
    <d v="2022-12-03T00:00:00"/>
    <s v="Argentina"/>
    <s v="Australia"/>
    <x v="1"/>
    <n v="35"/>
    <n v="1010"/>
    <x v="34"/>
    <x v="8"/>
  </r>
  <r>
    <n v="50"/>
    <d v="2022-12-03T00:00:00"/>
    <s v="Argentina"/>
    <s v="Australia"/>
    <x v="2"/>
    <n v="35"/>
    <n v="1019"/>
    <x v="271"/>
    <x v="8"/>
  </r>
  <r>
    <n v="50"/>
    <d v="2022-12-03T00:00:00"/>
    <s v="Argentina"/>
    <s v="Australia"/>
    <x v="1"/>
    <n v="57"/>
    <n v="1009"/>
    <x v="213"/>
    <x v="8"/>
  </r>
  <r>
    <n v="50"/>
    <d v="2022-12-03T00:00:00"/>
    <s v="Argentina"/>
    <s v="Australia"/>
    <x v="0"/>
    <n v="15"/>
    <n v="1048"/>
    <x v="53"/>
    <x v="14"/>
  </r>
  <r>
    <n v="50"/>
    <d v="2022-12-03T00:00:00"/>
    <s v="Argentina"/>
    <s v="Australia"/>
    <x v="0"/>
    <n v="38"/>
    <n v="1028"/>
    <x v="204"/>
    <x v="14"/>
  </r>
  <r>
    <n v="50"/>
    <d v="2022-12-03T00:00:00"/>
    <s v="Argentina"/>
    <s v="Australia"/>
    <x v="5"/>
    <n v="77"/>
    <n v="1024"/>
    <x v="133"/>
    <x v="8"/>
  </r>
  <r>
    <n v="51"/>
    <d v="2022-12-04T00:00:00"/>
    <s v="France"/>
    <s v="Poland"/>
    <x v="0"/>
    <n v="32"/>
    <n v="1294"/>
    <x v="272"/>
    <x v="15"/>
  </r>
  <r>
    <n v="51"/>
    <d v="2022-12-04T00:00:00"/>
    <s v="France"/>
    <s v="Poland"/>
    <x v="1"/>
    <n v="44"/>
    <n v="1295"/>
    <x v="57"/>
    <x v="15"/>
  </r>
  <r>
    <n v="51"/>
    <d v="2022-12-04T00:00:00"/>
    <s v="France"/>
    <s v="Poland"/>
    <x v="2"/>
    <n v="44"/>
    <n v="1296"/>
    <x v="58"/>
    <x v="15"/>
  </r>
  <r>
    <n v="51"/>
    <d v="2022-12-04T00:00:00"/>
    <s v="France"/>
    <s v="Poland"/>
    <x v="1"/>
    <n v="74"/>
    <n v="1296"/>
    <x v="58"/>
    <x v="15"/>
  </r>
  <r>
    <n v="51"/>
    <d v="2022-12-04T00:00:00"/>
    <s v="France"/>
    <s v="Poland"/>
    <x v="2"/>
    <n v="74"/>
    <n v="1297"/>
    <x v="59"/>
    <x v="15"/>
  </r>
  <r>
    <n v="51"/>
    <d v="2022-12-04T00:00:00"/>
    <s v="France"/>
    <s v="Poland"/>
    <x v="1"/>
    <n v="91"/>
    <n v="1296"/>
    <x v="58"/>
    <x v="15"/>
  </r>
  <r>
    <n v="51"/>
    <d v="2022-12-04T00:00:00"/>
    <s v="France"/>
    <s v="Poland"/>
    <x v="2"/>
    <n v="91"/>
    <n v="1312"/>
    <x v="273"/>
    <x v="15"/>
  </r>
  <r>
    <n v="51"/>
    <d v="2022-12-04T00:00:00"/>
    <s v="France"/>
    <s v="Poland"/>
    <x v="0"/>
    <n v="47"/>
    <n v="1537"/>
    <x v="274"/>
    <x v="13"/>
  </r>
  <r>
    <n v="51"/>
    <d v="2022-12-04T00:00:00"/>
    <s v="France"/>
    <s v="Poland"/>
    <x v="0"/>
    <n v="88"/>
    <n v="1521"/>
    <x v="121"/>
    <x v="13"/>
  </r>
  <r>
    <n v="51"/>
    <d v="2022-12-04T00:00:00"/>
    <s v="France"/>
    <s v="Poland"/>
    <x v="1"/>
    <n v="99"/>
    <n v="1528"/>
    <x v="48"/>
    <x v="13"/>
  </r>
  <r>
    <n v="52"/>
    <d v="2022-12-04T00:00:00"/>
    <s v="England"/>
    <s v="Senegal"/>
    <x v="1"/>
    <n v="38"/>
    <n v="1268"/>
    <x v="275"/>
    <x v="2"/>
  </r>
  <r>
    <n v="52"/>
    <d v="2022-12-04T00:00:00"/>
    <s v="England"/>
    <s v="Senegal"/>
    <x v="2"/>
    <n v="38"/>
    <n v="1282"/>
    <x v="8"/>
    <x v="2"/>
  </r>
  <r>
    <n v="52"/>
    <d v="2022-12-04T00:00:00"/>
    <s v="England"/>
    <s v="Senegal"/>
    <x v="1"/>
    <n v="45"/>
    <n v="1269"/>
    <x v="13"/>
    <x v="2"/>
  </r>
  <r>
    <n v="52"/>
    <d v="2022-12-04T00:00:00"/>
    <s v="England"/>
    <s v="Senegal"/>
    <x v="2"/>
    <n v="45"/>
    <n v="1280"/>
    <x v="201"/>
    <x v="2"/>
  </r>
  <r>
    <n v="52"/>
    <d v="2022-12-04T00:00:00"/>
    <s v="England"/>
    <s v="Senegal"/>
    <x v="1"/>
    <n v="57"/>
    <n v="1277"/>
    <x v="10"/>
    <x v="2"/>
  </r>
  <r>
    <n v="52"/>
    <d v="2022-12-04T00:00:00"/>
    <s v="England"/>
    <s v="Senegal"/>
    <x v="2"/>
    <n v="57"/>
    <n v="1280"/>
    <x v="201"/>
    <x v="2"/>
  </r>
  <r>
    <n v="52"/>
    <d v="2022-12-04T00:00:00"/>
    <s v="England"/>
    <s v="Senegal"/>
    <x v="0"/>
    <n v="76"/>
    <n v="1626"/>
    <x v="194"/>
    <x v="5"/>
  </r>
  <r>
    <n v="53"/>
    <d v="2022-12-05T00:00:00"/>
    <s v="Japan"/>
    <s v="Croatia"/>
    <x v="1"/>
    <n v="43"/>
    <n v="1414"/>
    <x v="276"/>
    <x v="18"/>
  </r>
  <r>
    <n v="53"/>
    <d v="2022-12-05T00:00:00"/>
    <s v="Japan"/>
    <s v="Croatia"/>
    <x v="2"/>
    <n v="43"/>
    <n v="1411"/>
    <x v="237"/>
    <x v="18"/>
  </r>
  <r>
    <n v="53"/>
    <d v="2022-12-05T00:00:00"/>
    <s v="Japan"/>
    <s v="Croatia"/>
    <x v="1"/>
    <n v="55"/>
    <n v="1186"/>
    <x v="149"/>
    <x v="31"/>
  </r>
  <r>
    <n v="53"/>
    <d v="2022-12-05T00:00:00"/>
    <s v="Japan"/>
    <s v="Croatia"/>
    <x v="2"/>
    <n v="55"/>
    <n v="1188"/>
    <x v="152"/>
    <x v="31"/>
  </r>
  <r>
    <n v="53"/>
    <d v="2022-12-05T00:00:00"/>
    <s v="Japan"/>
    <s v="Croatia"/>
    <x v="0"/>
    <n v="90"/>
    <n v="1190"/>
    <x v="277"/>
    <x v="31"/>
  </r>
  <r>
    <n v="54"/>
    <d v="2022-12-05T00:00:00"/>
    <s v="Brasil"/>
    <s v="Korea Rep"/>
    <x v="1"/>
    <n v="7"/>
    <n v="1098"/>
    <x v="99"/>
    <x v="29"/>
  </r>
  <r>
    <n v="54"/>
    <d v="2022-12-05T00:00:00"/>
    <s v="Brasil"/>
    <s v="Korea Rep"/>
    <x v="2"/>
    <n v="7"/>
    <n v="1088"/>
    <x v="278"/>
    <x v="29"/>
  </r>
  <r>
    <n v="54"/>
    <d v="2022-12-05T00:00:00"/>
    <s v="Brasil"/>
    <s v="Korea Rep"/>
    <x v="1"/>
    <n v="13"/>
    <n v="1088"/>
    <x v="278"/>
    <x v="29"/>
  </r>
  <r>
    <n v="54"/>
    <d v="2022-12-05T00:00:00"/>
    <s v="Brasil"/>
    <s v="Korea Rep"/>
    <x v="1"/>
    <n v="29"/>
    <n v="1087"/>
    <x v="98"/>
    <x v="29"/>
  </r>
  <r>
    <n v="54"/>
    <d v="2022-12-05T00:00:00"/>
    <s v="Brasil"/>
    <s v="Korea Rep"/>
    <x v="2"/>
    <n v="29"/>
    <n v="1081"/>
    <x v="279"/>
    <x v="29"/>
  </r>
  <r>
    <n v="54"/>
    <d v="2022-12-05T00:00:00"/>
    <s v="Brasil"/>
    <s v="Korea Rep"/>
    <x v="1"/>
    <n v="36"/>
    <n v="1085"/>
    <x v="280"/>
    <x v="29"/>
  </r>
  <r>
    <n v="54"/>
    <d v="2022-12-05T00:00:00"/>
    <s v="Brasil"/>
    <s v="Korea Rep"/>
    <x v="2"/>
    <n v="36"/>
    <n v="1098"/>
    <x v="99"/>
    <x v="29"/>
  </r>
  <r>
    <n v="54"/>
    <d v="2022-12-05T00:00:00"/>
    <s v="Brasil"/>
    <s v="Korea Rep"/>
    <x v="0"/>
    <n v="44"/>
    <n v="1420"/>
    <x v="175"/>
    <x v="26"/>
  </r>
  <r>
    <n v="54"/>
    <d v="2022-12-05T00:00:00"/>
    <s v="Brasil"/>
    <s v="Korea Rep"/>
    <x v="1"/>
    <n v="76"/>
    <n v="1423"/>
    <x v="281"/>
    <x v="26"/>
  </r>
  <r>
    <n v="55"/>
    <d v="2022-12-06T00:00:00"/>
    <s v="Morocco"/>
    <s v="Spain"/>
    <x v="0"/>
    <n v="90"/>
    <n v="1473"/>
    <x v="144"/>
    <x v="16"/>
  </r>
  <r>
    <n v="55"/>
    <d v="2022-12-06T00:00:00"/>
    <s v="Morocco"/>
    <s v="Spain"/>
    <x v="0"/>
    <n v="77"/>
    <n v="1698"/>
    <x v="282"/>
    <x v="19"/>
  </r>
  <r>
    <n v="56"/>
    <d v="2022-12-06T00:00:00"/>
    <s v="Portugal"/>
    <s v="Switzerland"/>
    <x v="1"/>
    <n v="17"/>
    <n v="1571"/>
    <x v="283"/>
    <x v="27"/>
  </r>
  <r>
    <n v="56"/>
    <d v="2022-12-06T00:00:00"/>
    <s v="Portugal"/>
    <s v="Switzerland"/>
    <x v="2"/>
    <n v="17"/>
    <n v="1556"/>
    <x v="89"/>
    <x v="27"/>
  </r>
  <r>
    <n v="56"/>
    <d v="2022-12-06T00:00:00"/>
    <s v="Portugal"/>
    <s v="Switzerland"/>
    <x v="1"/>
    <n v="33"/>
    <n v="1548"/>
    <x v="284"/>
    <x v="27"/>
  </r>
  <r>
    <n v="56"/>
    <d v="2022-12-06T00:00:00"/>
    <s v="Portugal"/>
    <s v="Switzerland"/>
    <x v="2"/>
    <n v="33"/>
    <n v="1553"/>
    <x v="90"/>
    <x v="27"/>
  </r>
  <r>
    <n v="56"/>
    <d v="2022-12-06T00:00:00"/>
    <s v="Portugal"/>
    <s v="Switzerland"/>
    <x v="1"/>
    <n v="51"/>
    <n v="1571"/>
    <x v="283"/>
    <x v="27"/>
  </r>
  <r>
    <n v="56"/>
    <d v="2022-12-06T00:00:00"/>
    <s v="Portugal"/>
    <s v="Switzerland"/>
    <x v="1"/>
    <n v="55"/>
    <n v="1550"/>
    <x v="188"/>
    <x v="27"/>
  </r>
  <r>
    <n v="56"/>
    <d v="2022-12-06T00:00:00"/>
    <s v="Portugal"/>
    <s v="Switzerland"/>
    <x v="2"/>
    <n v="55"/>
    <n v="1571"/>
    <x v="283"/>
    <x v="27"/>
  </r>
  <r>
    <n v="56"/>
    <d v="2022-12-06T00:00:00"/>
    <s v="Portugal"/>
    <s v="Switzerland"/>
    <x v="1"/>
    <n v="67"/>
    <n v="1571"/>
    <x v="283"/>
    <x v="27"/>
  </r>
  <r>
    <n v="56"/>
    <d v="2022-12-06T00:00:00"/>
    <s v="Portugal"/>
    <s v="Switzerland"/>
    <x v="2"/>
    <n v="67"/>
    <n v="1556"/>
    <x v="89"/>
    <x v="27"/>
  </r>
  <r>
    <n v="56"/>
    <d v="2022-12-06T00:00:00"/>
    <s v="Portugal"/>
    <s v="Switzerland"/>
    <x v="1"/>
    <n v="92"/>
    <n v="1560"/>
    <x v="91"/>
    <x v="27"/>
  </r>
  <r>
    <n v="56"/>
    <d v="2022-12-06T00:00:00"/>
    <s v="Portugal"/>
    <s v="Switzerland"/>
    <x v="2"/>
    <n v="92"/>
    <n v="1550"/>
    <x v="188"/>
    <x v="27"/>
  </r>
  <r>
    <n v="56"/>
    <d v="2022-12-06T00:00:00"/>
    <s v="Portugal"/>
    <s v="Switzerland"/>
    <x v="0"/>
    <n v="43"/>
    <n v="1722"/>
    <x v="265"/>
    <x v="23"/>
  </r>
  <r>
    <n v="56"/>
    <d v="2022-12-06T00:00:00"/>
    <s v="Portugal"/>
    <s v="Switzerland"/>
    <x v="1"/>
    <n v="41"/>
    <n v="1705"/>
    <x v="84"/>
    <x v="23"/>
  </r>
  <r>
    <n v="56"/>
    <d v="2022-12-06T00:00:00"/>
    <s v="Portugal"/>
    <s v="Switzerland"/>
    <x v="0"/>
    <n v="59"/>
    <n v="1718"/>
    <x v="285"/>
    <x v="23"/>
  </r>
  <r>
    <n v="57"/>
    <d v="2022-12-09T00:00:00"/>
    <s v="Croatia"/>
    <s v="Brasil"/>
    <x v="0"/>
    <n v="31"/>
    <n v="1193"/>
    <x v="286"/>
    <x v="31"/>
  </r>
  <r>
    <n v="57"/>
    <d v="2022-12-09T00:00:00"/>
    <s v="Croatia"/>
    <s v="Brasil"/>
    <x v="1"/>
    <n v="117"/>
    <n v="1198"/>
    <x v="287"/>
    <x v="31"/>
  </r>
  <r>
    <n v="57"/>
    <d v="2022-12-09T00:00:00"/>
    <s v="Croatia"/>
    <s v="Brasil"/>
    <x v="2"/>
    <n v="117"/>
    <n v="1200"/>
    <x v="155"/>
    <x v="31"/>
  </r>
  <r>
    <n v="57"/>
    <d v="2022-12-09T00:00:00"/>
    <s v="Croatia"/>
    <s v="Brasil"/>
    <x v="0"/>
    <n v="25"/>
    <n v="1080"/>
    <x v="288"/>
    <x v="29"/>
  </r>
  <r>
    <n v="57"/>
    <d v="2022-12-09T00:00:00"/>
    <s v="Croatia"/>
    <s v="Brasil"/>
    <x v="0"/>
    <n v="68"/>
    <n v="1083"/>
    <x v="184"/>
    <x v="29"/>
  </r>
  <r>
    <n v="57"/>
    <d v="2022-12-09T00:00:00"/>
    <s v="Croatia"/>
    <s v="Brasil"/>
    <x v="0"/>
    <n v="77"/>
    <n v="1082"/>
    <x v="289"/>
    <x v="29"/>
  </r>
  <r>
    <n v="57"/>
    <d v="2022-12-09T00:00:00"/>
    <s v="Croatia"/>
    <s v="Brasil"/>
    <x v="1"/>
    <n v="105"/>
    <n v="1088"/>
    <x v="278"/>
    <x v="29"/>
  </r>
  <r>
    <n v="57"/>
    <d v="2022-12-09T00:00:00"/>
    <s v="Croatia"/>
    <s v="Brasil"/>
    <x v="2"/>
    <n v="105"/>
    <n v="1085"/>
    <x v="280"/>
    <x v="29"/>
  </r>
  <r>
    <n v="58"/>
    <d v="2022-12-09T00:00:00"/>
    <s v="Netherlands"/>
    <s v="Argentina"/>
    <x v="0"/>
    <n v="43"/>
    <n v="1495"/>
    <x v="290"/>
    <x v="4"/>
  </r>
  <r>
    <n v="58"/>
    <d v="2022-12-09T00:00:00"/>
    <s v="Netherlands"/>
    <s v="Argentina"/>
    <x v="0"/>
    <n v="45"/>
    <n v="1512"/>
    <x v="291"/>
    <x v="4"/>
  </r>
  <r>
    <n v="58"/>
    <d v="2022-12-09T00:00:00"/>
    <s v="Netherlands"/>
    <s v="Argentina"/>
    <x v="0"/>
    <n v="76"/>
    <n v="1503"/>
    <x v="266"/>
    <x v="4"/>
  </r>
  <r>
    <n v="58"/>
    <d v="2022-12-09T00:00:00"/>
    <s v="Netherlands"/>
    <s v="Argentina"/>
    <x v="1"/>
    <n v="83"/>
    <n v="1512"/>
    <x v="291"/>
    <x v="4"/>
  </r>
  <r>
    <n v="58"/>
    <d v="2022-12-09T00:00:00"/>
    <s v="Netherlands"/>
    <s v="Argentina"/>
    <x v="2"/>
    <n v="83"/>
    <n v="1504"/>
    <x v="292"/>
    <x v="4"/>
  </r>
  <r>
    <n v="58"/>
    <d v="2022-12-09T00:00:00"/>
    <s v="Netherlands"/>
    <s v="Argentina"/>
    <x v="0"/>
    <n v="101"/>
    <n v="1500"/>
    <x v="293"/>
    <x v="4"/>
  </r>
  <r>
    <n v="58"/>
    <d v="2022-12-09T00:00:00"/>
    <s v="Netherlands"/>
    <s v="Argentina"/>
    <x v="0"/>
    <n v="113"/>
    <n v="1515"/>
    <x v="267"/>
    <x v="4"/>
  </r>
  <r>
    <n v="58"/>
    <d v="2022-12-09T00:00:00"/>
    <s v="Netherlands"/>
    <s v="Argentina"/>
    <x v="0"/>
    <n v="113"/>
    <n v="1505"/>
    <x v="294"/>
    <x v="4"/>
  </r>
  <r>
    <n v="58"/>
    <d v="2022-12-09T00:00:00"/>
    <s v="Netherlands"/>
    <s v="Argentina"/>
    <x v="0"/>
    <n v="88"/>
    <n v="1504"/>
    <x v="292"/>
    <x v="4"/>
  </r>
  <r>
    <n v="58"/>
    <d v="2022-12-09T00:00:00"/>
    <s v="Netherlands"/>
    <s v="Argentina"/>
    <x v="1"/>
    <n v="101"/>
    <n v="1512"/>
    <x v="291"/>
    <x v="4"/>
  </r>
  <r>
    <n v="58"/>
    <d v="2022-12-09T00:00:00"/>
    <s v="Netherlands"/>
    <s v="Argentina"/>
    <x v="2"/>
    <n v="101"/>
    <n v="1513"/>
    <x v="269"/>
    <x v="4"/>
  </r>
  <r>
    <n v="58"/>
    <d v="2022-12-09T00:00:00"/>
    <s v="Netherlands"/>
    <s v="Argentina"/>
    <x v="1"/>
    <n v="35"/>
    <n v="1026"/>
    <x v="211"/>
    <x v="8"/>
  </r>
  <r>
    <n v="58"/>
    <d v="2022-12-09T00:00:00"/>
    <s v="Netherlands"/>
    <s v="Argentina"/>
    <x v="2"/>
    <n v="35"/>
    <n v="1010"/>
    <x v="34"/>
    <x v="8"/>
  </r>
  <r>
    <n v="58"/>
    <d v="2022-12-09T00:00:00"/>
    <s v="Netherlands"/>
    <s v="Argentina"/>
    <x v="0"/>
    <n v="43"/>
    <n v="1008"/>
    <x v="212"/>
    <x v="8"/>
  </r>
  <r>
    <n v="58"/>
    <d v="2022-12-09T00:00:00"/>
    <s v="Netherlands"/>
    <s v="Argentina"/>
    <x v="0"/>
    <n v="45"/>
    <n v="1013"/>
    <x v="295"/>
    <x v="8"/>
  </r>
  <r>
    <n v="58"/>
    <d v="2022-12-09T00:00:00"/>
    <s v="Netherlands"/>
    <s v="Argentina"/>
    <x v="1"/>
    <n v="73"/>
    <n v="1010"/>
    <x v="34"/>
    <x v="8"/>
  </r>
  <r>
    <n v="58"/>
    <d v="2022-12-09T00:00:00"/>
    <s v="Netherlands"/>
    <s v="Argentina"/>
    <x v="0"/>
    <n v="76"/>
    <n v="1025"/>
    <x v="296"/>
    <x v="8"/>
  </r>
  <r>
    <n v="58"/>
    <d v="2022-12-09T00:00:00"/>
    <s v="Netherlands"/>
    <s v="Argentina"/>
    <x v="0"/>
    <n v="89"/>
    <n v="1005"/>
    <x v="297"/>
    <x v="8"/>
  </r>
  <r>
    <n v="58"/>
    <d v="2022-12-09T00:00:00"/>
    <s v="Netherlands"/>
    <s v="Argentina"/>
    <x v="0"/>
    <n v="100"/>
    <n v="1010"/>
    <x v="34"/>
    <x v="8"/>
  </r>
  <r>
    <n v="58"/>
    <d v="2022-12-09T00:00:00"/>
    <s v="Netherlands"/>
    <s v="Argentina"/>
    <x v="0"/>
    <n v="102"/>
    <n v="1019"/>
    <x v="271"/>
    <x v="8"/>
  </r>
  <r>
    <n v="58"/>
    <d v="2022-12-09T00:00:00"/>
    <s v="Netherlands"/>
    <s v="Argentina"/>
    <x v="0"/>
    <n v="109"/>
    <n v="1004"/>
    <x v="131"/>
    <x v="8"/>
  </r>
  <r>
    <n v="58"/>
    <d v="2022-12-09T00:00:00"/>
    <s v="Netherlands"/>
    <s v="Argentina"/>
    <x v="0"/>
    <n v="112"/>
    <n v="1006"/>
    <x v="298"/>
    <x v="8"/>
  </r>
  <r>
    <n v="59"/>
    <d v="2022-12-10T00:00:00"/>
    <s v="Morocco"/>
    <s v="Portugal"/>
    <x v="1"/>
    <n v="42"/>
    <n v="1486"/>
    <x v="227"/>
    <x v="16"/>
  </r>
  <r>
    <n v="59"/>
    <d v="2022-12-10T00:00:00"/>
    <s v="Morocco"/>
    <s v="Portugal"/>
    <x v="2"/>
    <n v="42"/>
    <n v="1492"/>
    <x v="299"/>
    <x v="16"/>
  </r>
  <r>
    <n v="59"/>
    <d v="2022-12-10T00:00:00"/>
    <s v="Morocco"/>
    <s v="Portugal"/>
    <x v="0"/>
    <n v="70"/>
    <n v="1487"/>
    <x v="300"/>
    <x v="16"/>
  </r>
  <r>
    <n v="59"/>
    <d v="2022-12-10T00:00:00"/>
    <s v="Morocco"/>
    <s v="Portugal"/>
    <x v="0"/>
    <n v="91"/>
    <n v="1488"/>
    <x v="301"/>
    <x v="16"/>
  </r>
  <r>
    <n v="59"/>
    <d v="2022-12-10T00:00:00"/>
    <s v="Morocco"/>
    <s v="Portugal"/>
    <x v="4"/>
    <n v="93"/>
    <n v="1488"/>
    <x v="301"/>
    <x v="16"/>
  </r>
  <r>
    <n v="59"/>
    <d v="2022-12-10T00:00:00"/>
    <s v="Morocco"/>
    <s v="Portugal"/>
    <x v="0"/>
    <n v="87"/>
    <n v="1561"/>
    <x v="302"/>
    <x v="27"/>
  </r>
  <r>
    <n v="60"/>
    <d v="2022-12-10T00:00:00"/>
    <s v="France"/>
    <s v="England"/>
    <x v="1"/>
    <n v="17"/>
    <n v="1294"/>
    <x v="272"/>
    <x v="15"/>
  </r>
  <r>
    <n v="60"/>
    <d v="2022-12-10T00:00:00"/>
    <s v="France"/>
    <s v="England"/>
    <x v="2"/>
    <n v="17"/>
    <n v="1293"/>
    <x v="127"/>
    <x v="15"/>
  </r>
  <r>
    <n v="60"/>
    <d v="2022-12-10T00:00:00"/>
    <s v="France"/>
    <s v="England"/>
    <x v="0"/>
    <n v="43"/>
    <n v="1293"/>
    <x v="127"/>
    <x v="15"/>
  </r>
  <r>
    <n v="60"/>
    <d v="2022-12-10T00:00:00"/>
    <s v="France"/>
    <s v="England"/>
    <x v="0"/>
    <n v="46"/>
    <n v="1297"/>
    <x v="59"/>
    <x v="15"/>
  </r>
  <r>
    <n v="60"/>
    <d v="2022-12-10T00:00:00"/>
    <s v="France"/>
    <s v="England"/>
    <x v="1"/>
    <n v="78"/>
    <n v="1295"/>
    <x v="57"/>
    <x v="15"/>
  </r>
  <r>
    <n v="60"/>
    <d v="2022-12-10T00:00:00"/>
    <s v="France"/>
    <s v="England"/>
    <x v="2"/>
    <n v="78"/>
    <n v="1293"/>
    <x v="127"/>
    <x v="15"/>
  </r>
  <r>
    <n v="60"/>
    <d v="2022-12-10T00:00:00"/>
    <s v="France"/>
    <s v="England"/>
    <x v="0"/>
    <n v="82"/>
    <n v="1308"/>
    <x v="56"/>
    <x v="15"/>
  </r>
  <r>
    <n v="60"/>
    <d v="2022-12-10T00:00:00"/>
    <s v="France"/>
    <s v="England"/>
    <x v="1"/>
    <n v="54"/>
    <n v="1269"/>
    <x v="13"/>
    <x v="2"/>
  </r>
  <r>
    <n v="60"/>
    <d v="2022-12-10T00:00:00"/>
    <s v="France"/>
    <s v="England"/>
    <x v="3"/>
    <n v="84"/>
    <n v="1269"/>
    <x v="13"/>
    <x v="2"/>
  </r>
  <r>
    <n v="60"/>
    <d v="2022-12-10T00:00:00"/>
    <s v="France"/>
    <s v="England"/>
    <x v="0"/>
    <n v="90"/>
    <n v="1266"/>
    <x v="11"/>
    <x v="2"/>
  </r>
  <r>
    <n v="61"/>
    <d v="2022-12-13T00:00:00"/>
    <s v="Croatia"/>
    <s v="Argentina"/>
    <x v="1"/>
    <n v="34"/>
    <n v="1010"/>
    <x v="34"/>
    <x v="8"/>
  </r>
  <r>
    <n v="61"/>
    <d v="2022-12-13T00:00:00"/>
    <s v="Croatia"/>
    <s v="Argentina"/>
    <x v="1"/>
    <n v="39"/>
    <n v="1009"/>
    <x v="213"/>
    <x v="8"/>
  </r>
  <r>
    <n v="61"/>
    <d v="2022-12-13T00:00:00"/>
    <s v="Croatia"/>
    <s v="Argentina"/>
    <x v="0"/>
    <n v="68"/>
    <n v="1013"/>
    <x v="295"/>
    <x v="8"/>
  </r>
  <r>
    <n v="61"/>
    <d v="2022-12-13T00:00:00"/>
    <s v="Croatia"/>
    <s v="Argentina"/>
    <x v="1"/>
    <n v="69"/>
    <n v="1009"/>
    <x v="213"/>
    <x v="8"/>
  </r>
  <r>
    <n v="61"/>
    <d v="2022-12-13T00:00:00"/>
    <s v="Croatia"/>
    <s v="Argentina"/>
    <x v="2"/>
    <n v="69"/>
    <n v="1010"/>
    <x v="34"/>
    <x v="8"/>
  </r>
  <r>
    <n v="61"/>
    <d v="2022-12-13T00:00:00"/>
    <s v="Croatia"/>
    <s v="Argentina"/>
    <x v="0"/>
    <n v="71"/>
    <n v="1019"/>
    <x v="271"/>
    <x v="8"/>
  </r>
  <r>
    <n v="61"/>
    <d v="2022-12-13T00:00:00"/>
    <s v="Croatia"/>
    <s v="Argentina"/>
    <x v="0"/>
    <n v="32"/>
    <n v="1183"/>
    <x v="303"/>
    <x v="31"/>
  </r>
  <r>
    <n v="61"/>
    <d v="2022-12-13T00:00:00"/>
    <s v="Croatia"/>
    <s v="Argentina"/>
    <x v="0"/>
    <n v="32"/>
    <n v="1190"/>
    <x v="277"/>
    <x v="31"/>
  </r>
  <r>
    <n v="62"/>
    <d v="2022-12-14T00:00:00"/>
    <s v="Morocco"/>
    <s v="France"/>
    <x v="0"/>
    <n v="27"/>
    <n v="1484"/>
    <x v="304"/>
    <x v="16"/>
  </r>
  <r>
    <n v="62"/>
    <d v="2022-12-14T00:00:00"/>
    <s v="Morocco"/>
    <s v="France"/>
    <x v="1"/>
    <n v="5"/>
    <n v="1308"/>
    <x v="56"/>
    <x v="15"/>
  </r>
  <r>
    <n v="62"/>
    <d v="2022-12-14T00:00:00"/>
    <s v="Morocco"/>
    <s v="France"/>
    <x v="1"/>
    <n v="79"/>
    <n v="1298"/>
    <x v="305"/>
    <x v="15"/>
  </r>
  <r>
    <n v="63"/>
    <d v="2022-12-17T00:00:00"/>
    <s v="Croatia"/>
    <s v="Morocco"/>
    <x v="1"/>
    <n v="7"/>
    <n v="1202"/>
    <x v="306"/>
    <x v="31"/>
  </r>
  <r>
    <n v="63"/>
    <d v="2022-12-17T00:00:00"/>
    <s v="Croatia"/>
    <s v="Morocco"/>
    <x v="2"/>
    <n v="7"/>
    <n v="1186"/>
    <x v="149"/>
    <x v="31"/>
  </r>
  <r>
    <n v="63"/>
    <d v="2022-12-17T00:00:00"/>
    <s v="Croatia"/>
    <s v="Morocco"/>
    <x v="1"/>
    <n v="42"/>
    <n v="1200"/>
    <x v="155"/>
    <x v="31"/>
  </r>
  <r>
    <n v="63"/>
    <d v="2022-12-17T00:00:00"/>
    <s v="Croatia"/>
    <s v="Morocco"/>
    <x v="2"/>
    <n v="42"/>
    <n v="1196"/>
    <x v="150"/>
    <x v="31"/>
  </r>
  <r>
    <n v="63"/>
    <d v="2022-12-17T00:00:00"/>
    <s v="Croatia"/>
    <s v="Morocco"/>
    <x v="1"/>
    <n v="9"/>
    <n v="1487"/>
    <x v="300"/>
    <x v="16"/>
  </r>
  <r>
    <n v="63"/>
    <d v="2022-12-17T00:00:00"/>
    <s v="Croatia"/>
    <s v="Morocco"/>
    <x v="0"/>
    <n v="69"/>
    <n v="1475"/>
    <x v="307"/>
    <x v="16"/>
  </r>
  <r>
    <n v="63"/>
    <d v="2022-12-17T00:00:00"/>
    <s v="Croatia"/>
    <s v="Morocco"/>
    <x v="0"/>
    <n v="84"/>
    <n v="1482"/>
    <x v="308"/>
    <x v="16"/>
  </r>
  <r>
    <n v="64"/>
    <d v="2022-12-18T00:00:00"/>
    <s v="Argentina"/>
    <s v="France"/>
    <x v="1"/>
    <n v="23"/>
    <n v="1010"/>
    <x v="34"/>
    <x v="8"/>
  </r>
  <r>
    <n v="64"/>
    <d v="2022-12-18T00:00:00"/>
    <s v="Argentina"/>
    <s v="France"/>
    <x v="1"/>
    <n v="36"/>
    <n v="1011"/>
    <x v="132"/>
    <x v="8"/>
  </r>
  <r>
    <n v="64"/>
    <d v="2022-12-18T00:00:00"/>
    <s v="Argentina"/>
    <s v="France"/>
    <x v="2"/>
    <n v="36"/>
    <n v="1020"/>
    <x v="210"/>
    <x v="8"/>
  </r>
  <r>
    <n v="64"/>
    <d v="2022-12-18T00:00:00"/>
    <s v="Argentina"/>
    <s v="France"/>
    <x v="0"/>
    <n v="45"/>
    <n v="1024"/>
    <x v="133"/>
    <x v="8"/>
  </r>
  <r>
    <n v="64"/>
    <d v="2022-12-18T00:00:00"/>
    <s v="Argentina"/>
    <s v="France"/>
    <x v="0"/>
    <n v="98"/>
    <n v="1008"/>
    <x v="212"/>
    <x v="8"/>
  </r>
  <r>
    <n v="64"/>
    <d v="2022-12-18T00:00:00"/>
    <s v="Argentina"/>
    <s v="France"/>
    <x v="1"/>
    <n v="108"/>
    <n v="1010"/>
    <x v="34"/>
    <x v="8"/>
  </r>
  <r>
    <n v="64"/>
    <d v="2022-12-18T00:00:00"/>
    <s v="Argentina"/>
    <s v="France"/>
    <x v="0"/>
    <n v="114"/>
    <n v="1005"/>
    <x v="297"/>
    <x v="8"/>
  </r>
  <r>
    <n v="64"/>
    <d v="2022-12-18T00:00:00"/>
    <s v="Argentina"/>
    <s v="France"/>
    <x v="0"/>
    <n v="116"/>
    <n v="1004"/>
    <x v="131"/>
    <x v="8"/>
  </r>
  <r>
    <n v="64"/>
    <d v="2022-12-18T00:00:00"/>
    <s v="Argentina"/>
    <s v="France"/>
    <x v="0"/>
    <n v="120"/>
    <n v="1023"/>
    <x v="309"/>
    <x v="8"/>
  </r>
  <r>
    <n v="64"/>
    <d v="2022-12-18T00:00:00"/>
    <s v="Argentina"/>
    <s v="France"/>
    <x v="0"/>
    <n v="55"/>
    <n v="1300"/>
    <x v="55"/>
    <x v="15"/>
  </r>
  <r>
    <n v="64"/>
    <d v="2022-12-18T00:00:00"/>
    <s v="Argentina"/>
    <s v="France"/>
    <x v="1"/>
    <n v="80"/>
    <n v="1296"/>
    <x v="58"/>
    <x v="15"/>
  </r>
  <r>
    <n v="64"/>
    <d v="2022-12-18T00:00:00"/>
    <s v="Argentina"/>
    <s v="France"/>
    <x v="1"/>
    <n v="80"/>
    <n v="1296"/>
    <x v="58"/>
    <x v="15"/>
  </r>
  <r>
    <n v="64"/>
    <d v="2022-12-18T00:00:00"/>
    <s v="Argentina"/>
    <s v="France"/>
    <x v="2"/>
    <n v="81"/>
    <n v="1312"/>
    <x v="273"/>
    <x v="15"/>
  </r>
  <r>
    <n v="64"/>
    <d v="2022-12-18T00:00:00"/>
    <s v="Argentina"/>
    <s v="France"/>
    <x v="0"/>
    <n v="87"/>
    <n v="1312"/>
    <x v="273"/>
    <x v="15"/>
  </r>
  <r>
    <n v="64"/>
    <d v="2022-12-18T00:00:00"/>
    <s v="Argentina"/>
    <s v="France"/>
    <x v="0"/>
    <n v="95"/>
    <n v="1295"/>
    <x v="57"/>
    <x v="15"/>
  </r>
  <r>
    <n v="64"/>
    <d v="2022-12-18T00:00:00"/>
    <s v="Argentina"/>
    <s v="France"/>
    <x v="1"/>
    <n v="118"/>
    <n v="1296"/>
    <x v="58"/>
    <x v="1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0">
  <r>
    <x v="0"/>
  </r>
  <r>
    <x v="1"/>
  </r>
  <r>
    <x v="2"/>
  </r>
  <r>
    <x v="0"/>
  </r>
  <r>
    <x v="3"/>
  </r>
  <r>
    <x v="4"/>
  </r>
  <r>
    <x v="5"/>
  </r>
  <r>
    <x v="6"/>
  </r>
  <r>
    <x v="7"/>
  </r>
  <r>
    <x v="8"/>
  </r>
  <r>
    <x v="9"/>
  </r>
  <r>
    <x v="10"/>
  </r>
  <r>
    <x v="7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11"/>
  </r>
  <r>
    <x v="23"/>
  </r>
  <r>
    <x v="24"/>
  </r>
  <r>
    <x v="25"/>
  </r>
  <r>
    <x v="21"/>
  </r>
  <r>
    <x v="26"/>
  </r>
  <r>
    <x v="20"/>
  </r>
  <r>
    <x v="27"/>
  </r>
  <r>
    <x v="28"/>
  </r>
  <r>
    <x v="15"/>
  </r>
  <r>
    <x v="11"/>
  </r>
  <r>
    <x v="29"/>
  </r>
  <r>
    <x v="10"/>
  </r>
  <r>
    <x v="30"/>
  </r>
  <r>
    <x v="26"/>
  </r>
  <r>
    <x v="31"/>
  </r>
  <r>
    <x v="30"/>
  </r>
  <r>
    <x v="13"/>
  </r>
  <r>
    <x v="10"/>
  </r>
  <r>
    <x v="22"/>
  </r>
  <r>
    <x v="32"/>
  </r>
  <r>
    <x v="13"/>
  </r>
  <r>
    <x v="33"/>
  </r>
  <r>
    <x v="22"/>
  </r>
  <r>
    <x v="10"/>
  </r>
  <r>
    <x v="13"/>
  </r>
  <r>
    <x v="13"/>
  </r>
  <r>
    <x v="34"/>
  </r>
  <r>
    <x v="9"/>
  </r>
  <r>
    <x v="10"/>
  </r>
  <r>
    <x v="13"/>
  </r>
  <r>
    <x v="35"/>
  </r>
  <r>
    <x v="36"/>
  </r>
  <r>
    <x v="37"/>
  </r>
  <r>
    <x v="38"/>
  </r>
  <r>
    <x v="39"/>
  </r>
  <r>
    <x v="40"/>
  </r>
  <r>
    <x v="41"/>
  </r>
  <r>
    <x v="42"/>
  </r>
  <r>
    <x v="10"/>
  </r>
  <r>
    <x v="43"/>
  </r>
  <r>
    <x v="44"/>
  </r>
  <r>
    <x v="45"/>
  </r>
  <r>
    <x v="31"/>
  </r>
  <r>
    <x v="32"/>
  </r>
  <r>
    <x v="29"/>
  </r>
  <r>
    <x v="46"/>
  </r>
  <r>
    <x v="15"/>
  </r>
  <r>
    <x v="22"/>
  </r>
  <r>
    <x v="47"/>
  </r>
  <r>
    <x v="25"/>
  </r>
  <r>
    <x v="26"/>
  </r>
  <r>
    <x v="21"/>
  </r>
  <r>
    <x v="48"/>
  </r>
  <r>
    <x v="3"/>
  </r>
  <r>
    <x v="49"/>
  </r>
  <r>
    <x v="50"/>
  </r>
  <r>
    <x v="51"/>
  </r>
  <r>
    <x v="52"/>
  </r>
  <r>
    <x v="42"/>
  </r>
  <r>
    <x v="53"/>
  </r>
  <r>
    <x v="24"/>
  </r>
  <r>
    <x v="54"/>
  </r>
  <r>
    <x v="26"/>
  </r>
  <r>
    <x v="17"/>
  </r>
  <r>
    <x v="9"/>
  </r>
  <r>
    <x v="46"/>
  </r>
  <r>
    <x v="53"/>
  </r>
  <r>
    <x v="17"/>
  </r>
  <r>
    <x v="17"/>
  </r>
  <r>
    <x v="55"/>
  </r>
  <r>
    <x v="26"/>
  </r>
  <r>
    <x v="1"/>
  </r>
  <r>
    <x v="56"/>
  </r>
  <r>
    <x v="31"/>
  </r>
  <r>
    <x v="0"/>
  </r>
  <r>
    <x v="13"/>
  </r>
  <r>
    <x v="32"/>
  </r>
  <r>
    <x v="21"/>
  </r>
  <r>
    <x v="57"/>
  </r>
  <r>
    <x v="32"/>
  </r>
  <r>
    <x v="58"/>
  </r>
  <r>
    <x v="21"/>
  </r>
  <r>
    <x v="10"/>
  </r>
  <r>
    <x v="2"/>
  </r>
  <r>
    <x v="32"/>
  </r>
  <r>
    <x v="6"/>
  </r>
  <r>
    <x v="10"/>
  </r>
  <r>
    <x v="59"/>
  </r>
  <r>
    <x v="6"/>
  </r>
  <r>
    <x v="60"/>
  </r>
  <r>
    <x v="61"/>
  </r>
  <r>
    <x v="12"/>
  </r>
  <r>
    <x v="4"/>
  </r>
  <r>
    <x v="25"/>
  </r>
  <r>
    <x v="26"/>
  </r>
  <r>
    <x v="20"/>
  </r>
  <r>
    <x v="62"/>
  </r>
  <r>
    <x v="21"/>
  </r>
  <r>
    <x v="63"/>
  </r>
  <r>
    <x v="21"/>
  </r>
  <r>
    <x v="64"/>
  </r>
  <r>
    <x v="32"/>
  </r>
  <r>
    <x v="0"/>
  </r>
  <r>
    <x v="21"/>
  </r>
  <r>
    <x v="32"/>
  </r>
  <r>
    <x v="65"/>
  </r>
  <r>
    <x v="18"/>
  </r>
  <r>
    <x v="29"/>
  </r>
  <r>
    <x v="42"/>
  </r>
  <r>
    <x v="66"/>
  </r>
  <r>
    <x v="15"/>
  </r>
  <r>
    <x v="14"/>
  </r>
  <r>
    <x v="18"/>
  </r>
  <r>
    <x v="67"/>
  </r>
  <r>
    <x v="15"/>
  </r>
  <r>
    <x v="17"/>
  </r>
  <r>
    <x v="68"/>
  </r>
  <r>
    <x v="24"/>
  </r>
  <r>
    <x v="69"/>
  </r>
  <r>
    <x v="57"/>
  </r>
  <r>
    <x v="38"/>
  </r>
  <r>
    <x v="70"/>
  </r>
  <r>
    <x v="18"/>
  </r>
  <r>
    <x v="42"/>
  </r>
  <r>
    <x v="48"/>
  </r>
  <r>
    <x v="18"/>
  </r>
  <r>
    <x v="1"/>
  </r>
  <r>
    <x v="22"/>
  </r>
  <r>
    <x v="63"/>
  </r>
  <r>
    <x v="32"/>
  </r>
  <r>
    <x v="43"/>
  </r>
  <r>
    <x v="17"/>
  </r>
  <r>
    <x v="7"/>
  </r>
  <r>
    <x v="71"/>
  </r>
  <r>
    <x v="72"/>
  </r>
  <r>
    <x v="50"/>
  </r>
  <r>
    <x v="73"/>
  </r>
  <r>
    <x v="74"/>
  </r>
  <r>
    <x v="56"/>
  </r>
  <r>
    <x v="75"/>
  </r>
  <r>
    <x v="76"/>
  </r>
  <r>
    <x v="77"/>
  </r>
  <r>
    <x v="78"/>
  </r>
  <r>
    <x v="10"/>
  </r>
  <r>
    <x v="23"/>
  </r>
  <r>
    <x v="56"/>
  </r>
  <r>
    <x v="27"/>
  </r>
  <r>
    <x v="79"/>
  </r>
  <r>
    <x v="80"/>
  </r>
  <r>
    <x v="10"/>
  </r>
  <r>
    <x v="21"/>
  </r>
  <r>
    <x v="62"/>
  </r>
  <r>
    <x v="32"/>
  </r>
  <r>
    <x v="21"/>
  </r>
  <r>
    <x v="21"/>
  </r>
  <r>
    <x v="21"/>
  </r>
  <r>
    <x v="18"/>
  </r>
  <r>
    <x v="56"/>
  </r>
  <r>
    <x v="53"/>
  </r>
  <r>
    <x v="81"/>
  </r>
  <r>
    <x v="10"/>
  </r>
  <r>
    <x v="82"/>
  </r>
  <r>
    <x v="26"/>
  </r>
  <r>
    <x v="83"/>
  </r>
  <r>
    <x v="84"/>
  </r>
  <r>
    <x v="72"/>
  </r>
  <r>
    <x v="85"/>
  </r>
  <r>
    <x v="32"/>
  </r>
  <r>
    <x v="2"/>
  </r>
  <r>
    <x v="63"/>
  </r>
  <r>
    <x v="6"/>
  </r>
  <r>
    <x v="46"/>
  </r>
  <r>
    <x v="14"/>
  </r>
  <r>
    <x v="31"/>
  </r>
  <r>
    <x v="17"/>
  </r>
  <r>
    <x v="7"/>
  </r>
  <r>
    <x v="86"/>
  </r>
  <r>
    <x v="31"/>
  </r>
  <r>
    <x v="25"/>
  </r>
  <r>
    <x v="21"/>
  </r>
  <r>
    <x v="10"/>
  </r>
  <r>
    <x v="10"/>
  </r>
  <r>
    <x v="87"/>
  </r>
  <r>
    <x v="20"/>
  </r>
  <r>
    <x v="56"/>
  </r>
  <r>
    <x v="54"/>
  </r>
  <r>
    <x v="71"/>
  </r>
  <r>
    <x v="88"/>
  </r>
  <r>
    <x v="11"/>
  </r>
  <r>
    <x v="50"/>
  </r>
  <r>
    <x v="89"/>
  </r>
  <r>
    <x v="90"/>
  </r>
  <r>
    <x v="46"/>
  </r>
  <r>
    <x v="52"/>
  </r>
  <r>
    <x v="22"/>
  </r>
  <r>
    <x v="0"/>
  </r>
  <r>
    <x v="91"/>
  </r>
  <r>
    <x v="13"/>
  </r>
  <r>
    <x v="33"/>
  </r>
  <r>
    <x v="5"/>
  </r>
  <r>
    <x v="14"/>
  </r>
  <r>
    <x v="70"/>
  </r>
  <r>
    <x v="92"/>
  </r>
  <r>
    <x v="17"/>
  </r>
  <r>
    <x v="41"/>
  </r>
  <r>
    <x v="26"/>
  </r>
  <r>
    <x v="69"/>
  </r>
  <r>
    <x v="10"/>
  </r>
  <r>
    <x v="7"/>
  </r>
  <r>
    <x v="91"/>
  </r>
  <r>
    <x v="31"/>
  </r>
  <r>
    <x v="64"/>
  </r>
  <r>
    <x v="26"/>
  </r>
  <r>
    <x v="57"/>
  </r>
  <r>
    <x v="53"/>
  </r>
  <r>
    <x v="3"/>
  </r>
  <r>
    <x v="28"/>
  </r>
  <r>
    <x v="79"/>
  </r>
  <r>
    <x v="93"/>
  </r>
  <r>
    <x v="32"/>
  </r>
  <r>
    <x v="84"/>
  </r>
  <r>
    <x v="0"/>
  </r>
  <r>
    <x v="3"/>
  </r>
  <r>
    <x v="73"/>
  </r>
  <r>
    <x v="94"/>
  </r>
  <r>
    <x v="7"/>
  </r>
  <r>
    <x v="65"/>
  </r>
  <r>
    <x v="4"/>
  </r>
  <r>
    <x v="79"/>
  </r>
  <r>
    <x v="70"/>
  </r>
  <r>
    <x v="79"/>
  </r>
  <r>
    <x v="10"/>
  </r>
  <r>
    <x v="25"/>
  </r>
  <r>
    <x v="13"/>
  </r>
  <r>
    <x v="45"/>
  </r>
  <r>
    <x v="95"/>
  </r>
  <r>
    <x v="46"/>
  </r>
  <r>
    <x v="18"/>
  </r>
  <r>
    <x v="44"/>
  </r>
  <r>
    <x v="47"/>
  </r>
  <r>
    <x v="94"/>
  </r>
  <r>
    <x v="95"/>
  </r>
  <r>
    <x v="23"/>
  </r>
  <r>
    <x v="96"/>
  </r>
  <r>
    <x v="3"/>
  </r>
  <r>
    <x v="52"/>
  </r>
  <r>
    <x v="22"/>
  </r>
  <r>
    <x v="46"/>
  </r>
  <r>
    <x v="97"/>
  </r>
  <r>
    <x v="22"/>
  </r>
  <r>
    <x v="11"/>
  </r>
  <r>
    <x v="91"/>
  </r>
  <r>
    <x v="4"/>
  </r>
  <r>
    <x v="0"/>
  </r>
  <r>
    <x v="10"/>
  </r>
  <r>
    <x v="91"/>
  </r>
  <r>
    <x v="21"/>
  </r>
  <r>
    <x v="10"/>
  </r>
  <r>
    <x v="13"/>
  </r>
  <r>
    <x v="10"/>
  </r>
  <r>
    <x v="98"/>
  </r>
  <r>
    <x v="3"/>
  </r>
  <r>
    <x v="57"/>
  </r>
  <r>
    <x v="99"/>
  </r>
  <r>
    <x v="7"/>
  </r>
  <r>
    <x v="69"/>
  </r>
  <r>
    <x v="100"/>
  </r>
  <r>
    <x v="63"/>
  </r>
  <r>
    <x v="101"/>
  </r>
  <r>
    <x v="44"/>
  </r>
  <r>
    <x v="53"/>
  </r>
  <r>
    <x v="32"/>
  </r>
  <r>
    <x v="32"/>
  </r>
  <r>
    <x v="29"/>
  </r>
  <r>
    <x v="25"/>
  </r>
  <r>
    <x v="18"/>
  </r>
  <r>
    <x v="56"/>
  </r>
  <r>
    <x v="56"/>
  </r>
  <r>
    <x v="34"/>
  </r>
  <r>
    <x v="19"/>
  </r>
  <r>
    <x v="4"/>
  </r>
  <r>
    <x v="56"/>
  </r>
  <r>
    <x v="25"/>
  </r>
  <r>
    <x v="32"/>
  </r>
  <r>
    <x v="10"/>
  </r>
  <r>
    <x v="10"/>
  </r>
  <r>
    <x v="101"/>
  </r>
  <r>
    <x v="102"/>
  </r>
  <r>
    <x v="7"/>
  </r>
  <r>
    <x v="97"/>
  </r>
  <r>
    <x v="46"/>
  </r>
  <r>
    <x v="50"/>
  </r>
  <r>
    <x v="71"/>
  </r>
  <r>
    <x v="45"/>
  </r>
  <r>
    <x v="13"/>
  </r>
  <r>
    <x v="93"/>
  </r>
  <r>
    <x v="80"/>
  </r>
  <r>
    <x v="69"/>
  </r>
  <r>
    <x v="103"/>
  </r>
  <r>
    <x v="91"/>
  </r>
  <r>
    <x v="2"/>
  </r>
  <r>
    <x v="20"/>
  </r>
  <r>
    <x v="104"/>
  </r>
  <r>
    <x v="91"/>
  </r>
  <r>
    <x v="47"/>
  </r>
  <r>
    <x v="56"/>
  </r>
  <r>
    <x v="80"/>
  </r>
  <r>
    <x v="65"/>
  </r>
  <r>
    <x v="69"/>
  </r>
  <r>
    <x v="10"/>
  </r>
  <r>
    <x v="32"/>
  </r>
  <r>
    <x v="13"/>
  </r>
  <r>
    <x v="26"/>
  </r>
  <r>
    <x v="32"/>
  </r>
  <r>
    <x v="10"/>
  </r>
  <r>
    <x v="21"/>
  </r>
  <r>
    <x v="19"/>
  </r>
  <r>
    <x v="21"/>
  </r>
  <r>
    <x v="78"/>
  </r>
  <r>
    <x v="14"/>
  </r>
  <r>
    <x v="83"/>
  </r>
  <r>
    <x v="100"/>
  </r>
  <r>
    <x v="56"/>
  </r>
  <r>
    <x v="10"/>
  </r>
  <r>
    <x v="56"/>
  </r>
  <r>
    <x v="7"/>
  </r>
  <r>
    <x v="26"/>
  </r>
  <r>
    <x v="32"/>
  </r>
  <r>
    <x v="47"/>
  </r>
  <r>
    <x v="3"/>
  </r>
  <r>
    <x v="21"/>
  </r>
  <r>
    <x v="0"/>
  </r>
  <r>
    <x v="13"/>
  </r>
  <r>
    <x v="78"/>
  </r>
  <r>
    <x v="0"/>
  </r>
  <r>
    <x v="13"/>
  </r>
  <r>
    <x v="10"/>
  </r>
  <r>
    <x v="10"/>
  </r>
  <r>
    <x v="62"/>
  </r>
  <r>
    <x v="31"/>
  </r>
  <r>
    <x v="54"/>
  </r>
  <r>
    <x v="79"/>
  </r>
  <r>
    <x v="45"/>
  </r>
  <r>
    <x v="97"/>
  </r>
  <r>
    <x v="105"/>
  </r>
  <r>
    <x v="3"/>
  </r>
  <r>
    <x v="41"/>
  </r>
  <r>
    <x v="37"/>
  </r>
  <r>
    <x v="70"/>
  </r>
  <r>
    <x v="13"/>
  </r>
  <r>
    <x v="42"/>
  </r>
  <r>
    <x v="64"/>
  </r>
  <r>
    <x v="20"/>
  </r>
  <r>
    <x v="93"/>
  </r>
  <r>
    <x v="15"/>
  </r>
  <r>
    <x v="78"/>
  </r>
  <r>
    <x v="0"/>
  </r>
  <r>
    <x v="51"/>
  </r>
  <r>
    <x v="79"/>
  </r>
  <r>
    <x v="26"/>
  </r>
  <r>
    <x v="3"/>
  </r>
  <r>
    <x v="69"/>
  </r>
  <r>
    <x v="21"/>
  </r>
  <r>
    <x v="106"/>
  </r>
  <r>
    <x v="14"/>
  </r>
  <r>
    <x v="63"/>
  </r>
  <r>
    <x v="78"/>
  </r>
  <r>
    <x v="107"/>
  </r>
  <r>
    <x v="6"/>
  </r>
  <r>
    <x v="41"/>
  </r>
  <r>
    <x v="29"/>
  </r>
  <r>
    <x v="73"/>
  </r>
  <r>
    <x v="5"/>
  </r>
  <r>
    <x v="11"/>
  </r>
  <r>
    <x v="18"/>
  </r>
  <r>
    <x v="91"/>
  </r>
  <r>
    <x v="24"/>
  </r>
  <r>
    <x v="12"/>
  </r>
  <r>
    <x v="29"/>
  </r>
  <r>
    <x v="14"/>
  </r>
  <r>
    <x v="52"/>
  </r>
  <r>
    <x v="82"/>
  </r>
  <r>
    <x v="10"/>
  </r>
  <r>
    <x v="26"/>
  </r>
  <r>
    <x v="108"/>
  </r>
  <r>
    <x v="26"/>
  </r>
  <r>
    <x v="17"/>
  </r>
  <r>
    <x v="17"/>
  </r>
  <r>
    <x v="69"/>
  </r>
  <r>
    <x v="109"/>
  </r>
  <r>
    <x v="10"/>
  </r>
  <r>
    <x v="110"/>
  </r>
  <r>
    <x v="5"/>
  </r>
  <r>
    <x v="66"/>
  </r>
  <r>
    <x v="52"/>
  </r>
  <r>
    <x v="111"/>
  </r>
  <r>
    <x v="63"/>
  </r>
  <r>
    <x v="1"/>
  </r>
  <r>
    <x v="105"/>
  </r>
  <r>
    <x v="33"/>
  </r>
  <r>
    <x v="13"/>
  </r>
  <r>
    <x v="14"/>
  </r>
  <r>
    <x v="3"/>
  </r>
  <r>
    <x v="12"/>
  </r>
  <r>
    <x v="33"/>
  </r>
  <r>
    <x v="94"/>
  </r>
  <r>
    <x v="69"/>
  </r>
  <r>
    <x v="112"/>
  </r>
  <r>
    <x v="53"/>
  </r>
  <r>
    <x v="12"/>
  </r>
  <r>
    <x v="2"/>
  </r>
  <r>
    <x v="20"/>
  </r>
  <r>
    <x v="10"/>
  </r>
  <r>
    <x v="73"/>
  </r>
  <r>
    <x v="78"/>
  </r>
  <r>
    <x v="19"/>
  </r>
  <r>
    <x v="80"/>
  </r>
  <r>
    <x v="65"/>
  </r>
  <r>
    <x v="88"/>
  </r>
  <r>
    <x v="56"/>
  </r>
  <r>
    <x v="91"/>
  </r>
  <r>
    <x v="28"/>
  </r>
  <r>
    <x v="93"/>
  </r>
  <r>
    <x v="106"/>
  </r>
  <r>
    <x v="12"/>
  </r>
  <r>
    <x v="1"/>
  </r>
  <r>
    <x v="17"/>
  </r>
  <r>
    <x v="113"/>
  </r>
  <r>
    <x v="18"/>
  </r>
  <r>
    <x v="114"/>
  </r>
  <r>
    <x v="39"/>
  </r>
  <r>
    <x v="67"/>
  </r>
  <r>
    <x v="115"/>
  </r>
  <r>
    <x v="15"/>
  </r>
  <r>
    <x v="28"/>
  </r>
  <r>
    <x v="93"/>
  </r>
  <r>
    <x v="41"/>
  </r>
  <r>
    <x v="58"/>
  </r>
  <r>
    <x v="73"/>
  </r>
  <r>
    <x v="71"/>
  </r>
  <r>
    <x v="17"/>
  </r>
  <r>
    <x v="3"/>
  </r>
  <r>
    <x v="102"/>
  </r>
  <r>
    <x v="14"/>
  </r>
  <r>
    <x v="104"/>
  </r>
  <r>
    <x v="12"/>
  </r>
  <r>
    <x v="66"/>
  </r>
  <r>
    <x v="6"/>
  </r>
  <r>
    <x v="22"/>
  </r>
  <r>
    <x v="0"/>
  </r>
  <r>
    <x v="13"/>
  </r>
  <r>
    <x v="32"/>
  </r>
  <r>
    <x v="6"/>
  </r>
  <r>
    <x v="26"/>
  </r>
  <r>
    <x v="7"/>
  </r>
  <r>
    <x v="94"/>
  </r>
  <r>
    <x v="32"/>
  </r>
  <r>
    <x v="4"/>
  </r>
  <r>
    <x v="7"/>
  </r>
  <r>
    <x v="67"/>
  </r>
  <r>
    <x v="10"/>
  </r>
  <r>
    <x v="32"/>
  </r>
  <r>
    <x v="21"/>
  </r>
  <r>
    <x v="57"/>
  </r>
  <r>
    <x v="21"/>
  </r>
  <r>
    <x v="32"/>
  </r>
  <r>
    <x v="25"/>
  </r>
  <r>
    <x v="32"/>
  </r>
  <r>
    <x v="22"/>
  </r>
  <r>
    <x v="24"/>
  </r>
  <r>
    <x v="33"/>
  </r>
  <r>
    <x v="29"/>
  </r>
  <r>
    <x v="44"/>
  </r>
  <r>
    <x v="94"/>
  </r>
  <r>
    <x v="73"/>
  </r>
  <r>
    <x v="24"/>
  </r>
  <r>
    <x v="116"/>
  </r>
  <r>
    <x v="104"/>
  </r>
  <r>
    <x v="25"/>
  </r>
  <r>
    <x v="69"/>
  </r>
  <r>
    <x v="42"/>
  </r>
  <r>
    <x v="65"/>
  </r>
  <r>
    <x v="69"/>
  </r>
  <r>
    <x v="37"/>
  </r>
  <r>
    <x v="11"/>
  </r>
  <r>
    <x v="14"/>
  </r>
  <r>
    <x v="22"/>
  </r>
  <r>
    <x v="45"/>
  </r>
  <r>
    <x v="52"/>
  </r>
  <r>
    <x v="57"/>
  </r>
  <r>
    <x v="32"/>
  </r>
  <r>
    <x v="57"/>
  </r>
  <r>
    <x v="57"/>
  </r>
  <r>
    <x v="66"/>
  </r>
  <r>
    <x v="56"/>
  </r>
  <r>
    <x v="19"/>
  </r>
  <r>
    <x v="32"/>
  </r>
  <r>
    <x v="45"/>
  </r>
  <r>
    <x v="25"/>
  </r>
  <r>
    <x v="105"/>
  </r>
  <r>
    <x v="73"/>
  </r>
  <r>
    <x v="117"/>
  </r>
  <r>
    <x v="37"/>
  </r>
  <r>
    <x v="99"/>
  </r>
  <r>
    <x v="17"/>
  </r>
  <r>
    <x v="10"/>
  </r>
  <r>
    <x v="25"/>
  </r>
  <r>
    <x v="118"/>
  </r>
  <r>
    <x v="0"/>
  </r>
  <r>
    <x v="56"/>
  </r>
  <r>
    <x v="3"/>
  </r>
  <r>
    <x v="0"/>
  </r>
  <r>
    <x v="84"/>
  </r>
  <r>
    <x v="56"/>
  </r>
  <r>
    <x v="13"/>
  </r>
  <r>
    <x v="79"/>
  </r>
  <r>
    <x v="15"/>
  </r>
  <r>
    <x v="25"/>
  </r>
  <r>
    <x v="13"/>
  </r>
  <r>
    <x v="119"/>
  </r>
  <r>
    <x v="56"/>
  </r>
  <r>
    <x v="120"/>
  </r>
  <r>
    <x v="19"/>
  </r>
  <r>
    <x v="48"/>
  </r>
  <r>
    <x v="14"/>
  </r>
  <r>
    <x v="121"/>
  </r>
  <r>
    <x v="33"/>
  </r>
  <r>
    <x v="62"/>
  </r>
  <r>
    <x v="27"/>
  </r>
  <r>
    <x v="94"/>
  </r>
  <r>
    <x v="57"/>
  </r>
  <r>
    <x v="80"/>
  </r>
  <r>
    <x v="74"/>
  </r>
  <r>
    <x v="26"/>
  </r>
  <r>
    <x v="25"/>
  </r>
  <r>
    <x v="30"/>
  </r>
  <r>
    <x v="4"/>
  </r>
  <r>
    <x v="91"/>
  </r>
  <r>
    <x v="52"/>
  </r>
  <r>
    <x v="69"/>
  </r>
  <r>
    <x v="56"/>
  </r>
  <r>
    <x v="73"/>
  </r>
  <r>
    <x v="13"/>
  </r>
  <r>
    <x v="17"/>
  </r>
  <r>
    <x v="13"/>
  </r>
  <r>
    <x v="74"/>
  </r>
  <r>
    <x v="122"/>
  </r>
  <r>
    <x v="123"/>
  </r>
  <r>
    <x v="31"/>
  </r>
  <r>
    <x v="88"/>
  </r>
  <r>
    <x v="43"/>
  </r>
  <r>
    <x v="97"/>
  </r>
  <r>
    <x v="44"/>
  </r>
  <r>
    <x v="47"/>
  </r>
  <r>
    <x v="124"/>
  </r>
  <r>
    <x v="125"/>
  </r>
  <r>
    <x v="126"/>
  </r>
  <r>
    <x v="65"/>
  </r>
  <r>
    <x v="29"/>
  </r>
  <r>
    <x v="88"/>
  </r>
  <r>
    <x v="119"/>
  </r>
  <r>
    <x v="95"/>
  </r>
  <r>
    <x v="32"/>
  </r>
  <r>
    <x v="127"/>
  </r>
  <r>
    <x v="12"/>
  </r>
  <r>
    <x v="56"/>
  </r>
  <r>
    <x v="11"/>
  </r>
  <r>
    <x v="6"/>
  </r>
  <r>
    <x v="13"/>
  </r>
  <r>
    <x v="57"/>
  </r>
  <r>
    <x v="13"/>
  </r>
  <r>
    <x v="56"/>
  </r>
  <r>
    <x v="94"/>
  </r>
  <r>
    <x v="14"/>
  </r>
  <r>
    <x v="11"/>
  </r>
  <r>
    <x v="52"/>
  </r>
  <r>
    <x v="19"/>
  </r>
  <r>
    <x v="95"/>
  </r>
  <r>
    <x v="28"/>
  </r>
  <r>
    <x v="15"/>
  </r>
  <r>
    <x v="50"/>
  </r>
  <r>
    <x v="11"/>
  </r>
  <r>
    <x v="46"/>
  </r>
  <r>
    <x v="82"/>
  </r>
  <r>
    <x v="45"/>
  </r>
  <r>
    <x v="78"/>
  </r>
  <r>
    <x v="91"/>
  </r>
  <r>
    <x v="20"/>
  </r>
  <r>
    <x v="38"/>
  </r>
  <r>
    <x v="92"/>
  </r>
  <r>
    <x v="21"/>
  </r>
  <r>
    <x v="2"/>
  </r>
  <r>
    <x v="57"/>
  </r>
  <r>
    <x v="24"/>
  </r>
  <r>
    <x v="22"/>
  </r>
  <r>
    <x v="17"/>
  </r>
  <r>
    <x v="25"/>
  </r>
  <r>
    <x v="10"/>
  </r>
  <r>
    <x v="32"/>
  </r>
  <r>
    <x v="105"/>
  </r>
  <r>
    <x v="78"/>
  </r>
  <r>
    <x v="112"/>
  </r>
  <r>
    <x v="20"/>
  </r>
  <r>
    <x v="57"/>
  </r>
  <r>
    <x v="128"/>
  </r>
  <r>
    <x v="20"/>
  </r>
  <r>
    <x v="13"/>
  </r>
  <r>
    <x v="63"/>
  </r>
  <r>
    <x v="32"/>
  </r>
  <r>
    <x v="32"/>
  </r>
  <r>
    <x v="15"/>
  </r>
  <r>
    <x v="79"/>
  </r>
  <r>
    <x v="22"/>
  </r>
  <r>
    <x v="47"/>
  </r>
  <r>
    <x v="79"/>
  </r>
  <r>
    <x v="78"/>
  </r>
  <r>
    <x v="94"/>
  </r>
  <r>
    <x v="0"/>
  </r>
  <r>
    <x v="63"/>
  </r>
  <r>
    <x v="69"/>
  </r>
  <r>
    <x v="21"/>
  </r>
  <r>
    <x v="7"/>
  </r>
  <r>
    <x v="20"/>
  </r>
  <r>
    <x v="12"/>
  </r>
  <r>
    <x v="32"/>
  </r>
  <r>
    <x v="104"/>
  </r>
  <r>
    <x v="31"/>
  </r>
  <r>
    <x v="19"/>
  </r>
  <r>
    <x v="93"/>
  </r>
  <r>
    <x v="33"/>
  </r>
  <r>
    <x v="74"/>
  </r>
  <r>
    <x v="59"/>
  </r>
  <r>
    <x v="29"/>
  </r>
  <r>
    <x v="53"/>
  </r>
  <r>
    <x v="42"/>
  </r>
  <r>
    <x v="29"/>
  </r>
  <r>
    <x v="32"/>
  </r>
  <r>
    <x v="4"/>
  </r>
  <r>
    <x v="67"/>
  </r>
  <r>
    <x v="91"/>
  </r>
  <r>
    <x v="73"/>
  </r>
  <r>
    <x v="93"/>
  </r>
  <r>
    <x v="52"/>
  </r>
  <r>
    <x v="15"/>
  </r>
  <r>
    <x v="56"/>
  </r>
  <r>
    <x v="69"/>
  </r>
  <r>
    <x v="11"/>
  </r>
  <r>
    <x v="0"/>
  </r>
  <r>
    <x v="32"/>
  </r>
  <r>
    <x v="2"/>
  </r>
  <r>
    <x v="20"/>
  </r>
  <r>
    <x v="12"/>
  </r>
  <r>
    <x v="98"/>
  </r>
  <r>
    <x v="91"/>
  </r>
  <r>
    <x v="48"/>
  </r>
  <r>
    <x v="70"/>
  </r>
  <r>
    <x v="78"/>
  </r>
  <r>
    <x v="71"/>
  </r>
  <r>
    <x v="71"/>
  </r>
  <r>
    <x v="21"/>
  </r>
  <r>
    <x v="32"/>
  </r>
  <r>
    <x v="57"/>
  </r>
  <r>
    <x v="21"/>
  </r>
  <r>
    <x v="42"/>
  </r>
  <r>
    <x v="56"/>
  </r>
  <r>
    <x v="99"/>
  </r>
  <r>
    <x v="7"/>
  </r>
  <r>
    <x v="71"/>
  </r>
  <r>
    <x v="79"/>
  </r>
  <r>
    <x v="79"/>
  </r>
  <r>
    <x v="28"/>
  </r>
  <r>
    <x v="1"/>
  </r>
  <r>
    <x v="25"/>
  </r>
  <r>
    <x v="63"/>
  </r>
  <r>
    <x v="85"/>
  </r>
  <r>
    <x v="12"/>
  </r>
  <r>
    <x v="18"/>
  </r>
  <r>
    <x v="92"/>
  </r>
  <r>
    <x v="6"/>
  </r>
  <r>
    <x v="6"/>
  </r>
  <r>
    <x v="44"/>
  </r>
  <r>
    <x v="33"/>
  </r>
  <r>
    <x v="125"/>
  </r>
  <r>
    <x v="43"/>
  </r>
  <r>
    <x v="53"/>
  </r>
  <r>
    <x v="10"/>
  </r>
  <r>
    <x v="86"/>
  </r>
  <r>
    <x v="7"/>
  </r>
  <r>
    <x v="4"/>
  </r>
  <r>
    <x v="1"/>
  </r>
  <r>
    <x v="28"/>
  </r>
  <r>
    <x v="22"/>
  </r>
  <r>
    <x v="73"/>
  </r>
  <r>
    <x v="12"/>
  </r>
  <r>
    <x v="21"/>
  </r>
  <r>
    <x v="27"/>
  </r>
  <r>
    <x v="49"/>
  </r>
  <r>
    <x v="57"/>
  </r>
  <r>
    <x v="57"/>
  </r>
  <r>
    <x v="13"/>
  </r>
  <r>
    <x v="27"/>
  </r>
  <r>
    <x v="52"/>
  </r>
  <r>
    <x v="46"/>
  </r>
  <r>
    <x v="110"/>
  </r>
  <r>
    <x v="17"/>
  </r>
  <r>
    <x v="93"/>
  </r>
  <r>
    <x v="129"/>
  </r>
  <r>
    <x v="20"/>
  </r>
  <r>
    <x v="22"/>
  </r>
  <r>
    <x v="82"/>
  </r>
  <r>
    <x v="47"/>
  </r>
  <r>
    <x v="128"/>
  </r>
  <r>
    <x v="58"/>
  </r>
  <r>
    <x v="79"/>
  </r>
  <r>
    <x v="46"/>
  </r>
  <r>
    <x v="25"/>
  </r>
  <r>
    <x v="33"/>
  </r>
  <r>
    <x v="71"/>
  </r>
  <r>
    <x v="29"/>
  </r>
  <r>
    <x v="18"/>
  </r>
  <r>
    <x v="20"/>
  </r>
  <r>
    <x v="22"/>
  </r>
  <r>
    <x v="61"/>
  </r>
  <r>
    <x v="22"/>
  </r>
  <r>
    <x v="79"/>
  </r>
  <r>
    <x v="11"/>
  </r>
  <r>
    <x v="130"/>
  </r>
  <r>
    <x v="58"/>
  </r>
  <r>
    <x v="131"/>
  </r>
  <r>
    <x v="7"/>
  </r>
  <r>
    <x v="89"/>
  </r>
  <r>
    <x v="60"/>
  </r>
  <r>
    <x v="91"/>
  </r>
  <r>
    <x v="56"/>
  </r>
  <r>
    <x v="117"/>
  </r>
  <r>
    <x v="19"/>
  </r>
  <r>
    <x v="78"/>
  </r>
  <r>
    <x v="13"/>
  </r>
  <r>
    <x v="73"/>
  </r>
  <r>
    <x v="19"/>
  </r>
  <r>
    <x v="5"/>
  </r>
  <r>
    <x v="17"/>
  </r>
  <r>
    <x v="15"/>
  </r>
  <r>
    <x v="28"/>
  </r>
  <r>
    <x v="97"/>
  </r>
  <r>
    <x v="22"/>
  </r>
  <r>
    <x v="130"/>
  </r>
  <r>
    <x v="126"/>
  </r>
  <r>
    <x v="17"/>
  </r>
  <r>
    <x v="21"/>
  </r>
  <r>
    <x v="69"/>
  </r>
  <r>
    <x v="57"/>
  </r>
  <r>
    <x v="11"/>
  </r>
  <r>
    <x v="20"/>
  </r>
  <r>
    <x v="64"/>
  </r>
  <r>
    <x v="4"/>
  </r>
  <r>
    <x v="29"/>
  </r>
  <r>
    <x v="20"/>
  </r>
  <r>
    <x v="63"/>
  </r>
  <r>
    <x v="52"/>
  </r>
  <r>
    <x v="14"/>
  </r>
  <r>
    <x v="62"/>
  </r>
  <r>
    <x v="94"/>
  </r>
  <r>
    <x v="17"/>
  </r>
  <r>
    <x v="3"/>
  </r>
  <r>
    <x v="7"/>
  </r>
  <r>
    <x v="29"/>
  </r>
  <r>
    <x v="33"/>
  </r>
  <r>
    <x v="4"/>
  </r>
  <r>
    <x v="14"/>
  </r>
  <r>
    <x v="21"/>
  </r>
  <r>
    <x v="26"/>
  </r>
  <r>
    <x v="79"/>
  </r>
  <r>
    <x v="23"/>
  </r>
  <r>
    <x v="30"/>
  </r>
  <r>
    <x v="11"/>
  </r>
  <r>
    <x v="22"/>
  </r>
  <r>
    <x v="21"/>
  </r>
  <r>
    <x v="132"/>
  </r>
  <r>
    <x v="49"/>
  </r>
  <r>
    <x v="46"/>
  </r>
  <r>
    <x v="84"/>
  </r>
  <r>
    <x v="64"/>
  </r>
  <r>
    <x v="65"/>
  </r>
  <r>
    <x v="82"/>
  </r>
  <r>
    <x v="104"/>
  </r>
  <r>
    <x v="14"/>
  </r>
  <r>
    <x v="23"/>
  </r>
  <r>
    <x v="133"/>
  </r>
  <r>
    <x v="15"/>
  </r>
  <r>
    <x v="53"/>
  </r>
  <r>
    <x v="92"/>
  </r>
  <r>
    <x v="52"/>
  </r>
  <r>
    <x v="65"/>
  </r>
  <r>
    <x v="63"/>
  </r>
  <r>
    <x v="64"/>
  </r>
  <r>
    <x v="25"/>
  </r>
  <r>
    <x v="24"/>
  </r>
  <r>
    <x v="10"/>
  </r>
  <r>
    <x v="69"/>
  </r>
  <r>
    <x v="78"/>
  </r>
  <r>
    <x v="25"/>
  </r>
  <r>
    <x v="56"/>
  </r>
  <r>
    <x v="2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0">
  <r>
    <x v="0"/>
  </r>
  <r>
    <x v="1"/>
  </r>
  <r>
    <x v="2"/>
  </r>
  <r>
    <x v="3"/>
  </r>
  <r>
    <x v="4"/>
  </r>
  <r>
    <x v="5"/>
  </r>
  <r>
    <x v="4"/>
  </r>
  <r>
    <x v="5"/>
  </r>
  <r>
    <x v="6"/>
  </r>
  <r>
    <x v="7"/>
  </r>
  <r>
    <x v="8"/>
  </r>
  <r>
    <x v="2"/>
  </r>
  <r>
    <x v="1"/>
  </r>
  <r>
    <x v="1"/>
  </r>
  <r>
    <x v="9"/>
  </r>
  <r>
    <x v="10"/>
  </r>
  <r>
    <x v="8"/>
  </r>
  <r>
    <x v="4"/>
  </r>
  <r>
    <x v="8"/>
  </r>
  <r>
    <x v="11"/>
  </r>
  <r>
    <x v="12"/>
  </r>
  <r>
    <x v="3"/>
  </r>
  <r>
    <x v="2"/>
  </r>
  <r>
    <x v="10"/>
  </r>
  <r>
    <x v="1"/>
  </r>
  <r>
    <x v="1"/>
  </r>
  <r>
    <x v="2"/>
  </r>
  <r>
    <x v="4"/>
  </r>
  <r>
    <x v="11"/>
  </r>
  <r>
    <x v="1"/>
  </r>
  <r>
    <x v="13"/>
  </r>
  <r>
    <x v="12"/>
  </r>
  <r>
    <x v="5"/>
  </r>
  <r>
    <x v="2"/>
  </r>
  <r>
    <x v="12"/>
  </r>
  <r>
    <x v="13"/>
  </r>
  <r>
    <x v="9"/>
  </r>
  <r>
    <x v="14"/>
  </r>
  <r>
    <x v="15"/>
  </r>
  <r>
    <x v="1"/>
  </r>
  <r>
    <x v="5"/>
  </r>
  <r>
    <x v="5"/>
  </r>
  <r>
    <x v="1"/>
  </r>
  <r>
    <x v="16"/>
  </r>
  <r>
    <x v="1"/>
  </r>
  <r>
    <x v="3"/>
  </r>
  <r>
    <x v="17"/>
  </r>
  <r>
    <x v="12"/>
  </r>
  <r>
    <x v="2"/>
  </r>
  <r>
    <x v="6"/>
  </r>
  <r>
    <x v="9"/>
  </r>
  <r>
    <x v="1"/>
  </r>
  <r>
    <x v="2"/>
  </r>
  <r>
    <x v="14"/>
  </r>
  <r>
    <x v="6"/>
  </r>
  <r>
    <x v="1"/>
  </r>
  <r>
    <x v="7"/>
  </r>
  <r>
    <x v="14"/>
  </r>
  <r>
    <x v="5"/>
  </r>
  <r>
    <x v="3"/>
  </r>
  <r>
    <x v="12"/>
  </r>
  <r>
    <x v="5"/>
  </r>
  <r>
    <x v="12"/>
  </r>
  <r>
    <x v="8"/>
  </r>
  <r>
    <x v="2"/>
  </r>
  <r>
    <x v="7"/>
  </r>
  <r>
    <x v="5"/>
  </r>
  <r>
    <x v="12"/>
  </r>
  <r>
    <x v="9"/>
  </r>
  <r>
    <x v="10"/>
  </r>
  <r>
    <x v="9"/>
  </r>
  <r>
    <x v="2"/>
  </r>
  <r>
    <x v="13"/>
  </r>
  <r>
    <x v="10"/>
  </r>
  <r>
    <x v="12"/>
  </r>
  <r>
    <x v="6"/>
  </r>
  <r>
    <x v="18"/>
  </r>
  <r>
    <x v="19"/>
  </r>
  <r>
    <x v="2"/>
  </r>
  <r>
    <x v="5"/>
  </r>
  <r>
    <x v="20"/>
  </r>
  <r>
    <x v="4"/>
  </r>
  <r>
    <x v="2"/>
  </r>
  <r>
    <x v="5"/>
  </r>
  <r>
    <x v="3"/>
  </r>
  <r>
    <x v="12"/>
  </r>
  <r>
    <x v="3"/>
  </r>
  <r>
    <x v="2"/>
  </r>
  <r>
    <x v="3"/>
  </r>
  <r>
    <x v="8"/>
  </r>
  <r>
    <x v="21"/>
  </r>
  <r>
    <x v="1"/>
  </r>
  <r>
    <x v="12"/>
  </r>
  <r>
    <x v="12"/>
  </r>
  <r>
    <x v="3"/>
  </r>
  <r>
    <x v="3"/>
  </r>
  <r>
    <x v="6"/>
  </r>
  <r>
    <x v="6"/>
  </r>
  <r>
    <x v="10"/>
  </r>
  <r>
    <x v="14"/>
  </r>
  <r>
    <x v="12"/>
  </r>
  <r>
    <x v="3"/>
  </r>
  <r>
    <x v="3"/>
  </r>
  <r>
    <x v="10"/>
  </r>
  <r>
    <x v="19"/>
  </r>
  <r>
    <x v="1"/>
  </r>
  <r>
    <x v="15"/>
  </r>
  <r>
    <x v="10"/>
  </r>
  <r>
    <x v="9"/>
  </r>
  <r>
    <x v="4"/>
  </r>
  <r>
    <x v="9"/>
  </r>
  <r>
    <x v="9"/>
  </r>
  <r>
    <x v="12"/>
  </r>
  <r>
    <x v="2"/>
  </r>
  <r>
    <x v="9"/>
  </r>
  <r>
    <x v="2"/>
  </r>
  <r>
    <x v="14"/>
  </r>
  <r>
    <x v="1"/>
  </r>
  <r>
    <x v="9"/>
  </r>
  <r>
    <x v="12"/>
  </r>
  <r>
    <x v="3"/>
  </r>
  <r>
    <x v="1"/>
  </r>
  <r>
    <x v="2"/>
  </r>
  <r>
    <x v="11"/>
  </r>
  <r>
    <x v="9"/>
  </r>
  <r>
    <x v="13"/>
  </r>
  <r>
    <x v="13"/>
  </r>
  <r>
    <x v="11"/>
  </r>
  <r>
    <x v="3"/>
  </r>
  <r>
    <x v="10"/>
  </r>
  <r>
    <x v="3"/>
  </r>
  <r>
    <x v="1"/>
  </r>
  <r>
    <x v="9"/>
  </r>
  <r>
    <x v="3"/>
  </r>
  <r>
    <x v="7"/>
  </r>
  <r>
    <x v="4"/>
  </r>
  <r>
    <x v="3"/>
  </r>
  <r>
    <x v="1"/>
  </r>
  <r>
    <x v="12"/>
  </r>
  <r>
    <x v="15"/>
  </r>
  <r>
    <x v="11"/>
  </r>
  <r>
    <x v="1"/>
  </r>
  <r>
    <x v="21"/>
  </r>
  <r>
    <x v="9"/>
  </r>
  <r>
    <x v="18"/>
  </r>
  <r>
    <x v="3"/>
  </r>
  <r>
    <x v="9"/>
  </r>
  <r>
    <x v="7"/>
  </r>
  <r>
    <x v="6"/>
  </r>
  <r>
    <x v="6"/>
  </r>
  <r>
    <x v="2"/>
  </r>
  <r>
    <x v="9"/>
  </r>
  <r>
    <x v="11"/>
  </r>
  <r>
    <x v="15"/>
  </r>
  <r>
    <x v="1"/>
  </r>
  <r>
    <x v="13"/>
  </r>
  <r>
    <x v="7"/>
  </r>
  <r>
    <x v="10"/>
  </r>
  <r>
    <x v="9"/>
  </r>
  <r>
    <x v="4"/>
  </r>
  <r>
    <x v="8"/>
  </r>
  <r>
    <x v="14"/>
  </r>
  <r>
    <x v="6"/>
  </r>
  <r>
    <x v="15"/>
  </r>
  <r>
    <x v="17"/>
  </r>
  <r>
    <x v="16"/>
  </r>
  <r>
    <x v="14"/>
  </r>
  <r>
    <x v="2"/>
  </r>
  <r>
    <x v="3"/>
  </r>
  <r>
    <x v="13"/>
  </r>
  <r>
    <x v="2"/>
  </r>
  <r>
    <x v="11"/>
  </r>
  <r>
    <x v="2"/>
  </r>
  <r>
    <x v="14"/>
  </r>
  <r>
    <x v="8"/>
  </r>
  <r>
    <x v="19"/>
  </r>
  <r>
    <x v="1"/>
  </r>
  <r>
    <x v="4"/>
  </r>
  <r>
    <x v="11"/>
  </r>
  <r>
    <x v="18"/>
  </r>
  <r>
    <x v="10"/>
  </r>
  <r>
    <x v="18"/>
  </r>
  <r>
    <x v="9"/>
  </r>
  <r>
    <x v="6"/>
  </r>
  <r>
    <x v="2"/>
  </r>
  <r>
    <x v="14"/>
  </r>
  <r>
    <x v="1"/>
  </r>
  <r>
    <x v="14"/>
  </r>
  <r>
    <x v="1"/>
  </r>
  <r>
    <x v="4"/>
  </r>
  <r>
    <x v="5"/>
  </r>
  <r>
    <x v="16"/>
  </r>
  <r>
    <x v="2"/>
  </r>
  <r>
    <x v="13"/>
  </r>
  <r>
    <x v="3"/>
  </r>
  <r>
    <x v="12"/>
  </r>
  <r>
    <x v="9"/>
  </r>
  <r>
    <x v="4"/>
  </r>
  <r>
    <x v="5"/>
  </r>
  <r>
    <x v="12"/>
  </r>
  <r>
    <x v="1"/>
  </r>
  <r>
    <x v="18"/>
  </r>
  <r>
    <x v="14"/>
  </r>
  <r>
    <x v="9"/>
  </r>
  <r>
    <x v="9"/>
  </r>
  <r>
    <x v="6"/>
  </r>
  <r>
    <x v="18"/>
  </r>
  <r>
    <x v="3"/>
  </r>
  <r>
    <x v="0"/>
  </r>
  <r>
    <x v="13"/>
  </r>
  <r>
    <x v="1"/>
  </r>
  <r>
    <x v="14"/>
  </r>
  <r>
    <x v="3"/>
  </r>
  <r>
    <x v="13"/>
  </r>
  <r>
    <x v="13"/>
  </r>
  <r>
    <x v="5"/>
  </r>
  <r>
    <x v="5"/>
  </r>
  <r>
    <x v="2"/>
  </r>
  <r>
    <x v="6"/>
  </r>
  <r>
    <x v="3"/>
  </r>
  <r>
    <x v="3"/>
  </r>
  <r>
    <x v="6"/>
  </r>
  <r>
    <x v="4"/>
  </r>
  <r>
    <x v="11"/>
  </r>
  <r>
    <x v="5"/>
  </r>
  <r>
    <x v="14"/>
  </r>
  <r>
    <x v="11"/>
  </r>
  <r>
    <x v="4"/>
  </r>
  <r>
    <x v="12"/>
  </r>
  <r>
    <x v="2"/>
  </r>
  <r>
    <x v="9"/>
  </r>
  <r>
    <x v="13"/>
  </r>
  <r>
    <x v="6"/>
  </r>
  <r>
    <x v="1"/>
  </r>
  <r>
    <x v="7"/>
  </r>
  <r>
    <x v="3"/>
  </r>
  <r>
    <x v="18"/>
  </r>
  <r>
    <x v="5"/>
  </r>
  <r>
    <x v="11"/>
  </r>
  <r>
    <x v="10"/>
  </r>
  <r>
    <x v="1"/>
  </r>
  <r>
    <x v="9"/>
  </r>
  <r>
    <x v="4"/>
  </r>
  <r>
    <x v="4"/>
  </r>
  <r>
    <x v="13"/>
  </r>
  <r>
    <x v="6"/>
  </r>
  <r>
    <x v="14"/>
  </r>
  <r>
    <x v="4"/>
  </r>
  <r>
    <x v="8"/>
  </r>
  <r>
    <x v="18"/>
  </r>
  <r>
    <x v="1"/>
  </r>
  <r>
    <x v="11"/>
  </r>
  <r>
    <x v="6"/>
  </r>
  <r>
    <x v="3"/>
  </r>
  <r>
    <x v="1"/>
  </r>
  <r>
    <x v="7"/>
  </r>
  <r>
    <x v="10"/>
  </r>
  <r>
    <x v="11"/>
  </r>
  <r>
    <x v="6"/>
  </r>
  <r>
    <x v="6"/>
  </r>
  <r>
    <x v="4"/>
  </r>
  <r>
    <x v="15"/>
  </r>
  <r>
    <x v="9"/>
  </r>
  <r>
    <x v="11"/>
  </r>
  <r>
    <x v="4"/>
  </r>
  <r>
    <x v="12"/>
  </r>
  <r>
    <x v="9"/>
  </r>
  <r>
    <x v="15"/>
  </r>
  <r>
    <x v="12"/>
  </r>
  <r>
    <x v="9"/>
  </r>
  <r>
    <x v="3"/>
  </r>
  <r>
    <x v="15"/>
  </r>
  <r>
    <x v="2"/>
  </r>
  <r>
    <x v="13"/>
  </r>
  <r>
    <x v="4"/>
  </r>
  <r>
    <x v="12"/>
  </r>
  <r>
    <x v="10"/>
  </r>
  <r>
    <x v="1"/>
  </r>
  <r>
    <x v="11"/>
  </r>
  <r>
    <x v="6"/>
  </r>
  <r>
    <x v="3"/>
  </r>
  <r>
    <x v="19"/>
  </r>
  <r>
    <x v="1"/>
  </r>
  <r>
    <x v="2"/>
  </r>
  <r>
    <x v="3"/>
  </r>
  <r>
    <x v="6"/>
  </r>
  <r>
    <x v="7"/>
  </r>
  <r>
    <x v="13"/>
  </r>
  <r>
    <x v="1"/>
  </r>
  <r>
    <x v="12"/>
  </r>
  <r>
    <x v="1"/>
  </r>
  <r>
    <x v="11"/>
  </r>
  <r>
    <x v="5"/>
  </r>
  <r>
    <x v="6"/>
  </r>
  <r>
    <x v="0"/>
  </r>
  <r>
    <x v="11"/>
  </r>
  <r>
    <x v="3"/>
  </r>
  <r>
    <x v="11"/>
  </r>
  <r>
    <x v="11"/>
  </r>
  <r>
    <x v="9"/>
  </r>
  <r>
    <x v="12"/>
  </r>
  <r>
    <x v="16"/>
  </r>
  <r>
    <x v="10"/>
  </r>
  <r>
    <x v="1"/>
  </r>
  <r>
    <x v="8"/>
  </r>
  <r>
    <x v="13"/>
  </r>
  <r>
    <x v="13"/>
  </r>
  <r>
    <x v="3"/>
  </r>
  <r>
    <x v="12"/>
  </r>
  <r>
    <x v="11"/>
  </r>
  <r>
    <x v="18"/>
  </r>
  <r>
    <x v="3"/>
  </r>
  <r>
    <x v="0"/>
  </r>
  <r>
    <x v="12"/>
  </r>
  <r>
    <x v="1"/>
  </r>
  <r>
    <x v="4"/>
  </r>
  <r>
    <x v="13"/>
  </r>
  <r>
    <x v="9"/>
  </r>
  <r>
    <x v="11"/>
  </r>
  <r>
    <x v="9"/>
  </r>
  <r>
    <x v="12"/>
  </r>
  <r>
    <x v="9"/>
  </r>
  <r>
    <x v="2"/>
  </r>
  <r>
    <x v="15"/>
  </r>
  <r>
    <x v="14"/>
  </r>
  <r>
    <x v="19"/>
  </r>
  <r>
    <x v="9"/>
  </r>
  <r>
    <x v="13"/>
  </r>
  <r>
    <x v="13"/>
  </r>
  <r>
    <x v="2"/>
  </r>
  <r>
    <x v="13"/>
  </r>
  <r>
    <x v="12"/>
  </r>
  <r>
    <x v="15"/>
  </r>
  <r>
    <x v="2"/>
  </r>
  <r>
    <x v="6"/>
  </r>
  <r>
    <x v="18"/>
  </r>
  <r>
    <x v="18"/>
  </r>
  <r>
    <x v="17"/>
  </r>
  <r>
    <x v="3"/>
  </r>
  <r>
    <x v="6"/>
  </r>
  <r>
    <x v="8"/>
  </r>
  <r>
    <x v="11"/>
  </r>
  <r>
    <x v="12"/>
  </r>
  <r>
    <x v="3"/>
  </r>
  <r>
    <x v="17"/>
  </r>
  <r>
    <x v="13"/>
  </r>
  <r>
    <x v="5"/>
  </r>
  <r>
    <x v="15"/>
  </r>
  <r>
    <x v="11"/>
  </r>
  <r>
    <x v="19"/>
  </r>
  <r>
    <x v="10"/>
  </r>
  <r>
    <x v="1"/>
  </r>
  <r>
    <x v="9"/>
  </r>
  <r>
    <x v="11"/>
  </r>
  <r>
    <x v="4"/>
  </r>
  <r>
    <x v="9"/>
  </r>
  <r>
    <x v="4"/>
  </r>
  <r>
    <x v="6"/>
  </r>
  <r>
    <x v="6"/>
  </r>
  <r>
    <x v="18"/>
  </r>
  <r>
    <x v="4"/>
  </r>
  <r>
    <x v="6"/>
  </r>
  <r>
    <x v="6"/>
  </r>
  <r>
    <x v="6"/>
  </r>
  <r>
    <x v="2"/>
  </r>
  <r>
    <x v="13"/>
  </r>
  <r>
    <x v="15"/>
  </r>
  <r>
    <x v="14"/>
  </r>
  <r>
    <x v="12"/>
  </r>
  <r>
    <x v="13"/>
  </r>
  <r>
    <x v="12"/>
  </r>
  <r>
    <x v="2"/>
  </r>
  <r>
    <x v="2"/>
  </r>
  <r>
    <x v="15"/>
  </r>
  <r>
    <x v="8"/>
  </r>
  <r>
    <x v="9"/>
  </r>
  <r>
    <x v="4"/>
  </r>
  <r>
    <x v="12"/>
  </r>
  <r>
    <x v="12"/>
  </r>
  <r>
    <x v="4"/>
  </r>
  <r>
    <x v="13"/>
  </r>
  <r>
    <x v="4"/>
  </r>
  <r>
    <x v="13"/>
  </r>
  <r>
    <x v="9"/>
  </r>
  <r>
    <x v="12"/>
  </r>
  <r>
    <x v="12"/>
  </r>
  <r>
    <x v="15"/>
  </r>
  <r>
    <x v="2"/>
  </r>
  <r>
    <x v="1"/>
  </r>
  <r>
    <x v="21"/>
  </r>
  <r>
    <x v="4"/>
  </r>
  <r>
    <x v="5"/>
  </r>
  <r>
    <x v="3"/>
  </r>
  <r>
    <x v="0"/>
  </r>
  <r>
    <x v="12"/>
  </r>
  <r>
    <x v="2"/>
  </r>
  <r>
    <x v="1"/>
  </r>
  <r>
    <x v="3"/>
  </r>
  <r>
    <x v="9"/>
  </r>
  <r>
    <x v="10"/>
  </r>
  <r>
    <x v="14"/>
  </r>
  <r>
    <x v="9"/>
  </r>
  <r>
    <x v="12"/>
  </r>
  <r>
    <x v="13"/>
  </r>
  <r>
    <x v="1"/>
  </r>
  <r>
    <x v="1"/>
  </r>
  <r>
    <x v="4"/>
  </r>
  <r>
    <x v="15"/>
  </r>
  <r>
    <x v="11"/>
  </r>
  <r>
    <x v="1"/>
  </r>
  <r>
    <x v="8"/>
  </r>
  <r>
    <x v="2"/>
  </r>
  <r>
    <x v="3"/>
  </r>
  <r>
    <x v="3"/>
  </r>
  <r>
    <x v="11"/>
  </r>
  <r>
    <x v="15"/>
  </r>
  <r>
    <x v="1"/>
  </r>
  <r>
    <x v="2"/>
  </r>
  <r>
    <x v="13"/>
  </r>
  <r>
    <x v="15"/>
  </r>
  <r>
    <x v="13"/>
  </r>
  <r>
    <x v="2"/>
  </r>
  <r>
    <x v="3"/>
  </r>
  <r>
    <x v="1"/>
  </r>
  <r>
    <x v="2"/>
  </r>
  <r>
    <x v="13"/>
  </r>
  <r>
    <x v="3"/>
  </r>
  <r>
    <x v="2"/>
  </r>
  <r>
    <x v="15"/>
  </r>
  <r>
    <x v="9"/>
  </r>
  <r>
    <x v="2"/>
  </r>
  <r>
    <x v="13"/>
  </r>
  <r>
    <x v="10"/>
  </r>
  <r>
    <x v="15"/>
  </r>
  <r>
    <x v="2"/>
  </r>
  <r>
    <x v="5"/>
  </r>
  <r>
    <x v="4"/>
  </r>
  <r>
    <x v="14"/>
  </r>
  <r>
    <x v="13"/>
  </r>
  <r>
    <x v="11"/>
  </r>
  <r>
    <x v="11"/>
  </r>
  <r>
    <x v="22"/>
  </r>
  <r>
    <x v="5"/>
  </r>
  <r>
    <x v="3"/>
  </r>
  <r>
    <x v="3"/>
  </r>
  <r>
    <x v="1"/>
  </r>
  <r>
    <x v="1"/>
  </r>
  <r>
    <x v="9"/>
  </r>
  <r>
    <x v="3"/>
  </r>
  <r>
    <x v="5"/>
  </r>
  <r>
    <x v="1"/>
  </r>
  <r>
    <x v="5"/>
  </r>
  <r>
    <x v="7"/>
  </r>
  <r>
    <x v="16"/>
  </r>
  <r>
    <x v="9"/>
  </r>
  <r>
    <x v="8"/>
  </r>
  <r>
    <x v="15"/>
  </r>
  <r>
    <x v="13"/>
  </r>
  <r>
    <x v="0"/>
  </r>
  <r>
    <x v="1"/>
  </r>
  <r>
    <x v="2"/>
  </r>
  <r>
    <x v="3"/>
  </r>
  <r>
    <x v="9"/>
  </r>
  <r>
    <x v="4"/>
  </r>
  <r>
    <x v="13"/>
  </r>
  <r>
    <x v="1"/>
  </r>
  <r>
    <x v="11"/>
  </r>
  <r>
    <x v="5"/>
  </r>
  <r>
    <x v="1"/>
  </r>
  <r>
    <x v="3"/>
  </r>
  <r>
    <x v="13"/>
  </r>
  <r>
    <x v="13"/>
  </r>
  <r>
    <x v="15"/>
  </r>
  <r>
    <x v="12"/>
  </r>
  <r>
    <x v="6"/>
  </r>
  <r>
    <x v="5"/>
  </r>
  <r>
    <x v="6"/>
  </r>
  <r>
    <x v="3"/>
  </r>
  <r>
    <x v="14"/>
  </r>
  <r>
    <x v="3"/>
  </r>
  <r>
    <x v="6"/>
  </r>
  <r>
    <x v="13"/>
  </r>
  <r>
    <x v="18"/>
  </r>
  <r>
    <x v="12"/>
  </r>
  <r>
    <x v="2"/>
  </r>
  <r>
    <x v="3"/>
  </r>
  <r>
    <x v="11"/>
  </r>
  <r>
    <x v="1"/>
  </r>
  <r>
    <x v="13"/>
  </r>
  <r>
    <x v="17"/>
  </r>
  <r>
    <x v="12"/>
  </r>
  <r>
    <x v="9"/>
  </r>
  <r>
    <x v="5"/>
  </r>
  <r>
    <x v="21"/>
  </r>
  <r>
    <x v="10"/>
  </r>
  <r>
    <x v="11"/>
  </r>
  <r>
    <x v="5"/>
  </r>
  <r>
    <x v="9"/>
  </r>
  <r>
    <x v="2"/>
  </r>
  <r>
    <x v="3"/>
  </r>
  <r>
    <x v="11"/>
  </r>
  <r>
    <x v="15"/>
  </r>
  <r>
    <x v="4"/>
  </r>
  <r>
    <x v="2"/>
  </r>
  <r>
    <x v="11"/>
  </r>
  <r>
    <x v="1"/>
  </r>
  <r>
    <x v="12"/>
  </r>
  <r>
    <x v="5"/>
  </r>
  <r>
    <x v="11"/>
  </r>
  <r>
    <x v="15"/>
  </r>
  <r>
    <x v="4"/>
  </r>
  <r>
    <x v="2"/>
  </r>
  <r>
    <x v="1"/>
  </r>
  <r>
    <x v="3"/>
  </r>
  <r>
    <x v="13"/>
  </r>
  <r>
    <x v="4"/>
  </r>
  <r>
    <x v="18"/>
  </r>
  <r>
    <x v="19"/>
  </r>
  <r>
    <x v="10"/>
  </r>
  <r>
    <x v="15"/>
  </r>
  <r>
    <x v="3"/>
  </r>
  <r>
    <x v="7"/>
  </r>
  <r>
    <x v="3"/>
  </r>
  <r>
    <x v="13"/>
  </r>
  <r>
    <x v="1"/>
  </r>
  <r>
    <x v="4"/>
  </r>
  <r>
    <x v="9"/>
  </r>
  <r>
    <x v="8"/>
  </r>
  <r>
    <x v="15"/>
  </r>
  <r>
    <x v="8"/>
  </r>
  <r>
    <x v="5"/>
  </r>
  <r>
    <x v="18"/>
  </r>
  <r>
    <x v="6"/>
  </r>
  <r>
    <x v="8"/>
  </r>
  <r>
    <x v="3"/>
  </r>
  <r>
    <x v="3"/>
  </r>
  <r>
    <x v="2"/>
  </r>
  <r>
    <x v="11"/>
  </r>
  <r>
    <x v="4"/>
  </r>
  <r>
    <x v="18"/>
  </r>
  <r>
    <x v="11"/>
  </r>
  <r>
    <x v="9"/>
  </r>
  <r>
    <x v="9"/>
  </r>
  <r>
    <x v="1"/>
  </r>
  <r>
    <x v="6"/>
  </r>
  <r>
    <x v="8"/>
  </r>
  <r>
    <x v="11"/>
  </r>
  <r>
    <x v="21"/>
  </r>
  <r>
    <x v="3"/>
  </r>
  <r>
    <x v="4"/>
  </r>
  <r>
    <x v="9"/>
  </r>
  <r>
    <x v="16"/>
  </r>
  <r>
    <x v="4"/>
  </r>
  <r>
    <x v="9"/>
  </r>
  <r>
    <x v="4"/>
  </r>
  <r>
    <x v="11"/>
  </r>
  <r>
    <x v="12"/>
  </r>
  <r>
    <x v="5"/>
  </r>
  <r>
    <x v="2"/>
  </r>
  <r>
    <x v="11"/>
  </r>
  <r>
    <x v="6"/>
  </r>
  <r>
    <x v="12"/>
  </r>
  <r>
    <x v="3"/>
  </r>
  <r>
    <x v="18"/>
  </r>
  <r>
    <x v="4"/>
  </r>
  <r>
    <x v="4"/>
  </r>
  <r>
    <x v="11"/>
  </r>
  <r>
    <x v="1"/>
  </r>
  <r>
    <x v="19"/>
  </r>
  <r>
    <x v="9"/>
  </r>
  <r>
    <x v="10"/>
  </r>
  <r>
    <x v="15"/>
  </r>
  <r>
    <x v="15"/>
  </r>
  <r>
    <x v="12"/>
  </r>
  <r>
    <x v="11"/>
  </r>
  <r>
    <x v="1"/>
  </r>
  <r>
    <x v="15"/>
  </r>
  <r>
    <x v="12"/>
  </r>
  <r>
    <x v="12"/>
  </r>
  <r>
    <x v="4"/>
  </r>
  <r>
    <x v="5"/>
  </r>
  <r>
    <x v="13"/>
  </r>
  <r>
    <x v="15"/>
  </r>
  <r>
    <x v="12"/>
  </r>
  <r>
    <x v="11"/>
  </r>
  <r>
    <x v="1"/>
  </r>
  <r>
    <x v="15"/>
  </r>
  <r>
    <x v="15"/>
  </r>
  <r>
    <x v="1"/>
  </r>
  <r>
    <x v="13"/>
  </r>
  <r>
    <x v="13"/>
  </r>
  <r>
    <x v="13"/>
  </r>
  <r>
    <x v="1"/>
  </r>
  <r>
    <x v="13"/>
  </r>
  <r>
    <x v="10"/>
  </r>
  <r>
    <x v="18"/>
  </r>
  <r>
    <x v="10"/>
  </r>
  <r>
    <x v="3"/>
  </r>
  <r>
    <x v="4"/>
  </r>
  <r>
    <x v="12"/>
  </r>
  <r>
    <x v="3"/>
  </r>
  <r>
    <x v="15"/>
  </r>
  <r>
    <x v="2"/>
  </r>
  <r>
    <x v="14"/>
  </r>
  <r>
    <x v="4"/>
  </r>
  <r>
    <x v="6"/>
  </r>
  <r>
    <x v="5"/>
  </r>
  <r>
    <x v="12"/>
  </r>
  <r>
    <x v="11"/>
  </r>
  <r>
    <x v="2"/>
  </r>
  <r>
    <x v="2"/>
  </r>
  <r>
    <x v="3"/>
  </r>
  <r>
    <x v="3"/>
  </r>
  <r>
    <x v="11"/>
  </r>
  <r>
    <x v="15"/>
  </r>
  <r>
    <x v="2"/>
  </r>
  <r>
    <x v="9"/>
  </r>
  <r>
    <x v="5"/>
  </r>
  <r>
    <x v="6"/>
  </r>
  <r>
    <x v="4"/>
  </r>
  <r>
    <x v="11"/>
  </r>
  <r>
    <x v="10"/>
  </r>
  <r>
    <x v="12"/>
  </r>
  <r>
    <x v="9"/>
  </r>
  <r>
    <x v="10"/>
  </r>
  <r>
    <x v="5"/>
  </r>
  <r>
    <x v="9"/>
  </r>
  <r>
    <x v="14"/>
  </r>
  <r>
    <x v="2"/>
  </r>
  <r>
    <x v="10"/>
  </r>
  <r>
    <x v="15"/>
  </r>
  <r>
    <x v="13"/>
  </r>
  <r>
    <x v="4"/>
  </r>
  <r>
    <x v="3"/>
  </r>
  <r>
    <x v="6"/>
  </r>
  <r>
    <x v="11"/>
  </r>
  <r>
    <x v="11"/>
  </r>
  <r>
    <x v="2"/>
  </r>
  <r>
    <x v="18"/>
  </r>
  <r>
    <x v="1"/>
  </r>
  <r>
    <x v="12"/>
  </r>
  <r>
    <x v="6"/>
  </r>
  <r>
    <x v="12"/>
  </r>
  <r>
    <x v="13"/>
  </r>
  <r>
    <x v="12"/>
  </r>
  <r>
    <x v="9"/>
  </r>
  <r>
    <x v="3"/>
  </r>
  <r>
    <x v="11"/>
  </r>
  <r>
    <x v="2"/>
  </r>
  <r>
    <x v="10"/>
  </r>
  <r>
    <x v="10"/>
  </r>
  <r>
    <x v="3"/>
  </r>
  <r>
    <x v="9"/>
  </r>
  <r>
    <x v="9"/>
  </r>
  <r>
    <x v="13"/>
  </r>
  <r>
    <x v="5"/>
  </r>
  <r>
    <x v="4"/>
  </r>
  <r>
    <x v="8"/>
  </r>
  <r>
    <x v="1"/>
  </r>
  <r>
    <x v="9"/>
  </r>
  <r>
    <x v="15"/>
  </r>
  <r>
    <x v="13"/>
  </r>
  <r>
    <x v="13"/>
  </r>
  <r>
    <x v="13"/>
  </r>
  <r>
    <x v="2"/>
  </r>
  <r>
    <x v="6"/>
  </r>
  <r>
    <x v="1"/>
  </r>
  <r>
    <x v="9"/>
  </r>
  <r>
    <x v="2"/>
  </r>
  <r>
    <x v="15"/>
  </r>
  <r>
    <x v="3"/>
  </r>
  <r>
    <x v="10"/>
  </r>
  <r>
    <x v="5"/>
  </r>
  <r>
    <x v="13"/>
  </r>
  <r>
    <x v="3"/>
  </r>
  <r>
    <x v="14"/>
  </r>
  <r>
    <x v="10"/>
  </r>
  <r>
    <x v="3"/>
  </r>
  <r>
    <x v="8"/>
  </r>
  <r>
    <x v="9"/>
  </r>
  <r>
    <x v="2"/>
  </r>
  <r>
    <x v="2"/>
  </r>
  <r>
    <x v="17"/>
  </r>
  <r>
    <x v="13"/>
  </r>
  <r>
    <x v="6"/>
  </r>
  <r>
    <x v="18"/>
  </r>
  <r>
    <x v="9"/>
  </r>
  <r>
    <x v="19"/>
  </r>
  <r>
    <x v="6"/>
  </r>
  <r>
    <x v="13"/>
  </r>
  <r>
    <x v="18"/>
  </r>
  <r>
    <x v="14"/>
  </r>
  <r>
    <x v="3"/>
  </r>
  <r>
    <x v="2"/>
  </r>
  <r>
    <x v="1"/>
  </r>
  <r>
    <x v="2"/>
  </r>
  <r>
    <x v="3"/>
  </r>
  <r>
    <x v="4"/>
  </r>
  <r>
    <x v="18"/>
  </r>
  <r>
    <x v="19"/>
  </r>
  <r>
    <x v="14"/>
  </r>
  <r>
    <x v="13"/>
  </r>
  <r>
    <x v="12"/>
  </r>
  <r>
    <x v="13"/>
  </r>
  <r>
    <x v="9"/>
  </r>
  <r>
    <x v="13"/>
  </r>
  <r>
    <x v="3"/>
  </r>
  <r>
    <x v="2"/>
  </r>
  <r>
    <x v="2"/>
  </r>
  <r>
    <x v="2"/>
  </r>
  <r>
    <x v="5"/>
  </r>
  <r>
    <x v="4"/>
  </r>
  <r>
    <x v="2"/>
  </r>
  <r>
    <x v="3"/>
  </r>
  <r>
    <x v="3"/>
  </r>
  <r>
    <x v="12"/>
  </r>
  <r>
    <x v="1"/>
  </r>
  <r>
    <x v="1"/>
  </r>
  <r>
    <x v="6"/>
  </r>
  <r>
    <x v="14"/>
  </r>
  <r>
    <x v="1"/>
  </r>
  <r>
    <x v="2"/>
  </r>
  <r>
    <x v="5"/>
  </r>
  <r>
    <x v="1"/>
  </r>
  <r>
    <x v="18"/>
  </r>
  <r>
    <x v="18"/>
  </r>
  <r>
    <x v="20"/>
  </r>
  <r>
    <x v="15"/>
  </r>
  <r>
    <x v="1"/>
  </r>
  <r>
    <x v="12"/>
  </r>
  <r>
    <x v="9"/>
  </r>
  <r>
    <x v="9"/>
  </r>
  <r>
    <x v="15"/>
  </r>
  <r>
    <x v="19"/>
  </r>
  <r>
    <x v="2"/>
  </r>
  <r>
    <x v="5"/>
  </r>
  <r>
    <x v="2"/>
  </r>
  <r>
    <x v="15"/>
  </r>
  <r>
    <x v="2"/>
  </r>
  <r>
    <x v="3"/>
  </r>
  <r>
    <x v="11"/>
  </r>
  <r>
    <x v="3"/>
  </r>
  <r>
    <x v="9"/>
  </r>
  <r>
    <x v="4"/>
  </r>
  <r>
    <x v="12"/>
  </r>
  <r>
    <x v="13"/>
  </r>
  <r>
    <x v="9"/>
  </r>
  <r>
    <x v="12"/>
  </r>
  <r>
    <x v="2"/>
  </r>
  <r>
    <x v="4"/>
  </r>
  <r>
    <x v="10"/>
  </r>
  <r>
    <x v="9"/>
  </r>
  <r>
    <x v="0"/>
  </r>
  <r>
    <x v="9"/>
  </r>
  <r>
    <x v="0"/>
  </r>
  <r>
    <x v="11"/>
  </r>
  <r>
    <x v="5"/>
  </r>
  <r>
    <x v="3"/>
  </r>
  <r>
    <x v="3"/>
  </r>
  <r>
    <x v="18"/>
  </r>
  <r>
    <x v="7"/>
  </r>
  <r>
    <x v="4"/>
  </r>
  <r>
    <x v="11"/>
  </r>
  <r>
    <x v="0"/>
  </r>
  <r>
    <x v="12"/>
  </r>
  <r>
    <x v="13"/>
  </r>
  <r>
    <x v="1"/>
  </r>
  <r>
    <x v="3"/>
  </r>
  <r>
    <x v="3"/>
  </r>
  <r>
    <x v="13"/>
  </r>
  <r>
    <x v="15"/>
  </r>
  <r>
    <x v="6"/>
  </r>
  <r>
    <x v="7"/>
  </r>
  <r>
    <x v="7"/>
  </r>
  <r>
    <x v="12"/>
  </r>
  <r>
    <x v="1"/>
  </r>
  <r>
    <x v="10"/>
  </r>
  <r>
    <x v="3"/>
  </r>
  <r>
    <x v="4"/>
  </r>
  <r>
    <x v="6"/>
  </r>
  <r>
    <x v="12"/>
  </r>
  <r>
    <x v="11"/>
  </r>
  <r>
    <x v="3"/>
  </r>
  <r>
    <x v="19"/>
  </r>
  <r>
    <x v="18"/>
  </r>
  <r>
    <x v="1"/>
  </r>
  <r>
    <x v="10"/>
  </r>
  <r>
    <x v="1"/>
  </r>
  <r>
    <x v="6"/>
  </r>
  <r>
    <x v="9"/>
  </r>
  <r>
    <x v="7"/>
  </r>
  <r>
    <x v="1"/>
  </r>
  <r>
    <x v="2"/>
  </r>
  <r>
    <x v="4"/>
  </r>
  <r>
    <x v="9"/>
  </r>
  <r>
    <x v="13"/>
  </r>
  <r>
    <x v="1"/>
  </r>
  <r>
    <x v="1"/>
  </r>
  <r>
    <x v="6"/>
  </r>
  <r>
    <x v="12"/>
  </r>
  <r>
    <x v="9"/>
  </r>
  <r>
    <x v="6"/>
  </r>
  <r>
    <x v="14"/>
  </r>
  <r>
    <x v="19"/>
  </r>
  <r>
    <x v="7"/>
  </r>
  <r>
    <x v="14"/>
  </r>
  <r>
    <x v="10"/>
  </r>
  <r>
    <x v="12"/>
  </r>
  <r>
    <x v="3"/>
  </r>
  <r>
    <x v="3"/>
  </r>
  <r>
    <x v="15"/>
  </r>
  <r>
    <x v="3"/>
  </r>
  <r>
    <x v="10"/>
  </r>
  <r>
    <x v="5"/>
  </r>
  <r>
    <x v="14"/>
  </r>
  <r>
    <x v="12"/>
  </r>
  <r>
    <x v="2"/>
  </r>
  <r>
    <x v="9"/>
  </r>
  <r>
    <x v="6"/>
  </r>
  <r>
    <x v="3"/>
  </r>
  <r>
    <x v="9"/>
  </r>
  <r>
    <x v="12"/>
  </r>
  <r>
    <x v="11"/>
  </r>
  <r>
    <x v="3"/>
  </r>
  <r>
    <x v="2"/>
  </r>
  <r>
    <x v="11"/>
  </r>
  <r>
    <x v="6"/>
  </r>
  <r>
    <x v="6"/>
  </r>
  <r>
    <x v="18"/>
  </r>
  <r>
    <x v="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0">
  <r>
    <n v="1001"/>
    <s v="Argentina"/>
    <s v="Argentina (ARG)"/>
    <n v="1"/>
    <s v="GK"/>
    <x v="0"/>
    <d v="1986-10-16T00:00:00"/>
    <n v="36"/>
    <n v="18"/>
    <n v="0"/>
    <s v="River Plate"/>
    <s v="ARG-01"/>
    <s v="Winner"/>
    <n v="1"/>
  </r>
  <r>
    <n v="1002"/>
    <s v="Argentina"/>
    <s v="Argentina (ARG)"/>
    <n v="2"/>
    <s v="DF"/>
    <x v="1"/>
    <d v="1998-01-12T00:00:00"/>
    <n v="24"/>
    <n v="16"/>
    <n v="0"/>
    <s v="Villarreal"/>
    <s v="ESP-06"/>
    <s v="Winner"/>
    <n v="1"/>
  </r>
  <r>
    <n v="1003"/>
    <s v="Argentina"/>
    <s v="Argentina (ARG)"/>
    <n v="3"/>
    <s v="DF"/>
    <x v="2"/>
    <d v="1992-08-31T00:00:00"/>
    <n v="30"/>
    <n v="42"/>
    <n v="0"/>
    <s v="Lyon"/>
    <s v="FRA-09"/>
    <s v="Winner"/>
    <n v="1"/>
  </r>
  <r>
    <n v="1004"/>
    <s v="Argentina"/>
    <s v="Argentina (ARG)"/>
    <n v="4"/>
    <s v="DF"/>
    <x v="3"/>
    <d v="1997-01-01T00:00:00"/>
    <n v="25"/>
    <n v="18"/>
    <n v="0"/>
    <s v="Sevilla"/>
    <s v="ESP-04"/>
    <s v="Winner"/>
    <n v="1"/>
  </r>
  <r>
    <n v="1005"/>
    <s v="Argentina"/>
    <s v="Argentina (ARG)"/>
    <n v="5"/>
    <s v="MF"/>
    <x v="4"/>
    <d v="1994-06-29T00:00:00"/>
    <n v="28"/>
    <n v="46"/>
    <n v="4"/>
    <s v="Juventus"/>
    <s v="ITA-01"/>
    <s v="Winner"/>
    <n v="1"/>
  </r>
  <r>
    <n v="1006"/>
    <s v="Argentina"/>
    <s v="Argentina (ARG)"/>
    <n v="6"/>
    <s v="DF"/>
    <x v="5"/>
    <d v="1991-06-27T00:00:00"/>
    <n v="31"/>
    <n v="32"/>
    <n v="2"/>
    <s v="Real Betis"/>
    <s v="ESP-05"/>
    <s v="Winner"/>
    <n v="1"/>
  </r>
  <r>
    <n v="1007"/>
    <s v="Argentina"/>
    <s v="Argentina (ARG)"/>
    <n v="7"/>
    <s v="MF"/>
    <x v="6"/>
    <d v="1994-05-24T00:00:00"/>
    <n v="28"/>
    <n v="44"/>
    <n v="2"/>
    <s v="Atlético Madrid"/>
    <s v="ESP-03"/>
    <s v="Winner"/>
    <n v="1"/>
  </r>
  <r>
    <n v="1008"/>
    <s v="Argentina"/>
    <s v="Argentina (ARG)"/>
    <n v="8"/>
    <s v="MF"/>
    <x v="7"/>
    <d v="1991-10-28T00:00:00"/>
    <n v="31"/>
    <n v="43"/>
    <n v="0"/>
    <s v="Sevilla"/>
    <s v="ESP-04"/>
    <s v="Winner"/>
    <n v="1"/>
  </r>
  <r>
    <n v="1009"/>
    <s v="Argentina"/>
    <s v="Argentina (ARG)"/>
    <n v="9"/>
    <s v="FW"/>
    <x v="8"/>
    <d v="2000-01-31T00:00:00"/>
    <n v="22"/>
    <n v="12"/>
    <n v="3"/>
    <s v="Manchester City"/>
    <s v="ENG-01"/>
    <s v="Winner"/>
    <n v="1"/>
  </r>
  <r>
    <n v="1010"/>
    <s v="Argentina"/>
    <s v="Argentina (ARG)"/>
    <n v="10"/>
    <s v="FW"/>
    <x v="9"/>
    <d v="1987-06-24T00:00:00"/>
    <n v="35"/>
    <n v="165"/>
    <n v="91"/>
    <s v="Paris Saint-Germain"/>
    <s v="FRA-01"/>
    <s v="Winner"/>
    <n v="1"/>
  </r>
  <r>
    <n v="1011"/>
    <s v="Argentina"/>
    <s v="Argentina (ARG)"/>
    <n v="11"/>
    <s v="FW"/>
    <x v="10"/>
    <d v="1988-02-14T00:00:00"/>
    <n v="34"/>
    <n v="124"/>
    <n v="27"/>
    <s v="Juventus"/>
    <s v="ITA-01"/>
    <s v="Winner"/>
    <n v="1"/>
  </r>
  <r>
    <n v="1012"/>
    <s v="Argentina"/>
    <s v="Argentina (ARG)"/>
    <n v="12"/>
    <s v="GK"/>
    <x v="11"/>
    <d v="1992-05-20T00:00:00"/>
    <n v="30"/>
    <n v="4"/>
    <n v="0"/>
    <s v="Villarreal"/>
    <s v="ESP-06"/>
    <s v="Winner"/>
    <n v="1"/>
  </r>
  <r>
    <n v="1013"/>
    <s v="Argentina"/>
    <s v="Argentina (ARG)"/>
    <n v="13"/>
    <s v="DF"/>
    <x v="12"/>
    <d v="1998-04-27T00:00:00"/>
    <n v="24"/>
    <n v="12"/>
    <n v="1"/>
    <s v="Tottenham Hotspur"/>
    <s v="ENG-04"/>
    <s v="Winner"/>
    <n v="1"/>
  </r>
  <r>
    <n v="1014"/>
    <s v="Argentina"/>
    <s v="Argentina (ARG)"/>
    <n v="14"/>
    <s v="MF"/>
    <x v="13"/>
    <d v="1998-10-05T00:00:00"/>
    <n v="24"/>
    <n v="20"/>
    <n v="0"/>
    <s v="Bayer Leverkusen"/>
    <s v="GER-07"/>
    <s v="Winner"/>
    <n v="1"/>
  </r>
  <r>
    <n v="1015"/>
    <s v="Argentina"/>
    <s v="Argentina (ARG)"/>
    <n v="15"/>
    <s v="FW"/>
    <x v="14"/>
    <d v="1995-03-09T00:00:00"/>
    <n v="27"/>
    <n v="22"/>
    <n v="3"/>
    <s v="Atlético Madrid"/>
    <s v="ESP-03"/>
    <s v="Winner"/>
    <n v="1"/>
  </r>
  <r>
    <n v="1016"/>
    <s v="Argentina"/>
    <s v="Argentina (ARG)"/>
    <n v="16"/>
    <s v="MF"/>
    <x v="15"/>
    <d v="2001-04-26T00:00:00"/>
    <n v="21"/>
    <n v="1"/>
    <n v="0"/>
    <s v="Atlanta United FC"/>
    <s v="USA-06"/>
    <s v="Winner"/>
    <n v="1"/>
  </r>
  <r>
    <n v="1017"/>
    <s v="Argentina"/>
    <s v="Argentina (ARG)"/>
    <n v="17"/>
    <s v="MF"/>
    <x v="16"/>
    <d v="1988-02-15T00:00:00"/>
    <n v="34"/>
    <n v="15"/>
    <n v="3"/>
    <s v="Sevilla"/>
    <s v="ESP-04"/>
    <s v="Winner"/>
    <n v="1"/>
  </r>
  <r>
    <n v="1018"/>
    <s v="Argentina"/>
    <s v="Argentina (ARG)"/>
    <n v="18"/>
    <s v="MF"/>
    <x v="17"/>
    <d v="1994-04-12T00:00:00"/>
    <n v="28"/>
    <n v="26"/>
    <n v="1"/>
    <s v="Real Betis"/>
    <s v="ESP-05"/>
    <s v="Winner"/>
    <n v="1"/>
  </r>
  <r>
    <n v="1019"/>
    <s v="Argentina"/>
    <s v="Argentina (ARG)"/>
    <n v="19"/>
    <s v="DF"/>
    <x v="18"/>
    <d v="1988-02-12T00:00:00"/>
    <n v="34"/>
    <n v="93"/>
    <n v="4"/>
    <s v="Benfica"/>
    <s v="POR-01"/>
    <s v="Winner"/>
    <n v="1"/>
  </r>
  <r>
    <n v="1020"/>
    <s v="Argentina"/>
    <s v="Argentina (ARG)"/>
    <n v="20"/>
    <s v="MF"/>
    <x v="19"/>
    <d v="1998-12-24T00:00:00"/>
    <n v="23"/>
    <n v="8"/>
    <n v="0"/>
    <s v="Brighton &amp; Hove Albion"/>
    <s v="ENG-06"/>
    <s v="Winner"/>
    <n v="1"/>
  </r>
  <r>
    <n v="1021"/>
    <s v="Argentina"/>
    <s v="Argentina (ARG)"/>
    <n v="21"/>
    <s v="FW"/>
    <x v="20"/>
    <d v="1993-11-15T00:00:00"/>
    <n v="29"/>
    <n v="34"/>
    <n v="3"/>
    <s v="Roma"/>
    <s v="ITA-09"/>
    <s v="Winner"/>
    <n v="1"/>
  </r>
  <r>
    <n v="1022"/>
    <s v="Argentina"/>
    <s v="Argentina (ARG)"/>
    <n v="22"/>
    <s v="FW"/>
    <x v="21"/>
    <d v="1997-08-22T00:00:00"/>
    <n v="25"/>
    <n v="40"/>
    <n v="21"/>
    <s v="Internazionale"/>
    <s v="ITA-03"/>
    <s v="Winner"/>
    <n v="1"/>
  </r>
  <r>
    <n v="1023"/>
    <s v="Argentina"/>
    <s v="Argentina (ARG)"/>
    <n v="23"/>
    <s v="GK"/>
    <x v="22"/>
    <d v="1992-09-02T00:00:00"/>
    <n v="30"/>
    <n v="19"/>
    <n v="0"/>
    <s v="Aston Villa"/>
    <s v="ENG-15"/>
    <s v="Winner"/>
    <n v="1"/>
  </r>
  <r>
    <n v="1024"/>
    <s v="Argentina"/>
    <s v="Argentina (ARG)"/>
    <n v="24"/>
    <s v="MF"/>
    <x v="23"/>
    <d v="2001-01-17T00:00:00"/>
    <n v="21"/>
    <n v="3"/>
    <n v="0"/>
    <s v="Benfica"/>
    <s v="POR-01"/>
    <s v="Winner"/>
    <n v="1"/>
  </r>
  <r>
    <n v="1025"/>
    <s v="Argentina"/>
    <s v="Argentina (ARG)"/>
    <n v="25"/>
    <s v="DF"/>
    <x v="24"/>
    <d v="1998-01-18T00:00:00"/>
    <n v="24"/>
    <n v="10"/>
    <n v="0"/>
    <s v="Manchester United"/>
    <s v="ENG-02"/>
    <s v="Winner"/>
    <n v="1"/>
  </r>
  <r>
    <n v="1026"/>
    <s v="Argentina"/>
    <s v="Argentina (ARG)"/>
    <n v="26"/>
    <s v="DF"/>
    <x v="25"/>
    <d v="1998-04-06T00:00:00"/>
    <n v="24"/>
    <n v="20"/>
    <n v="0"/>
    <s v="Atlético Madrid"/>
    <s v="ESP-03"/>
    <s v="Winner"/>
    <n v="1"/>
  </r>
  <r>
    <n v="1027"/>
    <s v="Australia"/>
    <s v="Australia (AUS)"/>
    <n v="1"/>
    <s v="GK"/>
    <x v="26"/>
    <d v="1992-04-08T00:00:00"/>
    <n v="30"/>
    <n v="75"/>
    <n v="0"/>
    <s v="Copenhagen"/>
    <s v="DEN-01"/>
    <s v="Last 16"/>
    <n v="0"/>
  </r>
  <r>
    <n v="1028"/>
    <s v="Australia"/>
    <s v="Australia (AUS)"/>
    <n v="2"/>
    <s v="DF"/>
    <x v="27"/>
    <d v="1994-04-28T00:00:00"/>
    <n v="28"/>
    <n v="38"/>
    <n v="1"/>
    <s v="Columbus Crew"/>
    <s v="USA-09"/>
    <s v="Last 16"/>
    <n v="0"/>
  </r>
  <r>
    <n v="1029"/>
    <s v="Australia"/>
    <s v="Australia (AUS)"/>
    <n v="3"/>
    <s v="DF"/>
    <x v="28"/>
    <d v="1999-06-13T00:00:00"/>
    <n v="23"/>
    <n v="5"/>
    <n v="0"/>
    <s v="Heart of Midlothian"/>
    <s v="SCO-02"/>
    <s v="Last 16"/>
    <n v="0"/>
  </r>
  <r>
    <n v="1030"/>
    <s v="Australia"/>
    <s v="Australia (AUS)"/>
    <n v="4"/>
    <s v="DF"/>
    <x v="29"/>
    <d v="1998-06-24T00:00:00"/>
    <n v="24"/>
    <n v="3"/>
    <n v="0"/>
    <s v="Heart of Midlothian"/>
    <s v="SCO-02"/>
    <s v="Last 16"/>
    <n v="0"/>
  </r>
  <r>
    <n v="1031"/>
    <s v="Australia"/>
    <s v="Australia (AUS)"/>
    <n v="5"/>
    <s v="DF"/>
    <x v="30"/>
    <d v="1996-05-12T00:00:00"/>
    <n v="26"/>
    <n v="11"/>
    <n v="1"/>
    <s v="Brescia"/>
    <s v="ITA-17"/>
    <s v="Last 16"/>
    <n v="0"/>
  </r>
  <r>
    <n v="1032"/>
    <s v="Australia"/>
    <s v="Australia (AUS)"/>
    <n v="6"/>
    <s v="FW"/>
    <x v="31"/>
    <d v="1993-04-25T00:00:00"/>
    <n v="29"/>
    <n v="19"/>
    <n v="5"/>
    <s v="Hibernian"/>
    <s v="SCO-04"/>
    <s v="Last 16"/>
    <n v="0"/>
  </r>
  <r>
    <n v="1033"/>
    <s v="Australia"/>
    <s v="Australia (AUS)"/>
    <n v="7"/>
    <s v="FW"/>
    <x v="32"/>
    <d v="1991-02-04T00:00:00"/>
    <n v="31"/>
    <n v="73"/>
    <n v="13"/>
    <s v="Melbourne City"/>
    <s v="AUS-02"/>
    <s v="Last 16"/>
    <n v="0"/>
  </r>
  <r>
    <n v="1034"/>
    <s v="Australia"/>
    <s v="Australia (AUS)"/>
    <n v="8"/>
    <s v="DF"/>
    <x v="33"/>
    <d v="1992-07-28T00:00:00"/>
    <n v="30"/>
    <n v="27"/>
    <n v="2"/>
    <s v="Sunderland"/>
    <s v="ENG-29"/>
    <s v="Last 16"/>
    <n v="0"/>
  </r>
  <r>
    <n v="1035"/>
    <s v="Australia"/>
    <s v="Australia (AUS)"/>
    <n v="9"/>
    <s v="FW"/>
    <x v="34"/>
    <d v="1993-07-29T00:00:00"/>
    <n v="29"/>
    <n v="26"/>
    <n v="8"/>
    <s v="Melbourne City"/>
    <s v="AUS-02"/>
    <s v="Last 16"/>
    <n v="0"/>
  </r>
  <r>
    <n v="1036"/>
    <s v="Australia"/>
    <s v="Australia (AUS)"/>
    <n v="10"/>
    <s v="MF"/>
    <x v="35"/>
    <d v="1996-07-05T00:00:00"/>
    <n v="26"/>
    <n v="20"/>
    <n v="3"/>
    <s v="Hellas Verona"/>
    <s v="ITA-08"/>
    <s v="Last 16"/>
    <n v="0"/>
  </r>
  <r>
    <n v="1037"/>
    <s v="Australia"/>
    <s v="Australia (AUS)"/>
    <n v="11"/>
    <s v="FW"/>
    <x v="36"/>
    <d v="1995-09-15T00:00:00"/>
    <n v="27"/>
    <n v="29"/>
    <n v="8"/>
    <s v="Cádiz"/>
    <s v="ESP-15"/>
    <s v="Last 16"/>
    <n v="0"/>
  </r>
  <r>
    <n v="1038"/>
    <s v="Australia"/>
    <s v="Australia (AUS)"/>
    <n v="12"/>
    <s v="GK"/>
    <x v="37"/>
    <d v="1989-01-13T00:00:00"/>
    <n v="33"/>
    <n v="4"/>
    <n v="0"/>
    <s v="Sydney FC"/>
    <s v="AUS-04"/>
    <s v="Last 16"/>
    <n v="0"/>
  </r>
  <r>
    <n v="1039"/>
    <s v="Australia"/>
    <s v="Australia (AUS)"/>
    <n v="13"/>
    <s v="MF"/>
    <x v="38"/>
    <d v="1990-09-15T00:00:00"/>
    <n v="32"/>
    <n v="53"/>
    <n v="7"/>
    <s v="Celtic"/>
    <s v="SCO-01"/>
    <s v="Last 16"/>
    <n v="0"/>
  </r>
  <r>
    <n v="1040"/>
    <s v="Australia"/>
    <s v="Australia (AUS)"/>
    <n v="14"/>
    <s v="MF"/>
    <x v="39"/>
    <d v="1998-11-02T00:00:00"/>
    <n v="24"/>
    <n v="11"/>
    <n v="1"/>
    <s v="Middlesbrough"/>
    <s v="ENG-33"/>
    <s v="Last 16"/>
    <n v="0"/>
  </r>
  <r>
    <n v="1041"/>
    <s v="Australia"/>
    <s v="Australia (AUS)"/>
    <n v="15"/>
    <s v="FW"/>
    <x v="40"/>
    <d v="1991-01-18T00:00:00"/>
    <n v="31"/>
    <n v="21"/>
    <n v="8"/>
    <s v="Fagiano Okayama"/>
    <s v="JPN-03"/>
    <s v="Last 16"/>
    <n v="0"/>
  </r>
  <r>
    <n v="1042"/>
    <s v="Australia"/>
    <s v="Australia (AUS)"/>
    <n v="16"/>
    <s v="DF"/>
    <x v="41"/>
    <d v="1990-12-16T00:00:00"/>
    <n v="31"/>
    <n v="53"/>
    <n v="2"/>
    <s v="Dundee United"/>
    <s v="SCO-03"/>
    <s v="Last 16"/>
    <n v="0"/>
  </r>
  <r>
    <n v="1043"/>
    <s v="Australia"/>
    <s v="Australia (AUS)"/>
    <n v="17"/>
    <s v="MF"/>
    <x v="42"/>
    <d v="1998-06-07T00:00:00"/>
    <n v="24"/>
    <n v="1"/>
    <n v="0"/>
    <s v="Heart of Midlothian"/>
    <s v="SCO-02"/>
    <s v="Last 16"/>
    <n v="0"/>
  </r>
  <r>
    <n v="1044"/>
    <s v="Australia"/>
    <s v="Australia (AUS)"/>
    <n v="18"/>
    <s v="GK"/>
    <x v="43"/>
    <d v="1985-03-27T00:00:00"/>
    <n v="37"/>
    <n v="4"/>
    <n v="0"/>
    <s v="Central Coast Mariners"/>
    <s v="AUS-01"/>
    <s v="Last 16"/>
    <n v="0"/>
  </r>
  <r>
    <n v="1045"/>
    <s v="Australia"/>
    <s v="Australia (AUS)"/>
    <n v="19"/>
    <s v="DF"/>
    <x v="44"/>
    <d v="1998-10-22T00:00:00"/>
    <n v="24"/>
    <n v="10"/>
    <n v="6"/>
    <s v="Stoke City"/>
    <s v="ENG-37"/>
    <s v="Last 16"/>
    <n v="0"/>
  </r>
  <r>
    <n v="1046"/>
    <s v="Australia"/>
    <s v="Australia (AUS)"/>
    <n v="20"/>
    <s v="DF"/>
    <x v="45"/>
    <d v="1997-03-20T00:00:00"/>
    <n v="25"/>
    <n v="2"/>
    <n v="0"/>
    <s v="Albirex Niigata"/>
    <s v="JPN-02"/>
    <s v="Last 16"/>
    <n v="0"/>
  </r>
  <r>
    <n v="1047"/>
    <s v="Australia"/>
    <s v="Australia (AUS)"/>
    <n v="21"/>
    <s v="FW"/>
    <x v="46"/>
    <d v="2004-09-15T00:00:00"/>
    <n v="18"/>
    <n v="1"/>
    <n v="0"/>
    <s v="Central Coast Mariners"/>
    <s v="AUS-01"/>
    <s v="Last 16"/>
    <n v="0"/>
  </r>
  <r>
    <n v="1048"/>
    <s v="Australia"/>
    <s v="Australia (AUS)"/>
    <n v="22"/>
    <s v="MF"/>
    <x v="47"/>
    <d v="1993-03-07T00:00:00"/>
    <n v="29"/>
    <n v="49"/>
    <n v="7"/>
    <s v="FC St. Pauli"/>
    <s v="GER-15"/>
    <s v="Last 16"/>
    <n v="0"/>
  </r>
  <r>
    <n v="1049"/>
    <s v="Australia"/>
    <s v="Australia (AUS)"/>
    <n v="23"/>
    <s v="FW"/>
    <x v="48"/>
    <d v="1991-12-16T00:00:00"/>
    <n v="30"/>
    <n v="10"/>
    <n v="1"/>
    <s v="Adelaide United"/>
    <s v="AUS-03"/>
    <s v="Last 16"/>
    <n v="0"/>
  </r>
  <r>
    <n v="1050"/>
    <s v="Australia"/>
    <s v="Australia (AUS)"/>
    <n v="24"/>
    <s v="DF"/>
    <x v="49"/>
    <d v="2000-10-30T00:00:00"/>
    <n v="22"/>
    <n v="4"/>
    <n v="0"/>
    <s v="OB"/>
    <s v="DEN-03"/>
    <s v="Last 16"/>
    <n v="0"/>
  </r>
  <r>
    <n v="1051"/>
    <s v="Australia"/>
    <s v="Australia (AUS)"/>
    <n v="25"/>
    <s v="FW"/>
    <x v="50"/>
    <d v="1995-08-01T00:00:00"/>
    <n v="27"/>
    <n v="1"/>
    <n v="1"/>
    <s v="Central Coast Mariners"/>
    <s v="AUS-01"/>
    <s v="Last 16"/>
    <n v="0"/>
  </r>
  <r>
    <n v="1052"/>
    <s v="Australia"/>
    <s v="Australia (AUS)"/>
    <n v="26"/>
    <s v="MF"/>
    <x v="51"/>
    <d v="1998-06-07T00:00:00"/>
    <n v="24"/>
    <n v="1"/>
    <n v="0"/>
    <s v="St Mirren"/>
    <s v="SCO-07"/>
    <s v="Last 16"/>
    <n v="0"/>
  </r>
  <r>
    <n v="1053"/>
    <s v="Belgium"/>
    <s v="Belgium (BEL)"/>
    <n v="1"/>
    <s v="GK"/>
    <x v="52"/>
    <d v="1992-05-11T00:00:00"/>
    <n v="30"/>
    <n v="97"/>
    <n v="0"/>
    <s v="Real Madrid"/>
    <s v="ESP-02"/>
    <s v="Group stage"/>
    <n v="0"/>
  </r>
  <r>
    <n v="1054"/>
    <s v="Belgium"/>
    <s v="Belgium (BEL)"/>
    <n v="2"/>
    <s v="DF"/>
    <x v="53"/>
    <d v="1989-03-02T00:00:00"/>
    <n v="33"/>
    <n v="124"/>
    <n v="5"/>
    <s v="Antwerp"/>
    <s v="BEL-02"/>
    <s v="Group stage"/>
    <n v="0"/>
  </r>
  <r>
    <n v="1055"/>
    <s v="Belgium"/>
    <s v="Belgium (BEL)"/>
    <n v="3"/>
    <s v="DF"/>
    <x v="54"/>
    <d v="2000-05-25T00:00:00"/>
    <n v="22"/>
    <n v="4"/>
    <n v="0"/>
    <s v="Rennes"/>
    <s v="FRA-02"/>
    <s v="Group stage"/>
    <n v="0"/>
  </r>
  <r>
    <n v="1056"/>
    <s v="Belgium"/>
    <s v="Belgium (BEL)"/>
    <n v="4"/>
    <s v="DF"/>
    <x v="55"/>
    <d v="1998-04-03T00:00:00"/>
    <n v="24"/>
    <n v="1"/>
    <n v="0"/>
    <s v="Leicester City"/>
    <s v="ENG-07"/>
    <s v="Group stage"/>
    <n v="0"/>
  </r>
  <r>
    <n v="1057"/>
    <s v="Belgium"/>
    <s v="Belgium (BEL)"/>
    <n v="5"/>
    <s v="DF"/>
    <x v="56"/>
    <d v="1987-04-24T00:00:00"/>
    <n v="35"/>
    <n v="142"/>
    <n v="9"/>
    <s v="Anderlecht"/>
    <s v="BEL-04"/>
    <s v="Group stage"/>
    <n v="0"/>
  </r>
  <r>
    <n v="1058"/>
    <s v="Belgium"/>
    <s v="Belgium (BEL)"/>
    <n v="6"/>
    <s v="MF"/>
    <x v="57"/>
    <d v="1989-01-12T00:00:00"/>
    <n v="33"/>
    <n v="127"/>
    <n v="12"/>
    <s v="Atlético Madrid"/>
    <s v="ESP-03"/>
    <s v="Group stage"/>
    <n v="0"/>
  </r>
  <r>
    <n v="1059"/>
    <s v="Belgium"/>
    <s v="Belgium (BEL)"/>
    <n v="7"/>
    <s v="MF"/>
    <x v="58"/>
    <d v="1991-06-28T00:00:00"/>
    <n v="31"/>
    <n v="94"/>
    <n v="25"/>
    <s v="Manchester City"/>
    <s v="ENG-01"/>
    <s v="Group stage"/>
    <n v="0"/>
  </r>
  <r>
    <n v="1060"/>
    <s v="Belgium"/>
    <s v="Belgium (BEL)"/>
    <n v="8"/>
    <s v="MF"/>
    <x v="59"/>
    <d v="1997-05-07T00:00:00"/>
    <n v="25"/>
    <n v="55"/>
    <n v="5"/>
    <s v="Leicester City"/>
    <s v="ENG-07"/>
    <s v="Group stage"/>
    <n v="0"/>
  </r>
  <r>
    <n v="1061"/>
    <s v="Belgium"/>
    <s v="Belgium (BEL)"/>
    <n v="9"/>
    <s v="FW"/>
    <x v="60"/>
    <d v="1993-05-13T00:00:00"/>
    <n v="29"/>
    <n v="102"/>
    <n v="68"/>
    <s v="Internazionale"/>
    <s v="ITA-03"/>
    <s v="Group stage"/>
    <n v="0"/>
  </r>
  <r>
    <n v="1062"/>
    <s v="Belgium"/>
    <s v="Belgium (BEL)"/>
    <n v="10"/>
    <s v="FW"/>
    <x v="61"/>
    <d v="1991-01-07T00:00:00"/>
    <n v="31"/>
    <n v="123"/>
    <n v="33"/>
    <s v="Real Madrid"/>
    <s v="ESP-02"/>
    <s v="Group stage"/>
    <n v="0"/>
  </r>
  <r>
    <n v="1063"/>
    <s v="Belgium"/>
    <s v="Belgium (BEL)"/>
    <n v="11"/>
    <s v="FW"/>
    <x v="62"/>
    <d v="1993-09-04T00:00:00"/>
    <n v="29"/>
    <n v="60"/>
    <n v="8"/>
    <s v="Atlético Madrid"/>
    <s v="ESP-03"/>
    <s v="Group stage"/>
    <n v="0"/>
  </r>
  <r>
    <n v="1064"/>
    <s v="Belgium"/>
    <s v="Belgium (BEL)"/>
    <n v="12"/>
    <s v="GK"/>
    <x v="63"/>
    <d v="1988-03-06T00:00:00"/>
    <n v="34"/>
    <n v="35"/>
    <n v="0"/>
    <s v="Club Brugge"/>
    <s v="BEL-01"/>
    <s v="Group stage"/>
    <n v="0"/>
  </r>
  <r>
    <n v="1065"/>
    <s v="Belgium"/>
    <s v="Belgium (BEL)"/>
    <n v="13"/>
    <s v="GK"/>
    <x v="64"/>
    <d v="1992-06-25T00:00:00"/>
    <n v="30"/>
    <n v="4"/>
    <n v="0"/>
    <s v="VfL Wolfsburg"/>
    <s v="GER-11"/>
    <s v="Group stage"/>
    <n v="0"/>
  </r>
  <r>
    <n v="1066"/>
    <s v="Belgium"/>
    <s v="Belgium (BEL)"/>
    <n v="14"/>
    <s v="FW"/>
    <x v="65"/>
    <d v="1987-05-06T00:00:00"/>
    <n v="35"/>
    <n v="107"/>
    <n v="21"/>
    <s v="Galatasaray"/>
    <s v="TUR-01"/>
    <s v="Group stage"/>
    <n v="0"/>
  </r>
  <r>
    <n v="1067"/>
    <s v="Belgium"/>
    <s v="Belgium (BEL)"/>
    <n v="15"/>
    <s v="MF"/>
    <x v="66"/>
    <d v="1991-09-12T00:00:00"/>
    <n v="31"/>
    <n v="59"/>
    <n v="8"/>
    <s v="Borussia Dortmund"/>
    <s v="GER-02"/>
    <s v="Group stage"/>
    <n v="0"/>
  </r>
  <r>
    <n v="1068"/>
    <s v="Belgium"/>
    <s v="Belgium (BEL)"/>
    <n v="16"/>
    <s v="MF"/>
    <x v="67"/>
    <d v="1993-03-29T00:00:00"/>
    <n v="29"/>
    <n v="45"/>
    <n v="9"/>
    <s v="Borussia Dortmund"/>
    <s v="GER-02"/>
    <s v="Group stage"/>
    <n v="0"/>
  </r>
  <r>
    <n v="1069"/>
    <s v="Belgium"/>
    <s v="Belgium (BEL)"/>
    <n v="17"/>
    <s v="FW"/>
    <x v="68"/>
    <d v="1994-12-04T00:00:00"/>
    <n v="27"/>
    <n v="21"/>
    <n v="5"/>
    <s v="Brighton &amp; Hove Albion"/>
    <s v="ENG-06"/>
    <s v="Group stage"/>
    <n v="0"/>
  </r>
  <r>
    <n v="1070"/>
    <s v="Belgium"/>
    <s v="Belgium (BEL)"/>
    <n v="18"/>
    <s v="MF"/>
    <x v="69"/>
    <d v="2001-08-16T00:00:00"/>
    <n v="21"/>
    <n v="2"/>
    <n v="0"/>
    <s v="Everton"/>
    <s v="ENG-16"/>
    <s v="Group stage"/>
    <n v="0"/>
  </r>
  <r>
    <n v="1071"/>
    <s v="Belgium"/>
    <s v="Belgium (BEL)"/>
    <n v="19"/>
    <s v="DF"/>
    <x v="70"/>
    <d v="1995-04-15T00:00:00"/>
    <n v="27"/>
    <n v="29"/>
    <n v="1"/>
    <s v="Aston Villa"/>
    <s v="ENG-15"/>
    <s v="Group stage"/>
    <n v="0"/>
  </r>
  <r>
    <n v="1072"/>
    <s v="Belgium"/>
    <s v="Belgium (BEL)"/>
    <n v="20"/>
    <s v="MF"/>
    <x v="71"/>
    <d v="1992-08-24T00:00:00"/>
    <n v="30"/>
    <n v="23"/>
    <n v="5"/>
    <s v="Club Brugge"/>
    <s v="BEL-01"/>
    <s v="Group stage"/>
    <n v="0"/>
  </r>
  <r>
    <n v="1073"/>
    <s v="Belgium"/>
    <s v="Belgium (BEL)"/>
    <n v="21"/>
    <s v="MF"/>
    <x v="72"/>
    <d v="1995-12-05T00:00:00"/>
    <n v="26"/>
    <n v="26"/>
    <n v="2"/>
    <s v="Leicester City"/>
    <s v="ENG-07"/>
    <s v="Group stage"/>
    <n v="0"/>
  </r>
  <r>
    <n v="1074"/>
    <s v="Belgium"/>
    <s v="Belgium (BEL)"/>
    <n v="22"/>
    <s v="FW"/>
    <x v="73"/>
    <d v="2001-03-10T00:00:00"/>
    <n v="21"/>
    <n v="10"/>
    <n v="1"/>
    <s v="Milan"/>
    <s v="ITA-02"/>
    <s v="Group stage"/>
    <n v="0"/>
  </r>
  <r>
    <n v="1075"/>
    <s v="Belgium"/>
    <s v="Belgium (BEL)"/>
    <n v="23"/>
    <s v="FW"/>
    <x v="74"/>
    <d v="1993-10-02T00:00:00"/>
    <n v="29"/>
    <n v="48"/>
    <n v="26"/>
    <s v="Fenerbahçe"/>
    <s v="TUR-03"/>
    <s v="Group stage"/>
    <n v="0"/>
  </r>
  <r>
    <n v="1076"/>
    <s v="Belgium"/>
    <s v="Belgium (BEL)"/>
    <n v="24"/>
    <s v="FW"/>
    <x v="75"/>
    <d v="2000-02-16T00:00:00"/>
    <n v="22"/>
    <n v="5"/>
    <n v="2"/>
    <s v="Lens"/>
    <s v="FRA-05"/>
    <s v="Group stage"/>
    <n v="0"/>
  </r>
  <r>
    <n v="1077"/>
    <s v="Belgium"/>
    <s v="Belgium (BEL)"/>
    <n v="25"/>
    <s v="FW"/>
    <x v="76"/>
    <d v="2002-05-27T00:00:00"/>
    <n v="20"/>
    <n v="11"/>
    <n v="2"/>
    <s v="Rennes"/>
    <s v="FRA-02"/>
    <s v="Group stage"/>
    <n v="0"/>
  </r>
  <r>
    <n v="1078"/>
    <s v="Belgium"/>
    <s v="Belgium (BEL)"/>
    <n v="26"/>
    <s v="DF"/>
    <x v="77"/>
    <d v="2003-10-24T00:00:00"/>
    <n v="19"/>
    <n v="3"/>
    <n v="0"/>
    <s v="Anderlecht"/>
    <s v="BEL-04"/>
    <s v="Group stage"/>
    <n v="0"/>
  </r>
  <r>
    <n v="1079"/>
    <s v="Brasil"/>
    <s v="Brasil (BRA)"/>
    <n v="1"/>
    <s v="GK"/>
    <x v="78"/>
    <d v="1992-10-02T00:00:00"/>
    <n v="30"/>
    <n v="57"/>
    <n v="0"/>
    <s v="Liverpool"/>
    <s v="ENG-08"/>
    <s v="Quarter Finals"/>
    <n v="0"/>
  </r>
  <r>
    <n v="1080"/>
    <s v="Brasil"/>
    <s v="Brasil (BRA)"/>
    <n v="2"/>
    <s v="DF"/>
    <x v="79"/>
    <d v="1991-07-15T00:00:00"/>
    <n v="31"/>
    <n v="46"/>
    <n v="1"/>
    <s v="Juventus"/>
    <s v="ITA-01"/>
    <s v="Quarter Finals"/>
    <n v="0"/>
  </r>
  <r>
    <n v="1081"/>
    <s v="Brasil"/>
    <s v="Brasil (BRA)"/>
    <n v="3"/>
    <s v="DF"/>
    <x v="80"/>
    <d v="1984-09-22T00:00:00"/>
    <n v="38"/>
    <n v="109"/>
    <n v="7"/>
    <s v="Chelsea"/>
    <s v="ENG-03"/>
    <s v="Quarter Finals"/>
    <n v="0"/>
  </r>
  <r>
    <n v="1082"/>
    <s v="Brasil"/>
    <s v="Brasil (BRA)"/>
    <n v="4"/>
    <s v="DF"/>
    <x v="81"/>
    <d v="1994-05-14T00:00:00"/>
    <n v="28"/>
    <n v="71"/>
    <n v="5"/>
    <s v="Paris Saint-Germain"/>
    <s v="FRA-01"/>
    <s v="Quarter Finals"/>
    <n v="0"/>
  </r>
  <r>
    <n v="1083"/>
    <s v="Brasil"/>
    <s v="Brasil (BRA)"/>
    <n v="5"/>
    <s v="MF"/>
    <x v="82"/>
    <d v="1992-02-23T00:00:00"/>
    <n v="30"/>
    <n v="65"/>
    <n v="5"/>
    <s v="Manchester United"/>
    <s v="ENG-02"/>
    <s v="Quarter Finals"/>
    <n v="0"/>
  </r>
  <r>
    <n v="1084"/>
    <s v="Brasil"/>
    <s v="Brasil (BRA)"/>
    <n v="6"/>
    <s v="DF"/>
    <x v="83"/>
    <d v="1991-01-26T00:00:00"/>
    <n v="31"/>
    <n v="37"/>
    <n v="2"/>
    <s v="Juventus"/>
    <s v="ITA-01"/>
    <s v="Quarter Finals"/>
    <n v="0"/>
  </r>
  <r>
    <n v="1085"/>
    <s v="Brasil"/>
    <s v="Brasil (BRA)"/>
    <n v="7"/>
    <s v="MF"/>
    <x v="84"/>
    <d v="1997-08-27T00:00:00"/>
    <n v="25"/>
    <n v="35"/>
    <n v="7"/>
    <s v="West Ham United"/>
    <s v="ENG-13"/>
    <s v="Quarter Finals"/>
    <n v="0"/>
  </r>
  <r>
    <n v="1086"/>
    <s v="Brasil"/>
    <s v="Brasil (BRA)"/>
    <n v="8"/>
    <s v="MF"/>
    <x v="85"/>
    <d v="1993-03-05T00:00:00"/>
    <n v="29"/>
    <n v="28"/>
    <n v="0"/>
    <s v="Manchester United"/>
    <s v="ENG-02"/>
    <s v="Quarter Finals"/>
    <n v="0"/>
  </r>
  <r>
    <n v="1087"/>
    <s v="Brasil"/>
    <s v="Brasil (BRA)"/>
    <n v="9"/>
    <s v="FW"/>
    <x v="86"/>
    <d v="1997-05-10T00:00:00"/>
    <n v="25"/>
    <n v="38"/>
    <n v="17"/>
    <s v="Tottenham Hotspur"/>
    <s v="ENG-04"/>
    <s v="Quarter Finals"/>
    <n v="0"/>
  </r>
  <r>
    <n v="1088"/>
    <s v="Brasil"/>
    <s v="Brasil (BRA)"/>
    <n v="10"/>
    <s v="FW"/>
    <x v="87"/>
    <d v="1992-02-05T00:00:00"/>
    <n v="30"/>
    <n v="121"/>
    <n v="75"/>
    <s v="Paris Saint-Germain"/>
    <s v="FRA-01"/>
    <s v="Quarter Finals"/>
    <n v="0"/>
  </r>
  <r>
    <n v="1089"/>
    <s v="Brasil"/>
    <s v="Brasil (BRA)"/>
    <n v="11"/>
    <s v="FW"/>
    <x v="88"/>
    <d v="1996-12-14T00:00:00"/>
    <n v="25"/>
    <n v="11"/>
    <n v="5"/>
    <s v="Barcelona"/>
    <s v="ESP-01"/>
    <s v="Quarter Finals"/>
    <n v="0"/>
  </r>
  <r>
    <n v="1090"/>
    <s v="Brasil"/>
    <s v="Brasil (BRA)"/>
    <n v="12"/>
    <s v="GK"/>
    <x v="89"/>
    <d v="1987-12-13T00:00:00"/>
    <n v="34"/>
    <n v="8"/>
    <n v="0"/>
    <s v="Palmeiras"/>
    <s v="BRA-03"/>
    <s v="Quarter Finals"/>
    <n v="0"/>
  </r>
  <r>
    <n v="1091"/>
    <s v="Brasil"/>
    <s v="Brasil (BRA)"/>
    <n v="13"/>
    <s v="DF"/>
    <x v="90"/>
    <d v="1983-05-06T00:00:00"/>
    <n v="39"/>
    <n v="124"/>
    <n v="8"/>
    <s v="UNAM"/>
    <s v="MEX-10"/>
    <s v="Quarter Finals"/>
    <n v="0"/>
  </r>
  <r>
    <n v="1092"/>
    <s v="Brasil"/>
    <s v="Brasil (BRA)"/>
    <n v="14"/>
    <s v="DF"/>
    <x v="91"/>
    <d v="1998-01-18T00:00:00"/>
    <n v="24"/>
    <n v="23"/>
    <n v="1"/>
    <s v="Real Madrid"/>
    <s v="ESP-02"/>
    <s v="Quarter Finals"/>
    <n v="0"/>
  </r>
  <r>
    <n v="1093"/>
    <s v="Brasil"/>
    <s v="Brasil (BRA)"/>
    <n v="15"/>
    <s v="MF"/>
    <x v="92"/>
    <d v="1993-10-23T00:00:00"/>
    <n v="29"/>
    <n v="28"/>
    <n v="0"/>
    <s v="Liverpool"/>
    <s v="ENG-08"/>
    <s v="Quarter Finals"/>
    <n v="0"/>
  </r>
  <r>
    <n v="1094"/>
    <s v="Brasil"/>
    <s v="Brasil (BRA)"/>
    <n v="16"/>
    <s v="DF"/>
    <x v="93"/>
    <d v="1992-12-15T00:00:00"/>
    <n v="29"/>
    <n v="8"/>
    <n v="0"/>
    <s v="Sevilla"/>
    <s v="ESP-04"/>
    <s v="Quarter Finals"/>
    <n v="0"/>
  </r>
  <r>
    <n v="1095"/>
    <s v="Brasil"/>
    <s v="Brasil (BRA)"/>
    <n v="17"/>
    <s v="MF"/>
    <x v="94"/>
    <d v="1997-11-16T00:00:00"/>
    <n v="25"/>
    <n v="8"/>
    <n v="1"/>
    <s v="Newcastle United"/>
    <s v="ENG-11"/>
    <s v="Quarter Finals"/>
    <n v="0"/>
  </r>
  <r>
    <n v="1096"/>
    <s v="Brasil"/>
    <s v="Brasil (BRA)"/>
    <n v="18"/>
    <s v="FW"/>
    <x v="95"/>
    <d v="1997-04-03T00:00:00"/>
    <n v="25"/>
    <n v="56"/>
    <n v="19"/>
    <s v="Arsenal"/>
    <s v="ENG-05"/>
    <s v="Quarter Finals"/>
    <n v="0"/>
  </r>
  <r>
    <n v="1097"/>
    <s v="Brasil"/>
    <s v="Brasil (BRA)"/>
    <n v="19"/>
    <s v="FW"/>
    <x v="96"/>
    <d v="2000-02-24T00:00:00"/>
    <n v="22"/>
    <n v="11"/>
    <n v="2"/>
    <s v="Manchester United"/>
    <s v="ENG-02"/>
    <s v="Quarter Finals"/>
    <n v="0"/>
  </r>
  <r>
    <n v="1098"/>
    <s v="Brasil"/>
    <s v="Brasil (BRA)"/>
    <n v="20"/>
    <s v="FW"/>
    <x v="97"/>
    <d v="2000-07-12T00:00:00"/>
    <n v="22"/>
    <n v="16"/>
    <n v="1"/>
    <s v="Real Madrid"/>
    <s v="ESP-02"/>
    <s v="Quarter Finals"/>
    <n v="0"/>
  </r>
  <r>
    <n v="1099"/>
    <s v="Brasil"/>
    <s v="Brasil (BRA)"/>
    <n v="21"/>
    <s v="FW"/>
    <x v="98"/>
    <d v="2001-01-09T00:00:00"/>
    <n v="21"/>
    <n v="7"/>
    <n v="1"/>
    <s v="Real Madrid"/>
    <s v="ESP-02"/>
    <s v="Quarter Finals"/>
    <n v="0"/>
  </r>
  <r>
    <n v="1100"/>
    <s v="Brasil"/>
    <s v="Brasil (BRA)"/>
    <n v="22"/>
    <s v="MF"/>
    <x v="99"/>
    <d v="1989-04-10T00:00:00"/>
    <n v="33"/>
    <n v="21"/>
    <n v="3"/>
    <s v="Flamengo"/>
    <s v="BRA-01"/>
    <s v="Quarter Finals"/>
    <n v="0"/>
  </r>
  <r>
    <n v="1101"/>
    <s v="Brasil"/>
    <s v="Brasil (BRA)"/>
    <n v="23"/>
    <s v="GK"/>
    <x v="100"/>
    <d v="1993-08-17T00:00:00"/>
    <n v="29"/>
    <n v="18"/>
    <n v="0"/>
    <s v="Manchester City"/>
    <s v="ENG-01"/>
    <s v="Quarter Finals"/>
    <n v="0"/>
  </r>
  <r>
    <n v="1102"/>
    <s v="Brasil"/>
    <s v="Brasil (BRA)"/>
    <n v="24"/>
    <s v="DF"/>
    <x v="101"/>
    <d v="1997-03-18T00:00:00"/>
    <n v="25"/>
    <n v="1"/>
    <n v="0"/>
    <s v="Juventus"/>
    <s v="ITA-01"/>
    <s v="Quarter Finals"/>
    <n v="0"/>
  </r>
  <r>
    <n v="1103"/>
    <s v="Brasil"/>
    <s v="Brasil (BRA)"/>
    <n v="25"/>
    <s v="FW"/>
    <x v="102"/>
    <d v="1997-06-20T00:00:00"/>
    <n v="25"/>
    <n v="2"/>
    <n v="1"/>
    <s v="Flamengo"/>
    <s v="BRA-01"/>
    <s v="Quarter Finals"/>
    <n v="0"/>
  </r>
  <r>
    <n v="1104"/>
    <s v="Brasil"/>
    <s v="Brasil (BRA)"/>
    <n v="26"/>
    <s v="FW"/>
    <x v="103"/>
    <d v="2001-06-18T00:00:00"/>
    <n v="21"/>
    <n v="3"/>
    <n v="0"/>
    <s v="Arsenal"/>
    <s v="ENG-05"/>
    <s v="Quarter Finals"/>
    <n v="0"/>
  </r>
  <r>
    <n v="1105"/>
    <s v="Cameroon"/>
    <s v="Cameroon (CMR)"/>
    <n v="1"/>
    <s v="GK"/>
    <x v="104"/>
    <d v="2003-04-12T00:00:00"/>
    <n v="19"/>
    <n v="0"/>
    <n v="0"/>
    <s v="Marseille"/>
    <s v="FRA-04"/>
    <s v="Group stage"/>
    <n v="0"/>
  </r>
  <r>
    <n v="1106"/>
    <s v="Cameroon"/>
    <s v="Cameroon (CMR)"/>
    <n v="2"/>
    <s v="DF"/>
    <x v="105"/>
    <d v="1998-09-30T00:00:00"/>
    <n v="24"/>
    <n v="2"/>
    <n v="0"/>
    <s v="Colombe Sportive"/>
    <s v="CAM-01"/>
    <s v="Group stage"/>
    <n v="0"/>
  </r>
  <r>
    <n v="1107"/>
    <s v="Cameroon"/>
    <s v="Cameroon (CMR)"/>
    <n v="3"/>
    <s v="DF"/>
    <x v="106"/>
    <d v="1990-03-27T00:00:00"/>
    <n v="32"/>
    <n v="78"/>
    <n v="2"/>
    <s v="Aris"/>
    <s v="GRE-03"/>
    <s v="Group stage"/>
    <n v="0"/>
  </r>
  <r>
    <n v="1108"/>
    <s v="Cameroon"/>
    <s v="Cameroon (CMR)"/>
    <n v="4"/>
    <s v="DF"/>
    <x v="107"/>
    <d v="2001-09-18T00:00:00"/>
    <n v="21"/>
    <n v="3"/>
    <n v="0"/>
    <s v="Rennes"/>
    <s v="FRA-02"/>
    <s v="Group stage"/>
    <n v="0"/>
  </r>
  <r>
    <n v="1109"/>
    <s v="Cameroon"/>
    <s v="Cameroon (CMR)"/>
    <n v="5"/>
    <s v="MF"/>
    <x v="108"/>
    <d v="1995-11-04T00:00:00"/>
    <n v="27"/>
    <n v="4"/>
    <n v="0"/>
    <s v="Hannover 96"/>
    <s v="GER-17"/>
    <s v="Group stage"/>
    <n v="0"/>
  </r>
  <r>
    <n v="1110"/>
    <s v="Cameroon"/>
    <s v="Cameroon (CMR)"/>
    <n v="6"/>
    <s v="FW"/>
    <x v="109"/>
    <d v="1994-07-09T00:00:00"/>
    <n v="28"/>
    <n v="42"/>
    <n v="4"/>
    <s v="Dynamo Moscow"/>
    <s v="RUS-01"/>
    <s v="Group stage"/>
    <n v="0"/>
  </r>
  <r>
    <n v="1111"/>
    <s v="Cameroon"/>
    <s v="Cameroon (CMR)"/>
    <n v="7"/>
    <s v="MF"/>
    <x v="110"/>
    <d v="1995-02-13T00:00:00"/>
    <n v="27"/>
    <n v="2"/>
    <n v="0"/>
    <s v="Beşiktaş"/>
    <s v="TUR-02"/>
    <s v="Group stage"/>
    <n v="0"/>
  </r>
  <r>
    <n v="1112"/>
    <s v="Cameroon"/>
    <s v="Cameroon (CMR)"/>
    <n v="8"/>
    <s v="MF"/>
    <x v="111"/>
    <d v="1995-11-16T00:00:00"/>
    <n v="27"/>
    <n v="43"/>
    <n v="5"/>
    <s v="Napoli"/>
    <s v="ITA-04"/>
    <s v="Group stage"/>
    <n v="0"/>
  </r>
  <r>
    <n v="1113"/>
    <s v="Cameroon"/>
    <s v="Cameroon (CMR)"/>
    <n v="9"/>
    <s v="FW"/>
    <x v="112"/>
    <d v="1993-05-01T00:00:00"/>
    <n v="29"/>
    <n v="4"/>
    <n v="0"/>
    <s v="Young Boys"/>
    <s v="SWI-01"/>
    <s v="Group stage"/>
    <n v="0"/>
  </r>
  <r>
    <n v="1114"/>
    <s v="Cameroon"/>
    <s v="Cameroon (CMR)"/>
    <n v="10"/>
    <s v="FW"/>
    <x v="113"/>
    <d v="1992-01-22T00:00:00"/>
    <n v="30"/>
    <n v="91"/>
    <n v="33"/>
    <s v="Al-Nassr"/>
    <s v="SAU-02"/>
    <s v="Group stage"/>
    <n v="0"/>
  </r>
  <r>
    <n v="1115"/>
    <s v="Cameroon"/>
    <s v="Cameroon (CMR)"/>
    <n v="11"/>
    <s v="FW"/>
    <x v="114"/>
    <d v="1995-10-18T00:00:00"/>
    <n v="27"/>
    <n v="43"/>
    <n v="7"/>
    <s v="Shanghai Shenhua"/>
    <s v="CHI-02"/>
    <s v="Group stage"/>
    <n v="0"/>
  </r>
  <r>
    <n v="1116"/>
    <s v="Cameroon"/>
    <s v="Cameroon (CMR)"/>
    <n v="12"/>
    <s v="FW"/>
    <x v="115"/>
    <d v="1992-09-14T00:00:00"/>
    <n v="30"/>
    <n v="51"/>
    <n v="12"/>
    <s v="Lyon"/>
    <s v="FRA-09"/>
    <s v="Group stage"/>
    <n v="0"/>
  </r>
  <r>
    <n v="1117"/>
    <s v="Cameroon"/>
    <s v="Cameroon (CMR)"/>
    <n v="13"/>
    <s v="FW"/>
    <x v="116"/>
    <d v="1989-03-23T00:00:00"/>
    <n v="33"/>
    <n v="69"/>
    <n v="19"/>
    <s v="Bayern Munich"/>
    <s v="GER-01"/>
    <s v="Group stage"/>
    <n v="0"/>
  </r>
  <r>
    <n v="1118"/>
    <s v="Cameroon"/>
    <s v="Cameroon (CMR)"/>
    <n v="14"/>
    <s v="MF"/>
    <x v="117"/>
    <d v="1997-12-14T00:00:00"/>
    <n v="24"/>
    <n v="22"/>
    <n v="0"/>
    <s v="Mechelen"/>
    <s v="BEL-10"/>
    <s v="Group stage"/>
    <n v="0"/>
  </r>
  <r>
    <n v="1119"/>
    <s v="Cameroon"/>
    <s v="Cameroon (CMR)"/>
    <n v="15"/>
    <s v="MF"/>
    <x v="118"/>
    <d v="1995-07-26T00:00:00"/>
    <n v="27"/>
    <n v="32"/>
    <n v="1"/>
    <s v="Olympiacos"/>
    <s v="GRE-02"/>
    <s v="Group stage"/>
    <n v="0"/>
  </r>
  <r>
    <n v="1120"/>
    <s v="Cameroon"/>
    <s v="Cameroon (CMR)"/>
    <n v="16"/>
    <s v="GK"/>
    <x v="119"/>
    <d v="1993-02-02T00:00:00"/>
    <n v="29"/>
    <n v="5"/>
    <n v="0"/>
    <s v="Abha"/>
    <s v="SAU-04"/>
    <s v="Group stage"/>
    <n v="0"/>
  </r>
  <r>
    <n v="1121"/>
    <s v="Cameroon"/>
    <s v="Cameroon (CMR)"/>
    <n v="17"/>
    <s v="DF"/>
    <x v="120"/>
    <d v="1997-08-15T00:00:00"/>
    <n v="25"/>
    <n v="11"/>
    <n v="0"/>
    <s v="Philadelphia Union"/>
    <s v="USA-19"/>
    <s v="Group stage"/>
    <n v="0"/>
  </r>
  <r>
    <n v="1122"/>
    <s v="Cameroon"/>
    <s v="Cameroon (CMR)"/>
    <n v="18"/>
    <s v="MF"/>
    <x v="121"/>
    <d v="1998-03-16T00:00:00"/>
    <n v="24"/>
    <n v="19"/>
    <n v="0"/>
    <s v="Hellas Verona"/>
    <s v="ITA-08"/>
    <s v="Group stage"/>
    <n v="0"/>
  </r>
  <r>
    <n v="1123"/>
    <s v="Cameroon"/>
    <s v="Cameroon (CMR)"/>
    <n v="19"/>
    <s v="DF"/>
    <x v="122"/>
    <d v="1992-08-13T00:00:00"/>
    <n v="30"/>
    <n v="52"/>
    <n v="0"/>
    <s v="Al-Tai"/>
    <s v="SAU-10"/>
    <s v="Group stage"/>
    <n v="0"/>
  </r>
  <r>
    <n v="1124"/>
    <s v="Cameroon"/>
    <s v="Cameroon (CMR)"/>
    <n v="20"/>
    <s v="FW"/>
    <x v="123"/>
    <d v="1999-08-07T00:00:00"/>
    <n v="23"/>
    <n v="3"/>
    <n v="0"/>
    <s v="Brentford"/>
    <s v="ENG-09"/>
    <s v="Group stage"/>
    <n v="0"/>
  </r>
  <r>
    <n v="1125"/>
    <s v="Cameroon"/>
    <s v="Cameroon (CMR)"/>
    <n v="21"/>
    <s v="DF"/>
    <x v="124"/>
    <d v="1995-01-26T00:00:00"/>
    <n v="27"/>
    <n v="14"/>
    <n v="0"/>
    <s v="Nantes"/>
    <s v="FRA-19"/>
    <s v="Group stage"/>
    <n v="0"/>
  </r>
  <r>
    <n v="1126"/>
    <s v="Cameroon"/>
    <s v="Cameroon (CMR)"/>
    <n v="22"/>
    <s v="MF"/>
    <x v="125"/>
    <d v="1996-02-09T00:00:00"/>
    <n v="26"/>
    <n v="3"/>
    <n v="0"/>
    <s v="Swansea City"/>
    <s v="ENG-19"/>
    <s v="Group stage"/>
    <n v="0"/>
  </r>
  <r>
    <n v="1127"/>
    <s v="Cameroon"/>
    <s v="Cameroon (CMR)"/>
    <n v="23"/>
    <s v="GK"/>
    <x v="126"/>
    <d v="1996-04-02T00:00:00"/>
    <n v="26"/>
    <n v="33"/>
    <n v="0"/>
    <s v="Internazionale"/>
    <s v="ITA-03"/>
    <s v="Group stage"/>
    <n v="0"/>
  </r>
  <r>
    <n v="1128"/>
    <s v="Cameroon"/>
    <s v="Cameroon (CMR)"/>
    <n v="24"/>
    <s v="DF"/>
    <x v="127"/>
    <d v="1999-03-11T00:00:00"/>
    <n v="23"/>
    <n v="2"/>
    <n v="0"/>
    <s v="Udinese"/>
    <s v="ITA-20"/>
    <s v="Group stage"/>
    <n v="0"/>
  </r>
  <r>
    <n v="1129"/>
    <s v="Cameroon"/>
    <s v="Cameroon (CMR)"/>
    <n v="25"/>
    <s v="DF"/>
    <x v="128"/>
    <d v="1997-06-23T00:00:00"/>
    <n v="25"/>
    <n v="18"/>
    <n v="0"/>
    <s v="Seattle Sounders FC"/>
    <s v="USA-03"/>
    <s v="Group stage"/>
    <n v="0"/>
  </r>
  <r>
    <n v="1130"/>
    <s v="Cameroon"/>
    <s v="Cameroon (CMR)"/>
    <n v="26"/>
    <s v="MF"/>
    <x v="129"/>
    <d v="2000-12-03T00:00:00"/>
    <n v="21"/>
    <n v="3"/>
    <n v="1"/>
    <s v="Coton Sport"/>
    <s v="CAM-02"/>
    <s v="Group stage"/>
    <n v="0"/>
  </r>
  <r>
    <n v="1131"/>
    <s v="Canada"/>
    <s v="Canada (CAN)"/>
    <n v="1"/>
    <s v="GK"/>
    <x v="130"/>
    <d v="1997-05-09T00:00:00"/>
    <n v="25"/>
    <n v="2"/>
    <n v="0"/>
    <s v="Minnesota United FC"/>
    <s v="USA-15"/>
    <s v="Group stage"/>
    <n v="0"/>
  </r>
  <r>
    <n v="1132"/>
    <s v="Canada"/>
    <s v="Canada (CAN)"/>
    <n v="2"/>
    <s v="DF"/>
    <x v="131"/>
    <d v="1998-10-08T00:00:00"/>
    <n v="24"/>
    <n v="30"/>
    <n v="1"/>
    <s v="CF Montréal"/>
    <s v="USA-01"/>
    <s v="Group stage"/>
    <n v="0"/>
  </r>
  <r>
    <n v="1133"/>
    <s v="Canada"/>
    <s v="Canada (CAN)"/>
    <n v="3"/>
    <s v="DF"/>
    <x v="132"/>
    <d v="1995-01-16T00:00:00"/>
    <n v="27"/>
    <n v="34"/>
    <n v="1"/>
    <s v="Hatayspor"/>
    <s v="TUR-09"/>
    <s v="Group stage"/>
    <n v="0"/>
  </r>
  <r>
    <n v="1134"/>
    <s v="Canada"/>
    <s v="Canada (CAN)"/>
    <n v="4"/>
    <s v="DF"/>
    <x v="133"/>
    <d v="1997-05-16T00:00:00"/>
    <n v="25"/>
    <n v="29"/>
    <n v="0"/>
    <s v="CF Montréal"/>
    <s v="USA-01"/>
    <s v="Group stage"/>
    <n v="0"/>
  </r>
  <r>
    <n v="1135"/>
    <s v="Canada"/>
    <s v="Canada (CAN)"/>
    <n v="5"/>
    <s v="DF"/>
    <x v="134"/>
    <d v="1987-01-11T00:00:00"/>
    <n v="35"/>
    <n v="35"/>
    <n v="4"/>
    <s v="Chaves"/>
    <s v="POR-05"/>
    <s v="Group stage"/>
    <n v="0"/>
  </r>
  <r>
    <n v="1136"/>
    <s v="Canada"/>
    <s v="Canada (CAN)"/>
    <n v="6"/>
    <s v="MF"/>
    <x v="135"/>
    <d v="1994-11-12T00:00:00"/>
    <n v="28"/>
    <n v="66"/>
    <n v="0"/>
    <s v="CF Montréal"/>
    <s v="USA-01"/>
    <s v="Group stage"/>
    <n v="0"/>
  </r>
  <r>
    <n v="1137"/>
    <s v="Canada"/>
    <s v="Canada (CAN)"/>
    <n v="7"/>
    <s v="MF"/>
    <x v="136"/>
    <d v="1996-12-21T00:00:00"/>
    <n v="25"/>
    <n v="26"/>
    <n v="3"/>
    <s v="Porto"/>
    <s v="POR-02"/>
    <s v="Group stage"/>
    <n v="0"/>
  </r>
  <r>
    <n v="1138"/>
    <s v="Canada"/>
    <s v="Canada (CAN)"/>
    <n v="8"/>
    <s v="MF"/>
    <x v="137"/>
    <d v="1998-02-13T00:00:00"/>
    <n v="24"/>
    <n v="15"/>
    <n v="0"/>
    <s v="Deinze"/>
    <s v="BEL-07"/>
    <s v="Group stage"/>
    <n v="0"/>
  </r>
  <r>
    <n v="1139"/>
    <s v="Canada"/>
    <s v="Canada (CAN)"/>
    <n v="9"/>
    <s v="FW"/>
    <x v="138"/>
    <d v="1992-12-28T00:00:00"/>
    <n v="29"/>
    <n v="34"/>
    <n v="18"/>
    <s v="Vancouver Whitecaps FC"/>
    <s v="USA-21"/>
    <s v="Group stage"/>
    <n v="0"/>
  </r>
  <r>
    <n v="1140"/>
    <s v="Canada"/>
    <s v="Canada (CAN)"/>
    <n v="10"/>
    <s v="MF"/>
    <x v="139"/>
    <d v="1990-06-05T00:00:00"/>
    <n v="32"/>
    <n v="50"/>
    <n v="14"/>
    <s v="Reading"/>
    <s v="ENG-18"/>
    <s v="Group stage"/>
    <n v="0"/>
  </r>
  <r>
    <n v="1141"/>
    <s v="Canada"/>
    <s v="Canada (CAN)"/>
    <n v="11"/>
    <s v="FW"/>
    <x v="140"/>
    <d v="1999-02-08T00:00:00"/>
    <n v="23"/>
    <n v="26"/>
    <n v="4"/>
    <s v="Club Brugge"/>
    <s v="BEL-01"/>
    <s v="Group stage"/>
    <n v="0"/>
  </r>
  <r>
    <n v="1142"/>
    <s v="Canada"/>
    <s v="Canada (CAN)"/>
    <n v="12"/>
    <s v="FW"/>
    <x v="141"/>
    <d v="1998-09-21T00:00:00"/>
    <n v="24"/>
    <n v="8"/>
    <n v="0"/>
    <s v="Troyes"/>
    <s v="FRA-13"/>
    <s v="Group stage"/>
    <n v="0"/>
  </r>
  <r>
    <n v="1143"/>
    <s v="Canada"/>
    <s v="Canada (CAN)"/>
    <n v="13"/>
    <s v="MF"/>
    <x v="142"/>
    <d v="1983-02-08T00:00:00"/>
    <n v="39"/>
    <n v="98"/>
    <n v="9"/>
    <s v="Beşiktaş"/>
    <s v="TUR-02"/>
    <s v="Group stage"/>
    <n v="0"/>
  </r>
  <r>
    <n v="1144"/>
    <s v="Canada"/>
    <s v="Canada (CAN)"/>
    <n v="14"/>
    <s v="MF"/>
    <x v="143"/>
    <d v="1994-12-02T00:00:00"/>
    <n v="27"/>
    <n v="38"/>
    <n v="2"/>
    <s v="Toronto FC"/>
    <s v="USA-04"/>
    <s v="Group stage"/>
    <n v="0"/>
  </r>
  <r>
    <n v="1145"/>
    <s v="Canada"/>
    <s v="Canada (CAN)"/>
    <n v="15"/>
    <s v="MF"/>
    <x v="144"/>
    <d v="2002-06-16T00:00:00"/>
    <n v="20"/>
    <n v="6"/>
    <n v="1"/>
    <s v="CF Montréal"/>
    <s v="USA-01"/>
    <s v="Group stage"/>
    <n v="0"/>
  </r>
  <r>
    <n v="1146"/>
    <s v="Canada"/>
    <s v="Canada (CAN)"/>
    <n v="16"/>
    <s v="GK"/>
    <x v="145"/>
    <d v="1997-02-21T00:00:00"/>
    <n v="25"/>
    <n v="0"/>
    <n v="0"/>
    <s v="CF Montréal"/>
    <s v="USA-01"/>
    <s v="Group stage"/>
    <n v="0"/>
  </r>
  <r>
    <n v="1147"/>
    <s v="Canada"/>
    <s v="Canada (CAN)"/>
    <n v="17"/>
    <s v="FW"/>
    <x v="146"/>
    <d v="1995-04-17T00:00:00"/>
    <n v="27"/>
    <n v="55"/>
    <n v="25"/>
    <s v="Club Brugge"/>
    <s v="BEL-01"/>
    <s v="Group stage"/>
    <n v="0"/>
  </r>
  <r>
    <n v="1148"/>
    <s v="Canada"/>
    <s v="Canada (CAN)"/>
    <n v="18"/>
    <s v="GK"/>
    <x v="147"/>
    <d v="1987-10-23T00:00:00"/>
    <n v="35"/>
    <n v="68"/>
    <n v="0"/>
    <s v="Red Star Belgrade"/>
    <s v="SER-01"/>
    <s v="Group stage"/>
    <n v="0"/>
  </r>
  <r>
    <n v="1149"/>
    <s v="Canada"/>
    <s v="Canada (CAN)"/>
    <n v="19"/>
    <s v="FW"/>
    <x v="148"/>
    <d v="2000-11-02T00:00:00"/>
    <n v="22"/>
    <n v="34"/>
    <n v="12"/>
    <s v="Bayern Munich"/>
    <s v="GER-01"/>
    <s v="Group stage"/>
    <n v="0"/>
  </r>
  <r>
    <n v="1150"/>
    <s v="Canada"/>
    <s v="Canada (CAN)"/>
    <n v="20"/>
    <s v="FW"/>
    <x v="149"/>
    <d v="2000-01-14T00:00:00"/>
    <n v="22"/>
    <n v="35"/>
    <n v="22"/>
    <s v="Lille"/>
    <s v="FRA-08"/>
    <s v="Group stage"/>
    <n v="0"/>
  </r>
  <r>
    <n v="1151"/>
    <s v="Canada"/>
    <s v="Canada (CAN)"/>
    <n v="21"/>
    <s v="MF"/>
    <x v="150"/>
    <d v="1992-06-12T00:00:00"/>
    <n v="30"/>
    <n v="57"/>
    <n v="7"/>
    <s v="Toronto FC"/>
    <s v="USA-04"/>
    <s v="Group stage"/>
    <n v="0"/>
  </r>
  <r>
    <n v="1152"/>
    <s v="Canada"/>
    <s v="Canada (CAN)"/>
    <n v="22"/>
    <s v="DF"/>
    <x v="151"/>
    <d v="1995-01-07T00:00:00"/>
    <n v="27"/>
    <n v="34"/>
    <n v="1"/>
    <s v="Toronto FC"/>
    <s v="USA-04"/>
    <s v="Group stage"/>
    <n v="0"/>
  </r>
  <r>
    <n v="1153"/>
    <s v="Canada"/>
    <s v="Canada (CAN)"/>
    <n v="23"/>
    <s v="MF"/>
    <x v="152"/>
    <d v="1999-09-27T00:00:00"/>
    <n v="23"/>
    <n v="16"/>
    <n v="0"/>
    <s v="Basel"/>
    <s v="SWI-02"/>
    <s v="Group stage"/>
    <n v="0"/>
  </r>
  <r>
    <n v="1154"/>
    <s v="Canada"/>
    <s v="Canada (CAN)"/>
    <n v="24"/>
    <s v="MF"/>
    <x v="153"/>
    <d v="1990-01-16T00:00:00"/>
    <n v="32"/>
    <n v="10"/>
    <n v="1"/>
    <s v="St Johnstone"/>
    <s v="SCO-06"/>
    <s v="Group stage"/>
    <n v="0"/>
  </r>
  <r>
    <n v="1155"/>
    <s v="Canada"/>
    <s v="Canada (CAN)"/>
    <n v="25"/>
    <s v="DF"/>
    <x v="154"/>
    <d v="1997-11-25T00:00:00"/>
    <n v="24"/>
    <n v="14"/>
    <n v="0"/>
    <s v="Panetolikos"/>
    <s v="GRE-05"/>
    <s v="Group stage"/>
    <n v="0"/>
  </r>
  <r>
    <n v="1156"/>
    <s v="Canada"/>
    <s v="Canada (CAN)"/>
    <n v="26"/>
    <s v="DF"/>
    <x v="155"/>
    <d v="1996-01-24T00:00:00"/>
    <n v="26"/>
    <n v="2"/>
    <n v="0"/>
    <s v="CF Montréal"/>
    <s v="USA-01"/>
    <s v="Group stage"/>
    <n v="0"/>
  </r>
  <r>
    <n v="1157"/>
    <s v="Costa Rica"/>
    <s v="Costa Rica (CRC)"/>
    <n v="1"/>
    <s v="GK"/>
    <x v="156"/>
    <d v="1986-12-15T00:00:00"/>
    <n v="35"/>
    <n v="107"/>
    <n v="0"/>
    <s v="Paris Saint-Germain"/>
    <s v="FRA-01"/>
    <s v="Group stage"/>
    <n v="0"/>
  </r>
  <r>
    <n v="1158"/>
    <s v="Costa Rica"/>
    <s v="Costa Rica (CRC)"/>
    <n v="2"/>
    <s v="MF"/>
    <x v="157"/>
    <d v="2001-04-11T00:00:00"/>
    <n v="21"/>
    <n v="8"/>
    <n v="0"/>
    <s v="Cartaginés"/>
    <s v="CRA-04"/>
    <s v="Group stage"/>
    <n v="0"/>
  </r>
  <r>
    <n v="1159"/>
    <s v="Costa Rica"/>
    <s v="Costa Rica (CRC)"/>
    <n v="3"/>
    <s v="DF"/>
    <x v="158"/>
    <d v="1995-06-06T00:00:00"/>
    <n v="27"/>
    <n v="12"/>
    <n v="1"/>
    <s v="Millonarios"/>
    <s v="Col-01"/>
    <s v="Group stage"/>
    <n v="0"/>
  </r>
  <r>
    <n v="1160"/>
    <s v="Costa Rica"/>
    <s v="Costa Rica (CRC)"/>
    <n v="4"/>
    <s v="DF"/>
    <x v="159"/>
    <d v="1994-07-12T00:00:00"/>
    <n v="28"/>
    <n v="31"/>
    <n v="2"/>
    <s v="Herediano"/>
    <s v="CRA-01"/>
    <s v="Group stage"/>
    <n v="0"/>
  </r>
  <r>
    <n v="1161"/>
    <s v="Costa Rica"/>
    <s v="Costa Rica (CRC)"/>
    <n v="5"/>
    <s v="MF"/>
    <x v="160"/>
    <d v="1988-05-27T00:00:00"/>
    <n v="34"/>
    <n v="155"/>
    <n v="27"/>
    <s v="Alajuelense"/>
    <s v="CRA-02"/>
    <s v="Group stage"/>
    <n v="0"/>
  </r>
  <r>
    <n v="1162"/>
    <s v="Costa Rica"/>
    <s v="Costa Rica (CRC)"/>
    <n v="6"/>
    <s v="DF"/>
    <x v="161"/>
    <d v="1989-06-03T00:00:00"/>
    <n v="33"/>
    <n v="71"/>
    <n v="4"/>
    <s v="Al-Wehda"/>
    <s v="SAU-07"/>
    <s v="Group stage"/>
    <n v="0"/>
  </r>
  <r>
    <n v="1163"/>
    <s v="Costa Rica"/>
    <s v="Costa Rica (CRC)"/>
    <n v="7"/>
    <s v="FW"/>
    <x v="162"/>
    <d v="2000-01-29T00:00:00"/>
    <n v="22"/>
    <n v="9"/>
    <n v="2"/>
    <s v="Herediano"/>
    <s v="CRA-01"/>
    <s v="Group stage"/>
    <n v="0"/>
  </r>
  <r>
    <n v="1164"/>
    <s v="Costa Rica"/>
    <s v="Costa Rica (CRC)"/>
    <n v="8"/>
    <s v="DF"/>
    <x v="163"/>
    <d v="1990-02-18T00:00:00"/>
    <n v="32"/>
    <n v="76"/>
    <n v="2"/>
    <s v="Real Salt Lake"/>
    <s v="USA-20"/>
    <s v="Group stage"/>
    <n v="0"/>
  </r>
  <r>
    <n v="1165"/>
    <s v="Costa Rica"/>
    <s v="Costa Rica (CRC)"/>
    <n v="9"/>
    <s v="MF"/>
    <x v="164"/>
    <d v="2004-06-15T00:00:00"/>
    <n v="18"/>
    <n v="7"/>
    <n v="2"/>
    <s v="Sunderland"/>
    <s v="ENG-29"/>
    <s v="Group stage"/>
    <n v="0"/>
  </r>
  <r>
    <n v="1166"/>
    <s v="Costa Rica"/>
    <s v="Costa Rica (CRC)"/>
    <n v="10"/>
    <s v="MF"/>
    <x v="165"/>
    <d v="1985-08-18T00:00:00"/>
    <n v="37"/>
    <n v="146"/>
    <n v="29"/>
    <s v="Alajuelense"/>
    <s v="CRA-02"/>
    <s v="Group stage"/>
    <n v="0"/>
  </r>
  <r>
    <n v="1167"/>
    <s v="Costa Rica"/>
    <s v="Costa Rica (CRC)"/>
    <n v="11"/>
    <s v="FW"/>
    <x v="166"/>
    <d v="1988-11-27T00:00:00"/>
    <n v="33"/>
    <n v="82"/>
    <n v="11"/>
    <s v="Alajuelense"/>
    <s v="CRA-02"/>
    <s v="Group stage"/>
    <n v="0"/>
  </r>
  <r>
    <n v="1168"/>
    <s v="Costa Rica"/>
    <s v="Costa Rica (CRC)"/>
    <n v="12"/>
    <s v="FW"/>
    <x v="167"/>
    <d v="1992-06-26T00:00:00"/>
    <n v="30"/>
    <n v="119"/>
    <n v="25"/>
    <s v="León"/>
    <s v="MEX-04"/>
    <s v="Group stage"/>
    <n v="0"/>
  </r>
  <r>
    <n v="1169"/>
    <s v="Costa Rica"/>
    <s v="Costa Rica (CRC)"/>
    <n v="13"/>
    <s v="MF"/>
    <x v="168"/>
    <d v="1997-08-28T00:00:00"/>
    <n v="25"/>
    <n v="13"/>
    <n v="1"/>
    <s v="Herediano"/>
    <s v="CRA-01"/>
    <s v="Group stage"/>
    <n v="0"/>
  </r>
  <r>
    <n v="1170"/>
    <s v="Costa Rica"/>
    <s v="Costa Rica (CRC)"/>
    <n v="14"/>
    <s v="MF"/>
    <x v="169"/>
    <d v="1996-06-17T00:00:00"/>
    <n v="26"/>
    <n v="4"/>
    <n v="0"/>
    <s v="Saprissa"/>
    <s v="CRA-03"/>
    <s v="Group stage"/>
    <n v="0"/>
  </r>
  <r>
    <n v="1171"/>
    <s v="Costa Rica"/>
    <s v="Costa Rica (CRC)"/>
    <n v="15"/>
    <s v="DF"/>
    <x v="170"/>
    <d v="1992-07-08T00:00:00"/>
    <n v="30"/>
    <n v="75"/>
    <n v="8"/>
    <s v="Konyaspor"/>
    <s v="TUR-10"/>
    <s v="Group stage"/>
    <n v="0"/>
  </r>
  <r>
    <n v="1172"/>
    <s v="Costa Rica"/>
    <s v="Costa Rica (CRC)"/>
    <n v="16"/>
    <s v="DF"/>
    <x v="171"/>
    <d v="1999-03-30T00:00:00"/>
    <n v="23"/>
    <n v="7"/>
    <n v="0"/>
    <s v="San Carlos"/>
    <s v="CRA-08"/>
    <s v="Group stage"/>
    <n v="0"/>
  </r>
  <r>
    <n v="1173"/>
    <s v="Costa Rica"/>
    <s v="Costa Rica (CRC)"/>
    <n v="17"/>
    <s v="MF"/>
    <x v="172"/>
    <d v="1992-03-17T00:00:00"/>
    <n v="30"/>
    <n v="73"/>
    <n v="0"/>
    <s v="Herediano"/>
    <s v="CRA-01"/>
    <s v="Group stage"/>
    <n v="0"/>
  </r>
  <r>
    <n v="1174"/>
    <s v="Costa Rica"/>
    <s v="Costa Rica (CRC)"/>
    <n v="18"/>
    <s v="GK"/>
    <x v="173"/>
    <d v="1989-04-28T00:00:00"/>
    <n v="33"/>
    <n v="25"/>
    <n v="0"/>
    <s v="Herediano"/>
    <s v="CRA-01"/>
    <s v="Group stage"/>
    <n v="0"/>
  </r>
  <r>
    <n v="1175"/>
    <s v="Costa Rica"/>
    <s v="Costa Rica (CRC)"/>
    <n v="19"/>
    <s v="DF"/>
    <x v="174"/>
    <d v="1988-01-01T00:00:00"/>
    <n v="34"/>
    <n v="63"/>
    <n v="9"/>
    <s v="Saprissa"/>
    <s v="CRA-03"/>
    <s v="Group stage"/>
    <n v="0"/>
  </r>
  <r>
    <n v="1176"/>
    <s v="Costa Rica"/>
    <s v="Costa Rica (CRC)"/>
    <n v="20"/>
    <s v="MF"/>
    <x v="175"/>
    <d v="2003-06-28T00:00:00"/>
    <n v="19"/>
    <n v="4"/>
    <n v="0"/>
    <s v="Guanacasteca"/>
    <s v="CRA-05"/>
    <s v="Group stage"/>
    <n v="0"/>
  </r>
  <r>
    <n v="1177"/>
    <s v="Costa Rica"/>
    <s v="Costa Rica (CRC)"/>
    <n v="21"/>
    <s v="MF"/>
    <x v="176"/>
    <d v="1998-09-21T00:00:00"/>
    <n v="24"/>
    <n v="3"/>
    <n v="0"/>
    <s v="Herediano"/>
    <s v="CRA-01"/>
    <s v="Group stage"/>
    <n v="0"/>
  </r>
  <r>
    <n v="1178"/>
    <s v="Costa Rica"/>
    <s v="Costa Rica (CRC)"/>
    <n v="22"/>
    <s v="DF"/>
    <x v="177"/>
    <d v="1994-07-09T00:00:00"/>
    <n v="28"/>
    <n v="52"/>
    <n v="3"/>
    <s v="FC Cincinnati"/>
    <s v="USA-10"/>
    <s v="Group stage"/>
    <n v="0"/>
  </r>
  <r>
    <n v="1179"/>
    <s v="Costa Rica"/>
    <s v="Costa Rica (CRC)"/>
    <n v="23"/>
    <s v="GK"/>
    <x v="178"/>
    <d v="1999-03-01T00:00:00"/>
    <n v="23"/>
    <n v="2"/>
    <n v="0"/>
    <s v="Lugo"/>
    <s v="MEX-09"/>
    <s v="Group stage"/>
    <n v="0"/>
  </r>
  <r>
    <n v="1180"/>
    <s v="Costa Rica"/>
    <s v="Costa Rica (CRC)"/>
    <n v="24"/>
    <s v="MF"/>
    <x v="179"/>
    <d v="2002-05-01T00:00:00"/>
    <n v="20"/>
    <n v="3"/>
    <n v="0"/>
    <s v="Municipal Grecia"/>
    <s v="CRA-06"/>
    <s v="Group stage"/>
    <n v="0"/>
  </r>
  <r>
    <n v="1181"/>
    <s v="Costa Rica"/>
    <s v="Costa Rica (CRC)"/>
    <n v="25"/>
    <s v="MF"/>
    <x v="180"/>
    <d v="2001-10-11T00:00:00"/>
    <n v="21"/>
    <n v="3"/>
    <n v="1"/>
    <s v="Puntarenas"/>
    <s v="CRA-07"/>
    <s v="Group stage"/>
    <n v="0"/>
  </r>
  <r>
    <n v="1182"/>
    <s v="Costa Rica"/>
    <s v="Costa Rica (CRC)"/>
    <n v="26"/>
    <s v="MF"/>
    <x v="181"/>
    <d v="2002-03-09T00:00:00"/>
    <n v="20"/>
    <n v="3"/>
    <n v="0"/>
    <s v="Saprissa"/>
    <s v="CRA-03"/>
    <s v="Group stage"/>
    <n v="0"/>
  </r>
  <r>
    <n v="1183"/>
    <s v="Croatia"/>
    <s v="Croatia (CRO)"/>
    <n v="1"/>
    <s v="GK"/>
    <x v="182"/>
    <d v="1995-01-09T00:00:00"/>
    <n v="27"/>
    <n v="34"/>
    <n v="0"/>
    <s v="Dinamo Zagreb"/>
    <s v="CRO-01"/>
    <s v="Third"/>
    <n v="1"/>
  </r>
  <r>
    <n v="1184"/>
    <s v="Croatia"/>
    <s v="Croatia (CRO)"/>
    <n v="2"/>
    <s v="DF"/>
    <x v="183"/>
    <d v="2000-04-02T00:00:00"/>
    <n v="22"/>
    <n v="7"/>
    <n v="0"/>
    <s v="Bayern Munich"/>
    <s v="GER-01"/>
    <s v="Third"/>
    <n v="1"/>
  </r>
  <r>
    <n v="1185"/>
    <s v="Croatia"/>
    <s v="Croatia (CRO)"/>
    <n v="3"/>
    <s v="DF"/>
    <x v="184"/>
    <d v="1992-11-10T00:00:00"/>
    <n v="30"/>
    <n v="28"/>
    <n v="1"/>
    <s v="Rangers"/>
    <s v="SCO-05"/>
    <s v="Third"/>
    <n v="1"/>
  </r>
  <r>
    <n v="1186"/>
    <s v="Croatia"/>
    <s v="Croatia (CRO)"/>
    <n v="4"/>
    <s v="FW"/>
    <x v="185"/>
    <d v="1989-02-02T00:00:00"/>
    <n v="33"/>
    <n v="116"/>
    <n v="32"/>
    <s v="Tottenham Hotspur"/>
    <s v="ENG-04"/>
    <s v="Third"/>
    <n v="1"/>
  </r>
  <r>
    <n v="1187"/>
    <s v="Croatia"/>
    <s v="Croatia (CRO)"/>
    <n v="5"/>
    <s v="DF"/>
    <x v="186"/>
    <d v="1998-01-24T00:00:00"/>
    <n v="24"/>
    <n v="4"/>
    <n v="0"/>
    <s v="Sassuolo"/>
    <s v="ITA-19"/>
    <s v="Third"/>
    <n v="1"/>
  </r>
  <r>
    <n v="1188"/>
    <s v="Croatia"/>
    <s v="Croatia (CRO)"/>
    <n v="6"/>
    <s v="DF"/>
    <x v="187"/>
    <d v="1989-07-05T00:00:00"/>
    <n v="33"/>
    <n v="72"/>
    <n v="5"/>
    <s v="Zenit Saint Petersburg"/>
    <s v="RUS-02"/>
    <s v="Third"/>
    <n v="1"/>
  </r>
  <r>
    <n v="1189"/>
    <s v="Croatia"/>
    <s v="Croatia (CRO)"/>
    <n v="7"/>
    <s v="MF"/>
    <x v="188"/>
    <d v="1998-01-17T00:00:00"/>
    <n v="24"/>
    <n v="11"/>
    <n v="3"/>
    <s v="Rennes"/>
    <s v="FRA-02"/>
    <s v="Third"/>
    <n v="1"/>
  </r>
  <r>
    <n v="1190"/>
    <s v="Croatia"/>
    <s v="Croatia (CRO)"/>
    <n v="8"/>
    <s v="MF"/>
    <x v="189"/>
    <d v="1994-05-06T00:00:00"/>
    <n v="28"/>
    <n v="84"/>
    <n v="3"/>
    <s v="Chelsea"/>
    <s v="ENG-03"/>
    <s v="Third"/>
    <n v="1"/>
  </r>
  <r>
    <n v="1191"/>
    <s v="Croatia"/>
    <s v="Croatia (CRO)"/>
    <n v="9"/>
    <s v="FW"/>
    <x v="190"/>
    <d v="1991-06-19T00:00:00"/>
    <n v="31"/>
    <n v="74"/>
    <n v="20"/>
    <s v="1899 Hoffenheim"/>
    <s v="GER-12"/>
    <s v="Third"/>
    <n v="1"/>
  </r>
  <r>
    <n v="1192"/>
    <s v="Croatia"/>
    <s v="Croatia (CRO)"/>
    <n v="10"/>
    <s v="MF"/>
    <x v="191"/>
    <d v="1985-09-09T00:00:00"/>
    <n v="37"/>
    <n v="155"/>
    <n v="23"/>
    <s v="Real Madrid"/>
    <s v="ESP-02"/>
    <s v="Third"/>
    <n v="1"/>
  </r>
  <r>
    <n v="1193"/>
    <s v="Croatia"/>
    <s v="Croatia (CRO)"/>
    <n v="11"/>
    <s v="MF"/>
    <x v="192"/>
    <d v="1992-11-16T00:00:00"/>
    <n v="30"/>
    <n v="77"/>
    <n v="7"/>
    <s v="Internazionale"/>
    <s v="ITA-03"/>
    <s v="Third"/>
    <n v="1"/>
  </r>
  <r>
    <n v="1194"/>
    <s v="Croatia"/>
    <s v="Croatia (CRO)"/>
    <n v="12"/>
    <s v="GK"/>
    <x v="193"/>
    <d v="1996-01-18T00:00:00"/>
    <n v="26"/>
    <n v="2"/>
    <n v="0"/>
    <s v="Atlético Madrid"/>
    <s v="ESP-03"/>
    <s v="Third"/>
    <n v="1"/>
  </r>
  <r>
    <n v="1195"/>
    <s v="Croatia"/>
    <s v="Croatia (CRO)"/>
    <n v="13"/>
    <s v="MF"/>
    <x v="194"/>
    <d v="1997-10-04T00:00:00"/>
    <n v="25"/>
    <n v="42"/>
    <n v="7"/>
    <s v="Torino"/>
    <s v="ITA-05"/>
    <s v="Third"/>
    <n v="1"/>
  </r>
  <r>
    <n v="1196"/>
    <s v="Croatia"/>
    <s v="Croatia (CRO)"/>
    <n v="14"/>
    <s v="FW"/>
    <x v="195"/>
    <d v="1993-08-26T00:00:00"/>
    <n v="29"/>
    <n v="14"/>
    <n v="3"/>
    <s v="Hajduk Split"/>
    <s v="CRO-02"/>
    <s v="Third"/>
    <n v="1"/>
  </r>
  <r>
    <n v="1197"/>
    <s v="Croatia"/>
    <s v="Croatia (CRO)"/>
    <n v="15"/>
    <s v="MF"/>
    <x v="196"/>
    <d v="1995-02-09T00:00:00"/>
    <n v="27"/>
    <n v="43"/>
    <n v="7"/>
    <s v="Atalanta"/>
    <s v="ITA-06"/>
    <s v="Third"/>
    <n v="1"/>
  </r>
  <r>
    <n v="1198"/>
    <s v="Croatia"/>
    <s v="Croatia (CRO)"/>
    <n v="16"/>
    <s v="FW"/>
    <x v="197"/>
    <d v="1994-09-16T00:00:00"/>
    <n v="28"/>
    <n v="23"/>
    <n v="6"/>
    <s v="Dinamo Zagreb"/>
    <s v="CRO-01"/>
    <s v="Third"/>
    <n v="1"/>
  </r>
  <r>
    <n v="1199"/>
    <s v="Croatia"/>
    <s v="Croatia (CRO)"/>
    <n v="17"/>
    <s v="FW"/>
    <x v="198"/>
    <d v="1991-07-22T00:00:00"/>
    <n v="31"/>
    <n v="15"/>
    <n v="1"/>
    <s v="Osasuna"/>
    <s v="ESP-12"/>
    <s v="Third"/>
    <n v="1"/>
  </r>
  <r>
    <n v="1200"/>
    <s v="Croatia"/>
    <s v="Croatia (CRO)"/>
    <n v="18"/>
    <s v="FW"/>
    <x v="199"/>
    <d v="1992-12-29T00:00:00"/>
    <n v="29"/>
    <n v="21"/>
    <n v="1"/>
    <s v="Dinamo Zagreb"/>
    <s v="CRO-01"/>
    <s v="Third"/>
    <n v="1"/>
  </r>
  <r>
    <n v="1201"/>
    <s v="Croatia"/>
    <s v="Croatia (CRO)"/>
    <n v="19"/>
    <s v="DF"/>
    <x v="200"/>
    <d v="1998-01-21T00:00:00"/>
    <n v="24"/>
    <n v="8"/>
    <n v="1"/>
    <s v="VfB Stuttgart"/>
    <s v="GER-10"/>
    <s v="Third"/>
    <n v="1"/>
  </r>
  <r>
    <n v="1202"/>
    <s v="Croatia"/>
    <s v="Croatia (CRO)"/>
    <n v="20"/>
    <s v="DF"/>
    <x v="201"/>
    <d v="2002-01-23T00:00:00"/>
    <n v="20"/>
    <n v="12"/>
    <n v="1"/>
    <s v="RB Leipzig"/>
    <s v="GER-04"/>
    <s v="Third"/>
    <n v="1"/>
  </r>
  <r>
    <n v="1203"/>
    <s v="Croatia"/>
    <s v="Croatia (CRO)"/>
    <n v="21"/>
    <s v="DF"/>
    <x v="202"/>
    <d v="1989-04-29T00:00:00"/>
    <n v="33"/>
    <n v="100"/>
    <n v="4"/>
    <s v="AEK Athens"/>
    <s v="GRE-01"/>
    <s v="Third"/>
    <n v="1"/>
  </r>
  <r>
    <n v="1204"/>
    <s v="Croatia"/>
    <s v="Croatia (CRO)"/>
    <n v="22"/>
    <s v="DF"/>
    <x v="203"/>
    <d v="1995-08-16T00:00:00"/>
    <n v="27"/>
    <n v="21"/>
    <n v="0"/>
    <s v="Celtic"/>
    <s v="SCO-01"/>
    <s v="Third"/>
    <n v="1"/>
  </r>
  <r>
    <n v="1205"/>
    <s v="Croatia"/>
    <s v="Croatia (CRO)"/>
    <n v="23"/>
    <s v="GK"/>
    <x v="204"/>
    <d v="1995-02-01T00:00:00"/>
    <n v="27"/>
    <n v="5"/>
    <n v="0"/>
    <s v="Osijek"/>
    <s v="CRO-03"/>
    <s v="Third"/>
    <n v="1"/>
  </r>
  <r>
    <n v="1206"/>
    <s v="Croatia"/>
    <s v="Croatia (CRO)"/>
    <n v="24"/>
    <s v="DF"/>
    <x v="205"/>
    <d v="2000-02-28T00:00:00"/>
    <n v="22"/>
    <n v="3"/>
    <n v="0"/>
    <s v="Dinamo Zagreb"/>
    <s v="CRO-01"/>
    <s v="Third"/>
    <n v="1"/>
  </r>
  <r>
    <n v="1207"/>
    <s v="Croatia"/>
    <s v="Croatia (CRO)"/>
    <n v="25"/>
    <s v="MF"/>
    <x v="206"/>
    <d v="2002-09-08T00:00:00"/>
    <n v="20"/>
    <n v="4"/>
    <n v="0"/>
    <s v="Red Bull Salzburg"/>
    <s v="AST-01"/>
    <s v="Third"/>
    <n v="1"/>
  </r>
  <r>
    <n v="1208"/>
    <s v="Croatia"/>
    <s v="Croatia (CRO)"/>
    <n v="26"/>
    <s v="MF"/>
    <x v="207"/>
    <d v="1997-05-14T00:00:00"/>
    <n v="25"/>
    <n v="4"/>
    <n v="0"/>
    <s v="Eintracht Frankfurt"/>
    <s v="GER-03"/>
    <s v="Third"/>
    <n v="1"/>
  </r>
  <r>
    <n v="1209"/>
    <s v="Denmark"/>
    <s v="Denmark (DEN)"/>
    <n v="1"/>
    <s v="GK"/>
    <x v="208"/>
    <d v="1986-11-05T00:00:00"/>
    <n v="36"/>
    <n v="86"/>
    <n v="0"/>
    <s v="Nice"/>
    <s v="FRA-11"/>
    <s v="Group stage"/>
    <n v="0"/>
  </r>
  <r>
    <n v="1210"/>
    <s v="Denmark"/>
    <s v="Denmark (DEN)"/>
    <n v="2"/>
    <s v="DF"/>
    <x v="209"/>
    <d v="1996-05-31T00:00:00"/>
    <n v="26"/>
    <n v="19"/>
    <n v="0"/>
    <s v="Crystal Palace"/>
    <s v="ENG-24"/>
    <s v="Group stage"/>
    <n v="0"/>
  </r>
  <r>
    <n v="1211"/>
    <s v="Denmark"/>
    <s v="Denmark (DEN)"/>
    <n v="3"/>
    <s v="DF"/>
    <x v="210"/>
    <d v="1998-10-14T00:00:00"/>
    <n v="24"/>
    <n v="7"/>
    <n v="0"/>
    <s v="Galatasaray"/>
    <s v="TUR-01"/>
    <s v="Group stage"/>
    <n v="0"/>
  </r>
  <r>
    <n v="1212"/>
    <s v="Denmark"/>
    <s v="Denmark (DEN)"/>
    <n v="4"/>
    <s v="DF"/>
    <x v="211"/>
    <d v="1989-03-26T00:00:00"/>
    <n v="33"/>
    <n v="121"/>
    <n v="5"/>
    <s v="Milan"/>
    <s v="ITA-02"/>
    <s v="Group stage"/>
    <n v="0"/>
  </r>
  <r>
    <n v="1213"/>
    <s v="Denmark"/>
    <s v="Denmark (DEN)"/>
    <n v="5"/>
    <s v="DF"/>
    <x v="212"/>
    <d v="1997-05-20T00:00:00"/>
    <n v="25"/>
    <n v="31"/>
    <n v="9"/>
    <s v="Atalanta"/>
    <s v="ITA-06"/>
    <s v="Group stage"/>
    <n v="0"/>
  </r>
  <r>
    <n v="1214"/>
    <s v="Denmark"/>
    <s v="Denmark (DEN)"/>
    <n v="6"/>
    <s v="DF"/>
    <x v="213"/>
    <d v="1996-04-10T00:00:00"/>
    <n v="26"/>
    <n v="58"/>
    <n v="2"/>
    <s v="Barcelona"/>
    <s v="ESP-01"/>
    <s v="Group stage"/>
    <n v="0"/>
  </r>
  <r>
    <n v="1215"/>
    <s v="Denmark"/>
    <s v="Denmark (DEN)"/>
    <n v="7"/>
    <s v="MF"/>
    <x v="214"/>
    <d v="1996-01-01T00:00:00"/>
    <n v="26"/>
    <n v="20"/>
    <n v="1"/>
    <s v="Brentford"/>
    <s v="ENG-09"/>
    <s v="Group stage"/>
    <n v="0"/>
  </r>
  <r>
    <n v="1216"/>
    <s v="Denmark"/>
    <s v="Denmark (DEN)"/>
    <n v="8"/>
    <s v="MF"/>
    <x v="215"/>
    <d v="1991-09-03T00:00:00"/>
    <n v="31"/>
    <n v="71"/>
    <n v="7"/>
    <s v="Sevilla"/>
    <s v="ESP-04"/>
    <s v="Group stage"/>
    <n v="0"/>
  </r>
  <r>
    <n v="1217"/>
    <s v="Denmark"/>
    <s v="Denmark (DEN)"/>
    <n v="9"/>
    <s v="FW"/>
    <x v="216"/>
    <d v="1991-06-05T00:00:00"/>
    <n v="31"/>
    <n v="62"/>
    <n v="10"/>
    <s v="Espanyol"/>
    <s v="ESP-16"/>
    <s v="Group stage"/>
    <n v="0"/>
  </r>
  <r>
    <n v="1218"/>
    <s v="Denmark"/>
    <s v="Denmark (DEN)"/>
    <n v="10"/>
    <s v="MF"/>
    <x v="217"/>
    <d v="1992-02-14T00:00:00"/>
    <n v="30"/>
    <n v="117"/>
    <n v="39"/>
    <s v="Manchester United"/>
    <s v="ENG-02"/>
    <s v="Group stage"/>
    <n v="0"/>
  </r>
  <r>
    <n v="1219"/>
    <s v="Denmark"/>
    <s v="Denmark (DEN)"/>
    <n v="11"/>
    <s v="MF"/>
    <x v="218"/>
    <d v="1999-12-29T00:00:00"/>
    <n v="22"/>
    <n v="23"/>
    <n v="8"/>
    <s v="Club Brugge"/>
    <s v="BEL-01"/>
    <s v="Group stage"/>
    <n v="0"/>
  </r>
  <r>
    <n v="1220"/>
    <s v="Denmark"/>
    <s v="Denmark (DEN)"/>
    <n v="12"/>
    <s v="FW"/>
    <x v="219"/>
    <d v="1997-10-06T00:00:00"/>
    <n v="25"/>
    <n v="37"/>
    <n v="11"/>
    <s v="Sevilla"/>
    <s v="ESP-04"/>
    <s v="Group stage"/>
    <n v="0"/>
  </r>
  <r>
    <n v="1221"/>
    <s v="Denmark"/>
    <s v="Denmark (DEN)"/>
    <n v="13"/>
    <s v="DF"/>
    <x v="220"/>
    <d v="1997-07-11T00:00:00"/>
    <n v="25"/>
    <n v="10"/>
    <n v="0"/>
    <s v="Leeds United"/>
    <s v="ENG-17"/>
    <s v="Group stage"/>
    <n v="0"/>
  </r>
  <r>
    <n v="1222"/>
    <s v="Denmark"/>
    <s v="Denmark (DEN)"/>
    <n v="14"/>
    <s v="MF"/>
    <x v="221"/>
    <d v="2000-07-03T00:00:00"/>
    <n v="22"/>
    <n v="18"/>
    <n v="4"/>
    <s v="Brentford"/>
    <s v="ENG-09"/>
    <s v="Group stage"/>
    <n v="0"/>
  </r>
  <r>
    <n v="1223"/>
    <s v="Denmark"/>
    <s v="Denmark (DEN)"/>
    <n v="15"/>
    <s v="MF"/>
    <x v="222"/>
    <d v="1994-03-10T00:00:00"/>
    <n v="28"/>
    <n v="17"/>
    <n v="1"/>
    <s v="Brentford"/>
    <s v="ENG-09"/>
    <s v="Group stage"/>
    <n v="0"/>
  </r>
  <r>
    <n v="1224"/>
    <s v="Denmark"/>
    <s v="Denmark (DEN)"/>
    <n v="16"/>
    <s v="GK"/>
    <x v="223"/>
    <d v="1999-03-22T00:00:00"/>
    <n v="23"/>
    <n v="1"/>
    <n v="0"/>
    <s v="Hertha BSC"/>
    <s v="GER-18"/>
    <s v="Group stage"/>
    <n v="0"/>
  </r>
  <r>
    <n v="1225"/>
    <s v="Denmark"/>
    <s v="Denmark (DEN)"/>
    <n v="17"/>
    <s v="DF"/>
    <x v="224"/>
    <d v="1991-02-21T00:00:00"/>
    <n v="31"/>
    <n v="49"/>
    <n v="3"/>
    <s v="Trabzonspor"/>
    <s v="TUR-05"/>
    <s v="Group stage"/>
    <n v="0"/>
  </r>
  <r>
    <n v="1226"/>
    <s v="Denmark"/>
    <s v="Denmark (DEN)"/>
    <n v="18"/>
    <s v="DF"/>
    <x v="225"/>
    <d v="1989-05-31T00:00:00"/>
    <n v="33"/>
    <n v="44"/>
    <n v="1"/>
    <s v="Brøndby"/>
    <s v="DEN-02"/>
    <s v="Group stage"/>
    <n v="0"/>
  </r>
  <r>
    <n v="1227"/>
    <s v="Denmark"/>
    <s v="Denmark (DEN)"/>
    <n v="19"/>
    <s v="FW"/>
    <x v="226"/>
    <d v="1999-02-07T00:00:00"/>
    <n v="23"/>
    <n v="15"/>
    <n v="5"/>
    <s v="VfL Wolfsburg"/>
    <s v="GER-11"/>
    <s v="Group stage"/>
    <n v="0"/>
  </r>
  <r>
    <n v="1228"/>
    <s v="Denmark"/>
    <s v="Denmark (DEN)"/>
    <n v="20"/>
    <s v="FW"/>
    <x v="227"/>
    <d v="1994-06-15T00:00:00"/>
    <n v="28"/>
    <n v="68"/>
    <n v="11"/>
    <s v="RB Leipzig"/>
    <s v="GER-04"/>
    <s v="Group stage"/>
    <n v="0"/>
  </r>
  <r>
    <n v="1229"/>
    <s v="Denmark"/>
    <s v="Denmark (DEN)"/>
    <n v="21"/>
    <s v="FW"/>
    <x v="228"/>
    <d v="1993-03-16T00:00:00"/>
    <n v="29"/>
    <n v="41"/>
    <n v="9"/>
    <s v="Copenhagen"/>
    <s v="DEN-01"/>
    <s v="Group stage"/>
    <n v="0"/>
  </r>
  <r>
    <n v="1230"/>
    <s v="Denmark"/>
    <s v="Denmark (DEN)"/>
    <n v="22"/>
    <s v="GK"/>
    <x v="229"/>
    <d v="1992-08-04T00:00:00"/>
    <n v="30"/>
    <n v="8"/>
    <n v="0"/>
    <s v="Union Berlin"/>
    <s v="GER-20"/>
    <s v="Group stage"/>
    <n v="0"/>
  </r>
  <r>
    <n v="1231"/>
    <s v="Denmark"/>
    <s v="Denmark (DEN)"/>
    <n v="23"/>
    <s v="MF"/>
    <x v="230"/>
    <d v="1995-08-05T00:00:00"/>
    <n v="27"/>
    <n v="60"/>
    <n v="5"/>
    <s v="Tottenham Hotspur"/>
    <s v="ENG-04"/>
    <s v="Group stage"/>
    <n v="0"/>
  </r>
  <r>
    <n v="1232"/>
    <s v="Denmark"/>
    <s v="Denmark (DEN)"/>
    <n v="24"/>
    <s v="MF"/>
    <x v="231"/>
    <d v="1996-05-20T00:00:00"/>
    <n v="26"/>
    <n v="11"/>
    <n v="5"/>
    <s v="1899 Hoffenheim"/>
    <s v="GER-12"/>
    <s v="Group stage"/>
    <n v="0"/>
  </r>
  <r>
    <n v="1233"/>
    <s v="Denmark"/>
    <s v="Denmark (DEN)"/>
    <n v="25"/>
    <s v="MF"/>
    <x v="232"/>
    <d v="2000-02-29T00:00:00"/>
    <n v="22"/>
    <n v="6"/>
    <n v="1"/>
    <s v="Eintracht Frankfurt"/>
    <s v="GER-03"/>
    <s v="Group stage"/>
    <n v="0"/>
  </r>
  <r>
    <n v="1234"/>
    <s v="Denmark"/>
    <s v="Denmark (DEN)"/>
    <n v="26"/>
    <s v="DF"/>
    <x v="233"/>
    <d v="1997-12-09T00:00:00"/>
    <n v="24"/>
    <n v="4"/>
    <n v="1"/>
    <s v="Benfica"/>
    <s v="POR-01"/>
    <s v="Group stage"/>
    <n v="0"/>
  </r>
  <r>
    <n v="1235"/>
    <s v="Ecuador"/>
    <s v="Ecuador (ECU)"/>
    <n v="1"/>
    <s v="GK"/>
    <x v="234"/>
    <d v="1987-03-30T00:00:00"/>
    <n v="35"/>
    <n v="12"/>
    <n v="0"/>
    <s v="Aucas"/>
    <s v="ECU-01"/>
    <s v="Group stage"/>
    <n v="0"/>
  </r>
  <r>
    <n v="1236"/>
    <s v="Ecuador"/>
    <s v="Ecuador (ECU)"/>
    <n v="2"/>
    <s v="DF"/>
    <x v="235"/>
    <d v="1997-01-11T00:00:00"/>
    <n v="25"/>
    <n v="17"/>
    <n v="2"/>
    <s v="Santos Laguna"/>
    <s v="MEX-07"/>
    <s v="Group stage"/>
    <n v="0"/>
  </r>
  <r>
    <n v="1237"/>
    <s v="Ecuador"/>
    <s v="Ecuador (ECU)"/>
    <n v="3"/>
    <s v="DF"/>
    <x v="236"/>
    <d v="2002-01-09T00:00:00"/>
    <n v="20"/>
    <n v="21"/>
    <n v="1"/>
    <s v="Bayer Leverkusen"/>
    <s v="GER-07"/>
    <s v="Group stage"/>
    <n v="0"/>
  </r>
  <r>
    <n v="1238"/>
    <s v="Ecuador"/>
    <s v="Ecuador (ECU)"/>
    <n v="4"/>
    <s v="DF"/>
    <x v="237"/>
    <d v="1991-10-22T00:00:00"/>
    <n v="31"/>
    <n v="33"/>
    <n v="2"/>
    <s v="São Paulo"/>
    <s v="BRA-04"/>
    <s v="Group stage"/>
    <n v="0"/>
  </r>
  <r>
    <n v="1239"/>
    <s v="Ecuador"/>
    <s v="Ecuador (ECU)"/>
    <n v="5"/>
    <s v="MF"/>
    <x v="238"/>
    <d v="1999-03-12T00:00:00"/>
    <n v="23"/>
    <n v="11"/>
    <n v="0"/>
    <s v="Los Angeles FC"/>
    <s v="USA-02"/>
    <s v="Group stage"/>
    <n v="0"/>
  </r>
  <r>
    <n v="1240"/>
    <s v="Ecuador"/>
    <s v="Ecuador (ECU)"/>
    <n v="6"/>
    <s v="DF"/>
    <x v="239"/>
    <d v="2001-10-16T00:00:00"/>
    <n v="21"/>
    <n v="0"/>
    <n v="0"/>
    <s v="Antwerp"/>
    <s v="BEL-02"/>
    <s v="Group stage"/>
    <n v="0"/>
  </r>
  <r>
    <n v="1241"/>
    <s v="Ecuador"/>
    <s v="Ecuador (ECU)"/>
    <n v="7"/>
    <s v="DF"/>
    <x v="240"/>
    <d v="1998-01-21T00:00:00"/>
    <n v="24"/>
    <n v="28"/>
    <n v="3"/>
    <s v="Brighton &amp; Hove Albion"/>
    <s v="ENG-06"/>
    <s v="Group stage"/>
    <n v="0"/>
  </r>
  <r>
    <n v="1242"/>
    <s v="Ecuador"/>
    <s v="Ecuador (ECU)"/>
    <n v="8"/>
    <s v="MF"/>
    <x v="241"/>
    <d v="1995-04-19T00:00:00"/>
    <n v="27"/>
    <n v="46"/>
    <n v="1"/>
    <s v="FC Augsburg"/>
    <s v="GER-08"/>
    <s v="Group stage"/>
    <n v="0"/>
  </r>
  <r>
    <n v="1243"/>
    <s v="Ecuador"/>
    <s v="Ecuador (ECU)"/>
    <n v="9"/>
    <s v="MF"/>
    <x v="242"/>
    <d v="1994-07-17T00:00:00"/>
    <n v="28"/>
    <n v="27"/>
    <n v="3"/>
    <s v="Santos Laguna"/>
    <s v="MEX-07"/>
    <s v="Group stage"/>
    <n v="0"/>
  </r>
  <r>
    <n v="1244"/>
    <s v="Ecuador"/>
    <s v="Ecuador (ECU)"/>
    <n v="10"/>
    <s v="MF"/>
    <x v="243"/>
    <d v="1994-09-24T00:00:00"/>
    <n v="28"/>
    <n v="25"/>
    <n v="3"/>
    <s v="Pachuca"/>
    <s v="MEX-05"/>
    <s v="Group stage"/>
    <n v="0"/>
  </r>
  <r>
    <n v="1245"/>
    <s v="Ecuador"/>
    <s v="Ecuador (ECU)"/>
    <n v="11"/>
    <s v="FW"/>
    <x v="244"/>
    <d v="1996-04-07T00:00:00"/>
    <n v="26"/>
    <n v="36"/>
    <n v="8"/>
    <s v="Cruz Azul"/>
    <s v="MEX-03"/>
    <s v="Group stage"/>
    <n v="0"/>
  </r>
  <r>
    <n v="1246"/>
    <s v="Ecuador"/>
    <s v="Ecuador (ECU)"/>
    <n v="12"/>
    <s v="GK"/>
    <x v="245"/>
    <d v="2000-09-09T00:00:00"/>
    <n v="22"/>
    <n v="2"/>
    <n v="0"/>
    <s v="Independiente del Valle"/>
    <s v="ECU-03"/>
    <s v="Group stage"/>
    <n v="0"/>
  </r>
  <r>
    <n v="1247"/>
    <s v="Ecuador"/>
    <s v="Ecuador (ECU)"/>
    <n v="13"/>
    <s v="FW"/>
    <x v="246"/>
    <d v="1989-11-04T00:00:00"/>
    <n v="33"/>
    <n v="74"/>
    <n v="35"/>
    <s v="Fenerbahçe"/>
    <s v="TUR-03"/>
    <s v="Group stage"/>
    <n v="0"/>
  </r>
  <r>
    <n v="1248"/>
    <s v="Ecuador"/>
    <s v="Ecuador (ECU)"/>
    <n v="14"/>
    <s v="DF"/>
    <x v="247"/>
    <d v="1994-09-28T00:00:00"/>
    <n v="28"/>
    <n v="18"/>
    <n v="1"/>
    <s v="Seattle Sounders FC"/>
    <s v="USA-03"/>
    <s v="Group stage"/>
    <n v="0"/>
  </r>
  <r>
    <n v="1249"/>
    <s v="Ecuador"/>
    <s v="Ecuador (ECU)"/>
    <n v="15"/>
    <s v="MF"/>
    <x v="248"/>
    <d v="1988-01-21T00:00:00"/>
    <n v="34"/>
    <n v="46"/>
    <n v="7"/>
    <s v="León"/>
    <s v="MEX-04"/>
    <s v="Group stage"/>
    <n v="0"/>
  </r>
  <r>
    <n v="1250"/>
    <s v="Ecuador"/>
    <s v="Ecuador (ECU)"/>
    <n v="16"/>
    <s v="MF"/>
    <x v="249"/>
    <d v="2002-06-16T00:00:00"/>
    <n v="20"/>
    <n v="9"/>
    <n v="0"/>
    <s v="Brighton &amp; Hove Albion"/>
    <s v="ENG-06"/>
    <s v="Group stage"/>
    <n v="0"/>
  </r>
  <r>
    <n v="1251"/>
    <s v="Ecuador"/>
    <s v="Ecuador (ECU)"/>
    <n v="17"/>
    <s v="DF"/>
    <x v="250"/>
    <d v="1998-02-18T00:00:00"/>
    <n v="24"/>
    <n v="24"/>
    <n v="0"/>
    <s v="Genk"/>
    <s v="BEL-03"/>
    <s v="Group stage"/>
    <n v="0"/>
  </r>
  <r>
    <n v="1252"/>
    <s v="Ecuador"/>
    <s v="Ecuador (ECU)"/>
    <n v="18"/>
    <s v="DF"/>
    <x v="251"/>
    <d v="1999-07-12T00:00:00"/>
    <n v="23"/>
    <n v="12"/>
    <n v="0"/>
    <s v="Los Angeles FC"/>
    <s v="USA-02"/>
    <s v="Group stage"/>
    <n v="0"/>
  </r>
  <r>
    <n v="1253"/>
    <s v="Ecuador"/>
    <s v="Ecuador (ECU)"/>
    <n v="19"/>
    <s v="MF"/>
    <x v="252"/>
    <d v="2000-11-01T00:00:00"/>
    <n v="22"/>
    <n v="30"/>
    <n v="5"/>
    <s v="Valladolid"/>
    <s v="ESP-13"/>
    <s v="Group stage"/>
    <n v="0"/>
  </r>
  <r>
    <n v="1254"/>
    <s v="Ecuador"/>
    <s v="Ecuador (ECU)"/>
    <n v="20"/>
    <s v="MF"/>
    <x v="253"/>
    <d v="1997-04-26T00:00:00"/>
    <n v="25"/>
    <n v="32"/>
    <n v="0"/>
    <s v="Los Angeles FC"/>
    <s v="USA-02"/>
    <s v="Group stage"/>
    <n v="0"/>
  </r>
  <r>
    <n v="1255"/>
    <s v="Ecuador"/>
    <s v="Ecuador (ECU)"/>
    <n v="21"/>
    <s v="MF"/>
    <x v="254"/>
    <d v="1998-08-21T00:00:00"/>
    <n v="24"/>
    <n v="25"/>
    <n v="1"/>
    <s v="Talleres"/>
    <s v="ARG-04"/>
    <s v="Group stage"/>
    <n v="0"/>
  </r>
  <r>
    <n v="1256"/>
    <s v="Ecuador"/>
    <s v="Ecuador (ECU)"/>
    <n v="22"/>
    <s v="GK"/>
    <x v="255"/>
    <d v="1987-06-05T00:00:00"/>
    <n v="35"/>
    <n v="68"/>
    <n v="0"/>
    <s v="LDU Quito"/>
    <s v="ECU-04"/>
    <s v="Group stage"/>
    <n v="0"/>
  </r>
  <r>
    <n v="1257"/>
    <s v="Ecuador"/>
    <s v="Ecuador (ECU)"/>
    <n v="23"/>
    <s v="MF"/>
    <x v="256"/>
    <d v="2001-11-02T00:00:00"/>
    <n v="21"/>
    <n v="25"/>
    <n v="2"/>
    <s v="Brighton &amp; Hove Albion"/>
    <s v="ENG-06"/>
    <s v="Group stage"/>
    <n v="0"/>
  </r>
  <r>
    <n v="1258"/>
    <s v="Ecuador"/>
    <s v="Ecuador (ECU)"/>
    <n v="24"/>
    <s v="FW"/>
    <x v="257"/>
    <d v="1999-01-18T00:00:00"/>
    <n v="23"/>
    <n v="4"/>
    <n v="0"/>
    <s v="Newell's Old Boys"/>
    <s v="ARG-03"/>
    <s v="Group stage"/>
    <n v="0"/>
  </r>
  <r>
    <n v="1259"/>
    <s v="Ecuador"/>
    <s v="Ecuador (ECU)"/>
    <n v="25"/>
    <s v="DF"/>
    <x v="258"/>
    <d v="2000-08-04T00:00:00"/>
    <n v="22"/>
    <n v="5"/>
    <n v="0"/>
    <s v="Troyes"/>
    <s v="FRA-13"/>
    <s v="Group stage"/>
    <n v="0"/>
  </r>
  <r>
    <n v="1260"/>
    <s v="Ecuador"/>
    <s v="Ecuador (ECU)"/>
    <n v="26"/>
    <s v="FW"/>
    <x v="259"/>
    <d v="2000-03-04T00:00:00"/>
    <n v="22"/>
    <n v="1"/>
    <n v="0"/>
    <s v="Imbabura"/>
    <s v="ECU-02"/>
    <s v="Group stage"/>
    <n v="0"/>
  </r>
  <r>
    <n v="1261"/>
    <s v="England"/>
    <s v="England (ENG)"/>
    <n v="1"/>
    <s v="GK"/>
    <x v="260"/>
    <d v="1994-03-07T00:00:00"/>
    <n v="28"/>
    <n v="45"/>
    <n v="0"/>
    <s v="Everton"/>
    <s v="ENG-16"/>
    <s v="Quarter Finals"/>
    <n v="0"/>
  </r>
  <r>
    <n v="1262"/>
    <s v="England"/>
    <s v="England (ENG)"/>
    <n v="2"/>
    <s v="DF"/>
    <x v="261"/>
    <d v="1990-05-28T00:00:00"/>
    <n v="32"/>
    <n v="70"/>
    <n v="0"/>
    <s v="Manchester City"/>
    <s v="ENG-01"/>
    <s v="Quarter Finals"/>
    <n v="0"/>
  </r>
  <r>
    <n v="1263"/>
    <s v="England"/>
    <s v="England (ENG)"/>
    <n v="3"/>
    <s v="DF"/>
    <x v="262"/>
    <d v="1995-07-12T00:00:00"/>
    <n v="27"/>
    <n v="23"/>
    <n v="3"/>
    <s v="Manchester United"/>
    <s v="ENG-02"/>
    <s v="Quarter Finals"/>
    <n v="0"/>
  </r>
  <r>
    <n v="1264"/>
    <s v="England"/>
    <s v="England (ENG)"/>
    <n v="4"/>
    <s v="MF"/>
    <x v="263"/>
    <d v="1999-01-14T00:00:00"/>
    <n v="23"/>
    <n v="34"/>
    <n v="2"/>
    <s v="West Ham United"/>
    <s v="ENG-13"/>
    <s v="Quarter Finals"/>
    <n v="0"/>
  </r>
  <r>
    <n v="1265"/>
    <s v="England"/>
    <s v="England (ENG)"/>
    <n v="5"/>
    <s v="DF"/>
    <x v="264"/>
    <d v="1994-05-28T00:00:00"/>
    <n v="28"/>
    <n v="59"/>
    <n v="3"/>
    <s v="Manchester City"/>
    <s v="ENG-01"/>
    <s v="Quarter Finals"/>
    <n v="0"/>
  </r>
  <r>
    <n v="1266"/>
    <s v="England"/>
    <s v="England (ENG)"/>
    <n v="6"/>
    <s v="DF"/>
    <x v="265"/>
    <d v="1993-03-05T00:00:00"/>
    <n v="29"/>
    <n v="48"/>
    <n v="7"/>
    <s v="Manchester United"/>
    <s v="ENG-02"/>
    <s v="Quarter Finals"/>
    <n v="0"/>
  </r>
  <r>
    <n v="1267"/>
    <s v="England"/>
    <s v="England (ENG)"/>
    <n v="7"/>
    <s v="FW"/>
    <x v="266"/>
    <d v="1995-09-10T00:00:00"/>
    <n v="27"/>
    <n v="24"/>
    <n v="1"/>
    <s v="Manchester City"/>
    <s v="ENG-01"/>
    <s v="Quarter Finals"/>
    <n v="0"/>
  </r>
  <r>
    <n v="1268"/>
    <s v="England"/>
    <s v="England (ENG)"/>
    <n v="8"/>
    <s v="MF"/>
    <x v="267"/>
    <d v="1990-06-17T00:00:00"/>
    <n v="32"/>
    <n v="70"/>
    <n v="2"/>
    <s v="Liverpool"/>
    <s v="ENG-08"/>
    <s v="Quarter Finals"/>
    <n v="0"/>
  </r>
  <r>
    <n v="1269"/>
    <s v="England"/>
    <s v="England (ENG)"/>
    <n v="9"/>
    <s v="FW"/>
    <x v="268"/>
    <d v="1993-07-28T00:00:00"/>
    <n v="29"/>
    <n v="75"/>
    <n v="51"/>
    <s v="Tottenham Hotspur"/>
    <s v="ENG-04"/>
    <s v="Quarter Finals"/>
    <n v="0"/>
  </r>
  <r>
    <n v="1270"/>
    <s v="England"/>
    <s v="England (ENG)"/>
    <n v="10"/>
    <s v="FW"/>
    <x v="269"/>
    <d v="1994-12-08T00:00:00"/>
    <n v="27"/>
    <n v="79"/>
    <n v="19"/>
    <s v="Chelsea"/>
    <s v="ENG-03"/>
    <s v="Quarter Finals"/>
    <n v="0"/>
  </r>
  <r>
    <n v="1271"/>
    <s v="England"/>
    <s v="England (ENG)"/>
    <n v="11"/>
    <s v="FW"/>
    <x v="270"/>
    <d v="1997-10-31T00:00:00"/>
    <n v="25"/>
    <n v="46"/>
    <n v="12"/>
    <s v="Manchester United"/>
    <s v="ENG-02"/>
    <s v="Quarter Finals"/>
    <n v="0"/>
  </r>
  <r>
    <n v="1272"/>
    <s v="England"/>
    <s v="England (ENG)"/>
    <n v="12"/>
    <s v="DF"/>
    <x v="271"/>
    <d v="1990-09-19T00:00:00"/>
    <n v="32"/>
    <n v="37"/>
    <n v="1"/>
    <s v="Newcastle United"/>
    <s v="ENG-11"/>
    <s v="Quarter Finals"/>
    <n v="0"/>
  </r>
  <r>
    <n v="1273"/>
    <s v="England"/>
    <s v="England (ENG)"/>
    <n v="13"/>
    <s v="GK"/>
    <x v="272"/>
    <d v="1992-04-19T00:00:00"/>
    <n v="30"/>
    <n v="10"/>
    <n v="0"/>
    <s v="Newcastle United"/>
    <s v="ENG-11"/>
    <s v="Quarter Finals"/>
    <n v="0"/>
  </r>
  <r>
    <n v="1274"/>
    <s v="England"/>
    <s v="England (ENG)"/>
    <n v="14"/>
    <s v="MF"/>
    <x v="273"/>
    <d v="1995-12-02T00:00:00"/>
    <n v="26"/>
    <n v="23"/>
    <n v="0"/>
    <s v="Manchester City"/>
    <s v="ENG-01"/>
    <s v="Quarter Finals"/>
    <n v="0"/>
  </r>
  <r>
    <n v="1275"/>
    <s v="England"/>
    <s v="England (ENG)"/>
    <n v="15"/>
    <s v="DF"/>
    <x v="274"/>
    <d v="1994-01-15T00:00:00"/>
    <n v="28"/>
    <n v="47"/>
    <n v="3"/>
    <s v="Tottenham Hotspur"/>
    <s v="ENG-04"/>
    <s v="Quarter Finals"/>
    <n v="0"/>
  </r>
  <r>
    <n v="1276"/>
    <s v="England"/>
    <s v="England (ENG)"/>
    <n v="16"/>
    <s v="DF"/>
    <x v="275"/>
    <d v="1993-02-25T00:00:00"/>
    <n v="29"/>
    <n v="10"/>
    <n v="1"/>
    <s v="Everton"/>
    <s v="ENG-16"/>
    <s v="Quarter Finals"/>
    <n v="0"/>
  </r>
  <r>
    <n v="1277"/>
    <s v="England"/>
    <s v="England (ENG)"/>
    <n v="17"/>
    <s v="FW"/>
    <x v="276"/>
    <d v="2001-09-05T00:00:00"/>
    <n v="21"/>
    <n v="20"/>
    <n v="4"/>
    <s v="Arsenal"/>
    <s v="ENG-05"/>
    <s v="Quarter Finals"/>
    <n v="0"/>
  </r>
  <r>
    <n v="1278"/>
    <s v="England"/>
    <s v="England (ENG)"/>
    <n v="18"/>
    <s v="DF"/>
    <x v="277"/>
    <d v="1998-10-07T00:00:00"/>
    <n v="24"/>
    <n v="17"/>
    <n v="1"/>
    <s v="Liverpool"/>
    <s v="ENG-08"/>
    <s v="Quarter Finals"/>
    <n v="0"/>
  </r>
  <r>
    <n v="1279"/>
    <s v="England"/>
    <s v="England (ENG)"/>
    <n v="19"/>
    <s v="MF"/>
    <x v="278"/>
    <d v="1999-01-10T00:00:00"/>
    <n v="23"/>
    <n v="32"/>
    <n v="5"/>
    <s v="Chelsea"/>
    <s v="ENG-03"/>
    <s v="Quarter Finals"/>
    <n v="0"/>
  </r>
  <r>
    <n v="1280"/>
    <s v="England"/>
    <s v="England (ENG)"/>
    <n v="20"/>
    <s v="MF"/>
    <x v="279"/>
    <d v="2000-05-28T00:00:00"/>
    <n v="22"/>
    <n v="18"/>
    <n v="2"/>
    <s v="Manchester City"/>
    <s v="ENG-01"/>
    <s v="Quarter Finals"/>
    <n v="0"/>
  </r>
  <r>
    <n v="1281"/>
    <s v="England"/>
    <s v="England (ENG)"/>
    <n v="21"/>
    <s v="DF"/>
    <x v="280"/>
    <d v="1997-10-08T00:00:00"/>
    <n v="25"/>
    <n v="4"/>
    <n v="0"/>
    <s v="Arsenal"/>
    <s v="ENG-05"/>
    <s v="Quarter Finals"/>
    <n v="0"/>
  </r>
  <r>
    <n v="1282"/>
    <s v="England"/>
    <s v="England (ENG)"/>
    <n v="22"/>
    <s v="MF"/>
    <x v="281"/>
    <d v="2003-06-29T00:00:00"/>
    <n v="19"/>
    <n v="17"/>
    <n v="0"/>
    <s v="Borussia Dortmund"/>
    <s v="GER-02"/>
    <s v="Quarter Finals"/>
    <n v="0"/>
  </r>
  <r>
    <n v="1283"/>
    <s v="England"/>
    <s v="England (ENG)"/>
    <n v="23"/>
    <s v="GK"/>
    <x v="282"/>
    <d v="1998-05-14T00:00:00"/>
    <n v="24"/>
    <n v="3"/>
    <n v="0"/>
    <s v="Arsenal"/>
    <s v="ENG-05"/>
    <s v="Quarter Finals"/>
    <n v="0"/>
  </r>
  <r>
    <n v="1284"/>
    <s v="England"/>
    <s v="England (ENG)"/>
    <n v="24"/>
    <s v="FW"/>
    <x v="283"/>
    <d v="1992-02-27T00:00:00"/>
    <n v="30"/>
    <n v="4"/>
    <n v="1"/>
    <s v="Newcastle United"/>
    <s v="ENG-11"/>
    <s v="Quarter Finals"/>
    <n v="0"/>
  </r>
  <r>
    <n v="1285"/>
    <s v="England"/>
    <s v="England (ENG)"/>
    <n v="25"/>
    <s v="MF"/>
    <x v="284"/>
    <d v="1996-11-23T00:00:00"/>
    <n v="25"/>
    <n v="1"/>
    <n v="0"/>
    <s v="Leicester City"/>
    <s v="ENG-07"/>
    <s v="Quarter Finals"/>
    <n v="0"/>
  </r>
  <r>
    <n v="1286"/>
    <s v="England"/>
    <s v="England (ENG)"/>
    <n v="26"/>
    <s v="MF"/>
    <x v="285"/>
    <d v="2000-02-06T00:00:00"/>
    <n v="22"/>
    <n v="4"/>
    <n v="0"/>
    <s v="Chelsea"/>
    <s v="ENG-03"/>
    <s v="Quarter Finals"/>
    <n v="0"/>
  </r>
  <r>
    <n v="1287"/>
    <s v="France"/>
    <s v="France (FRA)"/>
    <n v="1"/>
    <s v="GK"/>
    <x v="286"/>
    <d v="1986-12-26T00:00:00"/>
    <n v="35"/>
    <n v="139"/>
    <n v="0"/>
    <s v="Tottenham Hotspur"/>
    <s v="ENG-04"/>
    <s v="Runner Up"/>
    <n v="1"/>
  </r>
  <r>
    <n v="1288"/>
    <s v="France"/>
    <s v="France (FRA)"/>
    <n v="2"/>
    <s v="DF"/>
    <x v="287"/>
    <d v="1996-03-28T00:00:00"/>
    <n v="26"/>
    <n v="46"/>
    <n v="2"/>
    <s v="Bayern Munich"/>
    <s v="GER-01"/>
    <s v="Runner Up"/>
    <n v="1"/>
  </r>
  <r>
    <n v="1289"/>
    <s v="France"/>
    <s v="France (FRA)"/>
    <n v="3"/>
    <s v="DF"/>
    <x v="288"/>
    <d v="1998-03-11T00:00:00"/>
    <n v="24"/>
    <n v="0"/>
    <n v="0"/>
    <s v="Monaco"/>
    <s v="FRA-03"/>
    <s v="Runner Up"/>
    <n v="1"/>
  </r>
  <r>
    <n v="1290"/>
    <s v="France"/>
    <s v="France (FRA)"/>
    <n v="4"/>
    <s v="DF"/>
    <x v="289"/>
    <d v="1993-04-25T00:00:00"/>
    <n v="29"/>
    <n v="87"/>
    <n v="5"/>
    <s v="Manchester United"/>
    <s v="ENG-02"/>
    <s v="Runner Up"/>
    <n v="1"/>
  </r>
  <r>
    <n v="1291"/>
    <s v="France"/>
    <s v="France (FRA)"/>
    <n v="5"/>
    <s v="DF"/>
    <x v="290"/>
    <d v="1998-11-12T00:00:00"/>
    <n v="24"/>
    <n v="12"/>
    <n v="0"/>
    <s v="Barcelona"/>
    <s v="ESP-01"/>
    <s v="Runner Up"/>
    <n v="1"/>
  </r>
  <r>
    <n v="1292"/>
    <s v="France"/>
    <s v="France (FRA)"/>
    <n v="6"/>
    <s v="MF"/>
    <x v="291"/>
    <d v="1999-04-14T00:00:00"/>
    <n v="23"/>
    <n v="6"/>
    <n v="1"/>
    <s v="Marseille"/>
    <s v="FRA-04"/>
    <s v="Runner Up"/>
    <n v="1"/>
  </r>
  <r>
    <n v="1293"/>
    <s v="France"/>
    <s v="France (FRA)"/>
    <n v="7"/>
    <s v="FW"/>
    <x v="292"/>
    <d v="1991-03-21T00:00:00"/>
    <n v="31"/>
    <n v="110"/>
    <n v="42"/>
    <s v="Atlético Madrid"/>
    <s v="ESP-03"/>
    <s v="Runner Up"/>
    <n v="1"/>
  </r>
  <r>
    <n v="1294"/>
    <s v="France"/>
    <s v="France (FRA)"/>
    <n v="8"/>
    <s v="MF"/>
    <x v="293"/>
    <d v="2000-01-27T00:00:00"/>
    <n v="22"/>
    <n v="14"/>
    <n v="1"/>
    <s v="Real Madrid"/>
    <s v="ESP-02"/>
    <s v="Runner Up"/>
    <n v="1"/>
  </r>
  <r>
    <n v="1295"/>
    <s v="France"/>
    <s v="France (FRA)"/>
    <n v="9"/>
    <s v="FW"/>
    <x v="294"/>
    <d v="1986-09-30T00:00:00"/>
    <n v="36"/>
    <n v="114"/>
    <n v="49"/>
    <s v="Milan"/>
    <s v="ITA-02"/>
    <s v="Runner Up"/>
    <n v="1"/>
  </r>
  <r>
    <n v="1296"/>
    <s v="France"/>
    <s v="France (FRA)"/>
    <n v="10"/>
    <s v="FW"/>
    <x v="295"/>
    <d v="1998-12-20T00:00:00"/>
    <n v="23"/>
    <n v="59"/>
    <n v="28"/>
    <s v="Paris Saint-Germain"/>
    <s v="FRA-01"/>
    <s v="Runner Up"/>
    <n v="1"/>
  </r>
  <r>
    <n v="1297"/>
    <s v="France"/>
    <s v="France (FRA)"/>
    <n v="11"/>
    <s v="FW"/>
    <x v="296"/>
    <d v="1997-05-15T00:00:00"/>
    <n v="25"/>
    <n v="28"/>
    <n v="4"/>
    <s v="Barcelona"/>
    <s v="ESP-01"/>
    <s v="Runner Up"/>
    <n v="1"/>
  </r>
  <r>
    <n v="1298"/>
    <s v="France"/>
    <s v="France (FRA)"/>
    <n v="12"/>
    <s v="FW"/>
    <x v="297"/>
    <d v="1998-12-05T00:00:00"/>
    <n v="23"/>
    <n v="2"/>
    <n v="0"/>
    <s v="Eintracht Frankfurt"/>
    <s v="GER-03"/>
    <s v="Runner Up"/>
    <n v="1"/>
  </r>
  <r>
    <n v="1299"/>
    <s v="France"/>
    <s v="France (FRA)"/>
    <n v="13"/>
    <s v="MF"/>
    <x v="298"/>
    <d v="1999-01-10T00:00:00"/>
    <n v="23"/>
    <n v="2"/>
    <n v="0"/>
    <s v="Monaco"/>
    <s v="FRA-03"/>
    <s v="Runner Up"/>
    <n v="1"/>
  </r>
  <r>
    <n v="1300"/>
    <s v="France"/>
    <s v="France (FRA)"/>
    <n v="14"/>
    <s v="MF"/>
    <x v="299"/>
    <d v="1995-04-03T00:00:00"/>
    <n v="27"/>
    <n v="29"/>
    <n v="2"/>
    <s v="Juventus"/>
    <s v="ITA-01"/>
    <s v="Runner Up"/>
    <n v="1"/>
  </r>
  <r>
    <n v="1301"/>
    <s v="France"/>
    <s v="France (FRA)"/>
    <n v="15"/>
    <s v="MF"/>
    <x v="300"/>
    <d v="1993-03-01T00:00:00"/>
    <n v="29"/>
    <n v="5"/>
    <n v="0"/>
    <s v="Marseille"/>
    <s v="FRA-04"/>
    <s v="Runner Up"/>
    <n v="1"/>
  </r>
  <r>
    <n v="1302"/>
    <s v="France"/>
    <s v="France (FRA)"/>
    <n v="16"/>
    <s v="GK"/>
    <x v="301"/>
    <d v="1985-03-28T00:00:00"/>
    <n v="37"/>
    <n v="34"/>
    <n v="0"/>
    <s v="Rennes"/>
    <s v="FRA-02"/>
    <s v="Runner Up"/>
    <n v="1"/>
  </r>
  <r>
    <n v="1303"/>
    <s v="France"/>
    <s v="France (FRA)"/>
    <n v="17"/>
    <s v="DF"/>
    <x v="302"/>
    <d v="2001-03-24T00:00:00"/>
    <n v="21"/>
    <n v="7"/>
    <n v="0"/>
    <s v="Arsenal"/>
    <s v="ENG-05"/>
    <s v="Runner Up"/>
    <n v="1"/>
  </r>
  <r>
    <n v="1304"/>
    <s v="France"/>
    <s v="France (FRA)"/>
    <n v="18"/>
    <s v="DF"/>
    <x v="303"/>
    <d v="1998-10-27T00:00:00"/>
    <n v="24"/>
    <n v="7"/>
    <n v="1"/>
    <s v="Bayern Munich"/>
    <s v="GER-01"/>
    <s v="Runner Up"/>
    <n v="1"/>
  </r>
  <r>
    <n v="1305"/>
    <s v="France"/>
    <s v="France (FRA)"/>
    <n v="19"/>
    <s v="FW"/>
    <x v="304"/>
    <d v="1987-12-19T00:00:00"/>
    <n v="34"/>
    <n v="97"/>
    <n v="37"/>
    <s v="Real Madrid"/>
    <s v="ESP-02"/>
    <s v="Runner Up"/>
    <n v="1"/>
  </r>
  <r>
    <n v="1306"/>
    <s v="France"/>
    <s v="France (FRA)"/>
    <n v="20"/>
    <s v="FW"/>
    <x v="305"/>
    <d v="1996-06-13T00:00:00"/>
    <n v="26"/>
    <n v="40"/>
    <n v="5"/>
    <s v="Bayern Munich"/>
    <s v="GER-01"/>
    <s v="Runner Up"/>
    <n v="1"/>
  </r>
  <r>
    <n v="1307"/>
    <s v="France"/>
    <s v="France (FRA)"/>
    <n v="21"/>
    <s v="DF"/>
    <x v="306"/>
    <d v="1996-02-14T00:00:00"/>
    <n v="26"/>
    <n v="32"/>
    <n v="0"/>
    <s v="Bayern Munich"/>
    <s v="GER-01"/>
    <s v="Runner Up"/>
    <n v="1"/>
  </r>
  <r>
    <n v="1308"/>
    <s v="France"/>
    <s v="France (FRA)"/>
    <n v="22"/>
    <s v="DF"/>
    <x v="307"/>
    <d v="1997-10-06T00:00:00"/>
    <n v="25"/>
    <n v="7"/>
    <n v="1"/>
    <s v="Milan"/>
    <s v="ITA-02"/>
    <s v="Runner Up"/>
    <n v="1"/>
  </r>
  <r>
    <n v="1309"/>
    <s v="France"/>
    <s v="France (FRA)"/>
    <n v="23"/>
    <s v="GK"/>
    <x v="308"/>
    <d v="1993-02-27T00:00:00"/>
    <n v="29"/>
    <n v="5"/>
    <n v="0"/>
    <s v="West Ham United"/>
    <s v="ENG-13"/>
    <s v="Runner Up"/>
    <n v="1"/>
  </r>
  <r>
    <n v="1310"/>
    <s v="France"/>
    <s v="France (FRA)"/>
    <n v="24"/>
    <s v="DF"/>
    <x v="309"/>
    <d v="1999-05-25T00:00:00"/>
    <n v="23"/>
    <n v="2"/>
    <n v="0"/>
    <s v="Liverpool"/>
    <s v="ENG-08"/>
    <s v="Runner Up"/>
    <n v="1"/>
  </r>
  <r>
    <n v="1311"/>
    <s v="France"/>
    <s v="France (FRA)"/>
    <n v="25"/>
    <s v="MF"/>
    <x v="310"/>
    <d v="2002-11-10T00:00:00"/>
    <n v="20"/>
    <n v="4"/>
    <n v="1"/>
    <s v="Real Madrid"/>
    <s v="ESP-02"/>
    <s v="Runner Up"/>
    <n v="1"/>
  </r>
  <r>
    <n v="1312"/>
    <s v="France"/>
    <s v="France (FRA)"/>
    <n v="26"/>
    <s v="FW"/>
    <x v="311"/>
    <d v="1997-08-06T00:00:00"/>
    <n v="25"/>
    <n v="4"/>
    <n v="0"/>
    <s v="Borussia Mönchengladbach"/>
    <s v="GER-05"/>
    <s v="Runner Up"/>
    <n v="1"/>
  </r>
  <r>
    <n v="1313"/>
    <s v="Germany"/>
    <s v="Germany (GER)"/>
    <n v="1"/>
    <s v="GK"/>
    <x v="312"/>
    <d v="1986-03-27T00:00:00"/>
    <n v="36"/>
    <n v="114"/>
    <n v="0"/>
    <s v="Bayern Munich"/>
    <s v="GER-01"/>
    <s v="Group stage"/>
    <n v="0"/>
  </r>
  <r>
    <n v="1314"/>
    <s v="Germany"/>
    <s v="Germany (GER)"/>
    <n v="2"/>
    <s v="DF"/>
    <x v="313"/>
    <d v="1993-03-03T00:00:00"/>
    <n v="29"/>
    <n v="54"/>
    <n v="2"/>
    <s v="Real Madrid"/>
    <s v="ESP-02"/>
    <s v="Group stage"/>
    <n v="0"/>
  </r>
  <r>
    <n v="1315"/>
    <s v="Germany"/>
    <s v="Germany (GER)"/>
    <n v="3"/>
    <s v="DF"/>
    <x v="314"/>
    <d v="1998-04-22T00:00:00"/>
    <n v="24"/>
    <n v="12"/>
    <n v="0"/>
    <s v="RB Leipzig"/>
    <s v="GER-04"/>
    <s v="Group stage"/>
    <n v="0"/>
  </r>
  <r>
    <n v="1316"/>
    <s v="Germany"/>
    <s v="Germany (GER)"/>
    <n v="4"/>
    <s v="DF"/>
    <x v="315"/>
    <d v="1994-01-19T00:00:00"/>
    <n v="28"/>
    <n v="47"/>
    <n v="2"/>
    <s v="SC Freiburg"/>
    <s v="GER-06"/>
    <s v="Group stage"/>
    <n v="0"/>
  </r>
  <r>
    <n v="1317"/>
    <s v="Germany"/>
    <s v="Germany (GER)"/>
    <n v="5"/>
    <s v="DF"/>
    <x v="316"/>
    <d v="1996-09-21T00:00:00"/>
    <n v="26"/>
    <n v="23"/>
    <n v="0"/>
    <s v="West Ham United"/>
    <s v="ENG-13"/>
    <s v="Group stage"/>
    <n v="0"/>
  </r>
  <r>
    <n v="1318"/>
    <s v="Germany"/>
    <s v="Germany (GER)"/>
    <n v="6"/>
    <s v="MF"/>
    <x v="317"/>
    <d v="1995-02-08T00:00:00"/>
    <n v="27"/>
    <n v="71"/>
    <n v="5"/>
    <s v="Bayern Munich"/>
    <s v="GER-01"/>
    <s v="Group stage"/>
    <n v="0"/>
  </r>
  <r>
    <n v="1319"/>
    <s v="Germany"/>
    <s v="Germany (GER)"/>
    <n v="7"/>
    <s v="FW"/>
    <x v="318"/>
    <d v="1999-06-11T00:00:00"/>
    <n v="23"/>
    <n v="31"/>
    <n v="10"/>
    <s v="Chelsea"/>
    <s v="ENG-03"/>
    <s v="Group stage"/>
    <n v="0"/>
  </r>
  <r>
    <n v="1320"/>
    <s v="Germany"/>
    <s v="Germany (GER)"/>
    <n v="8"/>
    <s v="MF"/>
    <x v="319"/>
    <d v="1995-02-06T00:00:00"/>
    <n v="27"/>
    <n v="45"/>
    <n v="14"/>
    <s v="Bayern Munich"/>
    <s v="GER-01"/>
    <s v="Group stage"/>
    <n v="0"/>
  </r>
  <r>
    <n v="1321"/>
    <s v="Germany"/>
    <s v="Germany (GER)"/>
    <n v="9"/>
    <s v="FW"/>
    <x v="320"/>
    <d v="1993-02-09T00:00:00"/>
    <n v="29"/>
    <n v="1"/>
    <n v="1"/>
    <s v="Werder Bremen"/>
    <s v="GER-13"/>
    <s v="Group stage"/>
    <n v="0"/>
  </r>
  <r>
    <n v="1322"/>
    <s v="Germany"/>
    <s v="Germany (GER)"/>
    <n v="10"/>
    <s v="FW"/>
    <x v="321"/>
    <d v="1995-07-14T00:00:00"/>
    <n v="27"/>
    <n v="36"/>
    <n v="20"/>
    <s v="Bayern Munich"/>
    <s v="GER-01"/>
    <s v="Group stage"/>
    <n v="0"/>
  </r>
  <r>
    <n v="1323"/>
    <s v="Germany"/>
    <s v="Germany (GER)"/>
    <n v="11"/>
    <s v="MF"/>
    <x v="322"/>
    <d v="1992-06-03T00:00:00"/>
    <n v="30"/>
    <n v="63"/>
    <n v="17"/>
    <s v="Eintracht Frankfurt"/>
    <s v="GER-03"/>
    <s v="Group stage"/>
    <n v="0"/>
  </r>
  <r>
    <n v="1324"/>
    <s v="Germany"/>
    <s v="Germany (GER)"/>
    <n v="12"/>
    <s v="GK"/>
    <x v="323"/>
    <d v="1990-07-08T00:00:00"/>
    <n v="32"/>
    <n v="6"/>
    <n v="0"/>
    <s v="Eintracht Frankfurt"/>
    <s v="GER-03"/>
    <s v="Group stage"/>
    <n v="0"/>
  </r>
  <r>
    <n v="1325"/>
    <s v="Germany"/>
    <s v="Germany (GER)"/>
    <n v="13"/>
    <s v="MF"/>
    <x v="324"/>
    <d v="1989-09-13T00:00:00"/>
    <n v="33"/>
    <n v="118"/>
    <n v="44"/>
    <s v="Bayern Munich"/>
    <s v="GER-01"/>
    <s v="Group stage"/>
    <n v="0"/>
  </r>
  <r>
    <n v="1326"/>
    <s v="Germany"/>
    <s v="Germany (GER)"/>
    <n v="14"/>
    <s v="MF"/>
    <x v="325"/>
    <d v="2003-02-26T00:00:00"/>
    <n v="19"/>
    <n v="17"/>
    <n v="1"/>
    <s v="Bayern Munich"/>
    <s v="GER-01"/>
    <s v="Group stage"/>
    <n v="0"/>
  </r>
  <r>
    <n v="1327"/>
    <s v="Germany"/>
    <s v="Germany (GER)"/>
    <n v="15"/>
    <s v="DF"/>
    <x v="326"/>
    <d v="1995-09-03T00:00:00"/>
    <n v="27"/>
    <n v="42"/>
    <n v="1"/>
    <s v="Borussia Dortmund"/>
    <s v="GER-02"/>
    <s v="Group stage"/>
    <n v="0"/>
  </r>
  <r>
    <n v="1328"/>
    <s v="Germany"/>
    <s v="Germany (GER)"/>
    <n v="16"/>
    <s v="DF"/>
    <x v="327"/>
    <d v="1996-06-03T00:00:00"/>
    <n v="26"/>
    <n v="19"/>
    <n v="0"/>
    <s v="RB Leipzig"/>
    <s v="GER-04"/>
    <s v="Group stage"/>
    <n v="0"/>
  </r>
  <r>
    <n v="1329"/>
    <s v="Germany"/>
    <s v="Germany (GER)"/>
    <n v="17"/>
    <s v="MF"/>
    <x v="328"/>
    <d v="1996-05-02T00:00:00"/>
    <n v="26"/>
    <n v="39"/>
    <n v="3"/>
    <s v="Borussia Dortmund"/>
    <s v="GER-02"/>
    <s v="Group stage"/>
    <n v="0"/>
  </r>
  <r>
    <n v="1330"/>
    <s v="Germany"/>
    <s v="Germany (GER)"/>
    <n v="18"/>
    <s v="MF"/>
    <x v="329"/>
    <d v="1992-07-14T00:00:00"/>
    <n v="30"/>
    <n v="17"/>
    <n v="4"/>
    <s v="Borussia Mönchengladbach"/>
    <s v="GER-05"/>
    <s v="Group stage"/>
    <n v="0"/>
  </r>
  <r>
    <n v="1331"/>
    <s v="Germany"/>
    <s v="Germany (GER)"/>
    <n v="19"/>
    <s v="MF"/>
    <x v="330"/>
    <d v="1996-01-11T00:00:00"/>
    <n v="26"/>
    <n v="48"/>
    <n v="11"/>
    <s v="Bayern Munich"/>
    <s v="GER-01"/>
    <s v="Group stage"/>
    <n v="0"/>
  </r>
  <r>
    <n v="1332"/>
    <s v="Germany"/>
    <s v="Germany (GER)"/>
    <n v="20"/>
    <s v="DF"/>
    <x v="331"/>
    <d v="1993-02-28T00:00:00"/>
    <n v="29"/>
    <n v="7"/>
    <n v="0"/>
    <s v="SC Freiburg"/>
    <s v="GER-06"/>
    <s v="Group stage"/>
    <n v="0"/>
  </r>
  <r>
    <n v="1333"/>
    <s v="Germany"/>
    <s v="Germany (GER)"/>
    <n v="21"/>
    <s v="MF"/>
    <x v="332"/>
    <d v="1990-10-24T00:00:00"/>
    <n v="32"/>
    <n v="63"/>
    <n v="16"/>
    <s v="Manchester City"/>
    <s v="ENG-01"/>
    <s v="Group stage"/>
    <n v="0"/>
  </r>
  <r>
    <n v="1334"/>
    <s v="Germany"/>
    <s v="Germany (GER)"/>
    <n v="22"/>
    <s v="GK"/>
    <x v="333"/>
    <d v="1992-04-30T00:00:00"/>
    <n v="30"/>
    <n v="30"/>
    <n v="0"/>
    <s v="Barcelona"/>
    <s v="ESP-01"/>
    <s v="Group stage"/>
    <n v="0"/>
  </r>
  <r>
    <n v="1335"/>
    <s v="Germany"/>
    <s v="Germany (GER)"/>
    <n v="23"/>
    <s v="DF"/>
    <x v="334"/>
    <d v="1999-12-01T00:00:00"/>
    <n v="22"/>
    <n v="6"/>
    <n v="0"/>
    <s v="Borussia Dortmund"/>
    <s v="GER-02"/>
    <s v="Group stage"/>
    <n v="0"/>
  </r>
  <r>
    <n v="1336"/>
    <s v="Germany"/>
    <s v="Germany (GER)"/>
    <n v="24"/>
    <s v="FW"/>
    <x v="335"/>
    <d v="2002-01-18T00:00:00"/>
    <n v="20"/>
    <n v="4"/>
    <n v="1"/>
    <s v="Borussia Dortmund"/>
    <s v="GER-02"/>
    <s v="Group stage"/>
    <n v="0"/>
  </r>
  <r>
    <n v="1337"/>
    <s v="Germany"/>
    <s v="Germany (GER)"/>
    <n v="25"/>
    <s v="DF"/>
    <x v="336"/>
    <d v="2001-12-11T00:00:00"/>
    <n v="20"/>
    <n v="2"/>
    <n v="0"/>
    <s v="Southampton"/>
    <s v="ENG-28"/>
    <s v="Group stage"/>
    <n v="0"/>
  </r>
  <r>
    <n v="1338"/>
    <s v="Germany"/>
    <s v="Germany (GER)"/>
    <n v="26"/>
    <s v="FW"/>
    <x v="337"/>
    <d v="2004-11-20T00:00:00"/>
    <n v="18"/>
    <n v="1"/>
    <n v="0"/>
    <s v="Borussia Dortmund"/>
    <s v="GER-02"/>
    <s v="Group stage"/>
    <n v="0"/>
  </r>
  <r>
    <n v="1339"/>
    <s v="Ghana"/>
    <s v="Ghana (GHA)"/>
    <n v="1"/>
    <s v="GK"/>
    <x v="338"/>
    <d v="1996-11-29T00:00:00"/>
    <n v="25"/>
    <n v="11"/>
    <n v="0"/>
    <s v="St. Gallen"/>
    <s v="SWI-05"/>
    <s v="Group stage"/>
    <n v="0"/>
  </r>
  <r>
    <n v="1340"/>
    <s v="Ghana"/>
    <s v="Ghana (GHA)"/>
    <n v="2"/>
    <s v="DF"/>
    <x v="339"/>
    <d v="2000-09-30T00:00:00"/>
    <n v="22"/>
    <n v="2"/>
    <n v="0"/>
    <s v="Brighton &amp; Hove Albion"/>
    <s v="ENG-06"/>
    <s v="Group stage"/>
    <n v="0"/>
  </r>
  <r>
    <n v="1341"/>
    <s v="Ghana"/>
    <s v="Ghana (GHA)"/>
    <n v="3"/>
    <s v="DF"/>
    <x v="340"/>
    <d v="1988-05-27T00:00:00"/>
    <n v="34"/>
    <n v="4"/>
    <n v="0"/>
    <s v="Club Brugge"/>
    <s v="BEL-01"/>
    <s v="Group stage"/>
    <n v="0"/>
  </r>
  <r>
    <n v="1342"/>
    <s v="Ghana"/>
    <s v="Ghana (GHA)"/>
    <n v="4"/>
    <s v="DF"/>
    <x v="341"/>
    <d v="1999-04-17T00:00:00"/>
    <n v="23"/>
    <n v="3"/>
    <n v="1"/>
    <s v="Southampton"/>
    <s v="ENG-28"/>
    <s v="Group stage"/>
    <n v="0"/>
  </r>
  <r>
    <n v="1343"/>
    <s v="Ghana"/>
    <s v="Ghana (GHA)"/>
    <n v="5"/>
    <s v="MF"/>
    <x v="342"/>
    <d v="1993-06-13T00:00:00"/>
    <n v="29"/>
    <n v="40"/>
    <n v="13"/>
    <s v="Arsenal"/>
    <s v="ENG-05"/>
    <s v="Group stage"/>
    <n v="0"/>
  </r>
  <r>
    <n v="1344"/>
    <s v="Ghana"/>
    <s v="Ghana (GHA)"/>
    <n v="6"/>
    <s v="MF"/>
    <x v="343"/>
    <d v="1997-11-07T00:00:00"/>
    <n v="25"/>
    <n v="3"/>
    <n v="0"/>
    <s v="Gent"/>
    <s v="BEL-09"/>
    <s v="Group stage"/>
    <n v="0"/>
  </r>
  <r>
    <n v="1345"/>
    <s v="Ghana"/>
    <s v="Ghana (GHA)"/>
    <n v="7"/>
    <s v="MF"/>
    <x v="344"/>
    <d v="2004-03-08T00:00:00"/>
    <n v="18"/>
    <n v="13"/>
    <n v="1"/>
    <s v="Sporting CP"/>
    <s v="POR-03"/>
    <s v="Group stage"/>
    <n v="0"/>
  </r>
  <r>
    <n v="1346"/>
    <s v="Ghana"/>
    <s v="Ghana (GHA)"/>
    <n v="8"/>
    <s v="MF"/>
    <x v="345"/>
    <d v="1996-03-08T00:00:00"/>
    <n v="26"/>
    <n v="15"/>
    <n v="0"/>
    <s v="SC Freiburg"/>
    <s v="GER-06"/>
    <s v="Group stage"/>
    <n v="0"/>
  </r>
  <r>
    <n v="1347"/>
    <s v="Ghana"/>
    <s v="Ghana (GHA)"/>
    <n v="9"/>
    <s v="FW"/>
    <x v="346"/>
    <d v="1991-09-11T00:00:00"/>
    <n v="31"/>
    <n v="84"/>
    <n v="19"/>
    <s v="Crystal Palace"/>
    <s v="ENG-24"/>
    <s v="Group stage"/>
    <n v="0"/>
  </r>
  <r>
    <n v="1348"/>
    <s v="Ghana"/>
    <s v="Ghana (GHA)"/>
    <n v="10"/>
    <s v="FW"/>
    <x v="347"/>
    <d v="1989-12-17T00:00:00"/>
    <n v="32"/>
    <n v="110"/>
    <n v="23"/>
    <s v="Al-Sadd"/>
    <s v="QTR-01"/>
    <s v="Group stage"/>
    <n v="0"/>
  </r>
  <r>
    <n v="1349"/>
    <s v="Ghana"/>
    <s v="Ghana (GHA)"/>
    <n v="11"/>
    <s v="MF"/>
    <x v="348"/>
    <d v="1998-12-13T00:00:00"/>
    <n v="23"/>
    <n v="7"/>
    <n v="1"/>
    <s v="Red Star Belgrade"/>
    <s v="SER-01"/>
    <s v="Group stage"/>
    <n v="0"/>
  </r>
  <r>
    <n v="1350"/>
    <s v="Ghana"/>
    <s v="Ghana (GHA)"/>
    <n v="12"/>
    <s v="GK"/>
    <x v="349"/>
    <d v="2002-12-02T00:00:00"/>
    <n v="19"/>
    <n v="4"/>
    <n v="0"/>
    <s v="Asante Kotoko"/>
    <s v="GNA-01"/>
    <s v="Group stage"/>
    <n v="0"/>
  </r>
  <r>
    <n v="1351"/>
    <s v="Ghana"/>
    <s v="Ghana (GHA)"/>
    <n v="13"/>
    <s v="MF"/>
    <x v="350"/>
    <d v="2001-06-26T00:00:00"/>
    <n v="21"/>
    <n v="7"/>
    <n v="3"/>
    <s v="Hearts of Oak"/>
    <s v="GNA-02"/>
    <s v="Group stage"/>
    <n v="0"/>
  </r>
  <r>
    <n v="1352"/>
    <s v="Ghana"/>
    <s v="Ghana (GHA)"/>
    <n v="14"/>
    <s v="DF"/>
    <x v="351"/>
    <d v="1998-07-18T00:00:00"/>
    <n v="24"/>
    <n v="12"/>
    <n v="0"/>
    <s v="Auxerre"/>
    <s v="FRA-15"/>
    <s v="Group stage"/>
    <n v="0"/>
  </r>
  <r>
    <n v="1353"/>
    <s v="Ghana"/>
    <s v="Ghana (GHA)"/>
    <n v="15"/>
    <s v="DF"/>
    <x v="352"/>
    <d v="1995-09-29T00:00:00"/>
    <n v="27"/>
    <n v="11"/>
    <n v="0"/>
    <s v="Celta Vigo"/>
    <s v="ESP-09"/>
    <s v="Group stage"/>
    <n v="0"/>
  </r>
  <r>
    <n v="1354"/>
    <s v="Ghana"/>
    <s v="Ghana (GHA)"/>
    <n v="16"/>
    <s v="GK"/>
    <x v="353"/>
    <d v="1999-02-08T00:00:00"/>
    <n v="23"/>
    <n v="2"/>
    <n v="0"/>
    <s v="Eupen"/>
    <s v="BEL-08"/>
    <s v="Group stage"/>
    <n v="0"/>
  </r>
  <r>
    <n v="1355"/>
    <s v="Ghana"/>
    <s v="Ghana (GHA)"/>
    <n v="17"/>
    <s v="DF"/>
    <x v="354"/>
    <d v="1994-07-02T00:00:00"/>
    <n v="28"/>
    <n v="48"/>
    <n v="1"/>
    <s v="Reading"/>
    <s v="ENG-18"/>
    <s v="Group stage"/>
    <n v="0"/>
  </r>
  <r>
    <n v="1356"/>
    <s v="Ghana"/>
    <s v="Ghana (GHA)"/>
    <n v="18"/>
    <s v="DF"/>
    <x v="355"/>
    <d v="1994-12-21T00:00:00"/>
    <n v="27"/>
    <n v="46"/>
    <n v="0"/>
    <s v="Leicester City"/>
    <s v="ENG-07"/>
    <s v="Group stage"/>
    <n v="0"/>
  </r>
  <r>
    <n v="1357"/>
    <s v="Ghana"/>
    <s v="Ghana (GHA)"/>
    <n v="19"/>
    <s v="FW"/>
    <x v="356"/>
    <d v="1994-06-15T00:00:00"/>
    <n v="28"/>
    <n v="3"/>
    <n v="0"/>
    <s v="Athletic Bilbao"/>
    <s v="ESP-08"/>
    <s v="Group stage"/>
    <n v="0"/>
  </r>
  <r>
    <n v="1358"/>
    <s v="Ghana"/>
    <s v="Ghana (GHA)"/>
    <n v="20"/>
    <s v="MF"/>
    <x v="357"/>
    <d v="2000-08-02T00:00:00"/>
    <n v="22"/>
    <n v="18"/>
    <n v="4"/>
    <s v="Ajax"/>
    <s v="NET-01"/>
    <s v="Group stage"/>
    <n v="0"/>
  </r>
  <r>
    <n v="1359"/>
    <s v="Ghana"/>
    <s v="Ghana (GHA)"/>
    <n v="21"/>
    <s v="MF"/>
    <x v="358"/>
    <d v="2000-03-26T00:00:00"/>
    <n v="22"/>
    <n v="1"/>
    <n v="0"/>
    <s v="Lens"/>
    <s v="FRA-05"/>
    <s v="Group stage"/>
    <n v="0"/>
  </r>
  <r>
    <n v="1360"/>
    <s v="Ghana"/>
    <s v="Ghana (GHA)"/>
    <n v="22"/>
    <s v="MF"/>
    <x v="359"/>
    <d v="2002-02-15T00:00:00"/>
    <n v="20"/>
    <n v="13"/>
    <n v="0"/>
    <s v="Rennes"/>
    <s v="FRA-02"/>
    <s v="Group stage"/>
    <n v="0"/>
  </r>
  <r>
    <n v="1361"/>
    <s v="Ghana"/>
    <s v="Ghana (GHA)"/>
    <n v="23"/>
    <s v="DF"/>
    <x v="360"/>
    <d v="1994-08-09T00:00:00"/>
    <n v="28"/>
    <n v="18"/>
    <n v="1"/>
    <s v="Strasbourg"/>
    <s v="FRA-12"/>
    <s v="Group stage"/>
    <n v="0"/>
  </r>
  <r>
    <n v="1362"/>
    <s v="Ghana"/>
    <s v="Ghana (GHA)"/>
    <n v="24"/>
    <s v="MF"/>
    <x v="361"/>
    <d v="2000-01-09T00:00:00"/>
    <n v="22"/>
    <n v="1"/>
    <n v="0"/>
    <s v="Club Brugge"/>
    <s v="BEL-01"/>
    <s v="Group stage"/>
    <n v="0"/>
  </r>
  <r>
    <n v="1363"/>
    <s v="Ghana"/>
    <s v="Ghana (GHA)"/>
    <n v="25"/>
    <s v="FW"/>
    <x v="362"/>
    <d v="2000-01-07T00:00:00"/>
    <n v="22"/>
    <n v="4"/>
    <n v="1"/>
    <s v="Bristol City"/>
    <s v="ENG-31"/>
    <s v="Group stage"/>
    <n v="0"/>
  </r>
  <r>
    <n v="1364"/>
    <s v="Ghana"/>
    <s v="Ghana (GHA)"/>
    <n v="26"/>
    <s v="DF"/>
    <x v="363"/>
    <d v="2000-06-04T00:00:00"/>
    <n v="22"/>
    <n v="4"/>
    <n v="0"/>
    <s v="Clermont"/>
    <s v="FRA-07"/>
    <s v="Group stage"/>
    <n v="0"/>
  </r>
  <r>
    <n v="1365"/>
    <s v="Iran"/>
    <s v="Iran (IRN)"/>
    <n v="1"/>
    <s v="GK"/>
    <x v="364"/>
    <d v="1992-09-21T00:00:00"/>
    <n v="30"/>
    <n v="52"/>
    <n v="0"/>
    <s v="Persepolis"/>
    <s v="IRN-01"/>
    <s v="Group stage"/>
    <n v="0"/>
  </r>
  <r>
    <n v="1366"/>
    <s v="Iran"/>
    <s v="Iran (IRN)"/>
    <n v="2"/>
    <s v="DF"/>
    <x v="365"/>
    <d v="1996-03-01T00:00:00"/>
    <n v="26"/>
    <n v="21"/>
    <n v="0"/>
    <s v="Dinamo Zagreb"/>
    <s v="CRO-01"/>
    <s v="Group stage"/>
    <n v="0"/>
  </r>
  <r>
    <n v="1367"/>
    <s v="Iran"/>
    <s v="Iran (IRN)"/>
    <n v="3"/>
    <s v="DF"/>
    <x v="366"/>
    <d v="1990-02-25T00:00:00"/>
    <n v="32"/>
    <n v="121"/>
    <n v="7"/>
    <s v="AEK Athens"/>
    <s v="GRE-01"/>
    <s v="Group stage"/>
    <n v="0"/>
  </r>
  <r>
    <n v="1368"/>
    <s v="Iran"/>
    <s v="Iran (IRN)"/>
    <n v="4"/>
    <s v="DF"/>
    <x v="367"/>
    <d v="1989-05-14T00:00:00"/>
    <n v="33"/>
    <n v="25"/>
    <n v="1"/>
    <s v="Al-Ahli Doha"/>
    <s v="QTR-04"/>
    <s v="Group stage"/>
    <n v="0"/>
  </r>
  <r>
    <n v="1369"/>
    <s v="Iran"/>
    <s v="Iran (IRN)"/>
    <n v="5"/>
    <s v="DF"/>
    <x v="368"/>
    <d v="1993-09-29T00:00:00"/>
    <n v="29"/>
    <n v="45"/>
    <n v="1"/>
    <s v="AEK Athens"/>
    <s v="GRE-01"/>
    <s v="Group stage"/>
    <n v="0"/>
  </r>
  <r>
    <n v="1370"/>
    <s v="Iran"/>
    <s v="Iran (IRN)"/>
    <n v="6"/>
    <s v="MF"/>
    <x v="369"/>
    <d v="1996-10-01T00:00:00"/>
    <n v="26"/>
    <n v="47"/>
    <n v="1"/>
    <s v="Vejle"/>
    <s v="DEN-04"/>
    <s v="Group stage"/>
    <n v="0"/>
  </r>
  <r>
    <n v="1371"/>
    <s v="Iran"/>
    <s v="Iran (IRN)"/>
    <n v="7"/>
    <s v="MF"/>
    <x v="370"/>
    <d v="1993-08-11T00:00:00"/>
    <n v="29"/>
    <n v="64"/>
    <n v="13"/>
    <s v="Feyenoord"/>
    <s v="NET-03"/>
    <s v="Group stage"/>
    <n v="0"/>
  </r>
  <r>
    <n v="1372"/>
    <s v="Iran"/>
    <s v="Iran (IRN)"/>
    <n v="8"/>
    <s v="DF"/>
    <x v="371"/>
    <d v="1992-04-19T00:00:00"/>
    <n v="30"/>
    <n v="46"/>
    <n v="3"/>
    <s v="Persepolis"/>
    <s v="IRN-01"/>
    <s v="Group stage"/>
    <n v="0"/>
  </r>
  <r>
    <n v="1373"/>
    <s v="Iran"/>
    <s v="Iran (IRN)"/>
    <n v="9"/>
    <s v="FW"/>
    <x v="372"/>
    <d v="1992-07-18T00:00:00"/>
    <n v="30"/>
    <n v="60"/>
    <n v="28"/>
    <s v="Porto"/>
    <s v="POR-02"/>
    <s v="Group stage"/>
    <n v="0"/>
  </r>
  <r>
    <n v="1374"/>
    <s v="Iran"/>
    <s v="Iran (IRN)"/>
    <n v="10"/>
    <s v="FW"/>
    <x v="373"/>
    <d v="1990-04-03T00:00:00"/>
    <n v="32"/>
    <n v="94"/>
    <n v="29"/>
    <s v="Omonia"/>
    <s v="CYP-01"/>
    <s v="Group stage"/>
    <n v="0"/>
  </r>
  <r>
    <n v="1375"/>
    <s v="Iran"/>
    <s v="Iran (IRN)"/>
    <n v="11"/>
    <s v="MF"/>
    <x v="374"/>
    <d v="1988-04-02T00:00:00"/>
    <n v="34"/>
    <n v="68"/>
    <n v="2"/>
    <s v="Persepolis"/>
    <s v="IRN-01"/>
    <s v="Group stage"/>
    <n v="0"/>
  </r>
  <r>
    <n v="1376"/>
    <s v="Iran"/>
    <s v="Iran (IRN)"/>
    <n v="12"/>
    <s v="GK"/>
    <x v="375"/>
    <d v="1995-04-06T00:00:00"/>
    <n v="27"/>
    <n v="1"/>
    <n v="0"/>
    <s v="Sepahan"/>
    <s v="IRN-03"/>
    <s v="Group stage"/>
    <n v="0"/>
  </r>
  <r>
    <n v="1377"/>
    <s v="Iran"/>
    <s v="Iran (IRN)"/>
    <n v="13"/>
    <s v="DF"/>
    <x v="376"/>
    <d v="1994-03-23T00:00:00"/>
    <n v="28"/>
    <n v="35"/>
    <n v="2"/>
    <s v="Al-Ahli Doha"/>
    <s v="QTR-04"/>
    <s v="Group stage"/>
    <n v="0"/>
  </r>
  <r>
    <n v="1378"/>
    <s v="Iran"/>
    <s v="Iran (IRN)"/>
    <n v="14"/>
    <s v="MF"/>
    <x v="377"/>
    <d v="1993-09-06T00:00:00"/>
    <n v="29"/>
    <n v="33"/>
    <n v="2"/>
    <s v="Brentford"/>
    <s v="ENG-09"/>
    <s v="Group stage"/>
    <n v="0"/>
  </r>
  <r>
    <n v="1379"/>
    <s v="Iran"/>
    <s v="Iran (IRN)"/>
    <n v="15"/>
    <s v="DF"/>
    <x v="378"/>
    <d v="1993-07-24T00:00:00"/>
    <n v="29"/>
    <n v="19"/>
    <n v="1"/>
    <s v="Esteghlal"/>
    <s v="IRN-02"/>
    <s v="Group stage"/>
    <n v="0"/>
  </r>
  <r>
    <n v="1380"/>
    <s v="Iran"/>
    <s v="Iran (IRN)"/>
    <n v="16"/>
    <s v="MF"/>
    <x v="379"/>
    <d v="1994-09-10T00:00:00"/>
    <n v="28"/>
    <n v="36"/>
    <n v="7"/>
    <s v="Persepolis"/>
    <s v="IRN-01"/>
    <s v="Group stage"/>
    <n v="0"/>
  </r>
  <r>
    <n v="1381"/>
    <s v="Iran"/>
    <s v="Iran (IRN)"/>
    <n v="17"/>
    <s v="MF"/>
    <x v="380"/>
    <d v="1996-03-10T00:00:00"/>
    <n v="26"/>
    <n v="26"/>
    <n v="6"/>
    <s v="Charleroi"/>
    <s v="BEL-06"/>
    <s v="Group stage"/>
    <n v="0"/>
  </r>
  <r>
    <n v="1382"/>
    <s v="Iran"/>
    <s v="Iran (IRN)"/>
    <n v="18"/>
    <s v="MF"/>
    <x v="381"/>
    <d v="1994-02-11T00:00:00"/>
    <n v="28"/>
    <n v="13"/>
    <n v="0"/>
    <s v="Kayserispor"/>
    <s v="TUR-04"/>
    <s v="Group stage"/>
    <n v="0"/>
  </r>
  <r>
    <n v="1383"/>
    <s v="Iran"/>
    <s v="Iran (IRN)"/>
    <n v="19"/>
    <s v="DF"/>
    <x v="382"/>
    <d v="1996-06-20T00:00:00"/>
    <n v="26"/>
    <n v="18"/>
    <n v="0"/>
    <s v="Kayserispor"/>
    <s v="TUR-04"/>
    <s v="Group stage"/>
    <n v="0"/>
  </r>
  <r>
    <n v="1384"/>
    <s v="Iran"/>
    <s v="Iran (IRN)"/>
    <n v="20"/>
    <s v="FW"/>
    <x v="383"/>
    <d v="1995-01-01T00:00:00"/>
    <n v="27"/>
    <n v="65"/>
    <n v="41"/>
    <s v="Bayer Leverkusen"/>
    <s v="GER-07"/>
    <s v="Group stage"/>
    <n v="0"/>
  </r>
  <r>
    <n v="1385"/>
    <s v="Iran"/>
    <s v="Iran (IRN)"/>
    <n v="21"/>
    <s v="MF"/>
    <x v="384"/>
    <d v="1993-02-01T00:00:00"/>
    <n v="29"/>
    <n v="25"/>
    <n v="3"/>
    <s v="Shabab Al-Ahli"/>
    <s v="UAE-01"/>
    <s v="Group stage"/>
    <n v="0"/>
  </r>
  <r>
    <n v="1386"/>
    <s v="Iran"/>
    <s v="Iran (IRN)"/>
    <n v="22"/>
    <s v="GK"/>
    <x v="385"/>
    <d v="1993-04-26T00:00:00"/>
    <n v="29"/>
    <n v="11"/>
    <n v="0"/>
    <s v="Ponferradina"/>
    <s v="ESP-18"/>
    <s v="Group stage"/>
    <n v="0"/>
  </r>
  <r>
    <n v="1387"/>
    <s v="Iran"/>
    <s v="Iran (IRN)"/>
    <n v="23"/>
    <s v="DF"/>
    <x v="386"/>
    <d v="1990-03-21T00:00:00"/>
    <n v="32"/>
    <n v="46"/>
    <n v="2"/>
    <s v="Sepahan"/>
    <s v="IRN-03"/>
    <s v="Group stage"/>
    <n v="0"/>
  </r>
  <r>
    <n v="1388"/>
    <s v="Iran"/>
    <s v="Iran (IRN)"/>
    <n v="24"/>
    <s v="GK"/>
    <x v="387"/>
    <d v="1992-06-30T00:00:00"/>
    <n v="30"/>
    <n v="6"/>
    <n v="0"/>
    <s v="Esteghlal"/>
    <s v="IRN-02"/>
    <s v="Group stage"/>
    <n v="0"/>
  </r>
  <r>
    <n v="1389"/>
    <s v="Iran"/>
    <s v="Iran (IRN)"/>
    <n v="25"/>
    <s v="DF"/>
    <x v="388"/>
    <d v="1998-06-26T00:00:00"/>
    <n v="24"/>
    <n v="3"/>
    <n v="0"/>
    <s v="Esteghlal"/>
    <s v="IRN-02"/>
    <s v="Group stage"/>
    <n v="0"/>
  </r>
  <r>
    <n v="1390"/>
    <s v="Japan"/>
    <s v="Japan (JPN)"/>
    <n v="1"/>
    <s v="GK"/>
    <x v="389"/>
    <d v="1983-03-20T00:00:00"/>
    <n v="39"/>
    <n v="95"/>
    <n v="0"/>
    <s v="Strasbourg"/>
    <s v="FRA-12"/>
    <s v="Last 16"/>
    <n v="0"/>
  </r>
  <r>
    <n v="1391"/>
    <s v="Japan"/>
    <s v="Japan (JPN)"/>
    <n v="2"/>
    <s v="DF"/>
    <x v="390"/>
    <d v="1993-12-22T00:00:00"/>
    <n v="28"/>
    <n v="15"/>
    <n v="2"/>
    <s v="Kawasaki Frontale"/>
    <s v="JPN-01"/>
    <s v="Last 16"/>
    <n v="0"/>
  </r>
  <r>
    <n v="1392"/>
    <s v="Japan"/>
    <s v="Japan (JPN)"/>
    <n v="3"/>
    <s v="DF"/>
    <x v="391"/>
    <d v="1991-07-15T00:00:00"/>
    <n v="31"/>
    <n v="14"/>
    <n v="0"/>
    <s v="Kawasaki Frontale"/>
    <s v="JPN-01"/>
    <s v="Last 16"/>
    <n v="0"/>
  </r>
  <r>
    <n v="1393"/>
    <s v="Japan"/>
    <s v="Japan (JPN)"/>
    <n v="4"/>
    <s v="DF"/>
    <x v="392"/>
    <d v="1997-01-27T00:00:00"/>
    <n v="25"/>
    <n v="13"/>
    <n v="1"/>
    <s v="Borussia Mönchengladbach"/>
    <s v="GER-05"/>
    <s v="Last 16"/>
    <n v="0"/>
  </r>
  <r>
    <n v="1394"/>
    <s v="Japan"/>
    <s v="Japan (JPN)"/>
    <n v="5"/>
    <s v="DF"/>
    <x v="393"/>
    <d v="1986-09-12T00:00:00"/>
    <n v="36"/>
    <n v="138"/>
    <n v="4"/>
    <s v="FC Tokyo"/>
    <s v="JPN-04"/>
    <s v="Last 16"/>
    <n v="0"/>
  </r>
  <r>
    <n v="1395"/>
    <s v="Japan"/>
    <s v="Japan (JPN)"/>
    <n v="6"/>
    <s v="MF"/>
    <x v="394"/>
    <d v="1993-02-09T00:00:00"/>
    <n v="29"/>
    <n v="43"/>
    <n v="2"/>
    <s v="VfB Stuttgart"/>
    <s v="GER-10"/>
    <s v="Last 16"/>
    <n v="0"/>
  </r>
  <r>
    <n v="1396"/>
    <s v="Japan"/>
    <s v="Japan (JPN)"/>
    <n v="7"/>
    <s v="MF"/>
    <x v="395"/>
    <d v="1992-05-28T00:00:00"/>
    <n v="30"/>
    <n v="60"/>
    <n v="3"/>
    <s v="Leganés"/>
    <s v="ESP-17"/>
    <s v="Last 16"/>
    <n v="0"/>
  </r>
  <r>
    <n v="1397"/>
    <s v="Japan"/>
    <s v="Japan (JPN)"/>
    <n v="8"/>
    <s v="MF"/>
    <x v="396"/>
    <d v="1998-06-16T00:00:00"/>
    <n v="24"/>
    <n v="29"/>
    <n v="3"/>
    <s v="SC Freiburg"/>
    <s v="GER-06"/>
    <s v="Last 16"/>
    <n v="0"/>
  </r>
  <r>
    <n v="1398"/>
    <s v="Japan"/>
    <s v="Japan (JPN)"/>
    <n v="9"/>
    <s v="MF"/>
    <x v="397"/>
    <d v="1997-05-20T00:00:00"/>
    <n v="25"/>
    <n v="9"/>
    <n v="5"/>
    <s v="Brighton &amp; Hove Albion"/>
    <s v="ENG-06"/>
    <s v="Last 16"/>
    <n v="0"/>
  </r>
  <r>
    <n v="1399"/>
    <s v="Japan"/>
    <s v="Japan (JPN)"/>
    <n v="10"/>
    <s v="MF"/>
    <x v="398"/>
    <d v="1995-01-16T00:00:00"/>
    <n v="27"/>
    <n v="44"/>
    <n v="17"/>
    <s v="Monaco"/>
    <s v="FRA-03"/>
    <s v="Last 16"/>
    <n v="0"/>
  </r>
  <r>
    <n v="1400"/>
    <s v="Japan"/>
    <s v="Japan (JPN)"/>
    <n v="11"/>
    <s v="MF"/>
    <x v="399"/>
    <d v="2001-06-04T00:00:00"/>
    <n v="21"/>
    <n v="20"/>
    <n v="1"/>
    <s v="Real Sociedad"/>
    <s v="ESP-20"/>
    <s v="Last 16"/>
    <n v="0"/>
  </r>
  <r>
    <n v="1401"/>
    <s v="Japan"/>
    <s v="Japan (JPN)"/>
    <n v="12"/>
    <s v="GK"/>
    <x v="400"/>
    <d v="1989-03-03T00:00:00"/>
    <n v="33"/>
    <n v="34"/>
    <n v="0"/>
    <s v="Shimizu S-Pulse"/>
    <s v="JPN-07"/>
    <s v="Last 16"/>
    <n v="0"/>
  </r>
  <r>
    <n v="1402"/>
    <s v="Japan"/>
    <s v="Japan (JPN)"/>
    <n v="13"/>
    <s v="MF"/>
    <x v="401"/>
    <d v="1995-05-10T00:00:00"/>
    <n v="27"/>
    <n v="17"/>
    <n v="2"/>
    <s v="Sporting CP"/>
    <s v="POR-03"/>
    <s v="Last 16"/>
    <n v="0"/>
  </r>
  <r>
    <n v="1403"/>
    <s v="Japan"/>
    <s v="Japan (JPN)"/>
    <n v="14"/>
    <s v="MF"/>
    <x v="402"/>
    <d v="1993-03-09T00:00:00"/>
    <n v="29"/>
    <n v="38"/>
    <n v="9"/>
    <s v="Reims"/>
    <s v="FRA-20"/>
    <s v="Last 16"/>
    <n v="0"/>
  </r>
  <r>
    <n v="1404"/>
    <s v="Japan"/>
    <s v="Japan (JPN)"/>
    <n v="15"/>
    <s v="MF"/>
    <x v="403"/>
    <d v="1996-08-05T00:00:00"/>
    <n v="26"/>
    <n v="22"/>
    <n v="6"/>
    <s v="Eintracht Frankfurt"/>
    <s v="GER-03"/>
    <s v="Last 16"/>
    <n v="0"/>
  </r>
  <r>
    <n v="1405"/>
    <s v="Japan"/>
    <s v="Japan (JPN)"/>
    <n v="16"/>
    <s v="DF"/>
    <x v="404"/>
    <d v="1998-11-05T00:00:00"/>
    <n v="24"/>
    <n v="29"/>
    <n v="1"/>
    <s v="Arsenal"/>
    <s v="ENG-05"/>
    <s v="Last 16"/>
    <n v="0"/>
  </r>
  <r>
    <n v="1406"/>
    <s v="Japan"/>
    <s v="Japan (JPN)"/>
    <n v="17"/>
    <s v="MF"/>
    <x v="405"/>
    <d v="1998-09-10T00:00:00"/>
    <n v="24"/>
    <n v="15"/>
    <n v="2"/>
    <s v="Fortuna Düsseldorf"/>
    <s v="GER-16"/>
    <s v="Last 16"/>
    <n v="0"/>
  </r>
  <r>
    <n v="1407"/>
    <s v="Japan"/>
    <s v="Japan (JPN)"/>
    <n v="18"/>
    <s v="FW"/>
    <x v="406"/>
    <d v="1994-11-10T00:00:00"/>
    <n v="28"/>
    <n v="37"/>
    <n v="7"/>
    <s v="VfL Bochum"/>
    <s v="GER-21"/>
    <s v="Last 16"/>
    <n v="0"/>
  </r>
  <r>
    <n v="1408"/>
    <s v="Japan"/>
    <s v="Japan (JPN)"/>
    <n v="19"/>
    <s v="DF"/>
    <x v="407"/>
    <d v="1990-04-12T00:00:00"/>
    <n v="32"/>
    <n v="72"/>
    <n v="1"/>
    <s v="Urawa Red Diamonds"/>
    <s v="JPN-09"/>
    <s v="Last 16"/>
    <n v="0"/>
  </r>
  <r>
    <n v="1409"/>
    <s v="Japan"/>
    <s v="Japan (JPN)"/>
    <n v="20"/>
    <s v="FW"/>
    <x v="408"/>
    <d v="1999-09-30T00:00:00"/>
    <n v="23"/>
    <n v="4"/>
    <n v="3"/>
    <s v="Shonan Bellmare"/>
    <s v="JPN-08"/>
    <s v="Last 16"/>
    <n v="0"/>
  </r>
  <r>
    <n v="1410"/>
    <s v="Japan"/>
    <s v="Japan (JPN)"/>
    <n v="21"/>
    <s v="FW"/>
    <x v="409"/>
    <d v="1998-08-28T00:00:00"/>
    <n v="24"/>
    <n v="11"/>
    <n v="0"/>
    <s v="Cercle Brugge"/>
    <s v="BEL-05"/>
    <s v="Last 16"/>
    <n v="0"/>
  </r>
  <r>
    <n v="1411"/>
    <s v="Japan"/>
    <s v="Japan (JPN)"/>
    <n v="22"/>
    <s v="DF"/>
    <x v="410"/>
    <d v="1988-08-24T00:00:00"/>
    <n v="34"/>
    <n v="122"/>
    <n v="12"/>
    <s v="Schalke 04"/>
    <s v="GER-19"/>
    <s v="Last 16"/>
    <n v="0"/>
  </r>
  <r>
    <n v="1412"/>
    <s v="Japan"/>
    <s v="Japan (JPN)"/>
    <n v="23"/>
    <s v="GK"/>
    <x v="411"/>
    <d v="1992-02-03T00:00:00"/>
    <n v="30"/>
    <n v="11"/>
    <n v="0"/>
    <s v="Sint-Truiden"/>
    <s v="BEL-11"/>
    <s v="Last 16"/>
    <n v="0"/>
  </r>
  <r>
    <n v="1413"/>
    <s v="Japan"/>
    <s v="Japan (JPN)"/>
    <n v="24"/>
    <s v="MF"/>
    <x v="412"/>
    <d v="1997-02-25T00:00:00"/>
    <n v="25"/>
    <n v="8"/>
    <n v="4"/>
    <s v="Nagoya Grampus"/>
    <s v="JPN-06"/>
    <s v="Last 16"/>
    <n v="0"/>
  </r>
  <r>
    <n v="1414"/>
    <s v="Japan"/>
    <s v="Japan (JPN)"/>
    <n v="25"/>
    <s v="FW"/>
    <x v="413"/>
    <d v="1997-10-20T00:00:00"/>
    <n v="25"/>
    <n v="8"/>
    <n v="1"/>
    <s v="Celtic"/>
    <s v="SCO-01"/>
    <s v="Last 16"/>
    <n v="0"/>
  </r>
  <r>
    <n v="1415"/>
    <s v="Japan"/>
    <s v="Japan (JPN)"/>
    <n v="26"/>
    <s v="DF"/>
    <x v="414"/>
    <d v="1999-05-12T00:00:00"/>
    <n v="23"/>
    <n v="6"/>
    <n v="0"/>
    <s v="VfB Stuttgart"/>
    <s v="GER-10"/>
    <s v="Last 16"/>
    <n v="0"/>
  </r>
  <r>
    <n v="1416"/>
    <s v="Korea Rep"/>
    <s v="Korea Rep (KOR)"/>
    <n v="1"/>
    <s v="GK"/>
    <x v="415"/>
    <d v="1990-09-30T00:00:00"/>
    <n v="32"/>
    <n v="67"/>
    <n v="0"/>
    <s v="Al-Shabab"/>
    <s v="SAU-03"/>
    <s v="Last 16"/>
    <n v="0"/>
  </r>
  <r>
    <n v="1417"/>
    <s v="Korea Rep"/>
    <s v="Korea Rep (KOR)"/>
    <n v="2"/>
    <s v="DF"/>
    <x v="416"/>
    <d v="1998-03-20T00:00:00"/>
    <n v="24"/>
    <n v="4"/>
    <n v="0"/>
    <s v="FC Seoul"/>
    <s v="KOR-03"/>
    <s v="Last 16"/>
    <n v="0"/>
  </r>
  <r>
    <n v="1418"/>
    <s v="Korea Rep"/>
    <s v="Korea Rep (KOR)"/>
    <n v="3"/>
    <s v="DF"/>
    <x v="417"/>
    <d v="1992-06-13T00:00:00"/>
    <n v="30"/>
    <n v="61"/>
    <n v="2"/>
    <s v="Jeonbuk Hyundai Motors"/>
    <s v="KOR-01"/>
    <s v="Last 16"/>
    <n v="0"/>
  </r>
  <r>
    <n v="1419"/>
    <s v="Korea Rep"/>
    <s v="Korea Rep (KOR)"/>
    <n v="4"/>
    <s v="DF"/>
    <x v="418"/>
    <d v="1996-11-15T00:00:00"/>
    <n v="26"/>
    <n v="44"/>
    <n v="3"/>
    <s v="Napoli"/>
    <s v="ITA-04"/>
    <s v="Last 16"/>
    <n v="0"/>
  </r>
  <r>
    <n v="1420"/>
    <s v="Korea Rep"/>
    <s v="Korea Rep (KOR)"/>
    <n v="5"/>
    <s v="MF"/>
    <x v="419"/>
    <d v="1989-12-14T00:00:00"/>
    <n v="32"/>
    <n v="66"/>
    <n v="3"/>
    <s v="Al-Sadd"/>
    <s v="QTR-01"/>
    <s v="Last 16"/>
    <n v="0"/>
  </r>
  <r>
    <n v="1421"/>
    <s v="Korea Rep"/>
    <s v="Korea Rep (KOR)"/>
    <n v="6"/>
    <s v="MF"/>
    <x v="420"/>
    <d v="1996-09-20T00:00:00"/>
    <n v="26"/>
    <n v="37"/>
    <n v="4"/>
    <s v="Olympiacos"/>
    <s v="GRE-02"/>
    <s v="Last 16"/>
    <n v="0"/>
  </r>
  <r>
    <n v="1422"/>
    <s v="Korea Rep"/>
    <s v="Korea Rep (KOR)"/>
    <n v="7"/>
    <s v="MF"/>
    <x v="421"/>
    <d v="1992-07-08T00:00:00"/>
    <n v="30"/>
    <n v="104"/>
    <n v="35"/>
    <s v="Tottenham Hotspur"/>
    <s v="ENG-04"/>
    <s v="Last 16"/>
    <n v="0"/>
  </r>
  <r>
    <n v="1423"/>
    <s v="Korea Rep"/>
    <s v="Korea Rep (KOR)"/>
    <n v="8"/>
    <s v="MF"/>
    <x v="422"/>
    <d v="1997-03-17T00:00:00"/>
    <n v="25"/>
    <n v="14"/>
    <n v="2"/>
    <s v="Jeonbuk Hyundai Motors"/>
    <s v="KOR-01"/>
    <s v="Last 16"/>
    <n v="0"/>
  </r>
  <r>
    <n v="1424"/>
    <s v="Korea Rep"/>
    <s v="Korea Rep (KOR)"/>
    <n v="9"/>
    <s v="FW"/>
    <x v="423"/>
    <d v="1998-01-25T00:00:00"/>
    <n v="24"/>
    <n v="16"/>
    <n v="4"/>
    <s v="Jeonbuk Hyundai Motors"/>
    <s v="KOR-01"/>
    <s v="Last 16"/>
    <n v="0"/>
  </r>
  <r>
    <n v="1425"/>
    <s v="Korea Rep"/>
    <s v="Korea Rep (KOR)"/>
    <n v="10"/>
    <s v="MF"/>
    <x v="424"/>
    <d v="1992-08-10T00:00:00"/>
    <n v="30"/>
    <n v="64"/>
    <n v="9"/>
    <s v="Mainz 05"/>
    <s v="GER-09"/>
    <s v="Last 16"/>
    <n v="0"/>
  </r>
  <r>
    <n v="1426"/>
    <s v="Korea Rep"/>
    <s v="Korea Rep (KOR)"/>
    <n v="11"/>
    <s v="MF"/>
    <x v="425"/>
    <d v="1996-01-26T00:00:00"/>
    <n v="26"/>
    <n v="49"/>
    <n v="9"/>
    <s v="Wolverhampton Wanderers"/>
    <s v="ENG-14"/>
    <s v="Last 16"/>
    <n v="0"/>
  </r>
  <r>
    <n v="1427"/>
    <s v="Korea Rep"/>
    <s v="Korea Rep (KOR)"/>
    <n v="12"/>
    <s v="GK"/>
    <x v="426"/>
    <d v="1997-10-15T00:00:00"/>
    <n v="25"/>
    <n v="1"/>
    <n v="0"/>
    <s v="Jeonbuk Hyundai Motors"/>
    <s v="KOR-01"/>
    <s v="Last 16"/>
    <n v="0"/>
  </r>
  <r>
    <n v="1428"/>
    <s v="Korea Rep"/>
    <s v="Korea Rep (KOR)"/>
    <n v="13"/>
    <s v="MF"/>
    <x v="427"/>
    <d v="1992-05-12T00:00:00"/>
    <n v="30"/>
    <n v="15"/>
    <n v="0"/>
    <s v="Shandong Taishan"/>
    <s v="CHI-01"/>
    <s v="Last 16"/>
    <n v="0"/>
  </r>
  <r>
    <n v="1429"/>
    <s v="Korea Rep"/>
    <s v="Korea Rep (KOR)"/>
    <n v="14"/>
    <s v="DF"/>
    <x v="428"/>
    <d v="1990-09-17T00:00:00"/>
    <n v="32"/>
    <n v="46"/>
    <n v="1"/>
    <s v="Daegu FC"/>
    <s v="KOR-04"/>
    <s v="Last 16"/>
    <n v="0"/>
  </r>
  <r>
    <n v="1430"/>
    <s v="Korea Rep"/>
    <s v="Korea Rep (KOR)"/>
    <n v="15"/>
    <s v="DF"/>
    <x v="429"/>
    <d v="1995-08-01T00:00:00"/>
    <n v="27"/>
    <n v="22"/>
    <n v="0"/>
    <s v="Jeonbuk Hyundai Motors"/>
    <s v="KOR-01"/>
    <s v="Last 16"/>
    <n v="0"/>
  </r>
  <r>
    <n v="1431"/>
    <s v="Korea Rep"/>
    <s v="Korea Rep (KOR)"/>
    <n v="16"/>
    <s v="FW"/>
    <x v="430"/>
    <d v="1992-08-28T00:00:00"/>
    <n v="30"/>
    <n v="49"/>
    <n v="16"/>
    <s v="Olympiacos"/>
    <s v="GRE-02"/>
    <s v="Last 16"/>
    <n v="0"/>
  </r>
  <r>
    <n v="1432"/>
    <s v="Korea Rep"/>
    <s v="Korea Rep (KOR)"/>
    <n v="17"/>
    <s v="MF"/>
    <x v="431"/>
    <d v="1996-08-12T00:00:00"/>
    <n v="26"/>
    <n v="24"/>
    <n v="2"/>
    <s v="FC Seoul"/>
    <s v="KOR-03"/>
    <s v="Last 16"/>
    <n v="0"/>
  </r>
  <r>
    <n v="1433"/>
    <s v="Korea Rep"/>
    <s v="Korea Rep (KOR)"/>
    <n v="18"/>
    <s v="MF"/>
    <x v="432"/>
    <d v="2001-02-19T00:00:00"/>
    <n v="21"/>
    <n v="6"/>
    <n v="0"/>
    <s v="Mallorca"/>
    <s v="ESP-11"/>
    <s v="Last 16"/>
    <n v="0"/>
  </r>
  <r>
    <n v="1434"/>
    <s v="Korea Rep"/>
    <s v="Korea Rep (KOR)"/>
    <n v="19"/>
    <s v="DF"/>
    <x v="433"/>
    <d v="1990-02-27T00:00:00"/>
    <n v="32"/>
    <n v="96"/>
    <n v="6"/>
    <s v="Ulsan Hyundai"/>
    <s v="KOR-02"/>
    <s v="Last 16"/>
    <n v="0"/>
  </r>
  <r>
    <n v="1435"/>
    <s v="Korea Rep"/>
    <s v="Korea Rep (KOR)"/>
    <n v="20"/>
    <s v="DF"/>
    <x v="434"/>
    <d v="1992-01-31T00:00:00"/>
    <n v="30"/>
    <n v="28"/>
    <n v="2"/>
    <s v="Gamba Osaka"/>
    <s v="JPN-05"/>
    <s v="Last 16"/>
    <n v="0"/>
  </r>
  <r>
    <n v="1436"/>
    <s v="Korea Rep"/>
    <s v="Korea Rep (KOR)"/>
    <n v="21"/>
    <s v="GK"/>
    <x v="435"/>
    <d v="1991-09-25T00:00:00"/>
    <n v="31"/>
    <n v="22"/>
    <n v="0"/>
    <s v="Ulsan Hyundai"/>
    <s v="KOR-02"/>
    <s v="Last 16"/>
    <n v="0"/>
  </r>
  <r>
    <n v="1437"/>
    <s v="Korea Rep"/>
    <s v="Korea Rep (KOR)"/>
    <n v="22"/>
    <s v="MF"/>
    <x v="436"/>
    <d v="1994-06-30T00:00:00"/>
    <n v="28"/>
    <n v="42"/>
    <n v="12"/>
    <s v="Gimcheon Sangmu"/>
    <s v="KOR-06"/>
    <s v="Last 16"/>
    <n v="0"/>
  </r>
  <r>
    <n v="1438"/>
    <s v="Korea Rep"/>
    <s v="Korea Rep (KOR)"/>
    <n v="23"/>
    <s v="DF"/>
    <x v="437"/>
    <d v="1989-07-24T00:00:00"/>
    <n v="33"/>
    <n v="19"/>
    <n v="0"/>
    <s v="Ulsan Hyundai"/>
    <s v="KOR-02"/>
    <s v="Last 16"/>
    <n v="0"/>
  </r>
  <r>
    <n v="1439"/>
    <s v="Korea Rep"/>
    <s v="Korea Rep (KOR)"/>
    <n v="24"/>
    <s v="DF"/>
    <x v="438"/>
    <d v="1996-11-17T00:00:00"/>
    <n v="26"/>
    <n v="4"/>
    <n v="0"/>
    <s v="Daejeon Hana Citizen"/>
    <s v="KOR-05"/>
    <s v="Last 16"/>
    <n v="0"/>
  </r>
  <r>
    <n v="1440"/>
    <s v="Korea Rep"/>
    <s v="Korea Rep (KOR)"/>
    <n v="25"/>
    <s v="MF"/>
    <x v="439"/>
    <d v="1999-09-20T00:00:00"/>
    <n v="23"/>
    <n v="9"/>
    <n v="2"/>
    <s v="SC Freiburg"/>
    <s v="GER-06"/>
    <s v="Last 16"/>
    <n v="0"/>
  </r>
  <r>
    <n v="1441"/>
    <s v="Korea Rep"/>
    <s v="Korea Rep (KOR)"/>
    <n v="26"/>
    <s v="MF"/>
    <x v="440"/>
    <d v="1999-09-12T00:00:00"/>
    <n v="23"/>
    <n v="13"/>
    <n v="1"/>
    <s v="Jeonbuk Hyundai Motors"/>
    <s v="KOR-01"/>
    <s v="Last 16"/>
    <n v="0"/>
  </r>
  <r>
    <n v="1442"/>
    <s v="Mexico"/>
    <s v="Mexico (MEX)"/>
    <n v="1"/>
    <s v="GK"/>
    <x v="441"/>
    <d v="1982-09-18T00:00:00"/>
    <n v="40"/>
    <n v="40"/>
    <n v="0"/>
    <s v="Juárez"/>
    <s v="MEX-08"/>
    <s v="Group stage"/>
    <n v="0"/>
  </r>
  <r>
    <n v="1443"/>
    <s v="Mexico"/>
    <s v="Mexico (MEX)"/>
    <n v="2"/>
    <s v="DF"/>
    <x v="442"/>
    <d v="1991-08-29T00:00:00"/>
    <n v="31"/>
    <n v="63"/>
    <n v="3"/>
    <s v="América"/>
    <s v="MEX-02"/>
    <s v="Group stage"/>
    <n v="0"/>
  </r>
  <r>
    <n v="1444"/>
    <s v="Mexico"/>
    <s v="Mexico (MEX)"/>
    <n v="3"/>
    <s v="DF"/>
    <x v="443"/>
    <d v="1997-02-24T00:00:00"/>
    <n v="25"/>
    <n v="30"/>
    <n v="1"/>
    <s v="Monterrey"/>
    <s v="MEX-01"/>
    <s v="Group stage"/>
    <n v="0"/>
  </r>
  <r>
    <n v="1445"/>
    <s v="Mexico"/>
    <s v="Mexico (MEX)"/>
    <n v="4"/>
    <s v="DF"/>
    <x v="444"/>
    <d v="1997-10-24T00:00:00"/>
    <n v="25"/>
    <n v="58"/>
    <n v="3"/>
    <s v="Ajax"/>
    <s v="NET-01"/>
    <s v="Group stage"/>
    <n v="0"/>
  </r>
  <r>
    <n v="1446"/>
    <s v="Mexico"/>
    <s v="Mexico (MEX)"/>
    <n v="5"/>
    <s v="DF"/>
    <x v="445"/>
    <d v="1998-10-22T00:00:00"/>
    <n v="24"/>
    <n v="7"/>
    <n v="0"/>
    <s v="Cremonese"/>
    <s v="ITA-18"/>
    <s v="Group stage"/>
    <n v="0"/>
  </r>
  <r>
    <n v="1447"/>
    <s v="Mexico"/>
    <s v="Mexico (MEX)"/>
    <n v="6"/>
    <s v="DF"/>
    <x v="446"/>
    <d v="1998-09-07T00:00:00"/>
    <n v="24"/>
    <n v="17"/>
    <n v="1"/>
    <s v="Genk"/>
    <s v="BEL-03"/>
    <s v="Group stage"/>
    <n v="0"/>
  </r>
  <r>
    <n v="1448"/>
    <s v="Mexico"/>
    <s v="Mexico (MEX)"/>
    <n v="7"/>
    <s v="MF"/>
    <x v="447"/>
    <d v="1995-06-05T00:00:00"/>
    <n v="27"/>
    <n v="27"/>
    <n v="1"/>
    <s v="Monterrey"/>
    <s v="MEX-01"/>
    <s v="Group stage"/>
    <n v="0"/>
  </r>
  <r>
    <n v="1449"/>
    <s v="Mexico"/>
    <s v="Mexico (MEX)"/>
    <n v="8"/>
    <s v="MF"/>
    <x v="448"/>
    <d v="1997-01-03T00:00:00"/>
    <n v="25"/>
    <n v="36"/>
    <n v="0"/>
    <s v="Cruz Azul"/>
    <s v="MEX-03"/>
    <s v="Group stage"/>
    <n v="0"/>
  </r>
  <r>
    <n v="1450"/>
    <s v="Mexico"/>
    <s v="Mexico (MEX)"/>
    <n v="9"/>
    <s v="FW"/>
    <x v="449"/>
    <d v="1991-05-05T00:00:00"/>
    <n v="31"/>
    <n v="95"/>
    <n v="29"/>
    <s v="Wolverhampton Wanderers"/>
    <s v="ENG-14"/>
    <s v="Group stage"/>
    <n v="0"/>
  </r>
  <r>
    <n v="1451"/>
    <s v="Mexico"/>
    <s v="Mexico (MEX)"/>
    <n v="10"/>
    <s v="FW"/>
    <x v="450"/>
    <d v="1997-11-25T00:00:00"/>
    <n v="24"/>
    <n v="22"/>
    <n v="6"/>
    <s v="Guadalajara"/>
    <s v="MEX-06"/>
    <s v="Group stage"/>
    <n v="0"/>
  </r>
  <r>
    <n v="1452"/>
    <s v="Mexico"/>
    <s v="Mexico (MEX)"/>
    <n v="11"/>
    <s v="FW"/>
    <x v="451"/>
    <d v="1991-03-05T00:00:00"/>
    <n v="31"/>
    <n v="16"/>
    <n v="6"/>
    <s v="Monterrey"/>
    <s v="MEX-01"/>
    <s v="Group stage"/>
    <n v="0"/>
  </r>
  <r>
    <n v="1453"/>
    <s v="Mexico"/>
    <s v="Mexico (MEX)"/>
    <n v="12"/>
    <s v="GK"/>
    <x v="452"/>
    <d v="1987-07-03T00:00:00"/>
    <n v="35"/>
    <n v="8"/>
    <n v="0"/>
    <s v="León"/>
    <s v="MEX-04"/>
    <s v="Group stage"/>
    <n v="0"/>
  </r>
  <r>
    <n v="1454"/>
    <s v="Mexico"/>
    <s v="Mexico (MEX)"/>
    <n v="13"/>
    <s v="GK"/>
    <x v="453"/>
    <d v="1985-07-13T00:00:00"/>
    <n v="37"/>
    <n v="131"/>
    <n v="0"/>
    <s v="América"/>
    <s v="MEX-02"/>
    <s v="Group stage"/>
    <n v="0"/>
  </r>
  <r>
    <n v="1455"/>
    <s v="Mexico"/>
    <s v="Mexico (MEX)"/>
    <n v="14"/>
    <s v="MF"/>
    <x v="454"/>
    <d v="1995-06-15T00:00:00"/>
    <n v="27"/>
    <n v="34"/>
    <n v="1"/>
    <s v="PSV Eindhoven"/>
    <s v="NET-02"/>
    <s v="Group stage"/>
    <n v="0"/>
  </r>
  <r>
    <n v="1456"/>
    <s v="Mexico"/>
    <s v="Mexico (MEX)"/>
    <n v="15"/>
    <s v="DF"/>
    <x v="455"/>
    <d v="1988-01-17T00:00:00"/>
    <n v="34"/>
    <n v="128"/>
    <n v="5"/>
    <s v="Monterrey"/>
    <s v="MEX-01"/>
    <s v="Group stage"/>
    <n v="0"/>
  </r>
  <r>
    <n v="1457"/>
    <s v="Mexico"/>
    <s v="Mexico (MEX)"/>
    <n v="16"/>
    <s v="MF"/>
    <x v="456"/>
    <d v="1990-04-19T00:00:00"/>
    <n v="32"/>
    <n v="102"/>
    <n v="10"/>
    <s v="Houston Dynamo FC"/>
    <s v="USA-12"/>
    <s v="Group stage"/>
    <n v="0"/>
  </r>
  <r>
    <n v="1458"/>
    <s v="Mexico"/>
    <s v="Mexico (MEX)"/>
    <n v="17"/>
    <s v="FW"/>
    <x v="457"/>
    <d v="1996-03-24T00:00:00"/>
    <n v="26"/>
    <n v="50"/>
    <n v="6"/>
    <s v="AEK Athens"/>
    <s v="GRE-01"/>
    <s v="Group stage"/>
    <n v="0"/>
  </r>
  <r>
    <n v="1459"/>
    <s v="Mexico"/>
    <s v="Mexico (MEX)"/>
    <n v="18"/>
    <s v="MF"/>
    <x v="458"/>
    <d v="1986-09-28T00:00:00"/>
    <n v="36"/>
    <n v="178"/>
    <n v="28"/>
    <s v="Real Betis"/>
    <s v="ESP-05"/>
    <s v="Group stage"/>
    <n v="0"/>
  </r>
  <r>
    <n v="1460"/>
    <s v="Mexico"/>
    <s v="Mexico (MEX)"/>
    <n v="19"/>
    <s v="DF"/>
    <x v="459"/>
    <d v="1997-12-10T00:00:00"/>
    <n v="24"/>
    <n v="26"/>
    <n v="1"/>
    <s v="Ajax"/>
    <s v="NET-01"/>
    <s v="Group stage"/>
    <n v="0"/>
  </r>
  <r>
    <n v="1461"/>
    <s v="Mexico"/>
    <s v="Mexico (MEX)"/>
    <n v="20"/>
    <s v="FW"/>
    <x v="460"/>
    <d v="1992-11-18T00:00:00"/>
    <n v="30"/>
    <n v="27"/>
    <n v="6"/>
    <s v="América"/>
    <s v="MEX-02"/>
    <s v="Group stage"/>
    <n v="0"/>
  </r>
  <r>
    <n v="1462"/>
    <s v="Mexico"/>
    <s v="Mexico (MEX)"/>
    <n v="21"/>
    <s v="FW"/>
    <x v="461"/>
    <d v="1997-08-21T00:00:00"/>
    <n v="25"/>
    <n v="36"/>
    <n v="9"/>
    <s v="Cruz Azul"/>
    <s v="MEX-03"/>
    <s v="Group stage"/>
    <n v="0"/>
  </r>
  <r>
    <n v="1463"/>
    <s v="Mexico"/>
    <s v="Mexico (MEX)"/>
    <n v="22"/>
    <s v="FW"/>
    <x v="462"/>
    <d v="1995-07-30T00:00:00"/>
    <n v="27"/>
    <n v="60"/>
    <n v="16"/>
    <s v="Napoli"/>
    <s v="ITA-04"/>
    <s v="Group stage"/>
    <n v="0"/>
  </r>
  <r>
    <n v="1464"/>
    <s v="Mexico"/>
    <s v="Mexico (MEX)"/>
    <n v="23"/>
    <s v="DF"/>
    <x v="463"/>
    <d v="1994-08-15T00:00:00"/>
    <n v="28"/>
    <n v="78"/>
    <n v="1"/>
    <s v="Monterrey"/>
    <s v="MEX-01"/>
    <s v="Group stage"/>
    <n v="0"/>
  </r>
  <r>
    <n v="1465"/>
    <s v="Mexico"/>
    <s v="Mexico (MEX)"/>
    <n v="24"/>
    <s v="MF"/>
    <x v="464"/>
    <d v="1996-01-15T00:00:00"/>
    <n v="26"/>
    <n v="9"/>
    <n v="0"/>
    <s v="Pachuca"/>
    <s v="MEX-05"/>
    <s v="Group stage"/>
    <n v="0"/>
  </r>
  <r>
    <n v="1466"/>
    <s v="Mexico"/>
    <s v="Mexico (MEX)"/>
    <n v="25"/>
    <s v="FW"/>
    <x v="465"/>
    <d v="1998-09-07T00:00:00"/>
    <n v="24"/>
    <n v="31"/>
    <n v="4"/>
    <s v="Guadalajara"/>
    <s v="MEX-06"/>
    <s v="Group stage"/>
    <n v="0"/>
  </r>
  <r>
    <n v="1467"/>
    <s v="Mexico"/>
    <s v="Mexico (MEX)"/>
    <n v="26"/>
    <s v="DF"/>
    <x v="466"/>
    <d v="1999-01-15T00:00:00"/>
    <n v="23"/>
    <n v="8"/>
    <n v="0"/>
    <s v="Pachuca"/>
    <s v="MEX-05"/>
    <s v="Group stage"/>
    <n v="0"/>
  </r>
  <r>
    <n v="1468"/>
    <s v="Morocco"/>
    <s v="Morocco (MAR)"/>
    <n v="1"/>
    <s v="GK"/>
    <x v="467"/>
    <d v="1991-04-05T00:00:00"/>
    <n v="31"/>
    <n v="46"/>
    <n v="0"/>
    <s v="Sevilla"/>
    <s v="ESP-04"/>
    <s v="Fourth"/>
    <n v="1"/>
  </r>
  <r>
    <n v="1469"/>
    <s v="Morocco"/>
    <s v="Morocco (MAR)"/>
    <n v="2"/>
    <s v="DF"/>
    <x v="468"/>
    <d v="1998-11-04T00:00:00"/>
    <n v="24"/>
    <n v="54"/>
    <n v="8"/>
    <s v="Paris Saint-Germain"/>
    <s v="FRA-01"/>
    <s v="Fourth"/>
    <n v="1"/>
  </r>
  <r>
    <n v="1470"/>
    <s v="Morocco"/>
    <s v="Morocco (MAR)"/>
    <n v="3"/>
    <s v="DF"/>
    <x v="469"/>
    <d v="1997-11-14T00:00:00"/>
    <n v="25"/>
    <n v="15"/>
    <n v="2"/>
    <s v="Bayern Munich"/>
    <s v="GER-01"/>
    <s v="Fourth"/>
    <n v="1"/>
  </r>
  <r>
    <n v="1471"/>
    <s v="Morocco"/>
    <s v="Morocco (MAR)"/>
    <n v="4"/>
    <s v="MF"/>
    <x v="470"/>
    <d v="1996-08-21T00:00:00"/>
    <n v="26"/>
    <n v="39"/>
    <n v="0"/>
    <s v="Fiorentina"/>
    <s v="ITA-07"/>
    <s v="Fourth"/>
    <n v="1"/>
  </r>
  <r>
    <n v="1472"/>
    <s v="Morocco"/>
    <s v="Morocco (MAR)"/>
    <n v="5"/>
    <s v="DF"/>
    <x v="471"/>
    <d v="1996-03-30T00:00:00"/>
    <n v="26"/>
    <n v="22"/>
    <n v="1"/>
    <s v="West Ham United"/>
    <s v="ENG-13"/>
    <s v="Fourth"/>
    <n v="1"/>
  </r>
  <r>
    <n v="1473"/>
    <s v="Morocco"/>
    <s v="Morocco (MAR)"/>
    <n v="6"/>
    <s v="DF"/>
    <x v="472"/>
    <d v="1990-03-26T00:00:00"/>
    <n v="32"/>
    <n v="66"/>
    <n v="1"/>
    <s v="Beşiktaş"/>
    <s v="TUR-02"/>
    <s v="Fourth"/>
    <n v="1"/>
  </r>
  <r>
    <n v="1474"/>
    <s v="Morocco"/>
    <s v="Morocco (MAR)"/>
    <n v="7"/>
    <s v="MF"/>
    <x v="473"/>
    <d v="1993-03-19T00:00:00"/>
    <n v="29"/>
    <n v="43"/>
    <n v="18"/>
    <s v="Chelsea"/>
    <s v="ENG-03"/>
    <s v="Fourth"/>
    <n v="1"/>
  </r>
  <r>
    <n v="1475"/>
    <s v="Morocco"/>
    <s v="Morocco (MAR)"/>
    <n v="8"/>
    <s v="MF"/>
    <x v="474"/>
    <d v="2000-04-19T00:00:00"/>
    <n v="22"/>
    <n v="10"/>
    <n v="2"/>
    <s v="Angers"/>
    <s v="FRA-06"/>
    <s v="Fourth"/>
    <n v="1"/>
  </r>
  <r>
    <n v="1476"/>
    <s v="Morocco"/>
    <s v="Morocco (MAR)"/>
    <n v="9"/>
    <s v="FW"/>
    <x v="475"/>
    <d v="1990-12-17T00:00:00"/>
    <n v="31"/>
    <n v="18"/>
    <n v="6"/>
    <s v="Al-Ittihad"/>
    <s v="SAU-06"/>
    <s v="Fourth"/>
    <n v="1"/>
  </r>
  <r>
    <n v="1477"/>
    <s v="Morocco"/>
    <s v="Morocco (MAR)"/>
    <n v="10"/>
    <s v="MF"/>
    <x v="476"/>
    <d v="2000-11-07T00:00:00"/>
    <n v="22"/>
    <n v="1"/>
    <n v="0"/>
    <s v="Burnley"/>
    <s v="ENG-22"/>
    <s v="Fourth"/>
    <n v="1"/>
  </r>
  <r>
    <n v="1478"/>
    <s v="Morocco"/>
    <s v="Morocco (MAR)"/>
    <n v="11"/>
    <s v="FW"/>
    <x v="477"/>
    <d v="1996-11-28T00:00:00"/>
    <n v="25"/>
    <n v="2"/>
    <n v="1"/>
    <s v="Sampdoria"/>
    <s v="ITA-11"/>
    <s v="Fourth"/>
    <n v="1"/>
  </r>
  <r>
    <n v="1479"/>
    <s v="Morocco"/>
    <s v="Morocco (MAR)"/>
    <n v="12"/>
    <s v="GK"/>
    <x v="478"/>
    <d v="1989-05-10T00:00:00"/>
    <n v="33"/>
    <n v="43"/>
    <n v="0"/>
    <s v="Al-Wehda"/>
    <s v="SAU-07"/>
    <s v="Fourth"/>
    <n v="1"/>
  </r>
  <r>
    <n v="1480"/>
    <s v="Morocco"/>
    <s v="Morocco (MAR)"/>
    <n v="13"/>
    <s v="MF"/>
    <x v="479"/>
    <d v="1997-10-30T00:00:00"/>
    <n v="25"/>
    <n v="11"/>
    <n v="1"/>
    <s v="Queens Park Rangers"/>
    <s v="ENG-26"/>
    <s v="Fourth"/>
    <n v="1"/>
  </r>
  <r>
    <n v="1481"/>
    <s v="Morocco"/>
    <s v="Morocco (MAR)"/>
    <n v="14"/>
    <s v="MF"/>
    <x v="480"/>
    <d v="2000-02-18T00:00:00"/>
    <n v="22"/>
    <n v="12"/>
    <n v="2"/>
    <s v="Toulouse"/>
    <s v="FRA-21"/>
    <s v="Fourth"/>
    <n v="1"/>
  </r>
  <r>
    <n v="1482"/>
    <s v="Morocco"/>
    <s v="Morocco (MAR)"/>
    <n v="15"/>
    <s v="MF"/>
    <x v="481"/>
    <d v="1996-11-15T00:00:00"/>
    <n v="26"/>
    <n v="24"/>
    <n v="4"/>
    <s v="Standard Liège"/>
    <s v="BEL-12"/>
    <s v="Fourth"/>
    <n v="1"/>
  </r>
  <r>
    <n v="1483"/>
    <s v="Morocco"/>
    <s v="Morocco (MAR)"/>
    <n v="16"/>
    <s v="FW"/>
    <x v="482"/>
    <d v="2001-12-17T00:00:00"/>
    <n v="20"/>
    <n v="2"/>
    <n v="0"/>
    <s v="Osasuna"/>
    <s v="ESP-12"/>
    <s v="Fourth"/>
    <n v="1"/>
  </r>
  <r>
    <n v="1484"/>
    <s v="Morocco"/>
    <s v="Morocco (MAR)"/>
    <n v="17"/>
    <s v="MF"/>
    <x v="483"/>
    <d v="1993-09-17T00:00:00"/>
    <n v="29"/>
    <n v="32"/>
    <n v="6"/>
    <s v="Angers"/>
    <s v="FRA-06"/>
    <s v="Fourth"/>
    <n v="1"/>
  </r>
  <r>
    <n v="1485"/>
    <s v="Morocco"/>
    <s v="Morocco (MAR)"/>
    <n v="18"/>
    <s v="DF"/>
    <x v="484"/>
    <d v="1992-02-29T00:00:00"/>
    <n v="30"/>
    <n v="12"/>
    <n v="2"/>
    <s v="Valladolid"/>
    <s v="ESP-13"/>
    <s v="Fourth"/>
    <n v="1"/>
  </r>
  <r>
    <n v="1486"/>
    <s v="Morocco"/>
    <s v="Morocco (MAR)"/>
    <n v="19"/>
    <s v="FW"/>
    <x v="485"/>
    <d v="1997-06-01T00:00:00"/>
    <n v="25"/>
    <n v="50"/>
    <n v="15"/>
    <s v="Sevilla"/>
    <s v="ESP-04"/>
    <s v="Fourth"/>
    <n v="1"/>
  </r>
  <r>
    <n v="1487"/>
    <s v="Morocco"/>
    <s v="Morocco (MAR)"/>
    <n v="20"/>
    <s v="DF"/>
    <x v="486"/>
    <d v="1999-05-06T00:00:00"/>
    <n v="23"/>
    <n v="4"/>
    <n v="0"/>
    <s v="Brest"/>
    <s v="FRA-16"/>
    <s v="Fourth"/>
    <n v="1"/>
  </r>
  <r>
    <n v="1488"/>
    <s v="Morocco"/>
    <s v="Morocco (MAR)"/>
    <n v="21"/>
    <s v="FW"/>
    <x v="487"/>
    <d v="1998-01-22T00:00:00"/>
    <n v="24"/>
    <n v="2"/>
    <n v="0"/>
    <s v="Bari"/>
    <s v="ITA-15"/>
    <s v="Fourth"/>
    <n v="1"/>
  </r>
  <r>
    <n v="1489"/>
    <s v="Morocco"/>
    <s v="Morocco (MAR)"/>
    <n v="22"/>
    <s v="GK"/>
    <x v="488"/>
    <d v="1996-04-05T00:00:00"/>
    <n v="26"/>
    <n v="3"/>
    <n v="0"/>
    <s v="Wydad AC"/>
    <s v="MOR-01"/>
    <s v="Fourth"/>
    <n v="1"/>
  </r>
  <r>
    <n v="1490"/>
    <s v="Morocco"/>
    <s v="Morocco (MAR)"/>
    <n v="23"/>
    <s v="MF"/>
    <x v="489"/>
    <d v="2004-05-10T00:00:00"/>
    <n v="18"/>
    <n v="0"/>
    <n v="0"/>
    <s v="Genk"/>
    <s v="BEL-03"/>
    <s v="Fourth"/>
    <n v="1"/>
  </r>
  <r>
    <n v="1491"/>
    <s v="Morocco"/>
    <s v="Morocco (MAR)"/>
    <n v="24"/>
    <s v="DF"/>
    <x v="490"/>
    <d v="1993-09-30T00:00:00"/>
    <n v="29"/>
    <n v="3"/>
    <n v="0"/>
    <s v="Qatar SC"/>
    <s v="QTR-08"/>
    <s v="Fourth"/>
    <n v="1"/>
  </r>
  <r>
    <n v="1492"/>
    <s v="Morocco"/>
    <s v="Morocco (MAR)"/>
    <n v="25"/>
    <s v="DF"/>
    <x v="491"/>
    <d v="1995-03-02T00:00:00"/>
    <n v="27"/>
    <n v="2"/>
    <n v="0"/>
    <s v="Wydad AC"/>
    <s v="MOR-01"/>
    <s v="Fourth"/>
    <n v="1"/>
  </r>
  <r>
    <n v="1493"/>
    <s v="Morocco"/>
    <s v="Morocco (MAR)"/>
    <n v="26"/>
    <s v="MF"/>
    <x v="492"/>
    <d v="1991-06-18T00:00:00"/>
    <n v="31"/>
    <n v="5"/>
    <n v="0"/>
    <s v="Wydad AC"/>
    <s v="MOR-01"/>
    <s v="Fourth"/>
    <n v="1"/>
  </r>
  <r>
    <n v="1494"/>
    <s v="Netherlands"/>
    <s v="Netherlands (NED)"/>
    <n v="1"/>
    <s v="GK"/>
    <x v="493"/>
    <d v="1983-11-08T00:00:00"/>
    <n v="39"/>
    <n v="2"/>
    <n v="0"/>
    <s v="Ajax"/>
    <s v="NET-01"/>
    <s v="Quarter Finals"/>
    <n v="0"/>
  </r>
  <r>
    <n v="1495"/>
    <s v="Netherlands"/>
    <s v="Netherlands (NED)"/>
    <n v="2"/>
    <s v="DF"/>
    <x v="494"/>
    <d v="2001-06-17T00:00:00"/>
    <n v="21"/>
    <n v="10"/>
    <n v="0"/>
    <s v="Ajax"/>
    <s v="NET-01"/>
    <s v="Quarter Finals"/>
    <n v="0"/>
  </r>
  <r>
    <n v="1496"/>
    <s v="Netherlands"/>
    <s v="Netherlands (NED)"/>
    <n v="3"/>
    <s v="DF"/>
    <x v="495"/>
    <d v="1999-08-12T00:00:00"/>
    <n v="23"/>
    <n v="38"/>
    <n v="2"/>
    <s v="Bayern Munich"/>
    <s v="GER-01"/>
    <s v="Quarter Finals"/>
    <n v="0"/>
  </r>
  <r>
    <n v="1497"/>
    <s v="Netherlands"/>
    <s v="Netherlands (NED)"/>
    <n v="4"/>
    <s v="DF"/>
    <x v="496"/>
    <d v="1991-07-08T00:00:00"/>
    <n v="31"/>
    <n v="49"/>
    <n v="6"/>
    <s v="Liverpool"/>
    <s v="ENG-08"/>
    <s v="Quarter Finals"/>
    <n v="0"/>
  </r>
  <r>
    <n v="1498"/>
    <s v="Netherlands"/>
    <s v="Netherlands (NED)"/>
    <n v="5"/>
    <s v="DF"/>
    <x v="497"/>
    <d v="1995-02-18T00:00:00"/>
    <n v="27"/>
    <n v="29"/>
    <n v="3"/>
    <s v="Manchester City"/>
    <s v="ENG-01"/>
    <s v="Quarter Finals"/>
    <n v="0"/>
  </r>
  <r>
    <n v="1499"/>
    <s v="Netherlands"/>
    <s v="Netherlands (NED)"/>
    <n v="6"/>
    <s v="DF"/>
    <x v="498"/>
    <d v="1992-02-05T00:00:00"/>
    <n v="30"/>
    <n v="59"/>
    <n v="3"/>
    <s v="Internazionale"/>
    <s v="ITA-03"/>
    <s v="Quarter Finals"/>
    <n v="0"/>
  </r>
  <r>
    <n v="1500"/>
    <s v="Netherlands"/>
    <s v="Netherlands (NED)"/>
    <n v="7"/>
    <s v="FW"/>
    <x v="499"/>
    <d v="1997-10-08T00:00:00"/>
    <n v="25"/>
    <n v="24"/>
    <n v="7"/>
    <s v="Ajax"/>
    <s v="NET-01"/>
    <s v="Quarter Finals"/>
    <n v="0"/>
  </r>
  <r>
    <n v="1501"/>
    <s v="Netherlands"/>
    <s v="Netherlands (NED)"/>
    <n v="8"/>
    <s v="FW"/>
    <x v="500"/>
    <d v="1999-05-07T00:00:00"/>
    <n v="23"/>
    <n v="9"/>
    <n v="3"/>
    <s v="PSV Eindhoven"/>
    <s v="NET-02"/>
    <s v="Quarter Finals"/>
    <n v="0"/>
  </r>
  <r>
    <n v="1502"/>
    <s v="Netherlands"/>
    <s v="Netherlands (NED)"/>
    <n v="9"/>
    <s v="FW"/>
    <x v="501"/>
    <d v="1990-08-27T00:00:00"/>
    <n v="32"/>
    <n v="38"/>
    <n v="8"/>
    <s v="PSV Eindhoven"/>
    <s v="NET-02"/>
    <s v="Quarter Finals"/>
    <n v="0"/>
  </r>
  <r>
    <n v="1503"/>
    <s v="Netherlands"/>
    <s v="Netherlands (NED)"/>
    <n v="10"/>
    <s v="FW"/>
    <x v="502"/>
    <d v="1994-02-13T00:00:00"/>
    <n v="28"/>
    <n v="81"/>
    <n v="42"/>
    <s v="Barcelona"/>
    <s v="ESP-01"/>
    <s v="Quarter Finals"/>
    <n v="0"/>
  </r>
  <r>
    <n v="1504"/>
    <s v="Netherlands"/>
    <s v="Netherlands (NED)"/>
    <n v="11"/>
    <s v="MF"/>
    <x v="503"/>
    <d v="1991-12-19T00:00:00"/>
    <n v="30"/>
    <n v="39"/>
    <n v="2"/>
    <s v="Ajax"/>
    <s v="NET-01"/>
    <s v="Quarter Finals"/>
    <n v="0"/>
  </r>
  <r>
    <n v="1505"/>
    <s v="Netherlands"/>
    <s v="Netherlands (NED)"/>
    <n v="12"/>
    <s v="FW"/>
    <x v="504"/>
    <d v="1999-06-17T00:00:00"/>
    <n v="23"/>
    <n v="5"/>
    <n v="1"/>
    <s v="Club Brugge"/>
    <s v="BEL-01"/>
    <s v="Quarter Finals"/>
    <n v="0"/>
  </r>
  <r>
    <n v="1506"/>
    <s v="Netherlands"/>
    <s v="Netherlands (NED)"/>
    <n v="13"/>
    <s v="GK"/>
    <x v="505"/>
    <d v="1998-01-22T00:00:00"/>
    <n v="24"/>
    <n v="6"/>
    <n v="0"/>
    <s v="Feyenoord"/>
    <s v="NET-03"/>
    <s v="Quarter Finals"/>
    <n v="0"/>
  </r>
  <r>
    <n v="1507"/>
    <s v="Netherlands"/>
    <s v="Netherlands (NED)"/>
    <n v="14"/>
    <s v="MF"/>
    <x v="506"/>
    <d v="1993-02-21T00:00:00"/>
    <n v="29"/>
    <n v="35"/>
    <n v="9"/>
    <s v="Ajax"/>
    <s v="NET-01"/>
    <s v="Quarter Finals"/>
    <n v="0"/>
  </r>
  <r>
    <n v="1508"/>
    <s v="Netherlands"/>
    <s v="Netherlands (NED)"/>
    <n v="15"/>
    <s v="MF"/>
    <x v="507"/>
    <d v="1991-03-29T00:00:00"/>
    <n v="31"/>
    <n v="30"/>
    <n v="0"/>
    <s v="Atalanta"/>
    <s v="ITA-06"/>
    <s v="Quarter Finals"/>
    <n v="0"/>
  </r>
  <r>
    <n v="1509"/>
    <s v="Netherlands"/>
    <s v="Netherlands (NED)"/>
    <n v="16"/>
    <s v="DF"/>
    <x v="508"/>
    <d v="1999-08-17T00:00:00"/>
    <n v="23"/>
    <n v="6"/>
    <n v="0"/>
    <s v="Manchester United"/>
    <s v="ENG-02"/>
    <s v="Quarter Finals"/>
    <n v="0"/>
  </r>
  <r>
    <n v="1510"/>
    <s v="Netherlands"/>
    <s v="Netherlands (NED)"/>
    <n v="17"/>
    <s v="DF"/>
    <x v="509"/>
    <d v="1990-03-09T00:00:00"/>
    <n v="32"/>
    <n v="94"/>
    <n v="2"/>
    <s v="Ajax"/>
    <s v="NET-01"/>
    <s v="Quarter Finals"/>
    <n v="0"/>
  </r>
  <r>
    <n v="1511"/>
    <s v="Netherlands"/>
    <s v="Netherlands (NED)"/>
    <n v="18"/>
    <s v="FW"/>
    <x v="510"/>
    <d v="1994-06-15T00:00:00"/>
    <n v="28"/>
    <n v="20"/>
    <n v="7"/>
    <s v="Antwerp"/>
    <s v="BEL-02"/>
    <s v="Quarter Finals"/>
    <n v="0"/>
  </r>
  <r>
    <n v="1512"/>
    <s v="Netherlands"/>
    <s v="Netherlands (NED)"/>
    <n v="19"/>
    <s v="FW"/>
    <x v="511"/>
    <d v="1992-08-07T00:00:00"/>
    <n v="30"/>
    <n v="15"/>
    <n v="3"/>
    <s v="Beşiktaş"/>
    <s v="TUR-02"/>
    <s v="Quarter Finals"/>
    <n v="0"/>
  </r>
  <r>
    <n v="1513"/>
    <s v="Netherlands"/>
    <s v="Netherlands (NED)"/>
    <n v="20"/>
    <s v="MF"/>
    <x v="512"/>
    <d v="1998-02-28T00:00:00"/>
    <n v="24"/>
    <n v="10"/>
    <n v="1"/>
    <s v="Atalanta"/>
    <s v="ITA-06"/>
    <s v="Quarter Finals"/>
    <n v="0"/>
  </r>
  <r>
    <n v="1514"/>
    <s v="Netherlands"/>
    <s v="Netherlands (NED)"/>
    <n v="21"/>
    <s v="MF"/>
    <x v="513"/>
    <d v="1997-05-12T00:00:00"/>
    <n v="25"/>
    <n v="45"/>
    <n v="1"/>
    <s v="Barcelona"/>
    <s v="ESP-01"/>
    <s v="Quarter Finals"/>
    <n v="0"/>
  </r>
  <r>
    <n v="1515"/>
    <s v="Netherlands"/>
    <s v="Netherlands (NED)"/>
    <n v="22"/>
    <s v="DF"/>
    <x v="514"/>
    <d v="1996-04-18T00:00:00"/>
    <n v="26"/>
    <n v="37"/>
    <n v="5"/>
    <s v="Internazionale"/>
    <s v="ITA-03"/>
    <s v="Quarter Finals"/>
    <n v="0"/>
  </r>
  <r>
    <n v="1516"/>
    <s v="Netherlands"/>
    <s v="Netherlands (NED)"/>
    <n v="23"/>
    <s v="GK"/>
    <x v="515"/>
    <d v="1994-04-07T00:00:00"/>
    <n v="28"/>
    <n v="0"/>
    <n v="0"/>
    <s v="Heerenveen"/>
    <s v="NET-04"/>
    <s v="Quarter Finals"/>
    <n v="0"/>
  </r>
  <r>
    <n v="1517"/>
    <s v="Netherlands"/>
    <s v="Netherlands (NED)"/>
    <n v="24"/>
    <s v="MF"/>
    <x v="516"/>
    <d v="2002-05-16T00:00:00"/>
    <n v="20"/>
    <n v="2"/>
    <n v="0"/>
    <s v="Ajax"/>
    <s v="NET-01"/>
    <s v="Quarter Finals"/>
    <n v="0"/>
  </r>
  <r>
    <n v="1518"/>
    <s v="Netherlands"/>
    <s v="Netherlands (NED)"/>
    <n v="25"/>
    <s v="MF"/>
    <x v="517"/>
    <d v="2003-04-21T00:00:00"/>
    <n v="19"/>
    <n v="0"/>
    <n v="0"/>
    <s v="PSV Eindhoven"/>
    <s v="NET-02"/>
    <s v="Quarter Finals"/>
    <n v="0"/>
  </r>
  <r>
    <n v="1519"/>
    <s v="Netherlands"/>
    <s v="Netherlands (NED)"/>
    <n v="26"/>
    <s v="DF"/>
    <x v="518"/>
    <d v="2000-12-10T00:00:00"/>
    <n v="21"/>
    <n v="0"/>
    <n v="0"/>
    <s v="Bayer Leverkusen"/>
    <s v="GER-07"/>
    <s v="Quarter Finals"/>
    <n v="0"/>
  </r>
  <r>
    <n v="1520"/>
    <s v="Poland"/>
    <s v="Poland (POL)"/>
    <n v="1"/>
    <s v="GK"/>
    <x v="519"/>
    <d v="1990-04-18T00:00:00"/>
    <n v="32"/>
    <n v="66"/>
    <n v="0"/>
    <s v="Juventus"/>
    <s v="ITA-01"/>
    <s v="Last 16"/>
    <n v="0"/>
  </r>
  <r>
    <n v="1521"/>
    <s v="Poland"/>
    <s v="Poland (POL)"/>
    <n v="2"/>
    <s v="DF"/>
    <x v="520"/>
    <d v="1997-08-07T00:00:00"/>
    <n v="25"/>
    <n v="7"/>
    <n v="1"/>
    <s v="Aston Villa"/>
    <s v="ENG-15"/>
    <s v="Last 16"/>
    <n v="0"/>
  </r>
  <r>
    <n v="1522"/>
    <s v="Poland"/>
    <s v="Poland (POL)"/>
    <n v="3"/>
    <s v="DF"/>
    <x v="521"/>
    <d v="1987-11-04T00:00:00"/>
    <n v="35"/>
    <n v="40"/>
    <n v="3"/>
    <s v="Legia Warsaw"/>
    <s v="POL-01"/>
    <s v="Last 16"/>
    <n v="0"/>
  </r>
  <r>
    <n v="1523"/>
    <s v="Poland"/>
    <s v="Poland (POL)"/>
    <n v="4"/>
    <s v="DF"/>
    <x v="522"/>
    <d v="1997-02-11T00:00:00"/>
    <n v="25"/>
    <n v="2"/>
    <n v="0"/>
    <s v="Clermont"/>
    <s v="FRA-07"/>
    <s v="Last 16"/>
    <n v="0"/>
  </r>
  <r>
    <n v="1524"/>
    <s v="Poland"/>
    <s v="Poland (POL)"/>
    <n v="5"/>
    <s v="DF"/>
    <x v="523"/>
    <d v="1996-04-12T00:00:00"/>
    <n v="26"/>
    <n v="45"/>
    <n v="1"/>
    <s v="Aston Villa"/>
    <s v="ENG-15"/>
    <s v="Last 16"/>
    <n v="0"/>
  </r>
  <r>
    <n v="1525"/>
    <s v="Poland"/>
    <s v="Poland (POL)"/>
    <n v="6"/>
    <s v="MF"/>
    <x v="524"/>
    <d v="1998-01-04T00:00:00"/>
    <n v="24"/>
    <n v="5"/>
    <n v="0"/>
    <s v="Birmingham City"/>
    <s v="ENG-20"/>
    <s v="Last 16"/>
    <n v="0"/>
  </r>
  <r>
    <n v="1526"/>
    <s v="Poland"/>
    <s v="Poland (POL)"/>
    <n v="7"/>
    <s v="FW"/>
    <x v="525"/>
    <d v="1994-02-28T00:00:00"/>
    <n v="28"/>
    <n v="64"/>
    <n v="16"/>
    <s v="Juventus"/>
    <s v="ITA-01"/>
    <s v="Last 16"/>
    <n v="0"/>
  </r>
  <r>
    <n v="1527"/>
    <s v="Poland"/>
    <s v="Poland (POL)"/>
    <n v="8"/>
    <s v="MF"/>
    <x v="526"/>
    <d v="1995-06-16T00:00:00"/>
    <n v="27"/>
    <n v="9"/>
    <n v="1"/>
    <s v="AEK Athens"/>
    <s v="GRE-01"/>
    <s v="Last 16"/>
    <n v="0"/>
  </r>
  <r>
    <n v="1528"/>
    <s v="Poland"/>
    <s v="Poland (POL)"/>
    <n v="9"/>
    <s v="FW"/>
    <x v="527"/>
    <d v="1988-08-21T00:00:00"/>
    <n v="34"/>
    <n v="134"/>
    <n v="76"/>
    <s v="Barcelona"/>
    <s v="ESP-01"/>
    <s v="Last 16"/>
    <n v="0"/>
  </r>
  <r>
    <n v="1529"/>
    <s v="Poland"/>
    <s v="Poland (POL)"/>
    <n v="10"/>
    <s v="MF"/>
    <x v="528"/>
    <d v="1990-01-29T00:00:00"/>
    <n v="32"/>
    <n v="94"/>
    <n v="5"/>
    <s v="Al-Shabab"/>
    <s v="SAU-03"/>
    <s v="Last 16"/>
    <n v="0"/>
  </r>
  <r>
    <n v="1530"/>
    <s v="Poland"/>
    <s v="Poland (POL)"/>
    <n v="11"/>
    <s v="MF"/>
    <x v="529"/>
    <d v="1988-06-08T00:00:00"/>
    <n v="34"/>
    <n v="87"/>
    <n v="17"/>
    <s v="Pogoń Szczecin"/>
    <s v="POL-03"/>
    <s v="Last 16"/>
    <n v="0"/>
  </r>
  <r>
    <n v="1531"/>
    <s v="Poland"/>
    <s v="Poland (POL)"/>
    <n v="12"/>
    <s v="GK"/>
    <x v="530"/>
    <d v="1991-05-05T00:00:00"/>
    <n v="31"/>
    <n v="8"/>
    <n v="0"/>
    <s v="Bologna"/>
    <s v="ITA-12"/>
    <s v="Last 16"/>
    <n v="0"/>
  </r>
  <r>
    <n v="1532"/>
    <s v="Poland"/>
    <s v="Poland (POL)"/>
    <n v="13"/>
    <s v="MF"/>
    <x v="531"/>
    <d v="2002-06-05T00:00:00"/>
    <n v="20"/>
    <n v="4"/>
    <n v="1"/>
    <s v="VfL Wolfsburg"/>
    <s v="GER-11"/>
    <s v="Last 16"/>
    <n v="0"/>
  </r>
  <r>
    <n v="1533"/>
    <s v="Poland"/>
    <s v="Poland (POL)"/>
    <n v="14"/>
    <s v="DF"/>
    <x v="532"/>
    <d v="2000-02-15T00:00:00"/>
    <n v="22"/>
    <n v="5"/>
    <n v="0"/>
    <s v="Spezia"/>
    <s v="ITA-14"/>
    <s v="Last 16"/>
    <n v="0"/>
  </r>
  <r>
    <n v="1534"/>
    <s v="Poland"/>
    <s v="Poland (POL)"/>
    <n v="15"/>
    <s v="DF"/>
    <x v="533"/>
    <d v="1988-02-03T00:00:00"/>
    <n v="34"/>
    <n v="99"/>
    <n v="6"/>
    <s v="Benevento"/>
    <s v="ITA-16"/>
    <s v="Last 16"/>
    <n v="0"/>
  </r>
  <r>
    <n v="1535"/>
    <s v="Poland"/>
    <s v="Poland (POL)"/>
    <n v="16"/>
    <s v="FW"/>
    <x v="534"/>
    <d v="1997-01-23T00:00:00"/>
    <n v="25"/>
    <n v="18"/>
    <n v="8"/>
    <s v="Charlotte FC"/>
    <s v="USA-07"/>
    <s v="Last 16"/>
    <n v="0"/>
  </r>
  <r>
    <n v="1536"/>
    <s v="Poland"/>
    <s v="Poland (POL)"/>
    <n v="17"/>
    <s v="MF"/>
    <x v="535"/>
    <d v="1997-09-25T00:00:00"/>
    <n v="25"/>
    <n v="7"/>
    <n v="0"/>
    <s v="Fiorentina"/>
    <s v="ITA-07"/>
    <s v="Last 16"/>
    <n v="0"/>
  </r>
  <r>
    <n v="1537"/>
    <s v="Poland"/>
    <s v="Poland (POL)"/>
    <n v="18"/>
    <s v="DF"/>
    <x v="536"/>
    <d v="1992-07-12T00:00:00"/>
    <n v="30"/>
    <n v="46"/>
    <n v="0"/>
    <s v="Sampdoria"/>
    <s v="ITA-11"/>
    <s v="Last 16"/>
    <n v="0"/>
  </r>
  <r>
    <n v="1538"/>
    <s v="Poland"/>
    <s v="Poland (POL)"/>
    <n v="19"/>
    <s v="MF"/>
    <x v="537"/>
    <d v="1999-05-10T00:00:00"/>
    <n v="23"/>
    <n v="18"/>
    <n v="1"/>
    <s v="Feyenoord"/>
    <s v="NET-03"/>
    <s v="Last 16"/>
    <n v="0"/>
  </r>
  <r>
    <n v="1539"/>
    <s v="Poland"/>
    <s v="Poland (POL)"/>
    <n v="20"/>
    <s v="MF"/>
    <x v="538"/>
    <d v="1994-05-20T00:00:00"/>
    <n v="28"/>
    <n v="74"/>
    <n v="9"/>
    <s v="Napoli"/>
    <s v="ITA-04"/>
    <s v="Last 16"/>
    <n v="0"/>
  </r>
  <r>
    <n v="1540"/>
    <s v="Poland"/>
    <s v="Poland (POL)"/>
    <n v="21"/>
    <s v="MF"/>
    <x v="539"/>
    <d v="2002-01-23T00:00:00"/>
    <n v="20"/>
    <n v="7"/>
    <n v="0"/>
    <s v="Roma"/>
    <s v="ITA-09"/>
    <s v="Last 16"/>
    <n v="0"/>
  </r>
  <r>
    <n v="1541"/>
    <s v="Poland"/>
    <s v="Poland (POL)"/>
    <n v="22"/>
    <s v="GK"/>
    <x v="540"/>
    <d v="1999-01-08T00:00:00"/>
    <n v="23"/>
    <n v="1"/>
    <n v="0"/>
    <s v="Copenhagen"/>
    <s v="DEN-01"/>
    <s v="Last 16"/>
    <n v="0"/>
  </r>
  <r>
    <n v="1542"/>
    <s v="Poland"/>
    <s v="Poland (POL)"/>
    <n v="23"/>
    <s v="FW"/>
    <x v="541"/>
    <d v="1995-07-01T00:00:00"/>
    <n v="27"/>
    <n v="25"/>
    <n v="11"/>
    <s v="Salernitana"/>
    <s v="ITA-10"/>
    <s v="Last 16"/>
    <n v="0"/>
  </r>
  <r>
    <n v="1543"/>
    <s v="Poland"/>
    <s v="Poland (POL)"/>
    <n v="24"/>
    <s v="MF"/>
    <x v="542"/>
    <d v="1995-04-12T00:00:00"/>
    <n v="27"/>
    <n v="26"/>
    <n v="1"/>
    <s v="Lens"/>
    <s v="FRA-05"/>
    <s v="Last 16"/>
    <n v="0"/>
  </r>
  <r>
    <n v="1544"/>
    <s v="Poland"/>
    <s v="Poland (POL)"/>
    <n v="25"/>
    <s v="DF"/>
    <x v="543"/>
    <d v="1998-06-04T00:00:00"/>
    <n v="24"/>
    <n v="5"/>
    <n v="0"/>
    <s v="FC Augsburg"/>
    <s v="GER-08"/>
    <s v="Last 16"/>
    <n v="0"/>
  </r>
  <r>
    <n v="1545"/>
    <s v="Poland"/>
    <s v="Poland (POL)"/>
    <n v="26"/>
    <s v="MF"/>
    <x v="544"/>
    <d v="2000-02-15T00:00:00"/>
    <n v="22"/>
    <n v="1"/>
    <n v="0"/>
    <s v="Lech Poznań"/>
    <s v="POL-02"/>
    <s v="Last 16"/>
    <n v="0"/>
  </r>
  <r>
    <n v="1546"/>
    <s v="Portugal"/>
    <s v="Portugal (POR)"/>
    <n v="1"/>
    <s v="GK"/>
    <x v="545"/>
    <d v="1988-02-15T00:00:00"/>
    <n v="34"/>
    <n v="105"/>
    <n v="0"/>
    <s v="Roma"/>
    <s v="ITA-09"/>
    <s v="Quarter Finals"/>
    <n v="0"/>
  </r>
  <r>
    <n v="1547"/>
    <s v="Portugal"/>
    <s v="Portugal (POR)"/>
    <n v="2"/>
    <s v="DF"/>
    <x v="546"/>
    <d v="1999-03-18T00:00:00"/>
    <n v="23"/>
    <n v="7"/>
    <n v="2"/>
    <s v="Manchester United"/>
    <s v="ENG-02"/>
    <s v="Quarter Finals"/>
    <n v="0"/>
  </r>
  <r>
    <n v="1548"/>
    <s v="Portugal"/>
    <s v="Portugal (POR)"/>
    <n v="3"/>
    <s v="DF"/>
    <x v="547"/>
    <d v="1983-02-26T00:00:00"/>
    <n v="39"/>
    <n v="129"/>
    <n v="7"/>
    <s v="Porto"/>
    <s v="POR-02"/>
    <s v="Quarter Finals"/>
    <n v="0"/>
  </r>
  <r>
    <n v="1549"/>
    <s v="Portugal"/>
    <s v="Portugal (POR)"/>
    <n v="4"/>
    <s v="DF"/>
    <x v="548"/>
    <d v="1997-05-14T00:00:00"/>
    <n v="25"/>
    <n v="40"/>
    <n v="2"/>
    <s v="Manchester City"/>
    <s v="ENG-01"/>
    <s v="Quarter Finals"/>
    <n v="0"/>
  </r>
  <r>
    <n v="1550"/>
    <s v="Portugal"/>
    <s v="Portugal (POR)"/>
    <n v="5"/>
    <s v="DF"/>
    <x v="549"/>
    <d v="1993-12-22T00:00:00"/>
    <n v="28"/>
    <n v="57"/>
    <n v="3"/>
    <s v="Borussia Dortmund"/>
    <s v="GER-02"/>
    <s v="Quarter Finals"/>
    <n v="0"/>
  </r>
  <r>
    <n v="1551"/>
    <s v="Portugal"/>
    <s v="Portugal (POR)"/>
    <n v="6"/>
    <s v="MF"/>
    <x v="550"/>
    <d v="1995-07-09T00:00:00"/>
    <n v="27"/>
    <n v="15"/>
    <n v="2"/>
    <s v="Fulham"/>
    <s v="ENG-10"/>
    <s v="Quarter Finals"/>
    <n v="0"/>
  </r>
  <r>
    <n v="1552"/>
    <s v="Portugal"/>
    <s v="Portugal (POR)"/>
    <n v="7"/>
    <s v="FW"/>
    <x v="551"/>
    <d v="1985-02-05T00:00:00"/>
    <n v="37"/>
    <n v="191"/>
    <n v="117"/>
    <s v="Manchester United"/>
    <s v="ENG-02"/>
    <s v="Quarter Finals"/>
    <n v="0"/>
  </r>
  <r>
    <n v="1553"/>
    <s v="Portugal"/>
    <s v="Portugal (POR)"/>
    <n v="8"/>
    <s v="MF"/>
    <x v="552"/>
    <d v="1994-09-08T00:00:00"/>
    <n v="28"/>
    <n v="49"/>
    <n v="11"/>
    <s v="Manchester United"/>
    <s v="ENG-02"/>
    <s v="Quarter Finals"/>
    <n v="0"/>
  </r>
  <r>
    <n v="1554"/>
    <s v="Portugal"/>
    <s v="Portugal (POR)"/>
    <n v="9"/>
    <s v="FW"/>
    <x v="553"/>
    <d v="1995-11-06T00:00:00"/>
    <n v="27"/>
    <n v="52"/>
    <n v="19"/>
    <s v="RB Leipzig"/>
    <s v="GER-04"/>
    <s v="Quarter Finals"/>
    <n v="0"/>
  </r>
  <r>
    <n v="1555"/>
    <s v="Portugal"/>
    <s v="Portugal (POR)"/>
    <n v="10"/>
    <s v="FW"/>
    <x v="554"/>
    <d v="1994-08-10T00:00:00"/>
    <n v="28"/>
    <n v="73"/>
    <n v="8"/>
    <s v="Manchester City"/>
    <s v="ENG-01"/>
    <s v="Quarter Finals"/>
    <n v="0"/>
  </r>
  <r>
    <n v="1556"/>
    <s v="Portugal"/>
    <s v="Portugal (POR)"/>
    <n v="11"/>
    <s v="FW"/>
    <x v="555"/>
    <d v="1999-11-10T00:00:00"/>
    <n v="23"/>
    <n v="24"/>
    <n v="3"/>
    <s v="Atlético Madrid"/>
    <s v="ESP-03"/>
    <s v="Quarter Finals"/>
    <n v="0"/>
  </r>
  <r>
    <n v="1557"/>
    <s v="Portugal"/>
    <s v="Portugal (POR)"/>
    <n v="12"/>
    <s v="GK"/>
    <x v="556"/>
    <d v="1993-01-17T00:00:00"/>
    <n v="29"/>
    <n v="0"/>
    <n v="0"/>
    <s v="Wolverhampton Wanderers"/>
    <s v="ENG-14"/>
    <s v="Quarter Finals"/>
    <n v="0"/>
  </r>
  <r>
    <n v="1558"/>
    <s v="Portugal"/>
    <s v="Portugal (POR)"/>
    <n v="13"/>
    <s v="DF"/>
    <x v="557"/>
    <d v="1991-09-09T00:00:00"/>
    <n v="31"/>
    <n v="63"/>
    <n v="2"/>
    <s v="Paris Saint-Germain"/>
    <s v="FRA-01"/>
    <s v="Quarter Finals"/>
    <n v="0"/>
  </r>
  <r>
    <n v="1559"/>
    <s v="Portugal"/>
    <s v="Portugal (POR)"/>
    <n v="14"/>
    <s v="MF"/>
    <x v="558"/>
    <d v="1992-04-07T00:00:00"/>
    <n v="30"/>
    <n v="76"/>
    <n v="5"/>
    <s v="Real Betis"/>
    <s v="ESP-05"/>
    <s v="Quarter Finals"/>
    <n v="0"/>
  </r>
  <r>
    <n v="1560"/>
    <s v="Portugal"/>
    <s v="Portugal (POR)"/>
    <n v="15"/>
    <s v="FW"/>
    <x v="559"/>
    <d v="1999-06-10T00:00:00"/>
    <n v="23"/>
    <n v="11"/>
    <n v="0"/>
    <s v="Milan"/>
    <s v="ITA-02"/>
    <s v="Quarter Finals"/>
    <n v="0"/>
  </r>
  <r>
    <n v="1561"/>
    <s v="Portugal"/>
    <s v="Portugal (POR)"/>
    <n v="16"/>
    <s v="MF"/>
    <x v="560"/>
    <d v="2000-02-13T00:00:00"/>
    <n v="22"/>
    <n v="5"/>
    <n v="0"/>
    <s v="Paris Saint-Germain"/>
    <s v="FRA-01"/>
    <s v="Quarter Finals"/>
    <n v="0"/>
  </r>
  <r>
    <n v="1562"/>
    <s v="Portugal"/>
    <s v="Portugal (POR)"/>
    <n v="17"/>
    <s v="MF"/>
    <x v="561"/>
    <d v="1993-01-19T00:00:00"/>
    <n v="29"/>
    <n v="53"/>
    <n v="3"/>
    <s v="Benfica"/>
    <s v="POR-01"/>
    <s v="Quarter Finals"/>
    <n v="0"/>
  </r>
  <r>
    <n v="1563"/>
    <s v="Portugal"/>
    <s v="Portugal (POR)"/>
    <n v="18"/>
    <s v="MF"/>
    <x v="562"/>
    <d v="1997-03-13T00:00:00"/>
    <n v="25"/>
    <n v="32"/>
    <n v="0"/>
    <s v="Wolverhampton Wanderers"/>
    <s v="ENG-14"/>
    <s v="Quarter Finals"/>
    <n v="0"/>
  </r>
  <r>
    <n v="1564"/>
    <s v="Portugal"/>
    <s v="Portugal (POR)"/>
    <n v="19"/>
    <s v="DF"/>
    <x v="563"/>
    <d v="2002-06-19T00:00:00"/>
    <n v="20"/>
    <n v="17"/>
    <n v="0"/>
    <s v="Paris Saint-Germain"/>
    <s v="FRA-01"/>
    <s v="Quarter Finals"/>
    <n v="0"/>
  </r>
  <r>
    <n v="1565"/>
    <s v="Portugal"/>
    <s v="Portugal (POR)"/>
    <n v="20"/>
    <s v="DF"/>
    <x v="564"/>
    <d v="1994-05-27T00:00:00"/>
    <n v="28"/>
    <n v="37"/>
    <n v="7"/>
    <s v="Manchester City"/>
    <s v="ENG-01"/>
    <s v="Quarter Finals"/>
    <n v="0"/>
  </r>
  <r>
    <n v="1566"/>
    <s v="Portugal"/>
    <s v="Portugal (POR)"/>
    <n v="21"/>
    <s v="FW"/>
    <x v="565"/>
    <d v="1994-09-15T00:00:00"/>
    <n v="28"/>
    <n v="6"/>
    <n v="1"/>
    <s v="Braga"/>
    <s v="POR-04"/>
    <s v="Quarter Finals"/>
    <n v="0"/>
  </r>
  <r>
    <n v="1567"/>
    <s v="Portugal"/>
    <s v="Portugal (POR)"/>
    <n v="22"/>
    <s v="GK"/>
    <x v="566"/>
    <d v="1999-09-19T00:00:00"/>
    <n v="23"/>
    <n v="7"/>
    <n v="0"/>
    <s v="Porto"/>
    <s v="POR-02"/>
    <s v="Quarter Finals"/>
    <n v="0"/>
  </r>
  <r>
    <n v="1568"/>
    <s v="Portugal"/>
    <s v="Portugal (POR)"/>
    <n v="23"/>
    <s v="MF"/>
    <x v="567"/>
    <d v="1998-08-27T00:00:00"/>
    <n v="24"/>
    <n v="9"/>
    <n v="1"/>
    <s v="Wolverhampton Wanderers"/>
    <s v="ENG-14"/>
    <s v="Quarter Finals"/>
    <n v="0"/>
  </r>
  <r>
    <n v="1569"/>
    <s v="Portugal"/>
    <s v="Portugal (POR)"/>
    <n v="24"/>
    <s v="DF"/>
    <x v="568"/>
    <d v="2003-10-30T00:00:00"/>
    <n v="19"/>
    <n v="1"/>
    <n v="0"/>
    <s v="Benfica"/>
    <s v="POR-01"/>
    <s v="Quarter Finals"/>
    <n v="0"/>
  </r>
  <r>
    <n v="1570"/>
    <s v="Portugal"/>
    <s v="Portugal (POR)"/>
    <n v="25"/>
    <s v="MF"/>
    <x v="569"/>
    <d v="1995-02-09T00:00:00"/>
    <n v="27"/>
    <n v="8"/>
    <n v="2"/>
    <s v="Porto"/>
    <s v="POR-02"/>
    <s v="Quarter Finals"/>
    <n v="0"/>
  </r>
  <r>
    <n v="1571"/>
    <s v="Portugal"/>
    <s v="Portugal (POR)"/>
    <n v="26"/>
    <s v="FW"/>
    <x v="570"/>
    <d v="2001-06-20T00:00:00"/>
    <n v="21"/>
    <n v="1"/>
    <n v="1"/>
    <s v="Benfica"/>
    <s v="POR-01"/>
    <s v="Quarter Finals"/>
    <n v="0"/>
  </r>
  <r>
    <n v="1572"/>
    <s v="Qatar"/>
    <s v="Qatar (QAT)"/>
    <n v="1"/>
    <s v="GK"/>
    <x v="571"/>
    <d v="1990-02-19T00:00:00"/>
    <n v="32"/>
    <n v="76"/>
    <n v="0"/>
    <s v="Al-Sadd"/>
    <s v="QTR-01"/>
    <s v="Group stage"/>
    <n v="0"/>
  </r>
  <r>
    <n v="1573"/>
    <s v="Qatar"/>
    <s v="Qatar (QAT)"/>
    <n v="2"/>
    <s v="DF"/>
    <x v="572"/>
    <d v="1990-08-06T00:00:00"/>
    <n v="32"/>
    <n v="80"/>
    <n v="1"/>
    <s v="Al-Sadd"/>
    <s v="QTR-01"/>
    <s v="Group stage"/>
    <n v="0"/>
  </r>
  <r>
    <n v="1574"/>
    <s v="Qatar"/>
    <s v="Qatar (QAT)"/>
    <n v="3"/>
    <s v="MF"/>
    <x v="573"/>
    <d v="1993-08-28T00:00:00"/>
    <n v="29"/>
    <n v="130"/>
    <n v="15"/>
    <s v="Al-Sadd"/>
    <s v="QTR-01"/>
    <s v="Group stage"/>
    <n v="0"/>
  </r>
  <r>
    <n v="1575"/>
    <s v="Qatar"/>
    <s v="Qatar (QAT)"/>
    <n v="4"/>
    <s v="DF"/>
    <x v="574"/>
    <d v="1999-09-18T00:00:00"/>
    <n v="23"/>
    <n v="21"/>
    <n v="0"/>
    <s v="Al-Sadd"/>
    <s v="QTR-01"/>
    <s v="Group stage"/>
    <n v="0"/>
  </r>
  <r>
    <n v="1576"/>
    <s v="Qatar"/>
    <s v="Qatar (QAT)"/>
    <n v="5"/>
    <s v="DF"/>
    <x v="575"/>
    <d v="1997-12-05T00:00:00"/>
    <n v="24"/>
    <n v="58"/>
    <n v="0"/>
    <s v="Al-Sadd"/>
    <s v="QTR-01"/>
    <s v="Group stage"/>
    <n v="0"/>
  </r>
  <r>
    <n v="1577"/>
    <s v="Qatar"/>
    <s v="Qatar (QAT)"/>
    <n v="6"/>
    <s v="MF"/>
    <x v="576"/>
    <d v="1990-01-01T00:00:00"/>
    <n v="32"/>
    <n v="107"/>
    <n v="11"/>
    <s v="Al-Rayyan"/>
    <s v="QTR-06"/>
    <s v="Group stage"/>
    <n v="0"/>
  </r>
  <r>
    <n v="1578"/>
    <s v="Qatar"/>
    <s v="Qatar (QAT)"/>
    <n v="7"/>
    <s v="FW"/>
    <x v="577"/>
    <d v="1993-01-31T00:00:00"/>
    <n v="29"/>
    <n v="47"/>
    <n v="2"/>
    <s v="Al-Gharafa"/>
    <s v="QTR-03"/>
    <s v="Group stage"/>
    <n v="0"/>
  </r>
  <r>
    <n v="1579"/>
    <s v="Qatar"/>
    <s v="Qatar (QAT)"/>
    <n v="8"/>
    <s v="MF"/>
    <x v="578"/>
    <d v="1993-01-19T00:00:00"/>
    <n v="29"/>
    <n v="59"/>
    <n v="12"/>
    <s v="Al-Sadd"/>
    <s v="QTR-01"/>
    <s v="Group stage"/>
    <n v="0"/>
  </r>
  <r>
    <n v="1580"/>
    <s v="Qatar"/>
    <s v="Qatar (QAT)"/>
    <n v="9"/>
    <s v="FW"/>
    <x v="579"/>
    <d v="1993-12-20T00:00:00"/>
    <n v="28"/>
    <n v="48"/>
    <n v="13"/>
    <s v="Al-Duhail"/>
    <s v="QTR-02"/>
    <s v="Group stage"/>
    <n v="0"/>
  </r>
  <r>
    <n v="1581"/>
    <s v="Qatar"/>
    <s v="Qatar (QAT)"/>
    <n v="10"/>
    <s v="MF"/>
    <x v="580"/>
    <d v="1990-12-11T00:00:00"/>
    <n v="31"/>
    <n v="169"/>
    <n v="36"/>
    <s v="Al-Sadd"/>
    <s v="QTR-01"/>
    <s v="Group stage"/>
    <n v="0"/>
  </r>
  <r>
    <n v="1582"/>
    <s v="Qatar"/>
    <s v="Qatar (QAT)"/>
    <n v="11"/>
    <s v="FW"/>
    <x v="581"/>
    <d v="1996-11-18T00:00:00"/>
    <n v="26"/>
    <n v="89"/>
    <n v="26"/>
    <s v="Al-Sadd"/>
    <s v="QTR-01"/>
    <s v="Group stage"/>
    <n v="0"/>
  </r>
  <r>
    <n v="1583"/>
    <s v="Qatar"/>
    <s v="Qatar (QAT)"/>
    <n v="12"/>
    <s v="MF"/>
    <x v="582"/>
    <d v="1990-09-16T00:00:00"/>
    <n v="32"/>
    <n v="115"/>
    <n v="6"/>
    <s v="Al-Duhail"/>
    <s v="QTR-02"/>
    <s v="Group stage"/>
    <n v="0"/>
  </r>
  <r>
    <n v="1584"/>
    <s v="Qatar"/>
    <s v="Qatar (QAT)"/>
    <n v="13"/>
    <s v="DF"/>
    <x v="583"/>
    <d v="1993-01-01T00:00:00"/>
    <n v="29"/>
    <n v="30"/>
    <n v="0"/>
    <s v="Al-Sadd"/>
    <s v="QTR-01"/>
    <s v="Group stage"/>
    <n v="0"/>
  </r>
  <r>
    <n v="1585"/>
    <s v="Qatar"/>
    <s v="Qatar (QAT)"/>
    <n v="14"/>
    <s v="DF"/>
    <x v="584"/>
    <d v="1999-08-25T00:00:00"/>
    <n v="23"/>
    <n v="29"/>
    <n v="2"/>
    <s v="Al-Gharafa"/>
    <s v="QTR-03"/>
    <s v="Group stage"/>
    <n v="0"/>
  </r>
  <r>
    <n v="1586"/>
    <s v="Qatar"/>
    <s v="Qatar (QAT)"/>
    <n v="15"/>
    <s v="DF"/>
    <x v="585"/>
    <d v="1997-12-16T00:00:00"/>
    <n v="24"/>
    <n v="58"/>
    <n v="2"/>
    <s v="Al-Duhail"/>
    <s v="QTR-02"/>
    <s v="Group stage"/>
    <n v="0"/>
  </r>
  <r>
    <n v="1587"/>
    <s v="Qatar"/>
    <s v="Qatar (QAT)"/>
    <n v="16"/>
    <s v="DF"/>
    <x v="586"/>
    <d v="1990-07-09T00:00:00"/>
    <n v="32"/>
    <n v="105"/>
    <n v="20"/>
    <s v="Al-Sadd"/>
    <s v="QTR-01"/>
    <s v="Group stage"/>
    <n v="0"/>
  </r>
  <r>
    <n v="1588"/>
    <s v="Qatar"/>
    <s v="Qatar (QAT)"/>
    <n v="17"/>
    <s v="DF"/>
    <x v="587"/>
    <d v="1990-04-05T00:00:00"/>
    <n v="32"/>
    <n v="70"/>
    <n v="4"/>
    <s v="Al-Duhail"/>
    <s v="QTR-02"/>
    <s v="Group stage"/>
    <n v="0"/>
  </r>
  <r>
    <n v="1589"/>
    <s v="Qatar"/>
    <s v="Qatar (QAT)"/>
    <n v="18"/>
    <s v="FW"/>
    <x v="588"/>
    <d v="1998-02-24T00:00:00"/>
    <n v="24"/>
    <n v="2"/>
    <n v="0"/>
    <s v="Al-Wakrah"/>
    <s v="QTR-07"/>
    <s v="Group stage"/>
    <n v="0"/>
  </r>
  <r>
    <n v="1590"/>
    <s v="Qatar"/>
    <s v="Qatar (QAT)"/>
    <n v="19"/>
    <s v="FW"/>
    <x v="589"/>
    <d v="1996-08-19T00:00:00"/>
    <n v="26"/>
    <n v="85"/>
    <n v="42"/>
    <s v="Al-Duhail"/>
    <s v="QTR-02"/>
    <s v="Group stage"/>
    <n v="0"/>
  </r>
  <r>
    <n v="1591"/>
    <s v="Qatar"/>
    <s v="Qatar (QAT)"/>
    <n v="20"/>
    <s v="MF"/>
    <x v="590"/>
    <d v="1996-04-10T00:00:00"/>
    <n v="26"/>
    <n v="22"/>
    <n v="0"/>
    <s v="Al-Sadd"/>
    <s v="QTR-01"/>
    <s v="Group stage"/>
    <n v="0"/>
  </r>
  <r>
    <n v="1592"/>
    <s v="Qatar"/>
    <s v="Qatar (QAT)"/>
    <n v="21"/>
    <s v="GK"/>
    <x v="591"/>
    <d v="1996-05-24T00:00:00"/>
    <n v="26"/>
    <n v="7"/>
    <n v="0"/>
    <s v="Al-Gharafa"/>
    <s v="QTR-03"/>
    <s v="Group stage"/>
    <n v="0"/>
  </r>
  <r>
    <n v="1593"/>
    <s v="Qatar"/>
    <s v="Qatar (QAT)"/>
    <n v="22"/>
    <s v="GK"/>
    <x v="592"/>
    <d v="1998-02-14T00:00:00"/>
    <n v="24"/>
    <n v="20"/>
    <n v="0"/>
    <s v="Al-Sadd"/>
    <s v="QTR-01"/>
    <s v="Group stage"/>
    <n v="0"/>
  </r>
  <r>
    <n v="1594"/>
    <s v="Qatar"/>
    <s v="Qatar (QAT)"/>
    <n v="23"/>
    <s v="MF"/>
    <x v="593"/>
    <d v="1996-10-22T00:00:00"/>
    <n v="26"/>
    <n v="43"/>
    <n v="0"/>
    <s v="Al-Duhail"/>
    <s v="QTR-02"/>
    <s v="Group stage"/>
    <n v="0"/>
  </r>
  <r>
    <n v="1595"/>
    <s v="Qatar"/>
    <s v="Qatar (QAT)"/>
    <n v="24"/>
    <s v="MF"/>
    <x v="594"/>
    <d v="2001-07-18T00:00:00"/>
    <n v="21"/>
    <n v="1"/>
    <n v="0"/>
    <s v="Al-Rayyan"/>
    <s v="QTR-06"/>
    <s v="Group stage"/>
    <n v="0"/>
  </r>
  <r>
    <n v="1596"/>
    <s v="Qatar"/>
    <s v="Qatar (QAT)"/>
    <n v="25"/>
    <s v="MF"/>
    <x v="595"/>
    <d v="2002-02-20T00:00:00"/>
    <n v="20"/>
    <n v="0"/>
    <n v="0"/>
    <s v="Al-Arabi"/>
    <s v="QTR-05"/>
    <s v="Group stage"/>
    <n v="0"/>
  </r>
  <r>
    <n v="1597"/>
    <s v="Qatar"/>
    <s v="Qatar (QAT)"/>
    <n v="26"/>
    <s v="MF"/>
    <x v="596"/>
    <d v="2001-03-28T00:00:00"/>
    <n v="21"/>
    <n v="1"/>
    <n v="0"/>
    <s v="Al-Sadd"/>
    <s v="QTR-01"/>
    <s v="Group stage"/>
    <n v="0"/>
  </r>
  <r>
    <n v="1598"/>
    <s v="Saudi Arabia"/>
    <s v="Saudi Arabia (KSA)"/>
    <n v="1"/>
    <s v="GK"/>
    <x v="597"/>
    <d v="1997-08-14T00:00:00"/>
    <n v="25"/>
    <n v="7"/>
    <n v="0"/>
    <s v="Al-Ahli"/>
    <s v="SAU-05"/>
    <s v="Group stage"/>
    <n v="0"/>
  </r>
  <r>
    <n v="1599"/>
    <s v="Saudi Arabia"/>
    <s v="Saudi Arabia (KSA)"/>
    <n v="2"/>
    <s v="DF"/>
    <x v="598"/>
    <d v="1994-05-06T00:00:00"/>
    <n v="28"/>
    <n v="24"/>
    <n v="0"/>
    <s v="Al-Nassr"/>
    <s v="SAU-02"/>
    <s v="Group stage"/>
    <n v="0"/>
  </r>
  <r>
    <n v="1600"/>
    <s v="Saudi Arabia"/>
    <s v="Saudi Arabia (KSA)"/>
    <n v="3"/>
    <s v="DF"/>
    <x v="599"/>
    <d v="1993-07-15T00:00:00"/>
    <n v="29"/>
    <n v="15"/>
    <n v="0"/>
    <s v="Al-Nassr"/>
    <s v="SAU-02"/>
    <s v="Group stage"/>
    <n v="0"/>
  </r>
  <r>
    <n v="1601"/>
    <s v="Saudi Arabia"/>
    <s v="Saudi Arabia (KSA)"/>
    <n v="4"/>
    <s v="DF"/>
    <x v="600"/>
    <d v="1997-01-15T00:00:00"/>
    <n v="25"/>
    <n v="20"/>
    <n v="1"/>
    <s v="Al-Nassr"/>
    <s v="SAU-02"/>
    <s v="Group stage"/>
    <n v="0"/>
  </r>
  <r>
    <n v="1602"/>
    <s v="Saudi Arabia"/>
    <s v="Saudi Arabia (KSA)"/>
    <n v="5"/>
    <s v="DF"/>
    <x v="601"/>
    <d v="1989-11-21T00:00:00"/>
    <n v="32"/>
    <n v="37"/>
    <n v="0"/>
    <s v="Al-Hilal"/>
    <s v="SAU-01"/>
    <s v="Group stage"/>
    <n v="0"/>
  </r>
  <r>
    <n v="1603"/>
    <s v="Saudi Arabia"/>
    <s v="Saudi Arabia (KSA)"/>
    <n v="6"/>
    <s v="DF"/>
    <x v="602"/>
    <d v="1992-09-15T00:00:00"/>
    <n v="30"/>
    <n v="40"/>
    <n v="1"/>
    <s v="Al-Hilal"/>
    <s v="SAU-01"/>
    <s v="Group stage"/>
    <n v="0"/>
  </r>
  <r>
    <n v="1604"/>
    <s v="Saudi Arabia"/>
    <s v="Saudi Arabia (KSA)"/>
    <n v="7"/>
    <s v="MF"/>
    <x v="603"/>
    <d v="1989-08-01T00:00:00"/>
    <n v="33"/>
    <n v="70"/>
    <n v="8"/>
    <s v="Al-Hilal"/>
    <s v="SAU-01"/>
    <s v="Group stage"/>
    <n v="0"/>
  </r>
  <r>
    <n v="1605"/>
    <s v="Saudi Arabia"/>
    <s v="Saudi Arabia (KSA)"/>
    <n v="8"/>
    <s v="MF"/>
    <x v="604"/>
    <d v="1994-10-11T00:00:00"/>
    <n v="28"/>
    <n v="27"/>
    <n v="0"/>
    <s v="Al-Hilal"/>
    <s v="SAU-01"/>
    <s v="Group stage"/>
    <n v="0"/>
  </r>
  <r>
    <n v="1606"/>
    <s v="Saudi Arabia"/>
    <s v="Saudi Arabia (KSA)"/>
    <n v="9"/>
    <s v="FW"/>
    <x v="605"/>
    <d v="2000-05-14T00:00:00"/>
    <n v="22"/>
    <n v="26"/>
    <n v="6"/>
    <s v="Al-Fateh"/>
    <s v="SAU-09"/>
    <s v="Group stage"/>
    <n v="0"/>
  </r>
  <r>
    <n v="1607"/>
    <s v="Saudi Arabia"/>
    <s v="Saudi Arabia (KSA)"/>
    <n v="10"/>
    <s v="FW"/>
    <x v="606"/>
    <d v="1991-08-19T00:00:00"/>
    <n v="31"/>
    <n v="71"/>
    <n v="17"/>
    <s v="Al-Hilal"/>
    <s v="SAU-01"/>
    <s v="Group stage"/>
    <n v="0"/>
  </r>
  <r>
    <n v="1608"/>
    <s v="Saudi Arabia"/>
    <s v="Saudi Arabia (KSA)"/>
    <n v="11"/>
    <s v="FW"/>
    <x v="607"/>
    <d v="1993-11-01T00:00:00"/>
    <n v="29"/>
    <n v="20"/>
    <n v="10"/>
    <s v="Al-Hilal"/>
    <s v="SAU-01"/>
    <s v="Group stage"/>
    <n v="0"/>
  </r>
  <r>
    <n v="1609"/>
    <s v="Saudi Arabia"/>
    <s v="Saudi Arabia (KSA)"/>
    <n v="12"/>
    <s v="DF"/>
    <x v="608"/>
    <d v="1999-07-18T00:00:00"/>
    <n v="23"/>
    <n v="23"/>
    <n v="1"/>
    <s v="Al-Hilal"/>
    <s v="SAU-01"/>
    <s v="Group stage"/>
    <n v="0"/>
  </r>
  <r>
    <n v="1610"/>
    <s v="Saudi Arabia"/>
    <s v="Saudi Arabia (KSA)"/>
    <n v="13"/>
    <s v="DF"/>
    <x v="609"/>
    <d v="1992-05-25T00:00:00"/>
    <n v="30"/>
    <n v="72"/>
    <n v="2"/>
    <s v="Al-Hilal"/>
    <s v="SAU-01"/>
    <s v="Group stage"/>
    <n v="0"/>
  </r>
  <r>
    <n v="1611"/>
    <s v="Saudi Arabia"/>
    <s v="Saudi Arabia (KSA)"/>
    <n v="14"/>
    <s v="MF"/>
    <x v="610"/>
    <d v="1992-08-03T00:00:00"/>
    <n v="30"/>
    <n v="45"/>
    <n v="1"/>
    <s v="Al-Hilal"/>
    <s v="SAU-01"/>
    <s v="Group stage"/>
    <n v="0"/>
  </r>
  <r>
    <n v="1612"/>
    <s v="Saudi Arabia"/>
    <s v="Saudi Arabia (KSA)"/>
    <n v="15"/>
    <s v="MF"/>
    <x v="611"/>
    <d v="1997-03-04T00:00:00"/>
    <n v="25"/>
    <n v="13"/>
    <n v="1"/>
    <s v="Al-Nassr"/>
    <s v="SAU-02"/>
    <s v="Group stage"/>
    <n v="0"/>
  </r>
  <r>
    <n v="1613"/>
    <s v="Saudi Arabia"/>
    <s v="Saudi Arabia (KSA)"/>
    <n v="16"/>
    <s v="MF"/>
    <x v="612"/>
    <d v="1997-02-07T00:00:00"/>
    <n v="25"/>
    <n v="17"/>
    <n v="2"/>
    <s v="Al-Nassr"/>
    <s v="SAU-02"/>
    <s v="Group stage"/>
    <n v="0"/>
  </r>
  <r>
    <n v="1614"/>
    <s v="Saudi Arabia"/>
    <s v="Saudi Arabia (KSA)"/>
    <n v="17"/>
    <s v="DF"/>
    <x v="613"/>
    <d v="1999-02-09T00:00:00"/>
    <n v="23"/>
    <n v="19"/>
    <n v="0"/>
    <s v="Al-Shabab"/>
    <s v="SAU-03"/>
    <s v="Group stage"/>
    <n v="0"/>
  </r>
  <r>
    <n v="1615"/>
    <s v="Saudi Arabia"/>
    <s v="Saudi Arabia (KSA)"/>
    <n v="18"/>
    <s v="MF"/>
    <x v="614"/>
    <d v="1990-01-26T00:00:00"/>
    <n v="32"/>
    <n v="55"/>
    <n v="8"/>
    <s v="Al-Shabab"/>
    <s v="SAU-03"/>
    <s v="Group stage"/>
    <n v="0"/>
  </r>
  <r>
    <n v="1616"/>
    <s v="Saudi Arabia"/>
    <s v="Saudi Arabia (KSA)"/>
    <n v="19"/>
    <s v="FW"/>
    <x v="615"/>
    <d v="1992-07-16T00:00:00"/>
    <n v="30"/>
    <n v="41"/>
    <n v="4"/>
    <s v="Al-Shabab"/>
    <s v="SAU-03"/>
    <s v="Group stage"/>
    <n v="0"/>
  </r>
  <r>
    <n v="1617"/>
    <s v="Saudi Arabia"/>
    <s v="Saudi Arabia (KSA)"/>
    <n v="20"/>
    <s v="FW"/>
    <x v="616"/>
    <d v="1995-06-01T00:00:00"/>
    <n v="27"/>
    <n v="3"/>
    <n v="0"/>
    <s v="Al-Ittihad"/>
    <s v="SAU-06"/>
    <s v="Group stage"/>
    <n v="0"/>
  </r>
  <r>
    <n v="1618"/>
    <s v="Saudi Arabia"/>
    <s v="Saudi Arabia (KSA)"/>
    <n v="21"/>
    <s v="GK"/>
    <x v="617"/>
    <d v="1991-10-10T00:00:00"/>
    <n v="31"/>
    <n v="42"/>
    <n v="0"/>
    <s v="Al-Hilal"/>
    <s v="SAU-01"/>
    <s v="Group stage"/>
    <n v="0"/>
  </r>
  <r>
    <n v="1619"/>
    <s v="Saudi Arabia"/>
    <s v="Saudi Arabia (KSA)"/>
    <n v="22"/>
    <s v="GK"/>
    <x v="618"/>
    <d v="2000-05-10T00:00:00"/>
    <n v="22"/>
    <n v="0"/>
    <n v="0"/>
    <s v="Al-Nassr"/>
    <s v="SAU-02"/>
    <s v="Group stage"/>
    <n v="0"/>
  </r>
  <r>
    <n v="1620"/>
    <s v="Saudi Arabia"/>
    <s v="Saudi Arabia (KSA)"/>
    <n v="23"/>
    <s v="MF"/>
    <x v="619"/>
    <d v="1994-09-22T00:00:00"/>
    <n v="28"/>
    <n v="38"/>
    <n v="1"/>
    <s v="Al-Hilal"/>
    <s v="SAU-01"/>
    <s v="Group stage"/>
    <n v="0"/>
  </r>
  <r>
    <n v="1621"/>
    <s v="Saudi Arabia"/>
    <s v="Saudi Arabia (KSA)"/>
    <n v="24"/>
    <s v="MF"/>
    <x v="620"/>
    <d v="1998-12-19T00:00:00"/>
    <n v="23"/>
    <n v="10"/>
    <n v="0"/>
    <s v="Al-Hilal"/>
    <s v="SAU-01"/>
    <s v="Group stage"/>
    <n v="0"/>
  </r>
  <r>
    <n v="1622"/>
    <s v="Saudi Arabia"/>
    <s v="Saudi Arabia (KSA)"/>
    <n v="25"/>
    <s v="FW"/>
    <x v="621"/>
    <d v="2001-03-25T00:00:00"/>
    <n v="21"/>
    <n v="8"/>
    <n v="1"/>
    <s v="Al-Ahli"/>
    <s v="SAU-05"/>
    <s v="Group stage"/>
    <n v="0"/>
  </r>
  <r>
    <n v="1623"/>
    <s v="Saudi Arabia"/>
    <s v="Saudi Arabia (KSA)"/>
    <n v="26"/>
    <s v="MF"/>
    <x v="622"/>
    <d v="1993-04-28T00:00:00"/>
    <n v="29"/>
    <n v="5"/>
    <n v="0"/>
    <s v="Abha"/>
    <s v="SAU-04"/>
    <s v="Group stage"/>
    <n v="0"/>
  </r>
  <r>
    <n v="1624"/>
    <s v="Senegal"/>
    <s v="Senegal (SEN)"/>
    <n v="1"/>
    <s v="GK"/>
    <x v="623"/>
    <d v="1994-11-23T00:00:00"/>
    <n v="27"/>
    <n v="4"/>
    <n v="0"/>
    <s v="Queens Park Rangers"/>
    <s v="ENG-26"/>
    <s v="Last 16"/>
    <n v="0"/>
  </r>
  <r>
    <n v="1625"/>
    <s v="Senegal"/>
    <s v="Senegal (SEN)"/>
    <n v="2"/>
    <s v="DF"/>
    <x v="624"/>
    <d v="2001-01-02T00:00:00"/>
    <n v="21"/>
    <n v="2"/>
    <n v="0"/>
    <s v="Amiens"/>
    <s v="FRA-14"/>
    <s v="Last 16"/>
    <n v="0"/>
  </r>
  <r>
    <n v="1626"/>
    <s v="Senegal"/>
    <s v="Senegal (SEN)"/>
    <n v="3"/>
    <s v="DF"/>
    <x v="625"/>
    <d v="1991-06-20T00:00:00"/>
    <n v="31"/>
    <n v="64"/>
    <n v="0"/>
    <s v="Chelsea"/>
    <s v="ENG-03"/>
    <s v="Last 16"/>
    <n v="0"/>
  </r>
  <r>
    <n v="1627"/>
    <s v="Senegal"/>
    <s v="Senegal (SEN)"/>
    <n v="4"/>
    <s v="DF"/>
    <x v="626"/>
    <d v="1995-09-14T00:00:00"/>
    <n v="27"/>
    <n v="13"/>
    <n v="1"/>
    <s v="Olympiacos"/>
    <s v="GRE-02"/>
    <s v="Last 16"/>
    <n v="0"/>
  </r>
  <r>
    <n v="1628"/>
    <s v="Senegal"/>
    <s v="Senegal (SEN)"/>
    <n v="5"/>
    <s v="MF"/>
    <x v="627"/>
    <d v="1989-09-26T00:00:00"/>
    <n v="33"/>
    <n v="96"/>
    <n v="7"/>
    <s v="Everton"/>
    <s v="ENG-16"/>
    <s v="Last 16"/>
    <n v="0"/>
  </r>
  <r>
    <n v="1629"/>
    <s v="Senegal"/>
    <s v="Senegal (SEN)"/>
    <n v="6"/>
    <s v="MF"/>
    <x v="628"/>
    <d v="1992-06-23T00:00:00"/>
    <n v="30"/>
    <n v="19"/>
    <n v="0"/>
    <s v="Leicester City"/>
    <s v="ENG-07"/>
    <s v="Last 16"/>
    <n v="0"/>
  </r>
  <r>
    <n v="1630"/>
    <s v="Senegal"/>
    <s v="Senegal (SEN)"/>
    <n v="7"/>
    <s v="FW"/>
    <x v="629"/>
    <d v="2001-06-20T00:00:00"/>
    <n v="21"/>
    <n v="0"/>
    <n v="0"/>
    <s v="Villarreal"/>
    <s v="ESP-06"/>
    <s v="Last 16"/>
    <n v="0"/>
  </r>
  <r>
    <n v="1631"/>
    <s v="Senegal"/>
    <s v="Senegal (SEN)"/>
    <n v="8"/>
    <s v="DF"/>
    <x v="630"/>
    <d v="1989-12-21T00:00:00"/>
    <n v="32"/>
    <n v="83"/>
    <n v="4"/>
    <s v="Nottingham Forest"/>
    <s v="ENG-12"/>
    <s v="Last 16"/>
    <n v="0"/>
  </r>
  <r>
    <n v="1632"/>
    <s v="Senegal"/>
    <s v="Senegal (SEN)"/>
    <n v="9"/>
    <s v="FW"/>
    <x v="631"/>
    <d v="1996-11-16T00:00:00"/>
    <n v="26"/>
    <n v="19"/>
    <n v="3"/>
    <s v="Salernitana"/>
    <s v="ITA-10"/>
    <s v="Last 16"/>
    <n v="0"/>
  </r>
  <r>
    <n v="1633"/>
    <s v="Senegal"/>
    <s v="Senegal (SEN)"/>
    <n v="11"/>
    <s v="MF"/>
    <x v="632"/>
    <d v="1994-03-16T00:00:00"/>
    <n v="28"/>
    <n v="1"/>
    <n v="0"/>
    <s v="Rayo Vallecano"/>
    <s v="ESP-19"/>
    <s v="Last 16"/>
    <n v="0"/>
  </r>
  <r>
    <n v="1634"/>
    <s v="Senegal"/>
    <s v="Senegal (SEN)"/>
    <n v="12"/>
    <s v="DF"/>
    <x v="633"/>
    <d v="1997-01-03T00:00:00"/>
    <n v="25"/>
    <n v="14"/>
    <n v="0"/>
    <s v="Milan"/>
    <s v="ITA-02"/>
    <s v="Last 16"/>
    <n v="0"/>
  </r>
  <r>
    <n v="1635"/>
    <s v="Senegal"/>
    <s v="Senegal (SEN)"/>
    <n v="13"/>
    <s v="FW"/>
    <x v="634"/>
    <d v="2000-03-06T00:00:00"/>
    <n v="22"/>
    <n v="2"/>
    <n v="0"/>
    <s v="Sheffield United"/>
    <s v="ENG-27"/>
    <s v="Last 16"/>
    <n v="0"/>
  </r>
  <r>
    <n v="1636"/>
    <s v="Senegal"/>
    <s v="Senegal (SEN)"/>
    <n v="14"/>
    <s v="DF"/>
    <x v="635"/>
    <d v="1999-08-17T00:00:00"/>
    <n v="23"/>
    <n v="2"/>
    <n v="0"/>
    <s v="Monaco"/>
    <s v="FRA-03"/>
    <s v="Last 16"/>
    <n v="0"/>
  </r>
  <r>
    <n v="1637"/>
    <s v="Senegal"/>
    <s v="Senegal (SEN)"/>
    <n v="15"/>
    <s v="MF"/>
    <x v="636"/>
    <d v="1999-02-25T00:00:00"/>
    <n v="23"/>
    <n v="26"/>
    <n v="2"/>
    <s v="Monaco"/>
    <s v="FRA-03"/>
    <s v="Last 16"/>
    <n v="0"/>
  </r>
  <r>
    <n v="1638"/>
    <s v="Senegal"/>
    <s v="Senegal (SEN)"/>
    <n v="16"/>
    <s v="GK"/>
    <x v="637"/>
    <d v="1992-03-01T00:00:00"/>
    <n v="30"/>
    <n v="25"/>
    <n v="0"/>
    <s v="Chelsea"/>
    <s v="ENG-03"/>
    <s v="Last 16"/>
    <n v="0"/>
  </r>
  <r>
    <n v="1639"/>
    <s v="Senegal"/>
    <s v="Senegal (SEN)"/>
    <n v="17"/>
    <s v="MF"/>
    <x v="638"/>
    <d v="2002-09-14T00:00:00"/>
    <n v="20"/>
    <n v="10"/>
    <n v="0"/>
    <s v="Tottenham Hotspur"/>
    <s v="ENG-04"/>
    <s v="Last 16"/>
    <n v="0"/>
  </r>
  <r>
    <n v="1640"/>
    <s v="Senegal"/>
    <s v="Senegal (SEN)"/>
    <n v="18"/>
    <s v="FW"/>
    <x v="639"/>
    <d v="1998-02-25T00:00:00"/>
    <n v="24"/>
    <n v="48"/>
    <n v="10"/>
    <s v="Watford"/>
    <s v="ENG-39"/>
    <s v="Last 16"/>
    <n v="0"/>
  </r>
  <r>
    <n v="1641"/>
    <s v="Senegal"/>
    <s v="Senegal (SEN)"/>
    <n v="19"/>
    <s v="FW"/>
    <x v="640"/>
    <d v="1992-12-15T00:00:00"/>
    <n v="29"/>
    <n v="25"/>
    <n v="10"/>
    <s v="Alanyaspor"/>
    <s v="TUR-06"/>
    <s v="Last 16"/>
    <n v="0"/>
  </r>
  <r>
    <n v="1642"/>
    <s v="Senegal"/>
    <s v="Senegal (SEN)"/>
    <n v="20"/>
    <s v="FW"/>
    <x v="641"/>
    <d v="2000-03-23T00:00:00"/>
    <n v="22"/>
    <n v="13"/>
    <n v="1"/>
    <s v="Marseille"/>
    <s v="FRA-04"/>
    <s v="Last 16"/>
    <n v="0"/>
  </r>
  <r>
    <n v="1643"/>
    <s v="Senegal"/>
    <s v="Senegal (SEN)"/>
    <n v="21"/>
    <s v="DF"/>
    <x v="642"/>
    <d v="1993-03-05T00:00:00"/>
    <n v="29"/>
    <n v="24"/>
    <n v="0"/>
    <s v="Real Betis"/>
    <s v="ESP-05"/>
    <s v="Last 16"/>
    <n v="0"/>
  </r>
  <r>
    <n v="1644"/>
    <s v="Senegal"/>
    <s v="Senegal (SEN)"/>
    <n v="22"/>
    <s v="DF"/>
    <x v="643"/>
    <d v="1996-05-04T00:00:00"/>
    <n v="26"/>
    <n v="18"/>
    <n v="2"/>
    <s v="RB Leipzig"/>
    <s v="GER-04"/>
    <s v="Last 16"/>
    <n v="0"/>
  </r>
  <r>
    <n v="1645"/>
    <s v="Senegal"/>
    <s v="Senegal (SEN)"/>
    <n v="23"/>
    <s v="GK"/>
    <x v="644"/>
    <d v="1993-09-05T00:00:00"/>
    <n v="29"/>
    <n v="14"/>
    <n v="0"/>
    <s v="Rennes"/>
    <s v="FRA-02"/>
    <s v="Last 16"/>
    <n v="0"/>
  </r>
  <r>
    <n v="1646"/>
    <s v="Senegal"/>
    <s v="Senegal (SEN)"/>
    <n v="24"/>
    <s v="DF"/>
    <x v="645"/>
    <d v="1995-05-05T00:00:00"/>
    <n v="27"/>
    <n v="6"/>
    <n v="0"/>
    <s v="Pafos"/>
    <s v="CYP-02"/>
    <s v="Last 16"/>
    <n v="0"/>
  </r>
  <r>
    <n v="1647"/>
    <s v="Senegal"/>
    <s v="Senegal (SEN)"/>
    <n v="25"/>
    <s v="MF"/>
    <x v="646"/>
    <d v="1996-12-30T00:00:00"/>
    <n v="25"/>
    <n v="3"/>
    <n v="0"/>
    <s v="Reading"/>
    <s v="ENG-18"/>
    <s v="Last 16"/>
    <n v="0"/>
  </r>
  <r>
    <n v="1648"/>
    <s v="Senegal"/>
    <s v="Senegal (SEN)"/>
    <n v="26"/>
    <s v="MF"/>
    <x v="647"/>
    <d v="1999-01-24T00:00:00"/>
    <n v="23"/>
    <n v="12"/>
    <n v="0"/>
    <s v="Marseille"/>
    <s v="FRA-04"/>
    <s v="Last 16"/>
    <n v="0"/>
  </r>
  <r>
    <n v="1649"/>
    <s v="Serbia"/>
    <s v="Serbia (SRB)"/>
    <n v="1"/>
    <s v="GK"/>
    <x v="648"/>
    <d v="1992-01-24T00:00:00"/>
    <n v="30"/>
    <n v="19"/>
    <n v="0"/>
    <s v="Sevilla"/>
    <s v="ESP-04"/>
    <s v="Group stage"/>
    <n v="0"/>
  </r>
  <r>
    <n v="1650"/>
    <s v="Serbia"/>
    <s v="Serbia (SRB)"/>
    <n v="2"/>
    <s v="DF"/>
    <x v="649"/>
    <d v="2001-05-24T00:00:00"/>
    <n v="21"/>
    <n v="22"/>
    <n v="1"/>
    <s v="Red Bull Salzburg"/>
    <s v="AST-01"/>
    <s v="Group stage"/>
    <n v="0"/>
  </r>
  <r>
    <n v="1651"/>
    <s v="Serbia"/>
    <s v="Serbia (SRB)"/>
    <n v="3"/>
    <s v="DF"/>
    <x v="650"/>
    <d v="2001-01-22T00:00:00"/>
    <n v="21"/>
    <n v="2"/>
    <n v="0"/>
    <s v="Red Star Belgrade"/>
    <s v="SER-01"/>
    <s v="Group stage"/>
    <n v="0"/>
  </r>
  <r>
    <n v="1652"/>
    <s v="Serbia"/>
    <s v="Serbia (SRB)"/>
    <n v="4"/>
    <s v="DF"/>
    <x v="651"/>
    <d v="1997-10-12T00:00:00"/>
    <n v="25"/>
    <n v="39"/>
    <n v="3"/>
    <s v="Fiorentina"/>
    <s v="ITA-07"/>
    <s v="Group stage"/>
    <n v="0"/>
  </r>
  <r>
    <n v="1653"/>
    <s v="Serbia"/>
    <s v="Serbia (SRB)"/>
    <n v="5"/>
    <s v="DF"/>
    <x v="652"/>
    <d v="1995-09-26T00:00:00"/>
    <n v="27"/>
    <n v="21"/>
    <n v="0"/>
    <s v="Werder Bremen"/>
    <s v="GER-13"/>
    <s v="Group stage"/>
    <n v="0"/>
  </r>
  <r>
    <n v="1654"/>
    <s v="Serbia"/>
    <s v="Serbia (SRB)"/>
    <n v="6"/>
    <s v="MF"/>
    <x v="653"/>
    <d v="1995-01-26T00:00:00"/>
    <n v="27"/>
    <n v="40"/>
    <n v="0"/>
    <s v="Getafe"/>
    <s v="ESP-10"/>
    <s v="Group stage"/>
    <n v="0"/>
  </r>
  <r>
    <n v="1655"/>
    <s v="Serbia"/>
    <s v="Serbia (SRB)"/>
    <n v="7"/>
    <s v="FW"/>
    <x v="654"/>
    <d v="1996-02-15T00:00:00"/>
    <n v="26"/>
    <n v="36"/>
    <n v="5"/>
    <s v="Torino"/>
    <s v="ITA-05"/>
    <s v="Group stage"/>
    <n v="0"/>
  </r>
  <r>
    <n v="1656"/>
    <s v="Serbia"/>
    <s v="Serbia (SRB)"/>
    <n v="8"/>
    <s v="MF"/>
    <x v="655"/>
    <d v="1991-11-16T00:00:00"/>
    <n v="31"/>
    <n v="49"/>
    <n v="1"/>
    <s v="Sevilla"/>
    <s v="ESP-04"/>
    <s v="Group stage"/>
    <n v="0"/>
  </r>
  <r>
    <n v="1657"/>
    <s v="Serbia"/>
    <s v="Serbia (SRB)"/>
    <n v="9"/>
    <s v="FW"/>
    <x v="656"/>
    <d v="1994-09-16T00:00:00"/>
    <n v="28"/>
    <n v="76"/>
    <n v="50"/>
    <s v="Fulham"/>
    <s v="ENG-10"/>
    <s v="Group stage"/>
    <n v="0"/>
  </r>
  <r>
    <n v="1658"/>
    <s v="Serbia"/>
    <s v="Serbia (SRB)"/>
    <n v="10"/>
    <s v="FW"/>
    <x v="657"/>
    <d v="1988-11-20T00:00:00"/>
    <n v="34"/>
    <n v="91"/>
    <n v="20"/>
    <s v="Ajax"/>
    <s v="NET-01"/>
    <s v="Group stage"/>
    <n v="0"/>
  </r>
  <r>
    <n v="1659"/>
    <s v="Serbia"/>
    <s v="Serbia (SRB)"/>
    <n v="11"/>
    <s v="FW"/>
    <x v="658"/>
    <d v="1997-12-23T00:00:00"/>
    <n v="24"/>
    <n v="29"/>
    <n v="10"/>
    <s v="Fiorentina"/>
    <s v="ITA-07"/>
    <s v="Group stage"/>
    <n v="0"/>
  </r>
  <r>
    <n v="1660"/>
    <s v="Serbia"/>
    <s v="Serbia (SRB)"/>
    <n v="12"/>
    <s v="GK"/>
    <x v="659"/>
    <d v="1995-10-31T00:00:00"/>
    <n v="27"/>
    <n v="28"/>
    <n v="0"/>
    <s v="Mallorca"/>
    <s v="ESP-11"/>
    <s v="Group stage"/>
    <n v="0"/>
  </r>
  <r>
    <n v="1661"/>
    <s v="Serbia"/>
    <s v="Serbia (SRB)"/>
    <n v="13"/>
    <s v="DF"/>
    <x v="660"/>
    <d v="1990-05-22T00:00:00"/>
    <n v="32"/>
    <n v="35"/>
    <n v="0"/>
    <s v="Getafe"/>
    <s v="ESP-10"/>
    <s v="Group stage"/>
    <n v="0"/>
  </r>
  <r>
    <n v="1662"/>
    <s v="Serbia"/>
    <s v="Serbia (SRB)"/>
    <n v="14"/>
    <s v="MF"/>
    <x v="661"/>
    <d v="1996-07-11T00:00:00"/>
    <n v="26"/>
    <n v="29"/>
    <n v="1"/>
    <s v="PAOK"/>
    <s v="GRE-06"/>
    <s v="Group stage"/>
    <n v="0"/>
  </r>
  <r>
    <n v="1663"/>
    <s v="Serbia"/>
    <s v="Serbia (SRB)"/>
    <n v="15"/>
    <s v="DF"/>
    <x v="662"/>
    <d v="1996-04-22T00:00:00"/>
    <n v="26"/>
    <n v="2"/>
    <n v="0"/>
    <s v="Almería"/>
    <s v="ESP-14"/>
    <s v="Group stage"/>
    <n v="0"/>
  </r>
  <r>
    <n v="1664"/>
    <s v="Serbia"/>
    <s v="Serbia (SRB)"/>
    <n v="16"/>
    <s v="MF"/>
    <x v="663"/>
    <d v="1996-08-13T00:00:00"/>
    <n v="26"/>
    <n v="32"/>
    <n v="2"/>
    <s v="Torino"/>
    <s v="ITA-05"/>
    <s v="Group stage"/>
    <n v="0"/>
  </r>
  <r>
    <n v="1665"/>
    <s v="Serbia"/>
    <s v="Serbia (SRB)"/>
    <n v="17"/>
    <s v="MF"/>
    <x v="664"/>
    <d v="1992-11-01T00:00:00"/>
    <n v="30"/>
    <n v="50"/>
    <n v="3"/>
    <s v="Juventus"/>
    <s v="ITA-01"/>
    <s v="Group stage"/>
    <n v="0"/>
  </r>
  <r>
    <n v="1666"/>
    <s v="Serbia"/>
    <s v="Serbia (SRB)"/>
    <n v="18"/>
    <s v="FW"/>
    <x v="665"/>
    <d v="2000-01-28T00:00:00"/>
    <n v="22"/>
    <n v="17"/>
    <n v="9"/>
    <s v="Juventus"/>
    <s v="ITA-01"/>
    <s v="Group stage"/>
    <n v="0"/>
  </r>
  <r>
    <n v="1667"/>
    <s v="Serbia"/>
    <s v="Serbia (SRB)"/>
    <n v="19"/>
    <s v="MF"/>
    <x v="666"/>
    <d v="1998-03-17T00:00:00"/>
    <n v="24"/>
    <n v="9"/>
    <n v="0"/>
    <s v="Braga"/>
    <s v="POR-04"/>
    <s v="Group stage"/>
    <n v="0"/>
  </r>
  <r>
    <n v="1668"/>
    <s v="Serbia"/>
    <s v="Serbia (SRB)"/>
    <n v="20"/>
    <s v="MF"/>
    <x v="667"/>
    <d v="1995-02-27T00:00:00"/>
    <n v="27"/>
    <n v="36"/>
    <n v="6"/>
    <s v="Lazio"/>
    <s v="ITA-13"/>
    <s v="Group stage"/>
    <n v="0"/>
  </r>
  <r>
    <n v="1669"/>
    <s v="Serbia"/>
    <s v="Serbia (SRB)"/>
    <n v="21"/>
    <s v="FW"/>
    <x v="668"/>
    <d v="1992-01-30T00:00:00"/>
    <n v="30"/>
    <n v="37"/>
    <n v="5"/>
    <s v="Sampdoria"/>
    <s v="ITA-11"/>
    <s v="Group stage"/>
    <n v="0"/>
  </r>
  <r>
    <n v="1670"/>
    <s v="Serbia"/>
    <s v="Serbia (SRB)"/>
    <n v="22"/>
    <s v="MF"/>
    <x v="669"/>
    <d v="1990-09-15T00:00:00"/>
    <n v="32"/>
    <n v="26"/>
    <n v="1"/>
    <s v="Hellas Verona"/>
    <s v="ITA-08"/>
    <s v="Group stage"/>
    <n v="0"/>
  </r>
  <r>
    <n v="1671"/>
    <s v="Serbia"/>
    <s v="Serbia (SRB)"/>
    <n v="23"/>
    <s v="GK"/>
    <x v="670"/>
    <d v="1997-02-20T00:00:00"/>
    <n v="25"/>
    <n v="7"/>
    <n v="0"/>
    <s v="Torino"/>
    <s v="ITA-05"/>
    <s v="Group stage"/>
    <n v="0"/>
  </r>
  <r>
    <n v="1672"/>
    <s v="Serbia"/>
    <s v="Serbia (SRB)"/>
    <n v="24"/>
    <s v="MF"/>
    <x v="671"/>
    <d v="2001-03-17T00:00:00"/>
    <n v="21"/>
    <n v="6"/>
    <n v="0"/>
    <s v="Hellas Verona"/>
    <s v="ITA-08"/>
    <s v="Group stage"/>
    <n v="0"/>
  </r>
  <r>
    <n v="1673"/>
    <s v="Serbia"/>
    <s v="Serbia (SRB)"/>
    <n v="25"/>
    <s v="DF"/>
    <x v="672"/>
    <d v="1991-08-15T00:00:00"/>
    <n v="31"/>
    <n v="20"/>
    <n v="1"/>
    <s v="Legia Warsaw"/>
    <s v="POL-01"/>
    <s v="Group stage"/>
    <n v="0"/>
  </r>
  <r>
    <n v="1674"/>
    <s v="Serbia"/>
    <s v="Serbia (SRB)"/>
    <n v="26"/>
    <s v="MF"/>
    <x v="673"/>
    <d v="1996-04-13T00:00:00"/>
    <n v="26"/>
    <n v="18"/>
    <n v="0"/>
    <s v="Porto"/>
    <s v="POR-02"/>
    <s v="Group stage"/>
    <n v="0"/>
  </r>
  <r>
    <n v="1675"/>
    <s v="Spain"/>
    <s v="Spain (ESP)"/>
    <n v="1"/>
    <s v="GK"/>
    <x v="674"/>
    <d v="1997-11-18T00:00:00"/>
    <n v="25"/>
    <n v="2"/>
    <n v="0"/>
    <s v="Brighton &amp; Hove Albion"/>
    <s v="ENG-06"/>
    <s v="Last 16"/>
    <n v="0"/>
  </r>
  <r>
    <n v="1676"/>
    <s v="Spain"/>
    <s v="Spain (ESP)"/>
    <n v="2"/>
    <s v="DF"/>
    <x v="675"/>
    <d v="1989-08-28T00:00:00"/>
    <n v="33"/>
    <n v="42"/>
    <n v="1"/>
    <s v="Chelsea"/>
    <s v="ENG-03"/>
    <s v="Last 16"/>
    <n v="0"/>
  </r>
  <r>
    <n v="1677"/>
    <s v="Spain"/>
    <s v="Spain (ESP)"/>
    <n v="3"/>
    <s v="DF"/>
    <x v="676"/>
    <d v="2001-01-09T00:00:00"/>
    <n v="21"/>
    <n v="19"/>
    <n v="0"/>
    <s v="Barcelona"/>
    <s v="ESP-01"/>
    <s v="Last 16"/>
    <n v="0"/>
  </r>
  <r>
    <n v="1678"/>
    <s v="Spain"/>
    <s v="Spain (ESP)"/>
    <n v="4"/>
    <s v="DF"/>
    <x v="677"/>
    <d v="1997-01-16T00:00:00"/>
    <n v="25"/>
    <n v="22"/>
    <n v="1"/>
    <s v="Villarreal"/>
    <s v="ESP-06"/>
    <s v="Last 16"/>
    <n v="0"/>
  </r>
  <r>
    <n v="1679"/>
    <s v="Spain"/>
    <s v="Spain (ESP)"/>
    <n v="5"/>
    <s v="MF"/>
    <x v="678"/>
    <d v="1988-07-16T00:00:00"/>
    <n v="34"/>
    <n v="139"/>
    <n v="2"/>
    <s v="Barcelona"/>
    <s v="ESP-01"/>
    <s v="Last 16"/>
    <n v="0"/>
  </r>
  <r>
    <n v="1680"/>
    <s v="Spain"/>
    <s v="Spain (ESP)"/>
    <n v="6"/>
    <s v="MF"/>
    <x v="679"/>
    <d v="1995-01-30T00:00:00"/>
    <n v="27"/>
    <n v="17"/>
    <n v="0"/>
    <s v="Atlético Madrid"/>
    <s v="ESP-03"/>
    <s v="Last 16"/>
    <n v="0"/>
  </r>
  <r>
    <n v="1681"/>
    <s v="Spain"/>
    <s v="Spain (ESP)"/>
    <n v="7"/>
    <s v="FW"/>
    <x v="680"/>
    <d v="1992-10-23T00:00:00"/>
    <n v="30"/>
    <n v="57"/>
    <n v="27"/>
    <s v="Atlético Madrid"/>
    <s v="ESP-03"/>
    <s v="Last 16"/>
    <n v="0"/>
  </r>
  <r>
    <n v="1682"/>
    <s v="Spain"/>
    <s v="Spain (ESP)"/>
    <n v="8"/>
    <s v="MF"/>
    <x v="681"/>
    <d v="1992-01-08T00:00:00"/>
    <n v="30"/>
    <n v="68"/>
    <n v="0"/>
    <s v="Atlético Madrid"/>
    <s v="ESP-03"/>
    <s v="Last 16"/>
    <n v="0"/>
  </r>
  <r>
    <n v="1683"/>
    <s v="Spain"/>
    <s v="Spain (ESP)"/>
    <n v="9"/>
    <s v="MF"/>
    <x v="682"/>
    <d v="2004-08-05T00:00:00"/>
    <n v="18"/>
    <n v="13"/>
    <n v="2"/>
    <s v="Barcelona"/>
    <s v="ESP-01"/>
    <s v="Last 16"/>
    <n v="0"/>
  </r>
  <r>
    <n v="1684"/>
    <s v="Spain"/>
    <s v="Spain (ESP)"/>
    <n v="10"/>
    <s v="FW"/>
    <x v="683"/>
    <d v="1996-01-21T00:00:00"/>
    <n v="26"/>
    <n v="31"/>
    <n v="1"/>
    <s v="Real Madrid"/>
    <s v="ESP-02"/>
    <s v="Last 16"/>
    <n v="0"/>
  </r>
  <r>
    <n v="1685"/>
    <s v="Spain"/>
    <s v="Spain (ESP)"/>
    <n v="11"/>
    <s v="FW"/>
    <x v="684"/>
    <d v="2000-02-29T00:00:00"/>
    <n v="22"/>
    <n v="31"/>
    <n v="13"/>
    <s v="Barcelona"/>
    <s v="ESP-01"/>
    <s v="Last 16"/>
    <n v="0"/>
  </r>
  <r>
    <n v="1686"/>
    <s v="Spain"/>
    <s v="Spain (ESP)"/>
    <n v="12"/>
    <s v="FW"/>
    <x v="685"/>
    <d v="2002-07-12T00:00:00"/>
    <n v="20"/>
    <n v="3"/>
    <n v="1"/>
    <s v="Athletic Bilbao"/>
    <s v="ESP-08"/>
    <s v="Last 16"/>
    <n v="0"/>
  </r>
  <r>
    <n v="1687"/>
    <s v="Spain"/>
    <s v="Spain (ESP)"/>
    <n v="13"/>
    <s v="GK"/>
    <x v="686"/>
    <d v="1995-09-15T00:00:00"/>
    <n v="27"/>
    <n v="2"/>
    <n v="0"/>
    <s v="Brentford"/>
    <s v="ENG-09"/>
    <s v="Last 16"/>
    <n v="0"/>
  </r>
  <r>
    <n v="1688"/>
    <s v="Spain"/>
    <s v="Spain (ESP)"/>
    <n v="14"/>
    <s v="DF"/>
    <x v="687"/>
    <d v="2003-10-18T00:00:00"/>
    <n v="19"/>
    <n v="0"/>
    <n v="0"/>
    <s v="Barcelona"/>
    <s v="ESP-01"/>
    <s v="Last 16"/>
    <n v="0"/>
  </r>
  <r>
    <n v="1689"/>
    <s v="Spain"/>
    <s v="Spain (ESP)"/>
    <n v="15"/>
    <s v="DF"/>
    <x v="688"/>
    <d v="2000-01-31T00:00:00"/>
    <n v="22"/>
    <n v="3"/>
    <n v="1"/>
    <s v="Valencia"/>
    <s v="ESP-07"/>
    <s v="Last 16"/>
    <n v="0"/>
  </r>
  <r>
    <n v="1690"/>
    <s v="Spain"/>
    <s v="Spain (ESP)"/>
    <n v="16"/>
    <s v="MF"/>
    <x v="689"/>
    <d v="1996-06-22T00:00:00"/>
    <n v="26"/>
    <n v="35"/>
    <n v="1"/>
    <s v="Manchester City"/>
    <s v="ENG-01"/>
    <s v="Last 16"/>
    <n v="0"/>
  </r>
  <r>
    <n v="1691"/>
    <s v="Spain"/>
    <s v="Spain (ESP)"/>
    <n v="17"/>
    <s v="FW"/>
    <x v="690"/>
    <d v="2002-10-20T00:00:00"/>
    <n v="20"/>
    <n v="7"/>
    <n v="1"/>
    <s v="Villarreal"/>
    <s v="ESP-06"/>
    <s v="Last 16"/>
    <n v="0"/>
  </r>
  <r>
    <n v="1692"/>
    <s v="Spain"/>
    <s v="Spain (ESP)"/>
    <n v="18"/>
    <s v="DF"/>
    <x v="691"/>
    <d v="1989-03-21T00:00:00"/>
    <n v="33"/>
    <n v="87"/>
    <n v="9"/>
    <s v="Barcelona"/>
    <s v="ESP-01"/>
    <s v="Last 16"/>
    <n v="0"/>
  </r>
  <r>
    <n v="1693"/>
    <s v="Spain"/>
    <s v="Spain (ESP)"/>
    <n v="19"/>
    <s v="MF"/>
    <x v="692"/>
    <d v="1997-01-02T00:00:00"/>
    <n v="25"/>
    <n v="12"/>
    <n v="3"/>
    <s v="Paris Saint-Germain"/>
    <s v="FRA-01"/>
    <s v="Last 16"/>
    <n v="0"/>
  </r>
  <r>
    <n v="1694"/>
    <s v="Spain"/>
    <s v="Spain (ESP)"/>
    <n v="20"/>
    <s v="DF"/>
    <x v="693"/>
    <d v="1992-01-11T00:00:00"/>
    <n v="30"/>
    <n v="31"/>
    <n v="0"/>
    <s v="Real Madrid"/>
    <s v="ESP-02"/>
    <s v="Last 16"/>
    <n v="0"/>
  </r>
  <r>
    <n v="1695"/>
    <s v="Spain"/>
    <s v="Spain (ESP)"/>
    <n v="21"/>
    <s v="FW"/>
    <x v="694"/>
    <d v="1998-05-07T00:00:00"/>
    <n v="24"/>
    <n v="25"/>
    <n v="4"/>
    <s v="RB Leipzig"/>
    <s v="GER-04"/>
    <s v="Last 16"/>
    <n v="0"/>
  </r>
  <r>
    <n v="1696"/>
    <s v="Spain"/>
    <s v="Spain (ESP)"/>
    <n v="22"/>
    <s v="FW"/>
    <x v="695"/>
    <d v="1992-05-11T00:00:00"/>
    <n v="30"/>
    <n v="25"/>
    <n v="9"/>
    <s v="Paris Saint-Germain"/>
    <s v="FRA-01"/>
    <s v="Last 16"/>
    <n v="0"/>
  </r>
  <r>
    <n v="1697"/>
    <s v="Spain"/>
    <s v="Spain (ESP)"/>
    <n v="23"/>
    <s v="GK"/>
    <x v="696"/>
    <d v="1997-06-11T00:00:00"/>
    <n v="25"/>
    <n v="27"/>
    <n v="0"/>
    <s v="Athletic Bilbao"/>
    <s v="ESP-08"/>
    <s v="Last 16"/>
    <n v="0"/>
  </r>
  <r>
    <n v="1698"/>
    <s v="Spain"/>
    <s v="Spain (ESP)"/>
    <n v="24"/>
    <s v="DF"/>
    <x v="697"/>
    <d v="1994-05-27T00:00:00"/>
    <n v="28"/>
    <n v="16"/>
    <n v="1"/>
    <s v="Manchester City"/>
    <s v="ENG-01"/>
    <s v="Last 16"/>
    <n v="0"/>
  </r>
  <r>
    <n v="1699"/>
    <s v="Spain"/>
    <s v="Spain (ESP)"/>
    <n v="25"/>
    <s v="FW"/>
    <x v="698"/>
    <d v="2002-10-31T00:00:00"/>
    <n v="20"/>
    <n v="5"/>
    <n v="2"/>
    <s v="Barcelona"/>
    <s v="ESP-01"/>
    <s v="Last 16"/>
    <n v="0"/>
  </r>
  <r>
    <n v="1700"/>
    <s v="Spain"/>
    <s v="Spain (ESP)"/>
    <n v="26"/>
    <s v="MF"/>
    <x v="699"/>
    <d v="2002-11-25T00:00:00"/>
    <n v="19"/>
    <n v="14"/>
    <n v="0"/>
    <s v="Barcelona"/>
    <s v="ESP-01"/>
    <s v="Last 16"/>
    <n v="0"/>
  </r>
  <r>
    <n v="1701"/>
    <s v="Switzerland"/>
    <s v="Switzerland (SUI)"/>
    <n v="1"/>
    <s v="GK"/>
    <x v="700"/>
    <d v="1988-12-17T00:00:00"/>
    <n v="33"/>
    <n v="77"/>
    <n v="0"/>
    <s v="Borussia Mönchengladbach"/>
    <s v="GER-05"/>
    <s v="Last 16"/>
    <n v="0"/>
  </r>
  <r>
    <n v="1702"/>
    <s v="Switzerland"/>
    <s v="Switzerland (SUI)"/>
    <n v="2"/>
    <s v="DF"/>
    <x v="701"/>
    <d v="1996-04-15T00:00:00"/>
    <n v="26"/>
    <n v="22"/>
    <n v="2"/>
    <s v="Mainz 05"/>
    <s v="GER-09"/>
    <s v="Last 16"/>
    <n v="0"/>
  </r>
  <r>
    <n v="1703"/>
    <s v="Switzerland"/>
    <s v="Switzerland (SUI)"/>
    <n v="3"/>
    <s v="DF"/>
    <x v="702"/>
    <d v="1993-03-05T00:00:00"/>
    <n v="29"/>
    <n v="34"/>
    <n v="2"/>
    <s v="Mainz 05"/>
    <s v="GER-09"/>
    <s v="Last 16"/>
    <n v="0"/>
  </r>
  <r>
    <n v="1704"/>
    <s v="Switzerland"/>
    <s v="Switzerland (SUI)"/>
    <n v="4"/>
    <s v="DF"/>
    <x v="703"/>
    <d v="1996-09-30T00:00:00"/>
    <n v="26"/>
    <n v="41"/>
    <n v="1"/>
    <s v="Borussia Mönchengladbach"/>
    <s v="GER-05"/>
    <s v="Last 16"/>
    <n v="0"/>
  </r>
  <r>
    <n v="1705"/>
    <s v="Switzerland"/>
    <s v="Switzerland (SUI)"/>
    <n v="5"/>
    <s v="DF"/>
    <x v="704"/>
    <d v="1995-07-19T00:00:00"/>
    <n v="27"/>
    <n v="43"/>
    <n v="1"/>
    <s v="Manchester City"/>
    <s v="ENG-01"/>
    <s v="Last 16"/>
    <n v="0"/>
  </r>
  <r>
    <n v="1706"/>
    <s v="Switzerland"/>
    <s v="Switzerland (SUI)"/>
    <n v="6"/>
    <s v="MF"/>
    <x v="705"/>
    <d v="1996-11-20T00:00:00"/>
    <n v="26"/>
    <n v="43"/>
    <n v="3"/>
    <s v="Chelsea"/>
    <s v="ENG-03"/>
    <s v="Last 16"/>
    <n v="0"/>
  </r>
  <r>
    <n v="1707"/>
    <s v="Switzerland"/>
    <s v="Switzerland (SUI)"/>
    <n v="7"/>
    <s v="FW"/>
    <x v="706"/>
    <d v="1997-02-14T00:00:00"/>
    <n v="25"/>
    <n v="59"/>
    <n v="11"/>
    <s v="Monaco"/>
    <s v="FRA-03"/>
    <s v="Last 16"/>
    <n v="0"/>
  </r>
  <r>
    <n v="1708"/>
    <s v="Switzerland"/>
    <s v="Switzerland (SUI)"/>
    <n v="8"/>
    <s v="MF"/>
    <x v="707"/>
    <d v="1992-04-15T00:00:00"/>
    <n v="30"/>
    <n v="49"/>
    <n v="5"/>
    <s v="Nottingham Forest"/>
    <s v="ENG-12"/>
    <s v="Last 16"/>
    <n v="0"/>
  </r>
  <r>
    <n v="1709"/>
    <s v="Switzerland"/>
    <s v="Switzerland (SUI)"/>
    <n v="9"/>
    <s v="FW"/>
    <x v="708"/>
    <d v="1992-02-22T00:00:00"/>
    <n v="30"/>
    <n v="89"/>
    <n v="25"/>
    <s v="Galatasaray"/>
    <s v="TUR-01"/>
    <s v="Last 16"/>
    <n v="0"/>
  </r>
  <r>
    <n v="1710"/>
    <s v="Switzerland"/>
    <s v="Switzerland (SUI)"/>
    <n v="10"/>
    <s v="MF"/>
    <x v="709"/>
    <d v="1992-09-27T00:00:00"/>
    <n v="30"/>
    <n v="107"/>
    <n v="12"/>
    <s v="Arsenal"/>
    <s v="ENG-05"/>
    <s v="Last 16"/>
    <n v="0"/>
  </r>
  <r>
    <n v="1711"/>
    <s v="Switzerland"/>
    <s v="Switzerland (SUI)"/>
    <n v="11"/>
    <s v="DF"/>
    <x v="710"/>
    <d v="1991-11-03T00:00:00"/>
    <n v="31"/>
    <n v="28"/>
    <n v="1"/>
    <s v="Lugano"/>
    <s v="SWI-04"/>
    <s v="Last 16"/>
    <n v="0"/>
  </r>
  <r>
    <n v="1712"/>
    <s v="Switzerland"/>
    <s v="Switzerland (SUI)"/>
    <n v="12"/>
    <s v="GK"/>
    <x v="711"/>
    <d v="1994-01-10T00:00:00"/>
    <n v="28"/>
    <n v="4"/>
    <n v="0"/>
    <s v="Montpellier"/>
    <s v="FRA-10"/>
    <s v="Last 16"/>
    <n v="0"/>
  </r>
  <r>
    <n v="1713"/>
    <s v="Switzerland"/>
    <s v="Switzerland (SUI)"/>
    <n v="13"/>
    <s v="DF"/>
    <x v="712"/>
    <d v="1992-08-25T00:00:00"/>
    <n v="30"/>
    <n v="100"/>
    <n v="9"/>
    <s v="Torino"/>
    <s v="ITA-05"/>
    <s v="Last 16"/>
    <n v="0"/>
  </r>
  <r>
    <n v="1714"/>
    <s v="Switzerland"/>
    <s v="Switzerland (SUI)"/>
    <n v="14"/>
    <s v="MF"/>
    <x v="713"/>
    <d v="1997-01-06T00:00:00"/>
    <n v="25"/>
    <n v="12"/>
    <n v="0"/>
    <s v="Bologna"/>
    <s v="ITA-12"/>
    <s v="Last 16"/>
    <n v="0"/>
  </r>
  <r>
    <n v="1715"/>
    <s v="Switzerland"/>
    <s v="Switzerland (SUI)"/>
    <n v="15"/>
    <s v="MF"/>
    <x v="714"/>
    <d v="1997-02-06T00:00:00"/>
    <n v="25"/>
    <n v="32"/>
    <n v="0"/>
    <s v="Eintracht Frankfurt"/>
    <s v="GER-03"/>
    <s v="Last 16"/>
    <n v="0"/>
  </r>
  <r>
    <n v="1716"/>
    <s v="Switzerland"/>
    <s v="Switzerland (SUI)"/>
    <n v="16"/>
    <s v="MF"/>
    <x v="715"/>
    <d v="1993-11-11T00:00:00"/>
    <n v="29"/>
    <n v="16"/>
    <n v="4"/>
    <s v="Young Boys"/>
    <s v="SWI-01"/>
    <s v="Last 16"/>
    <n v="0"/>
  </r>
  <r>
    <n v="1717"/>
    <s v="Switzerland"/>
    <s v="Switzerland (SUI)"/>
    <n v="17"/>
    <s v="FW"/>
    <x v="716"/>
    <d v="1998-08-05T00:00:00"/>
    <n v="24"/>
    <n v="27"/>
    <n v="4"/>
    <s v="FC Augsburg"/>
    <s v="GER-08"/>
    <s v="Last 16"/>
    <n v="0"/>
  </r>
  <r>
    <n v="1718"/>
    <s v="Switzerland"/>
    <s v="Switzerland (SUI)"/>
    <n v="18"/>
    <s v="DF"/>
    <x v="717"/>
    <d v="1998-02-04T00:00:00"/>
    <n v="24"/>
    <n v="10"/>
    <n v="0"/>
    <s v="Valencia"/>
    <s v="ESP-07"/>
    <s v="Last 16"/>
    <n v="0"/>
  </r>
  <r>
    <n v="1719"/>
    <s v="Switzerland"/>
    <s v="Switzerland (SUI)"/>
    <n v="19"/>
    <s v="FW"/>
    <x v="718"/>
    <d v="2000-05-24T00:00:00"/>
    <n v="22"/>
    <n v="9"/>
    <n v="2"/>
    <s v="Red Bull Salzburg"/>
    <s v="AST-01"/>
    <s v="Last 16"/>
    <n v="0"/>
  </r>
  <r>
    <n v="1720"/>
    <s v="Switzerland"/>
    <s v="Switzerland (SUI)"/>
    <n v="20"/>
    <s v="MF"/>
    <x v="719"/>
    <d v="1989-01-08T00:00:00"/>
    <n v="33"/>
    <n v="22"/>
    <n v="3"/>
    <s v="Basel"/>
    <s v="SWI-02"/>
    <s v="Last 16"/>
    <n v="0"/>
  </r>
  <r>
    <n v="1721"/>
    <s v="Switzerland"/>
    <s v="Switzerland (SUI)"/>
    <n v="21"/>
    <s v="GK"/>
    <x v="720"/>
    <d v="1997-12-06T00:00:00"/>
    <n v="24"/>
    <n v="3"/>
    <n v="0"/>
    <s v="Borussia Dortmund"/>
    <s v="GER-02"/>
    <s v="Last 16"/>
    <n v="0"/>
  </r>
  <r>
    <n v="1722"/>
    <s v="Switzerland"/>
    <s v="Switzerland (SUI)"/>
    <n v="22"/>
    <s v="DF"/>
    <x v="721"/>
    <d v="1991-12-20T00:00:00"/>
    <n v="30"/>
    <n v="73"/>
    <n v="8"/>
    <s v="Newcastle United"/>
    <s v="ENG-11"/>
    <s v="Last 16"/>
    <n v="0"/>
  </r>
  <r>
    <n v="1723"/>
    <s v="Switzerland"/>
    <s v="Switzerland (SUI)"/>
    <n v="23"/>
    <s v="MF"/>
    <x v="722"/>
    <d v="1991-10-10T00:00:00"/>
    <n v="31"/>
    <n v="109"/>
    <n v="26"/>
    <s v="Chicago Fire FC"/>
    <s v="USA-08"/>
    <s v="Last 16"/>
    <n v="0"/>
  </r>
  <r>
    <n v="1724"/>
    <s v="Switzerland"/>
    <s v="Switzerland (SUI)"/>
    <n v="24"/>
    <s v="GK"/>
    <x v="723"/>
    <d v="1998-04-02T00:00:00"/>
    <n v="24"/>
    <n v="0"/>
    <n v="0"/>
    <s v="Red Bull Salzburg"/>
    <s v="AST-01"/>
    <s v="Last 16"/>
    <n v="0"/>
  </r>
  <r>
    <n v="1725"/>
    <s v="Switzerland"/>
    <s v="Switzerland (SUI)"/>
    <n v="25"/>
    <s v="MF"/>
    <x v="724"/>
    <d v="2002-02-16T00:00:00"/>
    <n v="20"/>
    <n v="0"/>
    <n v="0"/>
    <s v="Young Boys"/>
    <s v="SWI-01"/>
    <s v="Last 16"/>
    <n v="0"/>
  </r>
  <r>
    <n v="1726"/>
    <s v="Switzerland"/>
    <s v="Switzerland (SUI)"/>
    <n v="26"/>
    <s v="MF"/>
    <x v="725"/>
    <d v="2002-07-30T00:00:00"/>
    <n v="20"/>
    <n v="1"/>
    <n v="0"/>
    <s v="Luzern"/>
    <s v="SWI-03"/>
    <s v="Last 16"/>
    <n v="0"/>
  </r>
  <r>
    <n v="1727"/>
    <s v="Tunisia"/>
    <s v="Tunisia (TUN)"/>
    <n v="1"/>
    <s v="GK"/>
    <x v="726"/>
    <d v="1984-09-14T00:00:00"/>
    <n v="38"/>
    <n v="73"/>
    <n v="0"/>
    <s v="Étoile du Sahel"/>
    <s v="TUN-04"/>
    <s v="Group stage"/>
    <n v="0"/>
  </r>
  <r>
    <n v="1728"/>
    <s v="Tunisia"/>
    <s v="Tunisia (TUN)"/>
    <n v="2"/>
    <s v="DF"/>
    <x v="727"/>
    <d v="1990-03-09T00:00:00"/>
    <n v="32"/>
    <n v="37"/>
    <n v="0"/>
    <s v="Kuwait SC"/>
    <s v="KUW-01"/>
    <s v="Group stage"/>
    <n v="0"/>
  </r>
  <r>
    <n v="1729"/>
    <s v="Tunisia"/>
    <s v="Tunisia (TUN)"/>
    <n v="3"/>
    <s v="DF"/>
    <x v="728"/>
    <d v="1998-05-26T00:00:00"/>
    <n v="24"/>
    <n v="23"/>
    <n v="1"/>
    <s v="Lorient"/>
    <s v="FRA-18"/>
    <s v="Group stage"/>
    <n v="0"/>
  </r>
  <r>
    <n v="1730"/>
    <s v="Tunisia"/>
    <s v="Tunisia (TUN)"/>
    <n v="4"/>
    <s v="DF"/>
    <x v="729"/>
    <d v="1993-07-02T00:00:00"/>
    <n v="29"/>
    <n v="61"/>
    <n v="3"/>
    <s v="Espérance de Tunis"/>
    <s v="TUN-01"/>
    <s v="Group stage"/>
    <n v="0"/>
  </r>
  <r>
    <n v="1731"/>
    <s v="Tunisia"/>
    <s v="Tunisia (TUN)"/>
    <n v="5"/>
    <s v="MF"/>
    <x v="730"/>
    <d v="1995-02-18T00:00:00"/>
    <n v="27"/>
    <n v="8"/>
    <n v="0"/>
    <s v="Club Africain"/>
    <s v="TUN-02"/>
    <s v="Group stage"/>
    <n v="0"/>
  </r>
  <r>
    <n v="1732"/>
    <s v="Tunisia"/>
    <s v="Tunisia (TUN)"/>
    <n v="6"/>
    <s v="DF"/>
    <x v="731"/>
    <d v="1995-06-19T00:00:00"/>
    <n v="27"/>
    <n v="36"/>
    <n v="2"/>
    <s v="Salernitana"/>
    <s v="ITA-10"/>
    <s v="Group stage"/>
    <n v="0"/>
  </r>
  <r>
    <n v="1733"/>
    <s v="Tunisia"/>
    <s v="Tunisia (TUN)"/>
    <n v="7"/>
    <s v="FW"/>
    <x v="732"/>
    <d v="1990-10-28T00:00:00"/>
    <n v="32"/>
    <n v="88"/>
    <n v="17"/>
    <s v="Al-Arabi"/>
    <s v="QTR-05"/>
    <s v="Group stage"/>
    <n v="0"/>
  </r>
  <r>
    <n v="1734"/>
    <s v="Tunisia"/>
    <s v="Tunisia (TUN)"/>
    <n v="8"/>
    <s v="MF"/>
    <x v="733"/>
    <d v="2003-01-21T00:00:00"/>
    <n v="19"/>
    <n v="19"/>
    <n v="0"/>
    <s v="Birmingham City"/>
    <s v="ENG-20"/>
    <s v="Group stage"/>
    <n v="0"/>
  </r>
  <r>
    <n v="1735"/>
    <s v="Tunisia"/>
    <s v="Tunisia (TUN)"/>
    <n v="9"/>
    <s v="FW"/>
    <x v="734"/>
    <d v="1991-12-25T00:00:00"/>
    <n v="30"/>
    <n v="10"/>
    <n v="2"/>
    <s v="OB"/>
    <s v="DEN-03"/>
    <s v="Group stage"/>
    <n v="0"/>
  </r>
  <r>
    <n v="1736"/>
    <s v="Tunisia"/>
    <s v="Tunisia (TUN)"/>
    <n v="10"/>
    <s v="FW"/>
    <x v="735"/>
    <d v="1991-02-08T00:00:00"/>
    <n v="31"/>
    <n v="72"/>
    <n v="24"/>
    <s v="Montpellier"/>
    <s v="FRA-10"/>
    <s v="Group stage"/>
    <n v="0"/>
  </r>
  <r>
    <n v="1737"/>
    <s v="Tunisia"/>
    <s v="Tunisia (TUN)"/>
    <n v="11"/>
    <s v="FW"/>
    <x v="736"/>
    <d v="1992-01-06T00:00:00"/>
    <n v="30"/>
    <n v="48"/>
    <n v="9"/>
    <s v="Kuwait SC"/>
    <s v="KUW-01"/>
    <s v="Group stage"/>
    <n v="0"/>
  </r>
  <r>
    <n v="1738"/>
    <s v="Tunisia"/>
    <s v="Tunisia (TUN)"/>
    <n v="12"/>
    <s v="DF"/>
    <x v="737"/>
    <d v="1990-01-01T00:00:00"/>
    <n v="32"/>
    <n v="83"/>
    <n v="2"/>
    <s v="Al Ahly"/>
    <s v="EGY-01"/>
    <s v="Group stage"/>
    <n v="0"/>
  </r>
  <r>
    <n v="1739"/>
    <s v="Tunisia"/>
    <s v="Tunisia (TUN)"/>
    <n v="13"/>
    <s v="MF"/>
    <x v="738"/>
    <d v="1992-03-18T00:00:00"/>
    <n v="30"/>
    <n v="78"/>
    <n v="6"/>
    <s v="Al-Duhail"/>
    <s v="QTR-02"/>
    <s v="Group stage"/>
    <n v="0"/>
  </r>
  <r>
    <n v="1740"/>
    <s v="Tunisia"/>
    <s v="Tunisia (TUN)"/>
    <n v="14"/>
    <s v="MF"/>
    <x v="739"/>
    <d v="1996-12-13T00:00:00"/>
    <n v="25"/>
    <n v="25"/>
    <n v="1"/>
    <s v="Ferencváros"/>
    <s v="TUR-08"/>
    <s v="Group stage"/>
    <n v="0"/>
  </r>
  <r>
    <n v="1741"/>
    <s v="Tunisia"/>
    <s v="Tunisia (TUN)"/>
    <n v="15"/>
    <s v="MF"/>
    <x v="740"/>
    <d v="1999-09-06T00:00:00"/>
    <n v="23"/>
    <n v="23"/>
    <n v="1"/>
    <s v="Espérance de Tunis"/>
    <s v="TUN-01"/>
    <s v="Group stage"/>
    <n v="0"/>
  </r>
  <r>
    <n v="1742"/>
    <s v="Tunisia"/>
    <s v="Tunisia (TUN)"/>
    <n v="16"/>
    <s v="GK"/>
    <x v="741"/>
    <d v="1997-01-28T00:00:00"/>
    <n v="25"/>
    <n v="5"/>
    <n v="0"/>
    <s v="CS Sfaxien"/>
    <s v="TUN-03"/>
    <s v="Group stage"/>
    <n v="0"/>
  </r>
  <r>
    <n v="1743"/>
    <s v="Tunisia"/>
    <s v="Tunisia (TUN)"/>
    <n v="17"/>
    <s v="MF"/>
    <x v="742"/>
    <d v="1995-05-10T00:00:00"/>
    <n v="27"/>
    <n v="49"/>
    <n v="3"/>
    <s v="1. FC Köln"/>
    <s v="GER-14"/>
    <s v="Group stage"/>
    <n v="0"/>
  </r>
  <r>
    <n v="1744"/>
    <s v="Tunisia"/>
    <s v="Tunisia (TUN)"/>
    <n v="18"/>
    <s v="MF"/>
    <x v="743"/>
    <d v="1994-02-28T00:00:00"/>
    <n v="28"/>
    <n v="31"/>
    <n v="1"/>
    <s v="Espérance de Tunis"/>
    <s v="TUN-01"/>
    <s v="Group stage"/>
    <n v="0"/>
  </r>
  <r>
    <n v="1745"/>
    <s v="Tunisia"/>
    <s v="Tunisia (TUN)"/>
    <n v="19"/>
    <s v="FW"/>
    <x v="744"/>
    <d v="1993-02-12T00:00:00"/>
    <n v="29"/>
    <n v="29"/>
    <n v="10"/>
    <s v="Zamalek"/>
    <s v="EGY-02"/>
    <s v="Group stage"/>
    <n v="0"/>
  </r>
  <r>
    <n v="1746"/>
    <s v="Tunisia"/>
    <s v="Tunisia (TUN)"/>
    <n v="20"/>
    <s v="DF"/>
    <x v="745"/>
    <d v="1996-06-25T00:00:00"/>
    <n v="26"/>
    <n v="34"/>
    <n v="3"/>
    <s v="Luzern"/>
    <s v="SWI-03"/>
    <s v="Group stage"/>
    <n v="0"/>
  </r>
  <r>
    <n v="1747"/>
    <s v="Tunisia"/>
    <s v="Tunisia (TUN)"/>
    <n v="21"/>
    <s v="DF"/>
    <x v="746"/>
    <d v="1995-11-05T00:00:00"/>
    <n v="27"/>
    <n v="19"/>
    <n v="0"/>
    <s v="Atromitos"/>
    <s v="GRE-04"/>
    <s v="Group stage"/>
    <n v="0"/>
  </r>
  <r>
    <n v="1748"/>
    <s v="Tunisia"/>
    <s v="Tunisia (TUN)"/>
    <n v="22"/>
    <s v="GK"/>
    <x v="747"/>
    <d v="1992-11-29T00:00:00"/>
    <n v="29"/>
    <n v="10"/>
    <n v="0"/>
    <s v="US Monastir"/>
    <s v="TUN-05"/>
    <s v="Group stage"/>
    <n v="0"/>
  </r>
  <r>
    <n v="1749"/>
    <s v="Tunisia"/>
    <s v="Tunisia (TUN)"/>
    <n v="23"/>
    <s v="FW"/>
    <x v="748"/>
    <d v="1992-07-27T00:00:00"/>
    <n v="30"/>
    <n v="69"/>
    <n v="14"/>
    <s v="Al-Ettifaq"/>
    <s v="SAU-08"/>
    <s v="Group stage"/>
    <n v="0"/>
  </r>
  <r>
    <n v="1750"/>
    <s v="Tunisia"/>
    <s v="Tunisia (TUN)"/>
    <n v="24"/>
    <s v="DF"/>
    <x v="749"/>
    <d v="1993-12-20T00:00:00"/>
    <n v="28"/>
    <n v="10"/>
    <n v="2"/>
    <s v="Caen"/>
    <s v="FRA-17"/>
    <s v="Group stage"/>
    <n v="0"/>
  </r>
  <r>
    <n v="1751"/>
    <s v="Tunisia"/>
    <s v="Tunisia (TUN)"/>
    <n v="25"/>
    <s v="FW"/>
    <x v="750"/>
    <d v="2001-03-16T00:00:00"/>
    <n v="21"/>
    <n v="25"/>
    <n v="4"/>
    <s v="Brøndby"/>
    <s v="DEN-02"/>
    <s v="Group stage"/>
    <n v="0"/>
  </r>
  <r>
    <n v="1752"/>
    <s v="Tunisia"/>
    <s v="Tunisia (TUN)"/>
    <n v="26"/>
    <s v="GK"/>
    <x v="751"/>
    <d v="1995-03-05T00:00:00"/>
    <n v="27"/>
    <n v="20"/>
    <n v="0"/>
    <s v="Club Africain"/>
    <s v="TUN-02"/>
    <s v="Group stage"/>
    <n v="0"/>
  </r>
  <r>
    <n v="1753"/>
    <s v="Uruguay"/>
    <s v="Uruguay (URU)"/>
    <n v="1"/>
    <s v="GK"/>
    <x v="752"/>
    <d v="1986-06-16T00:00:00"/>
    <n v="36"/>
    <n v="133"/>
    <n v="0"/>
    <s v="Galatasaray"/>
    <s v="TUR-01"/>
    <s v="Group stage"/>
    <n v="0"/>
  </r>
  <r>
    <n v="1754"/>
    <s v="Uruguay"/>
    <s v="Uruguay (URU)"/>
    <n v="2"/>
    <s v="DF"/>
    <x v="753"/>
    <d v="1995-01-20T00:00:00"/>
    <n v="27"/>
    <n v="78"/>
    <n v="8"/>
    <s v="Atlético Madrid"/>
    <s v="ESP-03"/>
    <s v="Group stage"/>
    <n v="0"/>
  </r>
  <r>
    <n v="1755"/>
    <s v="Uruguay"/>
    <s v="Uruguay (URU)"/>
    <n v="3"/>
    <s v="DF"/>
    <x v="754"/>
    <d v="1986-02-16T00:00:00"/>
    <n v="36"/>
    <n v="159"/>
    <n v="8"/>
    <s v="Vélez Sarsfield"/>
    <s v="ARG-05"/>
    <s v="Group stage"/>
    <n v="0"/>
  </r>
  <r>
    <n v="1756"/>
    <s v="Uruguay"/>
    <s v="Uruguay (URU)"/>
    <n v="4"/>
    <s v="DF"/>
    <x v="755"/>
    <d v="1999-03-07T00:00:00"/>
    <n v="23"/>
    <n v="12"/>
    <n v="0"/>
    <s v="Barcelona"/>
    <s v="ESP-01"/>
    <s v="Group stage"/>
    <n v="0"/>
  </r>
  <r>
    <n v="1757"/>
    <s v="Uruguay"/>
    <s v="Uruguay (URU)"/>
    <n v="5"/>
    <s v="MF"/>
    <x v="756"/>
    <d v="1991-08-24T00:00:00"/>
    <n v="31"/>
    <n v="62"/>
    <n v="4"/>
    <s v="Lazio"/>
    <s v="ITA-13"/>
    <s v="Group stage"/>
    <n v="0"/>
  </r>
  <r>
    <n v="1758"/>
    <s v="Uruguay"/>
    <s v="Uruguay (URU)"/>
    <n v="6"/>
    <s v="MF"/>
    <x v="757"/>
    <d v="1997-06-25T00:00:00"/>
    <n v="25"/>
    <n v="51"/>
    <n v="1"/>
    <s v="Tottenham Hotspur"/>
    <s v="ENG-04"/>
    <s v="Group stage"/>
    <n v="0"/>
  </r>
  <r>
    <n v="1759"/>
    <s v="Uruguay"/>
    <s v="Uruguay (URU)"/>
    <n v="7"/>
    <s v="MF"/>
    <x v="758"/>
    <d v="1997-06-01T00:00:00"/>
    <n v="25"/>
    <n v="17"/>
    <n v="2"/>
    <s v="River Plate"/>
    <s v="ARG-01"/>
    <s v="Group stage"/>
    <n v="0"/>
  </r>
  <r>
    <n v="1760"/>
    <s v="Uruguay"/>
    <s v="Uruguay (URU)"/>
    <n v="8"/>
    <s v="FW"/>
    <x v="759"/>
    <d v="2001-12-20T00:00:00"/>
    <n v="20"/>
    <n v="7"/>
    <n v="0"/>
    <s v="Manchester United"/>
    <s v="ENG-02"/>
    <s v="Group stage"/>
    <n v="0"/>
  </r>
  <r>
    <n v="1761"/>
    <s v="Uruguay"/>
    <s v="Uruguay (URU)"/>
    <n v="9"/>
    <s v="FW"/>
    <x v="760"/>
    <d v="1987-01-24T00:00:00"/>
    <n v="35"/>
    <n v="134"/>
    <n v="68"/>
    <s v="Nacional"/>
    <s v="URU-01"/>
    <s v="Group stage"/>
    <n v="0"/>
  </r>
  <r>
    <n v="1762"/>
    <s v="Uruguay"/>
    <s v="Uruguay (URU)"/>
    <n v="10"/>
    <s v="MF"/>
    <x v="761"/>
    <d v="1994-06-01T00:00:00"/>
    <n v="28"/>
    <n v="40"/>
    <n v="8"/>
    <s v="Flamengo"/>
    <s v="BRA-01"/>
    <s v="Group stage"/>
    <n v="0"/>
  </r>
  <r>
    <n v="1763"/>
    <s v="Uruguay"/>
    <s v="Uruguay (URU)"/>
    <n v="11"/>
    <s v="FW"/>
    <x v="762"/>
    <d v="1999-06-24T00:00:00"/>
    <n v="23"/>
    <n v="13"/>
    <n v="3"/>
    <s v="Liverpool"/>
    <s v="ENG-08"/>
    <s v="Group stage"/>
    <n v="0"/>
  </r>
  <r>
    <n v="1764"/>
    <s v="Uruguay"/>
    <s v="Uruguay (URU)"/>
    <n v="12"/>
    <s v="GK"/>
    <x v="763"/>
    <d v="1986-08-19T00:00:00"/>
    <n v="36"/>
    <n v="1"/>
    <n v="0"/>
    <s v="Independiente"/>
    <s v="ARG-02"/>
    <s v="Group stage"/>
    <n v="0"/>
  </r>
  <r>
    <n v="1765"/>
    <s v="Uruguay"/>
    <s v="Uruguay (URU)"/>
    <n v="13"/>
    <s v="DF"/>
    <x v="764"/>
    <d v="1993-03-24T00:00:00"/>
    <n v="29"/>
    <n v="9"/>
    <n v="0"/>
    <s v="Flamengo"/>
    <s v="BRA-01"/>
    <s v="Group stage"/>
    <n v="0"/>
  </r>
  <r>
    <n v="1766"/>
    <s v="Uruguay"/>
    <s v="Uruguay (URU)"/>
    <n v="14"/>
    <s v="MF"/>
    <x v="765"/>
    <d v="1996-02-11T00:00:00"/>
    <n v="26"/>
    <n v="40"/>
    <n v="0"/>
    <s v="Galatasaray"/>
    <s v="TUR-01"/>
    <s v="Group stage"/>
    <n v="0"/>
  </r>
  <r>
    <n v="1767"/>
    <s v="Uruguay"/>
    <s v="Uruguay (URU)"/>
    <n v="15"/>
    <s v="MF"/>
    <x v="766"/>
    <d v="1998-07-22T00:00:00"/>
    <n v="24"/>
    <n v="44"/>
    <n v="4"/>
    <s v="Real Madrid"/>
    <s v="ESP-02"/>
    <s v="Group stage"/>
    <n v="0"/>
  </r>
  <r>
    <n v="1768"/>
    <s v="Uruguay"/>
    <s v="Uruguay (URU)"/>
    <n v="16"/>
    <s v="DF"/>
    <x v="767"/>
    <d v="1997-10-31T00:00:00"/>
    <n v="25"/>
    <n v="8"/>
    <n v="0"/>
    <s v="Napoli"/>
    <s v="ITA-04"/>
    <s v="Group stage"/>
    <n v="0"/>
  </r>
  <r>
    <n v="1769"/>
    <s v="Uruguay"/>
    <s v="Uruguay (URU)"/>
    <n v="17"/>
    <s v="DF"/>
    <x v="768"/>
    <d v="1997-11-09T00:00:00"/>
    <n v="25"/>
    <n v="26"/>
    <n v="0"/>
    <s v="Roma"/>
    <s v="ITA-09"/>
    <s v="Group stage"/>
    <n v="0"/>
  </r>
  <r>
    <n v="1770"/>
    <s v="Uruguay"/>
    <s v="Uruguay (URU)"/>
    <n v="18"/>
    <s v="FW"/>
    <x v="769"/>
    <d v="1996-08-14T00:00:00"/>
    <n v="26"/>
    <n v="27"/>
    <n v="4"/>
    <s v="Trabzonspor"/>
    <s v="TUR-05"/>
    <s v="Group stage"/>
    <n v="0"/>
  </r>
  <r>
    <n v="1771"/>
    <s v="Uruguay"/>
    <s v="Uruguay (URU)"/>
    <n v="19"/>
    <s v="DF"/>
    <x v="770"/>
    <d v="1990-10-07T00:00:00"/>
    <n v="32"/>
    <n v="47"/>
    <n v="1"/>
    <s v="Sporting CP"/>
    <s v="POR-03"/>
    <s v="Group stage"/>
    <n v="0"/>
  </r>
  <r>
    <n v="1772"/>
    <s v="Uruguay"/>
    <s v="Uruguay (URU)"/>
    <n v="20"/>
    <s v="FW"/>
    <x v="771"/>
    <d v="2000-04-13T00:00:00"/>
    <n v="22"/>
    <n v="10"/>
    <n v="0"/>
    <s v="Orlando City SC"/>
    <s v="USA-18"/>
    <s v="Group stage"/>
    <n v="0"/>
  </r>
  <r>
    <n v="1773"/>
    <s v="Uruguay"/>
    <s v="Uruguay (URU)"/>
    <n v="21"/>
    <s v="FW"/>
    <x v="772"/>
    <d v="1987-02-14T00:00:00"/>
    <n v="35"/>
    <n v="133"/>
    <n v="58"/>
    <s v="Valencia"/>
    <s v="ESP-07"/>
    <s v="Group stage"/>
    <n v="0"/>
  </r>
  <r>
    <n v="1774"/>
    <s v="Uruguay"/>
    <s v="Uruguay (URU)"/>
    <n v="22"/>
    <s v="DF"/>
    <x v="773"/>
    <d v="1987-04-07T00:00:00"/>
    <n v="35"/>
    <n v="115"/>
    <n v="4"/>
    <s v="LA Galaxy"/>
    <s v="USA-14"/>
    <s v="Group stage"/>
    <n v="0"/>
  </r>
  <r>
    <n v="1775"/>
    <s v="Uruguay"/>
    <s v="Uruguay (URU)"/>
    <n v="23"/>
    <s v="GK"/>
    <x v="774"/>
    <d v="1993-03-23T00:00:00"/>
    <n v="29"/>
    <n v="8"/>
    <n v="0"/>
    <s v="Nacional"/>
    <s v="URU-01"/>
    <s v="Group stage"/>
    <n v="0"/>
  </r>
  <r>
    <n v="1776"/>
    <s v="Uruguay"/>
    <s v="Uruguay (URU)"/>
    <n v="24"/>
    <s v="MF"/>
    <x v="775"/>
    <d v="1998-10-01T00:00:00"/>
    <n v="24"/>
    <n v="3"/>
    <n v="0"/>
    <s v="Athletico Paranaense"/>
    <s v="BRA-02"/>
    <s v="Group stage"/>
    <n v="0"/>
  </r>
  <r>
    <n v="1777"/>
    <s v="Uruguay"/>
    <s v="Uruguay (URU)"/>
    <n v="25"/>
    <s v="MF"/>
    <x v="776"/>
    <d v="2001-04-11T00:00:00"/>
    <n v="21"/>
    <n v="6"/>
    <n v="0"/>
    <s v="Sporting CP"/>
    <s v="POR-03"/>
    <s v="Group stage"/>
    <n v="0"/>
  </r>
  <r>
    <n v="1778"/>
    <s v="Uruguay"/>
    <s v="Uruguay (URU)"/>
    <n v="26"/>
    <s v="DF"/>
    <x v="777"/>
    <d v="1997-03-14T00:00:00"/>
    <n v="25"/>
    <n v="0"/>
    <n v="0"/>
    <s v="Nacional"/>
    <s v="URU-01"/>
    <s v="Group stage"/>
    <n v="0"/>
  </r>
  <r>
    <n v="1779"/>
    <s v="USA"/>
    <s v="USA (USA)"/>
    <n v="1"/>
    <s v="GK"/>
    <x v="778"/>
    <d v="1994-06-24T00:00:00"/>
    <n v="28"/>
    <n v="20"/>
    <n v="0"/>
    <s v="Arsenal"/>
    <s v="ENG-05"/>
    <s v="Last 16"/>
    <n v="0"/>
  </r>
  <r>
    <n v="1780"/>
    <s v="USA"/>
    <s v="USA (USA)"/>
    <n v="2"/>
    <s v="DF"/>
    <x v="779"/>
    <d v="2000-11-03T00:00:00"/>
    <n v="22"/>
    <n v="19"/>
    <n v="2"/>
    <s v="Milan"/>
    <s v="ITA-02"/>
    <s v="Last 16"/>
    <n v="0"/>
  </r>
  <r>
    <n v="1781"/>
    <s v="USA"/>
    <s v="USA (USA)"/>
    <n v="3"/>
    <s v="DF"/>
    <x v="780"/>
    <d v="1993-05-19T00:00:00"/>
    <n v="29"/>
    <n v="33"/>
    <n v="3"/>
    <s v="Nashville SC"/>
    <s v="USA-05"/>
    <s v="Last 16"/>
    <n v="0"/>
  </r>
  <r>
    <n v="1782"/>
    <s v="USA"/>
    <s v="USA (USA)"/>
    <n v="4"/>
    <s v="MF"/>
    <x v="781"/>
    <d v="1999-02-14T00:00:00"/>
    <n v="23"/>
    <n v="32"/>
    <n v="1"/>
    <s v="Leeds United"/>
    <s v="ENG-17"/>
    <s v="Last 16"/>
    <n v="0"/>
  </r>
  <r>
    <n v="1783"/>
    <s v="USA"/>
    <s v="USA (USA)"/>
    <n v="5"/>
    <s v="DF"/>
    <x v="782"/>
    <d v="1997-08-08T00:00:00"/>
    <n v="25"/>
    <n v="29"/>
    <n v="2"/>
    <s v="Fulham"/>
    <s v="ENG-10"/>
    <s v="Last 16"/>
    <n v="0"/>
  </r>
  <r>
    <n v="1784"/>
    <s v="USA"/>
    <s v="USA (USA)"/>
    <n v="6"/>
    <s v="MF"/>
    <x v="783"/>
    <d v="2002-11-29T00:00:00"/>
    <n v="19"/>
    <n v="19"/>
    <n v="0"/>
    <s v="Valencia"/>
    <s v="ESP-07"/>
    <s v="Last 16"/>
    <n v="0"/>
  </r>
  <r>
    <n v="1785"/>
    <s v="USA"/>
    <s v="USA (USA)"/>
    <n v="7"/>
    <s v="FW"/>
    <x v="784"/>
    <d v="2002-11-13T00:00:00"/>
    <n v="20"/>
    <n v="14"/>
    <n v="4"/>
    <s v="Borussia Dortmund"/>
    <s v="GER-02"/>
    <s v="Last 16"/>
    <n v="0"/>
  </r>
  <r>
    <n v="1786"/>
    <s v="USA"/>
    <s v="USA (USA)"/>
    <n v="8"/>
    <s v="MF"/>
    <x v="785"/>
    <d v="1998-08-28T00:00:00"/>
    <n v="24"/>
    <n v="37"/>
    <n v="9"/>
    <s v="Juventus"/>
    <s v="ITA-01"/>
    <s v="Last 16"/>
    <n v="0"/>
  </r>
  <r>
    <n v="1787"/>
    <s v="USA"/>
    <s v="USA (USA)"/>
    <n v="9"/>
    <s v="FW"/>
    <x v="786"/>
    <d v="2000-12-24T00:00:00"/>
    <n v="21"/>
    <n v="15"/>
    <n v="7"/>
    <s v="FC Dallas"/>
    <s v="USA-11"/>
    <s v="Last 16"/>
    <n v="0"/>
  </r>
  <r>
    <n v="1788"/>
    <s v="USA"/>
    <s v="USA (USA)"/>
    <n v="10"/>
    <s v="FW"/>
    <x v="787"/>
    <d v="1998-09-18T00:00:00"/>
    <n v="24"/>
    <n v="52"/>
    <n v="21"/>
    <s v="Chelsea"/>
    <s v="ENG-03"/>
    <s v="Last 16"/>
    <n v="0"/>
  </r>
  <r>
    <n v="1789"/>
    <s v="USA"/>
    <s v="USA (USA)"/>
    <n v="11"/>
    <s v="FW"/>
    <x v="788"/>
    <d v="2000-10-22T00:00:00"/>
    <n v="22"/>
    <n v="24"/>
    <n v="6"/>
    <s v="Leeds United"/>
    <s v="ENG-17"/>
    <s v="Last 16"/>
    <n v="0"/>
  </r>
  <r>
    <n v="1790"/>
    <s v="USA"/>
    <s v="USA (USA)"/>
    <n v="12"/>
    <s v="GK"/>
    <x v="789"/>
    <d v="1995-06-09T00:00:00"/>
    <n v="27"/>
    <n v="8"/>
    <n v="0"/>
    <s v="Luton Town"/>
    <s v="ENG-25"/>
    <s v="Last 16"/>
    <n v="0"/>
  </r>
  <r>
    <n v="1791"/>
    <s v="USA"/>
    <s v="USA (USA)"/>
    <n v="13"/>
    <s v="DF"/>
    <x v="790"/>
    <d v="1987-10-05T00:00:00"/>
    <n v="35"/>
    <n v="46"/>
    <n v="1"/>
    <s v="Fulham"/>
    <s v="ENG-10"/>
    <s v="Last 16"/>
    <n v="0"/>
  </r>
  <r>
    <n v="1792"/>
    <s v="USA"/>
    <s v="USA (USA)"/>
    <n v="14"/>
    <s v="MF"/>
    <x v="791"/>
    <d v="1998-05-23T00:00:00"/>
    <n v="24"/>
    <n v="12"/>
    <n v="0"/>
    <s v="Celta Vigo"/>
    <s v="ESP-09"/>
    <s v="Last 16"/>
    <n v="0"/>
  </r>
  <r>
    <n v="1793"/>
    <s v="USA"/>
    <s v="USA (USA)"/>
    <n v="15"/>
    <s v="DF"/>
    <x v="792"/>
    <d v="1992-10-12T00:00:00"/>
    <n v="30"/>
    <n v="29"/>
    <n v="3"/>
    <s v="New York Red Bulls"/>
    <s v="USA-17"/>
    <s v="Last 16"/>
    <n v="0"/>
  </r>
  <r>
    <n v="1794"/>
    <s v="USA"/>
    <s v="USA (USA)"/>
    <n v="16"/>
    <s v="FW"/>
    <x v="793"/>
    <d v="1994-10-26T00:00:00"/>
    <n v="28"/>
    <n v="49"/>
    <n v="11"/>
    <s v="Seattle Sounders FC"/>
    <s v="USA-03"/>
    <s v="Last 16"/>
    <n v="0"/>
  </r>
  <r>
    <n v="1795"/>
    <s v="USA"/>
    <s v="USA (USA)"/>
    <n v="17"/>
    <s v="MF"/>
    <x v="794"/>
    <d v="1995-06-03T00:00:00"/>
    <n v="27"/>
    <n v="32"/>
    <n v="0"/>
    <s v="Seattle Sounders FC"/>
    <s v="USA-03"/>
    <s v="Last 16"/>
    <n v="0"/>
  </r>
  <r>
    <n v="1796"/>
    <s v="USA"/>
    <s v="USA (USA)"/>
    <n v="18"/>
    <s v="DF"/>
    <x v="795"/>
    <d v="1996-11-02T00:00:00"/>
    <n v="26"/>
    <n v="15"/>
    <n v="1"/>
    <s v="Nashville SC"/>
    <s v="USA-05"/>
    <s v="Last 16"/>
    <n v="0"/>
  </r>
  <r>
    <n v="1797"/>
    <s v="USA"/>
    <s v="USA (USA)"/>
    <n v="19"/>
    <s v="FW"/>
    <x v="796"/>
    <d v="1998-03-27T00:00:00"/>
    <n v="24"/>
    <n v="3"/>
    <n v="1"/>
    <s v="Antalyaspor"/>
    <s v="TUR-07"/>
    <s v="Last 16"/>
    <n v="0"/>
  </r>
  <r>
    <n v="1798"/>
    <s v="USA"/>
    <s v="USA (USA)"/>
    <n v="20"/>
    <s v="DF"/>
    <x v="797"/>
    <d v="1997-12-31T00:00:00"/>
    <n v="24"/>
    <n v="11"/>
    <n v="0"/>
    <s v="Celtic"/>
    <s v="SCO-01"/>
    <s v="Last 16"/>
    <n v="0"/>
  </r>
  <r>
    <n v="1799"/>
    <s v="USA"/>
    <s v="USA (USA)"/>
    <n v="21"/>
    <s v="FW"/>
    <x v="798"/>
    <d v="2000-02-22T00:00:00"/>
    <n v="22"/>
    <n v="25"/>
    <n v="3"/>
    <s v="Lille"/>
    <s v="FRA-08"/>
    <s v="Last 16"/>
    <n v="0"/>
  </r>
  <r>
    <n v="1800"/>
    <s v="USA"/>
    <s v="USA (USA)"/>
    <n v="22"/>
    <s v="DF"/>
    <x v="799"/>
    <d v="1993-07-09T00:00:00"/>
    <n v="29"/>
    <n v="75"/>
    <n v="0"/>
    <s v="Inter Miami CF"/>
    <s v="USA-13"/>
    <s v="Last 16"/>
    <n v="0"/>
  </r>
  <r>
    <n v="1801"/>
    <s v="USA"/>
    <s v="USA (USA)"/>
    <n v="23"/>
    <s v="MF"/>
    <x v="800"/>
    <d v="1995-07-24T00:00:00"/>
    <n v="27"/>
    <n v="53"/>
    <n v="2"/>
    <s v="Los Angeles FC"/>
    <s v="USA-02"/>
    <s v="Last 16"/>
    <n v="0"/>
  </r>
  <r>
    <n v="1802"/>
    <s v="USA"/>
    <s v="USA (USA)"/>
    <n v="24"/>
    <s v="FW"/>
    <x v="801"/>
    <d v="2000-02-20T00:00:00"/>
    <n v="22"/>
    <n v="20"/>
    <n v="5"/>
    <s v="Norwich City"/>
    <s v="ENG-35"/>
    <s v="Last 16"/>
    <n v="0"/>
  </r>
  <r>
    <n v="1803"/>
    <s v="USA"/>
    <s v="USA (USA)"/>
    <n v="25"/>
    <s v="GK"/>
    <x v="802"/>
    <d v="1989-05-31T00:00:00"/>
    <n v="33"/>
    <n v="10"/>
    <n v="0"/>
    <s v="New York City FC"/>
    <s v="USA-16"/>
    <s v="Last 16"/>
    <n v="0"/>
  </r>
  <r>
    <n v="1804"/>
    <s v="USA"/>
    <s v="USA (USA)"/>
    <n v="26"/>
    <s v="DF"/>
    <x v="803"/>
    <d v="2002-12-31T00:00:00"/>
    <n v="19"/>
    <n v="3"/>
    <n v="0"/>
    <s v="Borussia Mönchengladbach"/>
    <s v="GER-05"/>
    <s v="Last 16"/>
    <n v="0"/>
  </r>
  <r>
    <n v="1805"/>
    <s v="Wales"/>
    <s v="Wales (WAL)"/>
    <n v="1"/>
    <s v="GK"/>
    <x v="804"/>
    <d v="1987-01-24T00:00:00"/>
    <n v="35"/>
    <n v="106"/>
    <n v="0"/>
    <s v="Nottingham Forest"/>
    <s v="ENG-12"/>
    <s v="Group stage"/>
    <n v="0"/>
  </r>
  <r>
    <n v="1806"/>
    <s v="Wales"/>
    <s v="Wales (WAL)"/>
    <n v="2"/>
    <s v="DF"/>
    <x v="805"/>
    <d v="1989-07-21T00:00:00"/>
    <n v="33"/>
    <n v="109"/>
    <n v="0"/>
    <s v="AFC Wimbledon"/>
    <s v="ENG-30"/>
    <s v="Group stage"/>
    <n v="0"/>
  </r>
  <r>
    <n v="1807"/>
    <s v="Wales"/>
    <s v="Wales (WAL)"/>
    <n v="3"/>
    <s v="DF"/>
    <x v="806"/>
    <d v="2001-04-13T00:00:00"/>
    <n v="21"/>
    <n v="23"/>
    <n v="2"/>
    <s v="Nottingham Forest"/>
    <s v="ENG-12"/>
    <s v="Group stage"/>
    <n v="0"/>
  </r>
  <r>
    <n v="1808"/>
    <s v="Wales"/>
    <s v="Wales (WAL)"/>
    <n v="4"/>
    <s v="DF"/>
    <x v="807"/>
    <d v="1993-04-24T00:00:00"/>
    <n v="29"/>
    <n v="74"/>
    <n v="1"/>
    <s v="Tottenham Hotspur"/>
    <s v="ENG-04"/>
    <s v="Group stage"/>
    <n v="0"/>
  </r>
  <r>
    <n v="1809"/>
    <s v="Wales"/>
    <s v="Wales (WAL)"/>
    <n v="5"/>
    <s v="DF"/>
    <x v="808"/>
    <d v="1997-11-05T00:00:00"/>
    <n v="25"/>
    <n v="33"/>
    <n v="0"/>
    <s v="Bournemouth"/>
    <s v="ENG-21"/>
    <s v="Group stage"/>
    <n v="0"/>
  </r>
  <r>
    <n v="1810"/>
    <s v="Wales"/>
    <s v="Wales (WAL)"/>
    <n v="6"/>
    <s v="DF"/>
    <x v="809"/>
    <d v="1997-10-22T00:00:00"/>
    <n v="25"/>
    <n v="30"/>
    <n v="0"/>
    <s v="Rennes"/>
    <s v="FRA-02"/>
    <s v="Group stage"/>
    <n v="0"/>
  </r>
  <r>
    <n v="1811"/>
    <s v="Wales"/>
    <s v="Wales (WAL)"/>
    <n v="7"/>
    <s v="MF"/>
    <x v="810"/>
    <d v="1990-03-14T00:00:00"/>
    <n v="32"/>
    <n v="72"/>
    <n v="2"/>
    <s v="Swansea City"/>
    <s v="ENG-19"/>
    <s v="Group stage"/>
    <n v="0"/>
  </r>
  <r>
    <n v="1812"/>
    <s v="Wales"/>
    <s v="Wales (WAL)"/>
    <n v="8"/>
    <s v="MF"/>
    <x v="811"/>
    <d v="1997-03-22T00:00:00"/>
    <n v="25"/>
    <n v="39"/>
    <n v="5"/>
    <s v="Fulham"/>
    <s v="ENG-10"/>
    <s v="Group stage"/>
    <n v="0"/>
  </r>
  <r>
    <n v="1813"/>
    <s v="Wales"/>
    <s v="Wales (WAL)"/>
    <n v="9"/>
    <s v="FW"/>
    <x v="812"/>
    <d v="2001-05-23T00:00:00"/>
    <n v="21"/>
    <n v="15"/>
    <n v="2"/>
    <s v="Nottingham Forest"/>
    <s v="ENG-12"/>
    <s v="Group stage"/>
    <n v="0"/>
  </r>
  <r>
    <n v="1814"/>
    <s v="Wales"/>
    <s v="Wales (WAL)"/>
    <n v="10"/>
    <s v="MF"/>
    <x v="813"/>
    <d v="1990-12-26T00:00:00"/>
    <n v="31"/>
    <n v="75"/>
    <n v="20"/>
    <s v="Nice"/>
    <s v="FRA-11"/>
    <s v="Group stage"/>
    <n v="0"/>
  </r>
  <r>
    <n v="1815"/>
    <s v="Wales"/>
    <s v="Wales (WAL)"/>
    <n v="11"/>
    <s v="FW"/>
    <x v="814"/>
    <d v="1989-07-16T00:00:00"/>
    <n v="33"/>
    <n v="108"/>
    <n v="40"/>
    <s v="Los Angeles FC"/>
    <s v="USA-02"/>
    <s v="Group stage"/>
    <n v="0"/>
  </r>
  <r>
    <n v="1816"/>
    <s v="Wales"/>
    <s v="Wales (WAL)"/>
    <n v="12"/>
    <s v="GK"/>
    <x v="815"/>
    <d v="1993-06-22T00:00:00"/>
    <n v="29"/>
    <n v="26"/>
    <n v="0"/>
    <s v="Leicester City"/>
    <s v="ENG-07"/>
    <s v="Group stage"/>
    <n v="0"/>
  </r>
  <r>
    <n v="1817"/>
    <s v="Wales"/>
    <s v="Wales (WAL)"/>
    <n v="13"/>
    <s v="FW"/>
    <x v="816"/>
    <d v="1992-08-08T00:00:00"/>
    <n v="30"/>
    <n v="28"/>
    <n v="9"/>
    <s v="Bournemouth"/>
    <s v="ENG-21"/>
    <s v="Group stage"/>
    <n v="0"/>
  </r>
  <r>
    <n v="1818"/>
    <s v="Wales"/>
    <s v="Wales (WAL)"/>
    <n v="14"/>
    <s v="DF"/>
    <x v="817"/>
    <d v="1995-09-23T00:00:00"/>
    <n v="27"/>
    <n v="41"/>
    <n v="3"/>
    <s v="Burnley"/>
    <s v="ENG-22"/>
    <s v="Group stage"/>
    <n v="0"/>
  </r>
  <r>
    <n v="1819"/>
    <s v="Wales"/>
    <s v="Wales (WAL)"/>
    <n v="15"/>
    <s v="DF"/>
    <x v="818"/>
    <d v="2000-09-14T00:00:00"/>
    <n v="22"/>
    <n v="37"/>
    <n v="0"/>
    <s v="Spezia"/>
    <s v="ITA-14"/>
    <s v="Group stage"/>
    <n v="0"/>
  </r>
  <r>
    <n v="1820"/>
    <s v="Wales"/>
    <s v="Wales (WAL)"/>
    <n v="16"/>
    <s v="MF"/>
    <x v="819"/>
    <d v="1997-01-03T00:00:00"/>
    <n v="25"/>
    <n v="30"/>
    <n v="0"/>
    <s v="Portsmouth"/>
    <s v="ENG-36"/>
    <s v="Group stage"/>
    <n v="0"/>
  </r>
  <r>
    <n v="1821"/>
    <s v="Wales"/>
    <s v="Wales (WAL)"/>
    <n v="17"/>
    <s v="DF"/>
    <x v="820"/>
    <d v="1994-12-03T00:00:00"/>
    <n v="27"/>
    <n v="14"/>
    <n v="0"/>
    <s v="Luton Town"/>
    <s v="ENG-25"/>
    <s v="Group stage"/>
    <n v="0"/>
  </r>
  <r>
    <n v="1822"/>
    <s v="Wales"/>
    <s v="Wales (WAL)"/>
    <n v="18"/>
    <s v="MF"/>
    <x v="821"/>
    <d v="1993-10-09T00:00:00"/>
    <n v="29"/>
    <n v="33"/>
    <n v="2"/>
    <s v="Swindon Town"/>
    <s v="ENG-38"/>
    <s v="Group stage"/>
    <n v="0"/>
  </r>
  <r>
    <n v="1823"/>
    <s v="Wales"/>
    <s v="Wales (WAL)"/>
    <n v="19"/>
    <s v="FW"/>
    <x v="822"/>
    <d v="1998-12-29T00:00:00"/>
    <n v="23"/>
    <n v="5"/>
    <n v="0"/>
    <s v="Cardiff City"/>
    <s v="ENG-23"/>
    <s v="Group stage"/>
    <n v="0"/>
  </r>
  <r>
    <n v="1824"/>
    <s v="Wales"/>
    <s v="Wales (WAL)"/>
    <n v="20"/>
    <s v="FW"/>
    <x v="823"/>
    <d v="1997-11-10T00:00:00"/>
    <n v="25"/>
    <n v="38"/>
    <n v="5"/>
    <s v="Fulham"/>
    <s v="ENG-10"/>
    <s v="Group stage"/>
    <n v="0"/>
  </r>
  <r>
    <n v="1825"/>
    <s v="Wales"/>
    <s v="Wales (WAL)"/>
    <n v="21"/>
    <s v="GK"/>
    <x v="824"/>
    <d v="1992-07-17T00:00:00"/>
    <n v="30"/>
    <n v="4"/>
    <n v="0"/>
    <s v="Sheffield United"/>
    <s v="ENG-27"/>
    <s v="Group stage"/>
    <n v="0"/>
  </r>
  <r>
    <n v="1826"/>
    <s v="Wales"/>
    <s v="Wales (WAL)"/>
    <n v="22"/>
    <s v="MF"/>
    <x v="825"/>
    <d v="1999-01-25T00:00:00"/>
    <n v="23"/>
    <n v="6"/>
    <n v="0"/>
    <s v="Huddersfield Town"/>
    <s v="ENG-32"/>
    <s v="Group stage"/>
    <n v="0"/>
  </r>
  <r>
    <n v="1827"/>
    <s v="Wales"/>
    <s v="Wales (WAL)"/>
    <n v="23"/>
    <s v="MF"/>
    <x v="826"/>
    <d v="2000-11-17T00:00:00"/>
    <n v="22"/>
    <n v="13"/>
    <n v="0"/>
    <s v="Dundee United"/>
    <s v="SCO-03"/>
    <s v="Group stage"/>
    <n v="0"/>
  </r>
  <r>
    <n v="1828"/>
    <s v="Wales"/>
    <s v="Wales (WAL)"/>
    <n v="24"/>
    <s v="DF"/>
    <x v="827"/>
    <d v="2000-05-30T00:00:00"/>
    <n v="22"/>
    <n v="5"/>
    <n v="0"/>
    <s v="Swansea City"/>
    <s v="ENG-19"/>
    <s v="Group stage"/>
    <n v="0"/>
  </r>
  <r>
    <n v="1829"/>
    <s v="Wales"/>
    <s v="Wales (WAL)"/>
    <n v="25"/>
    <s v="MF"/>
    <x v="828"/>
    <d v="2002-04-27T00:00:00"/>
    <n v="20"/>
    <n v="7"/>
    <n v="1"/>
    <s v="Cardiff City"/>
    <s v="ENG-23"/>
    <s v="Group stage"/>
    <n v="0"/>
  </r>
  <r>
    <n v="1830"/>
    <s v="Wales"/>
    <s v="Wales (WAL)"/>
    <n v="26"/>
    <s v="MF"/>
    <x v="829"/>
    <d v="1999-11-22T00:00:00"/>
    <n v="22"/>
    <n v="19"/>
    <n v="0"/>
    <s v="Milton Keynes Dons"/>
    <s v="ENG-34"/>
    <s v="Group stage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EAC199-FBD4-4226-BD1F-84CFEBC260F2}" name="PivotTable1" cacheId="6" applyNumberFormats="0" applyBorderFormats="0" applyFontFormats="0" applyPatternFormats="0" applyAlignmentFormats="0" applyWidthHeightFormats="1" dataCaption="Values" tag="6e5237b9-d876-4152-b5c1-c591a19205fc" updatedVersion="8" minRefreshableVersion="3" useAutoFormatting="1" subtotalHiddenItems="1" itemPrintTitles="1" createdVersion="5" indent="0" outline="1" outlineData="1" multipleFieldFilters="0" chartFormat="10" rowHeaderCaption="Clubs">
  <location ref="I2:J33" firstHeaderRow="1" firstDataRow="1" firstDataCol="1"/>
  <pivotFields count="2">
    <pivotField axis="axisRow" allDrilled="1" subtotalTop="0" showAll="0" measureFilter="1" sortType="descending" defaultSubtotal="0" defaultAttributeDrillState="1">
      <items count="29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31">
    <i>
      <x v="7"/>
    </i>
    <i>
      <x v="21"/>
    </i>
    <i>
      <x v="8"/>
    </i>
    <i>
      <x v="4"/>
    </i>
    <i>
      <x v="22"/>
    </i>
    <i>
      <x v="26"/>
    </i>
    <i>
      <x v="6"/>
    </i>
    <i>
      <x v="2"/>
    </i>
    <i>
      <x v="15"/>
    </i>
    <i>
      <x v="24"/>
    </i>
    <i>
      <x v="18"/>
    </i>
    <i>
      <x v="29"/>
    </i>
    <i>
      <x v="10"/>
    </i>
    <i>
      <x/>
    </i>
    <i>
      <x v="28"/>
    </i>
    <i>
      <x v="5"/>
    </i>
    <i>
      <x v="13"/>
    </i>
    <i>
      <x v="16"/>
    </i>
    <i>
      <x v="27"/>
    </i>
    <i>
      <x v="25"/>
    </i>
    <i>
      <x v="23"/>
    </i>
    <i>
      <x v="17"/>
    </i>
    <i>
      <x v="1"/>
    </i>
    <i>
      <x v="19"/>
    </i>
    <i>
      <x v="20"/>
    </i>
    <i>
      <x v="3"/>
    </i>
    <i>
      <x v="9"/>
    </i>
    <i>
      <x v="11"/>
    </i>
    <i>
      <x v="12"/>
    </i>
    <i>
      <x v="14"/>
    </i>
    <i t="grand">
      <x/>
    </i>
  </rowItems>
  <colItems count="1">
    <i/>
  </colItems>
  <dataFields count="1">
    <dataField name="Sum of Players Represented At World Cup" fld="1" baseField="0" baseItem="0"/>
  </dataFields>
  <formats count="13">
    <format dxfId="155">
      <pivotArea type="all" dataOnly="0" outline="0" fieldPosition="0"/>
    </format>
    <format dxfId="154">
      <pivotArea outline="0" collapsedLevelsAreSubtotals="1" fieldPosition="0"/>
    </format>
    <format dxfId="153">
      <pivotArea field="0" type="button" dataOnly="0" labelOnly="1" outline="0" axis="axisRow" fieldPosition="0"/>
    </format>
    <format dxfId="152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4"/>
            <x v="49"/>
            <x v="108"/>
            <x v="130"/>
            <x v="131"/>
            <x v="146"/>
            <x v="155"/>
            <x v="156"/>
            <x v="173"/>
            <x v="181"/>
            <x v="188"/>
            <x v="189"/>
            <x v="195"/>
            <x v="199"/>
            <x v="203"/>
            <x v="219"/>
            <x v="228"/>
            <x v="243"/>
            <x v="268"/>
            <x v="290"/>
          </reference>
        </references>
      </pivotArea>
    </format>
    <format dxfId="151">
      <pivotArea dataOnly="0" labelOnly="1" fieldPosition="0">
        <references count="1">
          <reference field="0" count="50">
            <x v="39"/>
            <x v="45"/>
            <x v="53"/>
            <x v="58"/>
            <x v="61"/>
            <x v="62"/>
            <x v="63"/>
            <x v="71"/>
            <x v="73"/>
            <x v="88"/>
            <x v="89"/>
            <x v="99"/>
            <x v="102"/>
            <x v="112"/>
            <x v="113"/>
            <x v="116"/>
            <x v="118"/>
            <x v="126"/>
            <x v="127"/>
            <x v="128"/>
            <x v="133"/>
            <x v="142"/>
            <x v="145"/>
            <x v="166"/>
            <x v="170"/>
            <x v="179"/>
            <x v="192"/>
            <x v="205"/>
            <x v="210"/>
            <x v="215"/>
            <x v="221"/>
            <x v="227"/>
            <x v="231"/>
            <x v="232"/>
            <x v="235"/>
            <x v="236"/>
            <x v="237"/>
            <x v="241"/>
            <x v="245"/>
            <x v="256"/>
            <x v="264"/>
            <x v="269"/>
            <x v="274"/>
            <x v="279"/>
            <x v="284"/>
            <x v="286"/>
            <x v="287"/>
            <x v="291"/>
            <x v="292"/>
            <x v="293"/>
          </reference>
        </references>
      </pivotArea>
    </format>
    <format dxfId="150">
      <pivotArea dataOnly="0" labelOnly="1" fieldPosition="0">
        <references count="1">
          <reference field="0" count="50">
            <x v="31"/>
            <x v="32"/>
            <x v="38"/>
            <x v="41"/>
            <x v="46"/>
            <x v="48"/>
            <x v="52"/>
            <x v="55"/>
            <x v="56"/>
            <x v="70"/>
            <x v="74"/>
            <x v="75"/>
            <x v="76"/>
            <x v="77"/>
            <x v="81"/>
            <x v="82"/>
            <x v="87"/>
            <x v="95"/>
            <x v="96"/>
            <x v="109"/>
            <x v="121"/>
            <x v="135"/>
            <x v="137"/>
            <x v="159"/>
            <x v="161"/>
            <x v="163"/>
            <x v="169"/>
            <x v="171"/>
            <x v="176"/>
            <x v="177"/>
            <x v="178"/>
            <x v="180"/>
            <x v="183"/>
            <x v="190"/>
            <x v="196"/>
            <x v="201"/>
            <x v="204"/>
            <x v="208"/>
            <x v="224"/>
            <x v="234"/>
            <x v="246"/>
            <x v="250"/>
            <x v="254"/>
            <x v="255"/>
            <x v="262"/>
            <x v="263"/>
            <x v="271"/>
            <x v="272"/>
            <x v="280"/>
            <x v="289"/>
          </reference>
        </references>
      </pivotArea>
    </format>
    <format dxfId="149">
      <pivotArea dataOnly="0" labelOnly="1" fieldPosition="0">
        <references count="1">
          <reference field="0" count="50">
            <x v="33"/>
            <x v="35"/>
            <x v="37"/>
            <x v="42"/>
            <x v="47"/>
            <x v="54"/>
            <x v="57"/>
            <x v="59"/>
            <x v="66"/>
            <x v="72"/>
            <x v="85"/>
            <x v="93"/>
            <x v="97"/>
            <x v="98"/>
            <x v="100"/>
            <x v="101"/>
            <x v="103"/>
            <x v="104"/>
            <x v="105"/>
            <x v="106"/>
            <x v="107"/>
            <x v="110"/>
            <x v="124"/>
            <x v="136"/>
            <x v="138"/>
            <x v="144"/>
            <x v="154"/>
            <x v="157"/>
            <x v="158"/>
            <x v="160"/>
            <x v="168"/>
            <x v="172"/>
            <x v="174"/>
            <x v="175"/>
            <x v="182"/>
            <x v="184"/>
            <x v="233"/>
            <x v="238"/>
            <x v="239"/>
            <x v="240"/>
            <x v="242"/>
            <x v="244"/>
            <x v="247"/>
            <x v="249"/>
            <x v="253"/>
            <x v="257"/>
            <x v="261"/>
            <x v="265"/>
            <x v="276"/>
            <x v="288"/>
          </reference>
        </references>
      </pivotArea>
    </format>
    <format dxfId="148">
      <pivotArea dataOnly="0" labelOnly="1" fieldPosition="0">
        <references count="1">
          <reference field="0" count="50">
            <x v="36"/>
            <x v="40"/>
            <x v="43"/>
            <x v="44"/>
            <x v="50"/>
            <x v="60"/>
            <x v="67"/>
            <x v="68"/>
            <x v="78"/>
            <x v="79"/>
            <x v="86"/>
            <x v="90"/>
            <x v="92"/>
            <x v="111"/>
            <x v="114"/>
            <x v="115"/>
            <x v="117"/>
            <x v="119"/>
            <x v="120"/>
            <x v="122"/>
            <x v="134"/>
            <x v="139"/>
            <x v="140"/>
            <x v="141"/>
            <x v="143"/>
            <x v="148"/>
            <x v="151"/>
            <x v="164"/>
            <x v="185"/>
            <x v="186"/>
            <x v="187"/>
            <x v="191"/>
            <x v="193"/>
            <x v="194"/>
            <x v="197"/>
            <x v="198"/>
            <x v="200"/>
            <x v="202"/>
            <x v="206"/>
            <x v="207"/>
            <x v="230"/>
            <x v="248"/>
            <x v="251"/>
            <x v="252"/>
            <x v="259"/>
            <x v="267"/>
            <x v="270"/>
            <x v="278"/>
            <x v="282"/>
            <x v="294"/>
          </reference>
        </references>
      </pivotArea>
    </format>
    <format dxfId="147">
      <pivotArea dataOnly="0" labelOnly="1" fieldPosition="0">
        <references count="1">
          <reference field="0" count="46">
            <x v="30"/>
            <x v="51"/>
            <x v="64"/>
            <x v="65"/>
            <x v="69"/>
            <x v="80"/>
            <x v="83"/>
            <x v="84"/>
            <x v="91"/>
            <x v="94"/>
            <x v="123"/>
            <x v="125"/>
            <x v="129"/>
            <x v="132"/>
            <x v="147"/>
            <x v="149"/>
            <x v="150"/>
            <x v="152"/>
            <x v="153"/>
            <x v="162"/>
            <x v="165"/>
            <x v="167"/>
            <x v="209"/>
            <x v="211"/>
            <x v="212"/>
            <x v="213"/>
            <x v="214"/>
            <x v="216"/>
            <x v="217"/>
            <x v="218"/>
            <x v="220"/>
            <x v="222"/>
            <x v="223"/>
            <x v="225"/>
            <x v="226"/>
            <x v="229"/>
            <x v="258"/>
            <x v="260"/>
            <x v="266"/>
            <x v="273"/>
            <x v="275"/>
            <x v="277"/>
            <x v="281"/>
            <x v="283"/>
            <x v="285"/>
            <x v="295"/>
          </reference>
        </references>
      </pivotArea>
    </format>
    <format dxfId="146">
      <pivotArea dataOnly="0" labelOnly="1" grandRow="1" outline="0" fieldPosition="0"/>
    </format>
    <format dxfId="145">
      <pivotArea dataOnly="0" labelOnly="1" outline="0" axis="axisValues" fieldPosition="0"/>
    </format>
    <format dxfId="144">
      <pivotArea field="0" type="button" dataOnly="0" labelOnly="1" outline="0" axis="axisRow" fieldPosition="0"/>
    </format>
    <format dxfId="143">
      <pivotArea dataOnly="0" labelOnly="1" outline="0" axis="axisValues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0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1" iMeasureHier="196">
      <autoFilter ref="A1">
        <filterColumn colId="0">
          <top10 val="30" filterVal="30"/>
        </filterColumn>
      </autoFilter>
    </filter>
  </filters>
  <rowHierarchiesUsage count="1">
    <rowHierarchyUsage hierarchyUsage="1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lub_Leagues]"/>
        <x15:activeTabTopLevelEntity name="[Club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A3B9D8-5A45-4585-BE13-9E80C8B18FE1}" name="PivotTable2" cacheId="5" applyNumberFormats="0" applyBorderFormats="0" applyFontFormats="0" applyPatternFormats="0" applyAlignmentFormats="0" applyWidthHeightFormats="1" dataCaption="Values" tag="d1e87b15-ff13-4d71-b7fb-f67e5498d8d8" updatedVersion="8" minRefreshableVersion="3" useAutoFormatting="1" subtotalHiddenItems="1" itemPrintTitles="1" createdVersion="5" indent="0" outline="1" outlineData="1" multipleFieldFilters="0" chartFormat="10" rowHeaderCaption="FA">
  <location ref="F2:G33" firstHeaderRow="1" firstDataRow="1" firstDataCol="1"/>
  <pivotFields count="2">
    <pivotField axis="axisRow" allDrilled="1" subtotalTop="0" showAll="0" measureFilter="1" sortType="descending" defaultSubtotal="0" defaultAttributeDrillState="1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31">
    <i>
      <x v="9"/>
    </i>
    <i>
      <x v="25"/>
    </i>
    <i>
      <x v="11"/>
    </i>
    <i>
      <x v="14"/>
    </i>
    <i>
      <x v="10"/>
    </i>
    <i>
      <x v="29"/>
    </i>
    <i>
      <x v="23"/>
    </i>
    <i>
      <x v="22"/>
    </i>
    <i>
      <x v="3"/>
    </i>
    <i>
      <x v="17"/>
    </i>
    <i>
      <x v="28"/>
    </i>
    <i>
      <x v="21"/>
    </i>
    <i>
      <x v="19"/>
    </i>
    <i>
      <x v="5"/>
    </i>
    <i>
      <x v="16"/>
    </i>
    <i>
      <x v="24"/>
    </i>
    <i>
      <x v="12"/>
    </i>
    <i>
      <x v="15"/>
    </i>
    <i>
      <x v="26"/>
    </i>
    <i>
      <x v="13"/>
    </i>
    <i>
      <x v="7"/>
    </i>
    <i>
      <x v="27"/>
    </i>
    <i>
      <x v="1"/>
    </i>
    <i>
      <x v="4"/>
    </i>
    <i>
      <x v="6"/>
    </i>
    <i>
      <x/>
    </i>
    <i>
      <x v="20"/>
    </i>
    <i>
      <x v="8"/>
    </i>
    <i>
      <x v="2"/>
    </i>
    <i>
      <x v="18"/>
    </i>
    <i t="grand">
      <x/>
    </i>
  </rowItems>
  <colItems count="1">
    <i/>
  </colItems>
  <dataFields count="1">
    <dataField name="Sum of Players Represented At World Cup" fld="1" baseField="0" baseItem="0"/>
  </dataFields>
  <formats count="8">
    <format dxfId="163">
      <pivotArea field="0" type="button" dataOnly="0" labelOnly="1" outline="0" axis="axisRow" fieldPosition="0"/>
    </format>
    <format dxfId="162">
      <pivotArea dataOnly="0" labelOnly="1" outline="0" axis="axisValues" fieldPosition="0"/>
    </format>
    <format dxfId="161">
      <pivotArea type="all" dataOnly="0" outline="0" fieldPosition="0"/>
    </format>
    <format dxfId="160">
      <pivotArea outline="0" collapsedLevelsAreSubtotals="1" fieldPosition="0"/>
    </format>
    <format dxfId="159">
      <pivotArea field="0" type="button" dataOnly="0" labelOnly="1" outline="0" axis="axisRow" fieldPosition="0"/>
    </format>
    <format dxfId="158">
      <pivotArea dataOnly="0" labelOnly="1" fieldPosition="0">
        <references count="1">
          <reference field="0" count="0"/>
        </references>
      </pivotArea>
    </format>
    <format dxfId="157">
      <pivotArea dataOnly="0" labelOnly="1" grandRow="1" outline="0" fieldPosition="0"/>
    </format>
    <format dxfId="156">
      <pivotArea dataOnly="0" labelOnly="1" outline="0" axis="axisValues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0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1" iMeasureHier="196">
      <autoFilter ref="A1">
        <filterColumn colId="0">
          <top10 val="30" filterVal="30"/>
        </filterColumn>
      </autoFilter>
    </filter>
  </filters>
  <rowHierarchiesUsage count="1">
    <rowHierarchyUsage hierarchyUsage="4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Football_Associations]"/>
        <x15:activeTabTopLevelEntity name="[Club_Leagues]"/>
        <x15:activeTabTopLevelEntity name="[Club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D14775-618C-4749-B067-CD9CCBDB3D17}" name="PivotTable2" cacheId="1" applyNumberFormats="0" applyBorderFormats="0" applyFontFormats="0" applyPatternFormats="0" applyAlignmentFormats="0" applyWidthHeightFormats="1" dataCaption="Values" missingCaption="0" updatedVersion="8" minRefreshableVersion="3" useAutoFormatting="1" itemPrintTitles="1" createdVersion="8" indent="0" outline="1" outlineData="1" multipleFieldFilters="0" chartFormat="16" rowHeaderCaption="Total Caps by Player">
  <location ref="E33:F45" firstHeaderRow="1" firstDataRow="1" firstDataCol="1"/>
  <pivotFields count="1">
    <pivotField axis="axisRow" dataField="1">
      <items count="13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</pivotFields>
  <rowFields count="1">
    <field x="0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No of Players with Total Caps" fld="0" subtotal="count" baseField="0" baseItem="0"/>
  </dataFields>
  <formats count="26">
    <format dxfId="91">
      <pivotArea type="all" dataOnly="0" outline="0" fieldPosition="0"/>
    </format>
    <format dxfId="90">
      <pivotArea type="all" dataOnly="0" outline="0" fieldPosition="0"/>
    </format>
    <format dxfId="89">
      <pivotArea outline="0" collapsedLevelsAreSubtotals="1" fieldPosition="0"/>
    </format>
    <format dxfId="88">
      <pivotArea field="0" type="button" dataOnly="0" labelOnly="1" outline="0" axis="axisRow" fieldPosition="0"/>
    </format>
    <format dxfId="8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6">
      <pivotArea field="0" type="button" dataOnly="0" labelOnly="1" outline="0" axis="axisRow" fieldPosition="0"/>
    </format>
    <format dxfId="8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4">
      <pivotArea outline="0" collapsedLevelsAreSubtotals="1" fieldPosition="0"/>
    </format>
    <format dxfId="83">
      <pivotArea type="all" dataOnly="0" outline="0" fieldPosition="0"/>
    </format>
    <format dxfId="82">
      <pivotArea outline="0" collapsedLevelsAreSubtotals="1" fieldPosition="0"/>
    </format>
    <format dxfId="81">
      <pivotArea field="0" type="button" dataOnly="0" labelOnly="1" outline="0" axis="axisRow" fieldPosition="0"/>
    </format>
    <format dxfId="80">
      <pivotArea dataOnly="0" labelOnly="1" fieldPosition="0">
        <references count="1">
          <reference field="0" count="0"/>
        </references>
      </pivotArea>
    </format>
    <format dxfId="79">
      <pivotArea dataOnly="0" labelOnly="1" grandRow="1" outline="0" fieldPosition="0"/>
    </format>
    <format dxfId="78">
      <pivotArea dataOnly="0" labelOnly="1" outline="0" axis="axisValues" fieldPosition="0"/>
    </format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0" type="button" dataOnly="0" labelOnly="1" outline="0" axis="axisRow" fieldPosition="0"/>
    </format>
    <format dxfId="74">
      <pivotArea dataOnly="0" labelOnly="1" fieldPosition="0">
        <references count="1">
          <reference field="0" count="0"/>
        </references>
      </pivotArea>
    </format>
    <format dxfId="73">
      <pivotArea dataOnly="0" labelOnly="1" grandRow="1" outline="0" fieldPosition="0"/>
    </format>
    <format dxfId="72">
      <pivotArea dataOnly="0" labelOnly="1" outline="0" axis="axisValues" fieldPosition="0"/>
    </format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0"/>
        </references>
      </pivotArea>
    </format>
    <format dxfId="67">
      <pivotArea dataOnly="0" labelOnly="1" grandRow="1" outline="0" fieldPosition="0"/>
    </format>
    <format dxfId="66">
      <pivotArea dataOnly="0" labelOnly="1" outline="0" axis="axisValues" fieldPosition="0"/>
    </format>
  </formats>
  <chartFormats count="3"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A9E223-3D20-41D4-8ABB-913BB0CBC55F}" name="PivotTable5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PlayerName">
  <location ref="J33:K55" firstHeaderRow="1" firstDataRow="1" firstDataCol="1"/>
  <pivotFields count="15">
    <pivotField showAll="0"/>
    <pivotField showAll="0"/>
    <pivotField showAll="0"/>
    <pivotField showAll="0"/>
    <pivotField showAll="0"/>
    <pivotField axis="axisRow" showAll="0" measureFilter="1" sortType="descending">
      <items count="831">
        <item x="792"/>
        <item x="38"/>
        <item x="282"/>
        <item x="813"/>
        <item x="482"/>
        <item x="477"/>
        <item x="573"/>
        <item x="475"/>
        <item x="643"/>
        <item x="344"/>
        <item x="353"/>
        <item x="576"/>
        <item x="600"/>
        <item x="604"/>
        <item x="599"/>
        <item x="610"/>
        <item x="616"/>
        <item x="388"/>
        <item x="486"/>
        <item x="468"/>
        <item x="824"/>
        <item x="299"/>
        <item x="775"/>
        <item x="384"/>
        <item x="577"/>
        <item x="488"/>
        <item x="739"/>
        <item x="35"/>
        <item x="581"/>
        <item x="254"/>
        <item x="687"/>
        <item x="656"/>
        <item x="83"/>
        <item x="93"/>
        <item x="233"/>
        <item x="360"/>
        <item x="255"/>
        <item x="19"/>
        <item x="450"/>
        <item x="644"/>
        <item x="441"/>
        <item x="749"/>
        <item x="601"/>
        <item x="611"/>
        <item x="578"/>
        <item x="380"/>
        <item x="381"/>
        <item x="737"/>
        <item x="363"/>
        <item x="364"/>
        <item x="370"/>
        <item x="78"/>
        <item x="131"/>
        <item x="589"/>
        <item x="308"/>
        <item x="148"/>
        <item x="680"/>
        <item x="181"/>
        <item x="69"/>
        <item x="385"/>
        <item x="476"/>
        <item x="347"/>
        <item x="126"/>
        <item x="553"/>
        <item x="213"/>
        <item x="228"/>
        <item x="218"/>
        <item x="111"/>
        <item x="190"/>
        <item x="458"/>
        <item x="37"/>
        <item x="515"/>
        <item x="661"/>
        <item x="14"/>
        <item x="10"/>
        <item x="248"/>
        <item x="250"/>
        <item x="750"/>
        <item x="698"/>
        <item x="198"/>
        <item x="162"/>
        <item x="180"/>
        <item x="292"/>
        <item x="362"/>
        <item x="782"/>
        <item x="313"/>
        <item x="568"/>
        <item x="96"/>
        <item x="405"/>
        <item x="725"/>
        <item x="525"/>
        <item x="336"/>
        <item x="54"/>
        <item x="521"/>
        <item x="593"/>
        <item x="142"/>
        <item x="293"/>
        <item x="36"/>
        <item x="288"/>
        <item x="57"/>
        <item x="409"/>
        <item x="741"/>
        <item x="726"/>
        <item x="697"/>
        <item x="242"/>
        <item x="41"/>
        <item x="474"/>
        <item x="354"/>
        <item x="490"/>
        <item x="33"/>
        <item x="641"/>
        <item x="536"/>
        <item x="585"/>
        <item x="747"/>
        <item x="827"/>
        <item x="807"/>
        <item x="280"/>
        <item x="287"/>
        <item x="554"/>
        <item x="489"/>
        <item x="727"/>
        <item x="184"/>
        <item x="200"/>
        <item x="586"/>
        <item x="631"/>
        <item x="175"/>
        <item x="706"/>
        <item x="101"/>
        <item x="788"/>
        <item x="812"/>
        <item x="552"/>
        <item x="94"/>
        <item x="197"/>
        <item x="123"/>
        <item x="163"/>
        <item x="165"/>
        <item x="276"/>
        <item x="283"/>
        <item x="797"/>
        <item x="42"/>
        <item x="241"/>
        <item x="171"/>
        <item x="448"/>
        <item x="692"/>
        <item x="82"/>
        <item x="160"/>
        <item x="675"/>
        <item x="443"/>
        <item x="73"/>
        <item x="630"/>
        <item x="423"/>
        <item x="438"/>
        <item x="805"/>
        <item x="808"/>
        <item x="114"/>
        <item x="217"/>
        <item x="715"/>
        <item x="331"/>
        <item x="222"/>
        <item x="787"/>
        <item x="107"/>
        <item x="500"/>
        <item x="122"/>
        <item x="817"/>
        <item x="275"/>
        <item x="285"/>
        <item x="48"/>
        <item x="794"/>
        <item x="12"/>
        <item x="551"/>
        <item x="146"/>
        <item x="403"/>
        <item x="413"/>
        <item x="509"/>
        <item x="526"/>
        <item x="90"/>
        <item x="693"/>
        <item x="694"/>
        <item x="350"/>
        <item x="355"/>
        <item x="157"/>
        <item x="823"/>
        <item x="411"/>
        <item x="225"/>
        <item x="345"/>
        <item x="79"/>
        <item x="557"/>
        <item x="43"/>
        <item x="815"/>
        <item x="669"/>
        <item x="762"/>
        <item x="314"/>
        <item x="686"/>
        <item x="153"/>
        <item x="506"/>
        <item x="130"/>
        <item x="303"/>
        <item x="799"/>
        <item x="263"/>
        <item x="187"/>
        <item x="340"/>
        <item x="705"/>
        <item x="514"/>
        <item x="154"/>
        <item x="119"/>
        <item x="754"/>
        <item x="251"/>
        <item x="566"/>
        <item x="546"/>
        <item x="714"/>
        <item x="257"/>
        <item x="202"/>
        <item x="182"/>
        <item x="176"/>
        <item x="65"/>
        <item x="657"/>
        <item x="665"/>
        <item x="731"/>
        <item x="826"/>
        <item x="61"/>
        <item x="91"/>
        <item x="100"/>
        <item x="701"/>
        <item x="772"/>
        <item x="637"/>
        <item x="444"/>
        <item x="310"/>
        <item x="366"/>
        <item x="389"/>
        <item x="343"/>
        <item x="742"/>
        <item x="22"/>
        <item x="246"/>
        <item x="127"/>
        <item x="23"/>
        <item x="717"/>
        <item x="274"/>
        <item x="676"/>
        <item x="116"/>
        <item x="454"/>
        <item x="173"/>
        <item x="818"/>
        <item x="789"/>
        <item x="99"/>
        <item x="13"/>
        <item x="719"/>
        <item x="724"/>
        <item x="721"/>
        <item x="92"/>
        <item x="759"/>
        <item x="771"/>
        <item x="640"/>
        <item x="766"/>
        <item x="235"/>
        <item x="738"/>
        <item x="752"/>
        <item x="684"/>
        <item x="668"/>
        <item x="664"/>
        <item x="672"/>
        <item x="605"/>
        <item x="633"/>
        <item x="624"/>
        <item x="30"/>
        <item x="170"/>
        <item x="0"/>
        <item x="85"/>
        <item x="229"/>
        <item x="513"/>
        <item x="95"/>
        <item x="103"/>
        <item x="108"/>
        <item x="395"/>
        <item x="46"/>
        <item x="814"/>
        <item x="682"/>
        <item x="110"/>
        <item x="446"/>
        <item x="5"/>
        <item x="11"/>
        <item x="168"/>
        <item x="743"/>
        <item x="351"/>
        <item x="761"/>
        <item x="784"/>
        <item x="570"/>
        <item x="3"/>
        <item x="252"/>
        <item x="709"/>
        <item x="720"/>
        <item x="528"/>
        <item x="17"/>
        <item x="453"/>
        <item x="764"/>
        <item x="621"/>
        <item x="796"/>
        <item x="473"/>
        <item x="733"/>
        <item x="71"/>
        <item x="708"/>
        <item x="268"/>
        <item x="265"/>
        <item x="44"/>
        <item x="811"/>
        <item x="580"/>
        <item x="613"/>
        <item x="615"/>
        <item x="456"/>
        <item x="455"/>
        <item x="460"/>
        <item x="234"/>
        <item x="401"/>
        <item x="414"/>
        <item x="407"/>
        <item x="462"/>
        <item x="584"/>
        <item x="428"/>
        <item x="387"/>
        <item x="376"/>
        <item x="688"/>
        <item x="286"/>
        <item x="425"/>
        <item x="420"/>
        <item x="430"/>
        <item x="349"/>
        <item x="309"/>
        <item x="627"/>
        <item x="141"/>
        <item x="479"/>
        <item x="634"/>
        <item x="332"/>
        <item x="356"/>
        <item x="587"/>
        <item x="144"/>
        <item x="635"/>
        <item x="639"/>
        <item x="734"/>
        <item x="671"/>
        <item x="185"/>
        <item x="204"/>
        <item x="193"/>
        <item x="266"/>
        <item x="47"/>
        <item x="258"/>
        <item x="531"/>
        <item x="532"/>
        <item x="325"/>
        <item x="284"/>
        <item x="145"/>
        <item x="34"/>
        <item x="523"/>
        <item x="56"/>
        <item x="50"/>
        <item x="595"/>
        <item x="484"/>
        <item x="124"/>
        <item x="112"/>
        <item x="224"/>
        <item x="439"/>
        <item x="518"/>
        <item x="76"/>
        <item x="249"/>
        <item x="105"/>
        <item x="232"/>
        <item x="786"/>
        <item x="463"/>
        <item x="164"/>
        <item x="253"/>
        <item x="435"/>
        <item x="209"/>
        <item x="212"/>
        <item x="564"/>
        <item x="555"/>
        <item x="561"/>
        <item x="550"/>
        <item x="810"/>
        <item x="819"/>
        <item x="809"/>
        <item x="803"/>
        <item x="167"/>
        <item x="49"/>
        <item x="155"/>
        <item x="445"/>
        <item x="166"/>
        <item x="264"/>
        <item x="329"/>
        <item x="711"/>
        <item x="226"/>
        <item x="149"/>
        <item x="150"/>
        <item x="821"/>
        <item x="346"/>
        <item x="267"/>
        <item x="793"/>
        <item x="260"/>
        <item x="300"/>
        <item x="691"/>
        <item x="459"/>
        <item x="238"/>
        <item x="753"/>
        <item x="777"/>
        <item x="556"/>
        <item x="352"/>
        <item x="801"/>
        <item x="317"/>
        <item x="203"/>
        <item x="183"/>
        <item x="205"/>
        <item x="201"/>
        <item x="1"/>
        <item x="158"/>
        <item x="281"/>
        <item x="290"/>
        <item x="8"/>
        <item x="328"/>
        <item x="419"/>
        <item x="139"/>
        <item x="402"/>
        <item x="494"/>
        <item x="505"/>
        <item x="318"/>
        <item x="625"/>
        <item x="273"/>
        <item x="133"/>
        <item x="361"/>
        <item x="359"/>
        <item x="533"/>
        <item x="540"/>
        <item x="529"/>
        <item x="397"/>
        <item x="335"/>
        <item x="373"/>
        <item x="304"/>
        <item x="582"/>
        <item x="115"/>
        <item x="534"/>
        <item x="219"/>
        <item x="208"/>
        <item x="51"/>
        <item x="800"/>
        <item x="174"/>
        <item x="516"/>
        <item x="466"/>
        <item x="58"/>
        <item x="259"/>
        <item x="323"/>
        <item x="156"/>
        <item x="159"/>
        <item x="588"/>
        <item x="816"/>
        <item x="271"/>
        <item x="417"/>
        <item x="418"/>
        <item x="429"/>
        <item x="415"/>
        <item x="437"/>
        <item x="433"/>
        <item x="305"/>
        <item x="392"/>
        <item x="64"/>
        <item x="681"/>
        <item x="636"/>
        <item x="207"/>
        <item x="524"/>
        <item x="541"/>
        <item x="436"/>
        <item x="434"/>
        <item x="29"/>
        <item x="261"/>
        <item x="295"/>
        <item x="21"/>
        <item x="338"/>
        <item x="70"/>
        <item x="4"/>
        <item x="68"/>
        <item x="424"/>
        <item x="432"/>
        <item x="319"/>
        <item x="330"/>
        <item x="137"/>
        <item x="152"/>
        <item x="9"/>
        <item x="24"/>
        <item x="75"/>
        <item x="188"/>
        <item x="791"/>
        <item x="138"/>
        <item x="306"/>
        <item x="84"/>
        <item x="765"/>
        <item x="464"/>
        <item x="447"/>
        <item x="760"/>
        <item x="658"/>
        <item x="191"/>
        <item x="206"/>
        <item x="327"/>
        <item x="530"/>
        <item x="262"/>
        <item x="501"/>
        <item x="382"/>
        <item x="646"/>
        <item x="704"/>
        <item x="312"/>
        <item x="776"/>
        <item x="333"/>
        <item x="192"/>
        <item x="683"/>
        <item x="7"/>
        <item x="679"/>
        <item x="270"/>
        <item x="311"/>
        <item x="322"/>
        <item x="196"/>
        <item x="822"/>
        <item x="143"/>
        <item x="648"/>
        <item x="673"/>
        <item x="195"/>
        <item x="81"/>
        <item x="507"/>
        <item x="31"/>
        <item x="216"/>
        <item x="773"/>
        <item x="186"/>
        <item x="121"/>
        <item x="278"/>
        <item x="189"/>
        <item x="522"/>
        <item x="567"/>
        <item x="32"/>
        <item x="26"/>
        <item x="214"/>
        <item x="767"/>
        <item x="756"/>
        <item x="768"/>
        <item x="778"/>
        <item x="291"/>
        <item x="829"/>
        <item x="315"/>
        <item x="495"/>
        <item x="520"/>
        <item x="769"/>
        <item x="410"/>
        <item x="372"/>
        <item x="379"/>
        <item x="502"/>
        <item x="592"/>
        <item x="244"/>
        <item x="544"/>
        <item x="713"/>
        <item x="74"/>
        <item x="390"/>
        <item x="221"/>
        <item x="368"/>
        <item x="147"/>
        <item x="27"/>
        <item x="652"/>
        <item x="199"/>
        <item x="40"/>
        <item x="740"/>
        <item x="745"/>
        <item x="619"/>
        <item x="602"/>
        <item x="617"/>
        <item x="597"/>
        <item x="357"/>
        <item x="579"/>
        <item x="341"/>
        <item x="574"/>
        <item x="256"/>
        <item x="245"/>
        <item x="728"/>
        <item x="371"/>
        <item x="596"/>
        <item x="751"/>
        <item x="109"/>
        <item x="645"/>
        <item x="478"/>
        <item x="583"/>
        <item x="431"/>
        <item x="730"/>
        <item x="25"/>
        <item x="594"/>
        <item x="748"/>
        <item x="628"/>
        <item x="620"/>
        <item x="497"/>
        <item x="28"/>
        <item x="614"/>
        <item x="618"/>
        <item x="471"/>
        <item x="806"/>
        <item x="655"/>
        <item x="653"/>
        <item x="654"/>
        <item x="442"/>
        <item x="87"/>
        <item x="272"/>
        <item x="320"/>
        <item x="703"/>
        <item x="334"/>
        <item x="685"/>
        <item x="539"/>
        <item x="758"/>
        <item x="629"/>
        <item x="106"/>
        <item x="18"/>
        <item x="2"/>
        <item x="326"/>
        <item x="651"/>
        <item x="194"/>
        <item x="504"/>
        <item x="718"/>
        <item x="128"/>
        <item x="469"/>
        <item x="563"/>
        <item x="223"/>
        <item x="294"/>
        <item x="120"/>
        <item x="125"/>
        <item x="457"/>
        <item x="161"/>
        <item x="348"/>
        <item x="569"/>
        <item x="296"/>
        <item x="695"/>
        <item x="422"/>
        <item x="626"/>
        <item x="647"/>
        <item x="638"/>
        <item x="16"/>
        <item x="632"/>
        <item x="178"/>
        <item x="677"/>
        <item x="20"/>
        <item x="375"/>
        <item x="699"/>
        <item x="102"/>
        <item x="547"/>
        <item x="240"/>
        <item x="279"/>
        <item x="723"/>
        <item x="236"/>
        <item x="118"/>
        <item x="230"/>
        <item x="538"/>
        <item x="659"/>
        <item x="542"/>
        <item x="559"/>
        <item x="269"/>
        <item x="386"/>
        <item x="297"/>
        <item x="549"/>
        <item x="289"/>
        <item x="88"/>
        <item x="220"/>
        <item x="449"/>
        <item x="493"/>
        <item x="707"/>
        <item x="710"/>
        <item x="565"/>
        <item x="712"/>
        <item x="86"/>
        <item x="151"/>
        <item x="39"/>
        <item x="396"/>
        <item x="622"/>
        <item x="179"/>
        <item x="237"/>
        <item x="543"/>
        <item x="527"/>
        <item x="674"/>
        <item x="231"/>
        <item x="465"/>
        <item x="452"/>
        <item x="689"/>
        <item x="757"/>
        <item x="6"/>
        <item x="98"/>
        <item x="451"/>
        <item x="472"/>
        <item x="243"/>
        <item x="60"/>
        <item x="755"/>
        <item x="177"/>
        <item x="572"/>
        <item x="378"/>
        <item x="548"/>
        <item x="562"/>
        <item x="716"/>
        <item x="828"/>
        <item x="545"/>
        <item x="571"/>
        <item x="365"/>
        <item x="369"/>
        <item x="607"/>
        <item x="606"/>
        <item x="590"/>
        <item x="358"/>
        <item x="603"/>
        <item x="132"/>
        <item x="377"/>
        <item x="612"/>
        <item x="117"/>
        <item x="135"/>
        <item x="383"/>
        <item x="663"/>
        <item x="608"/>
        <item x="802"/>
        <item x="770"/>
        <item x="763"/>
        <item x="537"/>
        <item x="744"/>
        <item x="481"/>
        <item x="623"/>
        <item x="321"/>
        <item x="667"/>
        <item x="779"/>
        <item x="678"/>
        <item x="774"/>
        <item x="795"/>
        <item x="391"/>
        <item x="367"/>
        <item x="400"/>
        <item x="408"/>
        <item x="702"/>
        <item x="211"/>
        <item x="63"/>
        <item x="104"/>
        <item x="483"/>
        <item x="470"/>
        <item x="421"/>
        <item x="427"/>
        <item x="426"/>
        <item x="440"/>
        <item x="825"/>
        <item x="129"/>
        <item x="662"/>
        <item x="498"/>
        <item x="660"/>
        <item x="136"/>
        <item x="301"/>
        <item x="503"/>
        <item x="499"/>
        <item x="134"/>
        <item x="650"/>
        <item x="649"/>
        <item x="598"/>
        <item x="535"/>
        <item x="736"/>
        <item x="140"/>
        <item x="399"/>
        <item x="404"/>
        <item x="406"/>
        <item x="398"/>
        <item x="575"/>
        <item x="339"/>
        <item x="512"/>
        <item x="307"/>
        <item x="15"/>
        <item x="80"/>
        <item x="52"/>
        <item x="316"/>
        <item x="215"/>
        <item x="45"/>
        <item x="66"/>
        <item x="324"/>
        <item x="342"/>
        <item x="67"/>
        <item x="790"/>
        <item x="72"/>
        <item x="798"/>
        <item x="53"/>
        <item x="820"/>
        <item x="277"/>
        <item x="781"/>
        <item x="508"/>
        <item x="696"/>
        <item x="461"/>
        <item x="666"/>
        <item x="374"/>
        <item x="670"/>
        <item x="210"/>
        <item x="113"/>
        <item x="510"/>
        <item x="97"/>
        <item x="496"/>
        <item x="560"/>
        <item x="735"/>
        <item x="746"/>
        <item x="487"/>
        <item x="780"/>
        <item x="394"/>
        <item x="804"/>
        <item x="785"/>
        <item x="89"/>
        <item x="558"/>
        <item x="239"/>
        <item x="302"/>
        <item x="519"/>
        <item x="55"/>
        <item x="511"/>
        <item x="517"/>
        <item x="247"/>
        <item x="722"/>
        <item x="491"/>
        <item x="492"/>
        <item x="700"/>
        <item x="62"/>
        <item x="609"/>
        <item x="467"/>
        <item x="729"/>
        <item x="172"/>
        <item x="690"/>
        <item x="416"/>
        <item x="59"/>
        <item x="591"/>
        <item x="485"/>
        <item x="732"/>
        <item x="298"/>
        <item x="642"/>
        <item x="337"/>
        <item x="169"/>
        <item x="412"/>
        <item x="783"/>
        <item x="227"/>
        <item x="393"/>
        <item x="480"/>
        <item x="7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4" showAll="0"/>
    <pivotField numFmtId="1" showAll="0"/>
    <pivotField showAll="0"/>
    <pivotField dataField="1"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5"/>
  </rowFields>
  <rowItems count="22">
    <i>
      <x v="169"/>
    </i>
    <i>
      <x v="481"/>
    </i>
    <i>
      <x v="671"/>
    </i>
    <i>
      <x v="597"/>
    </i>
    <i>
      <x v="492"/>
    </i>
    <i>
      <x v="683"/>
    </i>
    <i>
      <x v="223"/>
    </i>
    <i>
      <x v="300"/>
    </i>
    <i>
      <x v="31"/>
    </i>
    <i>
      <x v="618"/>
    </i>
    <i>
      <x v="767"/>
    </i>
    <i>
      <x v="53"/>
    </i>
    <i>
      <x v="82"/>
    </i>
    <i>
      <x v="546"/>
    </i>
    <i>
      <x v="706"/>
    </i>
    <i>
      <x v="274"/>
    </i>
    <i>
      <x v="155"/>
    </i>
    <i>
      <x v="432"/>
    </i>
    <i>
      <x v="304"/>
    </i>
    <i>
      <x v="232"/>
    </i>
    <i>
      <x v="732"/>
    </i>
    <i t="grand">
      <x/>
    </i>
  </rowItems>
  <colItems count="1">
    <i/>
  </colItems>
  <dataFields count="1">
    <dataField name="Total International Goals" fld="9" baseField="0" baseItem="0"/>
  </dataFields>
  <formats count="12">
    <format dxfId="103">
      <pivotArea type="all" dataOnly="0" outline="0" fieldPosition="0"/>
    </format>
    <format dxfId="102">
      <pivotArea outline="0" collapsedLevelsAreSubtotals="1" fieldPosition="0"/>
    </format>
    <format dxfId="101">
      <pivotArea field="5" type="button" dataOnly="0" labelOnly="1" outline="0" axis="axisRow" fieldPosition="0"/>
    </format>
    <format dxfId="100">
      <pivotArea dataOnly="0" labelOnly="1" fieldPosition="0">
        <references count="1">
          <reference field="5" count="21">
            <x v="31"/>
            <x v="53"/>
            <x v="82"/>
            <x v="155"/>
            <x v="169"/>
            <x v="223"/>
            <x v="232"/>
            <x v="274"/>
            <x v="300"/>
            <x v="304"/>
            <x v="432"/>
            <x v="481"/>
            <x v="492"/>
            <x v="546"/>
            <x v="597"/>
            <x v="618"/>
            <x v="671"/>
            <x v="683"/>
            <x v="706"/>
            <x v="732"/>
            <x v="767"/>
          </reference>
        </references>
      </pivotArea>
    </format>
    <format dxfId="99">
      <pivotArea dataOnly="0" labelOnly="1" grandRow="1" outline="0" fieldPosition="0"/>
    </format>
    <format dxfId="9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5" type="button" dataOnly="0" labelOnly="1" outline="0" axis="axisRow" fieldPosition="0"/>
    </format>
    <format dxfId="94">
      <pivotArea dataOnly="0" labelOnly="1" fieldPosition="0">
        <references count="1">
          <reference field="5" count="21">
            <x v="31"/>
            <x v="53"/>
            <x v="82"/>
            <x v="155"/>
            <x v="169"/>
            <x v="223"/>
            <x v="232"/>
            <x v="274"/>
            <x v="300"/>
            <x v="304"/>
            <x v="432"/>
            <x v="481"/>
            <x v="492"/>
            <x v="546"/>
            <x v="597"/>
            <x v="618"/>
            <x v="671"/>
            <x v="683"/>
            <x v="706"/>
            <x v="732"/>
            <x v="767"/>
          </reference>
        </references>
      </pivotArea>
    </format>
    <format dxfId="93">
      <pivotArea dataOnly="0" labelOnly="1" grandRow="1" outline="0" fieldPosition="0"/>
    </format>
    <format dxfId="92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20" filterVal="2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1901D5-61C1-4B89-AD2A-9E0B31986840}" name="PivotTable4" cacheId="3" applyNumberFormats="0" applyBorderFormats="0" applyFontFormats="0" applyPatternFormats="0" applyAlignmentFormats="0" applyWidthHeightFormats="1" dataCaption="Values" tag="b6d11717-4ee6-4e6e-847f-5b2d4ec156a4" updatedVersion="8" minRefreshableVersion="3" useAutoFormatting="1" subtotalHiddenItems="1" itemPrintTitles="1" createdVersion="5" indent="0" outline="1" outlineData="1" multipleFieldFilters="0" chartFormat="13" rowHeaderCaption="Experience">
  <location ref="E49:F55" firstHeaderRow="1" firstDataRow="1" firstDataCol="1"/>
  <pivotFields count="2">
    <pivotField axis="axisRow" allDrilled="1" subtotalTop="0" showAll="0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Players By Experience Level" fld="1" subtotal="count" baseField="0" baseItem="0"/>
  </dataFields>
  <formats count="12"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0" type="button" dataOnly="0" labelOnly="1" outline="0" axis="axisRow" fieldPosition="0"/>
    </format>
    <format dxfId="112">
      <pivotArea dataOnly="0" labelOnly="1" fieldPosition="0">
        <references count="1">
          <reference field="0" count="0"/>
        </references>
      </pivotArea>
    </format>
    <format dxfId="111">
      <pivotArea dataOnly="0" labelOnly="1" grandRow="1" outline="0" fieldPosition="0"/>
    </format>
    <format dxfId="110">
      <pivotArea dataOnly="0" labelOnly="1" outline="0" axis="axisValues" fieldPosition="0"/>
    </format>
    <format dxfId="109">
      <pivotArea type="all" dataOnly="0" outline="0" fieldPosition="0"/>
    </format>
    <format dxfId="108">
      <pivotArea outline="0" collapsedLevelsAreSubtotals="1" fieldPosition="0"/>
    </format>
    <format dxfId="107">
      <pivotArea field="0" type="button" dataOnly="0" labelOnly="1" outline="0" axis="axisRow" fieldPosition="0"/>
    </format>
    <format dxfId="106">
      <pivotArea dataOnly="0" labelOnly="1" fieldPosition="0">
        <references count="1">
          <reference field="0" count="0"/>
        </references>
      </pivotArea>
    </format>
    <format dxfId="105">
      <pivotArea dataOnly="0" labelOnly="1" grandRow="1" outline="0" fieldPosition="0"/>
    </format>
    <format dxfId="104">
      <pivotArea dataOnly="0" labelOnly="1" outline="0" axis="axisValues" fieldPosition="0"/>
    </format>
  </formats>
  <chartFormats count="1">
    <chartFormat chart="1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0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Players By Experience Level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2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quad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A96E80-D727-4CB9-AA4E-7F84C1C4B9D4}" name="PivotTable1" cacheId="2" applyNumberFormats="0" applyBorderFormats="0" applyFontFormats="0" applyPatternFormats="0" applyAlignmentFormats="0" applyWidthHeightFormats="1" dataCaption="Values" missingCaption="0" updatedVersion="8" minRefreshableVersion="3" useAutoFormatting="1" itemPrintTitles="1" createdVersion="8" indent="0" outline="1" outlineData="1" multipleFieldFilters="0" chartFormat="15" rowHeaderCaption="Age Range">
  <location ref="E3:F12" firstHeaderRow="1" firstDataRow="1" firstDataCol="1"/>
  <pivotFields count="1">
    <pivotField axis="axisRow" dataField="1" numFmtId="1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Total Players by Age Range" fld="0" subtotal="count" baseField="0" baseItem="1"/>
  </dataFields>
  <formats count="27">
    <format dxfId="142">
      <pivotArea type="all" dataOnly="0" outline="0" fieldPosition="0"/>
    </format>
    <format dxfId="141">
      <pivotArea field="0" type="button" dataOnly="0" labelOnly="1" outline="0" axis="axisRow" fieldPosition="0"/>
    </format>
    <format dxfId="140">
      <pivotArea field="0" type="button" dataOnly="0" labelOnly="1" outline="0" axis="axisRow" fieldPosition="0"/>
    </format>
    <format dxfId="13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8">
      <pivotArea type="all" dataOnly="0" outline="0" fieldPosition="0"/>
    </format>
    <format dxfId="137">
      <pivotArea outline="0" collapsedLevelsAreSubtotals="1" fieldPosition="0"/>
    </format>
    <format dxfId="13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5">
      <pivotArea outline="0" collapsedLevelsAreSubtotals="1" fieldPosition="0"/>
    </format>
    <format dxfId="13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field="0" type="button" dataOnly="0" labelOnly="1" outline="0" axis="axisRow" fieldPosition="0"/>
    </format>
    <format dxfId="130">
      <pivotArea dataOnly="0" labelOnly="1" fieldPosition="0">
        <references count="1">
          <reference field="0" count="0"/>
        </references>
      </pivotArea>
    </format>
    <format dxfId="129">
      <pivotArea dataOnly="0" labelOnly="1" grandRow="1" outline="0" fieldPosition="0"/>
    </format>
    <format dxfId="128">
      <pivotArea dataOnly="0" labelOnly="1" outline="0" axis="axisValues" fieldPosition="0"/>
    </format>
    <format dxfId="127">
      <pivotArea type="all" dataOnly="0" outline="0" fieldPosition="0"/>
    </format>
    <format dxfId="126">
      <pivotArea outline="0" collapsedLevelsAreSubtotals="1" fieldPosition="0"/>
    </format>
    <format dxfId="125">
      <pivotArea field="0" type="button" dataOnly="0" labelOnly="1" outline="0" axis="axisRow" fieldPosition="0"/>
    </format>
    <format dxfId="124">
      <pivotArea dataOnly="0" labelOnly="1" fieldPosition="0">
        <references count="1">
          <reference field="0" count="0"/>
        </references>
      </pivotArea>
    </format>
    <format dxfId="123">
      <pivotArea dataOnly="0" labelOnly="1" grandRow="1" outline="0" fieldPosition="0"/>
    </format>
    <format dxfId="122">
      <pivotArea dataOnly="0" labelOnly="1" outline="0" axis="axisValues" fieldPosition="0"/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field="0" type="button" dataOnly="0" labelOnly="1" outline="0" axis="axisRow" fieldPosition="0"/>
    </format>
    <format dxfId="118">
      <pivotArea dataOnly="0" labelOnly="1" fieldPosition="0">
        <references count="1">
          <reference field="0" count="0"/>
        </references>
      </pivotArea>
    </format>
    <format dxfId="117">
      <pivotArea dataOnly="0" labelOnly="1" grandRow="1" outline="0" fieldPosition="0"/>
    </format>
    <format dxfId="116">
      <pivotArea dataOnly="0" labelOnly="1" outline="0" axis="axisValues" fieldPosition="0"/>
    </format>
  </formats>
  <chartFormats count="1"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405334-3AE6-41F9-90EB-37205A6CA325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O4:P16" firstHeaderRow="1" firstDataRow="1" firstDataCol="1" rowPageCount="1" colPageCount="1"/>
  <pivotFields count="9">
    <pivotField showAll="0"/>
    <pivotField showAll="0"/>
    <pivotField showAll="0"/>
    <pivotField showAll="0"/>
    <pivotField axis="axisPage" dataField="1" multipleItemSelectionAllowed="1" showAll="0">
      <items count="8">
        <item h="1" x="2"/>
        <item h="1" x="1"/>
        <item h="1" x="3"/>
        <item h="1" x="5"/>
        <item x="4"/>
        <item x="0"/>
        <item m="1" x="6"/>
        <item t="default"/>
      </items>
    </pivotField>
    <pivotField showAll="0"/>
    <pivotField showAll="0"/>
    <pivotField showAll="0" measureFilter="1" sortType="descending">
      <items count="312">
        <item m="1" x="310"/>
        <item x="54"/>
        <item x="200"/>
        <item x="145"/>
        <item x="125"/>
        <item x="38"/>
        <item x="216"/>
        <item x="197"/>
        <item x="228"/>
        <item x="55"/>
        <item x="117"/>
        <item x="5"/>
        <item x="173"/>
        <item x="210"/>
        <item x="118"/>
        <item x="39"/>
        <item x="214"/>
        <item x="95"/>
        <item x="17"/>
        <item x="80"/>
        <item x="2"/>
        <item x="79"/>
        <item x="70"/>
        <item x="78"/>
        <item x="94"/>
        <item x="128"/>
        <item x="129"/>
        <item x="148"/>
        <item x="171"/>
        <item x="132"/>
        <item x="6"/>
        <item x="140"/>
        <item x="127"/>
        <item x="239"/>
        <item x="122"/>
        <item x="110"/>
        <item x="203"/>
        <item x="114"/>
        <item x="111"/>
        <item x="81"/>
        <item x="90"/>
        <item x="10"/>
        <item x="16"/>
        <item x="71"/>
        <item x="184"/>
        <item x="141"/>
        <item x="241"/>
        <item x="220"/>
        <item x="87"/>
        <item x="33"/>
        <item x="166"/>
        <item x="29"/>
        <item x="21"/>
        <item x="85"/>
        <item x="50"/>
        <item x="88"/>
        <item x="65"/>
        <item x="179"/>
        <item x="199"/>
        <item x="92"/>
        <item x="243"/>
        <item x="233"/>
        <item x="23"/>
        <item x="152"/>
        <item x="252"/>
        <item x="169"/>
        <item x="248"/>
        <item x="218"/>
        <item x="1"/>
        <item x="133"/>
        <item x="168"/>
        <item x="135"/>
        <item x="186"/>
        <item x="112"/>
        <item x="192"/>
        <item x="119"/>
        <item x="68"/>
        <item x="36"/>
        <item x="72"/>
        <item x="183"/>
        <item x="22"/>
        <item x="32"/>
        <item x="69"/>
        <item x="244"/>
        <item x="131"/>
        <item x="209"/>
        <item x="147"/>
        <item x="13"/>
        <item x="11"/>
        <item x="215"/>
        <item x="217"/>
        <item x="136"/>
        <item x="47"/>
        <item x="219"/>
        <item x="108"/>
        <item x="249"/>
        <item x="25"/>
        <item x="115"/>
        <item x="61"/>
        <item x="97"/>
        <item x="107"/>
        <item x="113"/>
        <item x="193"/>
        <item x="149"/>
        <item x="15"/>
        <item x="53"/>
        <item x="120"/>
        <item x="163"/>
        <item x="165"/>
        <item x="7"/>
        <item x="130"/>
        <item x="89"/>
        <item x="103"/>
        <item x="73"/>
        <item x="223"/>
        <item x="181"/>
        <item x="67"/>
        <item x="46"/>
        <item x="247"/>
        <item x="161"/>
        <item x="151"/>
        <item x="8"/>
        <item x="126"/>
        <item x="213"/>
        <item x="175"/>
        <item x="222"/>
        <item x="238"/>
        <item x="234"/>
        <item x="194"/>
        <item x="202"/>
        <item x="157"/>
        <item x="242"/>
        <item x="240"/>
        <item x="4"/>
        <item x="31"/>
        <item x="142"/>
        <item x="177"/>
        <item x="178"/>
        <item x="64"/>
        <item x="58"/>
        <item x="229"/>
        <item x="176"/>
        <item x="160"/>
        <item x="235"/>
        <item x="34"/>
        <item x="154"/>
        <item x="221"/>
        <item x="245"/>
        <item x="172"/>
        <item x="153"/>
        <item x="9"/>
        <item x="196"/>
        <item x="84"/>
        <item x="230"/>
        <item x="66"/>
        <item x="212"/>
        <item x="14"/>
        <item x="150"/>
        <item x="86"/>
        <item x="51"/>
        <item x="44"/>
        <item x="191"/>
        <item x="20"/>
        <item x="121"/>
        <item x="237"/>
        <item x="19"/>
        <item x="75"/>
        <item x="138"/>
        <item x="204"/>
        <item x="155"/>
        <item x="52"/>
        <item x="42"/>
        <item x="93"/>
        <item x="109"/>
        <item x="180"/>
        <item x="3"/>
        <item x="18"/>
        <item x="211"/>
        <item x="24"/>
        <item x="124"/>
        <item x="195"/>
        <item x="41"/>
        <item x="224"/>
        <item x="101"/>
        <item x="134"/>
        <item x="162"/>
        <item x="83"/>
        <item x="164"/>
        <item x="174"/>
        <item x="57"/>
        <item x="231"/>
        <item x="96"/>
        <item x="59"/>
        <item x="116"/>
        <item x="201"/>
        <item x="123"/>
        <item x="49"/>
        <item x="91"/>
        <item x="12"/>
        <item x="105"/>
        <item x="188"/>
        <item x="43"/>
        <item x="251"/>
        <item x="98"/>
        <item x="205"/>
        <item x="62"/>
        <item x="48"/>
        <item x="206"/>
        <item x="137"/>
        <item x="190"/>
        <item x="185"/>
        <item x="144"/>
        <item x="106"/>
        <item x="189"/>
        <item x="187"/>
        <item x="0"/>
        <item x="35"/>
        <item x="37"/>
        <item x="225"/>
        <item x="102"/>
        <item x="40"/>
        <item x="246"/>
        <item x="232"/>
        <item x="170"/>
        <item x="26"/>
        <item x="158"/>
        <item x="236"/>
        <item x="60"/>
        <item x="250"/>
        <item x="226"/>
        <item x="100"/>
        <item x="45"/>
        <item x="156"/>
        <item x="63"/>
        <item x="182"/>
        <item x="56"/>
        <item x="159"/>
        <item x="77"/>
        <item x="30"/>
        <item x="28"/>
        <item x="76"/>
        <item x="198"/>
        <item x="167"/>
        <item x="99"/>
        <item x="208"/>
        <item x="207"/>
        <item x="139"/>
        <item x="104"/>
        <item x="27"/>
        <item x="82"/>
        <item x="74"/>
        <item x="143"/>
        <item x="227"/>
        <item x="146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measureFilter="1" sortType="descending">
      <items count="36">
        <item m="1" x="32"/>
        <item x="8"/>
        <item x="14"/>
        <item x="21"/>
        <item x="29"/>
        <item m="1" x="33"/>
        <item x="24"/>
        <item x="22"/>
        <item x="20"/>
        <item x="31"/>
        <item x="10"/>
        <item x="1"/>
        <item x="2"/>
        <item x="15"/>
        <item x="17"/>
        <item x="28"/>
        <item x="3"/>
        <item x="18"/>
        <item x="26"/>
        <item m="1" x="34"/>
        <item x="12"/>
        <item x="16"/>
        <item x="4"/>
        <item x="13"/>
        <item x="27"/>
        <item x="0"/>
        <item x="9"/>
        <item x="5"/>
        <item x="30"/>
        <item x="19"/>
        <item x="23"/>
        <item x="11"/>
        <item x="25"/>
        <item x="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8"/>
  </rowFields>
  <rowItems count="12">
    <i>
      <x v="1"/>
    </i>
    <i>
      <x v="26"/>
    </i>
    <i>
      <x v="28"/>
    </i>
    <i>
      <x v="22"/>
    </i>
    <i>
      <x v="30"/>
    </i>
    <i>
      <x v="21"/>
    </i>
    <i>
      <x v="6"/>
    </i>
    <i>
      <x v="7"/>
    </i>
    <i>
      <x v="32"/>
    </i>
    <i>
      <x v="13"/>
    </i>
    <i>
      <x v="15"/>
    </i>
    <i t="grand">
      <x/>
    </i>
  </rowItems>
  <colItems count="1">
    <i/>
  </colItems>
  <pageFields count="1">
    <pageField fld="4" hier="-1"/>
  </pageFields>
  <dataFields count="1">
    <dataField name="Yellow Card Action per Team" fld="4" subtotal="count" baseField="0" baseItem="0"/>
  </dataFields>
  <formats count="5">
    <format dxfId="39">
      <pivotArea type="all" dataOnly="0" outline="0" fieldPosition="0"/>
    </format>
    <format dxfId="38">
      <pivotArea outline="0" collapsedLevelsAreSubtotals="1" fieldPosition="0"/>
    </format>
    <format dxfId="37">
      <pivotArea field="7" type="button" dataOnly="0" labelOnly="1" outline="0"/>
    </format>
    <format dxfId="36">
      <pivotArea dataOnly="0" labelOnly="1" grandRow="1" outline="0" fieldPosition="0"/>
    </format>
    <format dxfId="35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8" type="count" evalOrder="-1" id="5" iMeasureFld="0">
      <autoFilter ref="A1">
        <filterColumn colId="0">
          <top10 val="10" filterVal="10"/>
        </filterColumn>
      </autoFilter>
    </filter>
    <filter fld="7" type="count" evalOrder="-1" id="3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A37642-E363-4D40-9417-71C4F5A9E2AD}" name="PivotTable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L4:M15" firstHeaderRow="1" firstDataRow="1" firstDataCol="1" rowPageCount="1" colPageCount="1"/>
  <pivotFields count="9">
    <pivotField showAll="0"/>
    <pivotField showAll="0"/>
    <pivotField showAll="0"/>
    <pivotField showAll="0"/>
    <pivotField axis="axisPage" dataField="1" multipleItemSelectionAllowed="1" showAll="0">
      <items count="8">
        <item x="2"/>
        <item x="1"/>
        <item h="1" x="3"/>
        <item h="1" x="5"/>
        <item h="1" x="4"/>
        <item h="1" x="0"/>
        <item m="1" x="6"/>
        <item t="default"/>
      </items>
    </pivotField>
    <pivotField showAll="0"/>
    <pivotField showAll="0"/>
    <pivotField showAll="0" measureFilter="1" sortType="descending">
      <items count="312">
        <item m="1" x="310"/>
        <item x="54"/>
        <item x="200"/>
        <item x="145"/>
        <item x="125"/>
        <item x="38"/>
        <item x="216"/>
        <item x="197"/>
        <item x="228"/>
        <item x="55"/>
        <item x="117"/>
        <item x="5"/>
        <item x="173"/>
        <item x="210"/>
        <item x="118"/>
        <item x="39"/>
        <item x="214"/>
        <item x="95"/>
        <item x="17"/>
        <item x="80"/>
        <item x="2"/>
        <item x="79"/>
        <item x="70"/>
        <item x="78"/>
        <item x="94"/>
        <item x="128"/>
        <item x="129"/>
        <item x="148"/>
        <item x="171"/>
        <item x="132"/>
        <item x="6"/>
        <item x="140"/>
        <item x="127"/>
        <item x="239"/>
        <item x="122"/>
        <item x="110"/>
        <item x="203"/>
        <item x="114"/>
        <item x="111"/>
        <item x="81"/>
        <item x="90"/>
        <item x="10"/>
        <item x="16"/>
        <item x="71"/>
        <item x="184"/>
        <item x="141"/>
        <item x="241"/>
        <item x="220"/>
        <item x="87"/>
        <item x="33"/>
        <item x="166"/>
        <item x="29"/>
        <item x="21"/>
        <item x="85"/>
        <item x="50"/>
        <item x="88"/>
        <item x="65"/>
        <item x="179"/>
        <item x="199"/>
        <item x="92"/>
        <item x="243"/>
        <item x="233"/>
        <item x="23"/>
        <item x="152"/>
        <item x="252"/>
        <item x="169"/>
        <item x="248"/>
        <item x="218"/>
        <item x="1"/>
        <item x="133"/>
        <item x="168"/>
        <item x="135"/>
        <item x="186"/>
        <item x="112"/>
        <item x="192"/>
        <item x="119"/>
        <item x="68"/>
        <item x="36"/>
        <item x="72"/>
        <item x="183"/>
        <item x="22"/>
        <item x="32"/>
        <item x="69"/>
        <item x="244"/>
        <item x="131"/>
        <item x="209"/>
        <item x="147"/>
        <item x="13"/>
        <item x="11"/>
        <item x="215"/>
        <item x="217"/>
        <item x="136"/>
        <item x="47"/>
        <item x="219"/>
        <item x="108"/>
        <item x="249"/>
        <item x="25"/>
        <item x="115"/>
        <item x="61"/>
        <item x="97"/>
        <item x="107"/>
        <item x="113"/>
        <item x="193"/>
        <item x="149"/>
        <item x="15"/>
        <item x="53"/>
        <item x="120"/>
        <item x="163"/>
        <item x="165"/>
        <item x="7"/>
        <item x="130"/>
        <item x="89"/>
        <item x="103"/>
        <item x="73"/>
        <item x="223"/>
        <item x="181"/>
        <item x="67"/>
        <item x="46"/>
        <item x="247"/>
        <item x="161"/>
        <item x="151"/>
        <item x="8"/>
        <item x="126"/>
        <item x="213"/>
        <item x="175"/>
        <item x="222"/>
        <item x="238"/>
        <item x="234"/>
        <item x="194"/>
        <item x="202"/>
        <item x="157"/>
        <item x="242"/>
        <item x="240"/>
        <item x="4"/>
        <item x="31"/>
        <item x="142"/>
        <item x="177"/>
        <item x="178"/>
        <item x="64"/>
        <item x="58"/>
        <item x="229"/>
        <item x="176"/>
        <item x="160"/>
        <item x="235"/>
        <item x="34"/>
        <item x="154"/>
        <item x="221"/>
        <item x="245"/>
        <item x="172"/>
        <item x="153"/>
        <item x="9"/>
        <item x="196"/>
        <item x="84"/>
        <item x="230"/>
        <item x="66"/>
        <item x="212"/>
        <item x="14"/>
        <item x="150"/>
        <item x="86"/>
        <item x="51"/>
        <item x="44"/>
        <item x="191"/>
        <item x="20"/>
        <item x="121"/>
        <item x="237"/>
        <item x="19"/>
        <item x="75"/>
        <item x="138"/>
        <item x="204"/>
        <item x="155"/>
        <item x="52"/>
        <item x="42"/>
        <item x="93"/>
        <item x="109"/>
        <item x="180"/>
        <item x="3"/>
        <item x="18"/>
        <item x="211"/>
        <item x="24"/>
        <item x="124"/>
        <item x="195"/>
        <item x="41"/>
        <item x="224"/>
        <item x="101"/>
        <item x="134"/>
        <item x="162"/>
        <item x="83"/>
        <item x="164"/>
        <item x="174"/>
        <item x="57"/>
        <item x="231"/>
        <item x="96"/>
        <item x="59"/>
        <item x="116"/>
        <item x="201"/>
        <item x="123"/>
        <item x="49"/>
        <item x="91"/>
        <item x="12"/>
        <item x="105"/>
        <item x="188"/>
        <item x="43"/>
        <item x="251"/>
        <item x="98"/>
        <item x="205"/>
        <item x="62"/>
        <item x="48"/>
        <item x="206"/>
        <item x="137"/>
        <item x="190"/>
        <item x="185"/>
        <item x="144"/>
        <item x="106"/>
        <item x="189"/>
        <item x="187"/>
        <item x="0"/>
        <item x="35"/>
        <item x="37"/>
        <item x="225"/>
        <item x="102"/>
        <item x="40"/>
        <item x="246"/>
        <item x="232"/>
        <item x="170"/>
        <item x="26"/>
        <item x="158"/>
        <item x="236"/>
        <item x="60"/>
        <item x="250"/>
        <item x="226"/>
        <item x="100"/>
        <item x="45"/>
        <item x="156"/>
        <item x="63"/>
        <item x="182"/>
        <item x="56"/>
        <item x="159"/>
        <item x="77"/>
        <item x="30"/>
        <item x="28"/>
        <item x="76"/>
        <item x="198"/>
        <item x="167"/>
        <item x="99"/>
        <item x="208"/>
        <item x="207"/>
        <item x="139"/>
        <item x="104"/>
        <item x="27"/>
        <item x="82"/>
        <item x="74"/>
        <item x="143"/>
        <item x="227"/>
        <item x="146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measureFilter="1" sortType="descending">
      <items count="36">
        <item m="1" x="32"/>
        <item x="8"/>
        <item x="14"/>
        <item x="21"/>
        <item x="29"/>
        <item m="1" x="33"/>
        <item x="24"/>
        <item x="22"/>
        <item x="20"/>
        <item x="31"/>
        <item x="10"/>
        <item x="1"/>
        <item x="2"/>
        <item x="15"/>
        <item x="17"/>
        <item x="28"/>
        <item x="3"/>
        <item x="18"/>
        <item x="26"/>
        <item m="1" x="34"/>
        <item x="12"/>
        <item x="16"/>
        <item x="4"/>
        <item x="13"/>
        <item x="27"/>
        <item x="0"/>
        <item x="9"/>
        <item x="5"/>
        <item x="30"/>
        <item x="19"/>
        <item x="23"/>
        <item x="11"/>
        <item x="25"/>
        <item x="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8"/>
  </rowFields>
  <rowItems count="11">
    <i>
      <x v="13"/>
    </i>
    <i>
      <x v="12"/>
    </i>
    <i>
      <x v="1"/>
    </i>
    <i>
      <x v="24"/>
    </i>
    <i>
      <x v="22"/>
    </i>
    <i>
      <x v="9"/>
    </i>
    <i>
      <x v="29"/>
    </i>
    <i>
      <x v="4"/>
    </i>
    <i>
      <x v="14"/>
    </i>
    <i>
      <x v="21"/>
    </i>
    <i t="grand">
      <x/>
    </i>
  </rowItems>
  <colItems count="1">
    <i/>
  </colItems>
  <pageFields count="1">
    <pageField fld="4" hier="-1"/>
  </pageFields>
  <dataFields count="1">
    <dataField name="Assist Action per Team" fld="4" subtotal="count" baseField="0" baseItem="0"/>
  </dataFields>
  <formats count="5"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7" type="button" dataOnly="0" labelOnly="1" outline="0"/>
    </format>
    <format dxfId="41">
      <pivotArea dataOnly="0" labelOnly="1" grandRow="1" outline="0" fieldPosition="0"/>
    </format>
    <format dxfId="40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8" type="count" evalOrder="-1" id="5" iMeasureFld="0">
      <autoFilter ref="A1">
        <filterColumn colId="0">
          <top10 val="10" filterVal="10"/>
        </filterColumn>
      </autoFilter>
    </filter>
    <filter fld="7" type="count" evalOrder="-1" id="3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B7CEE0-E2BA-418B-96E5-8FAA9D0E1A08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I4:J15" firstHeaderRow="1" firstDataRow="1" firstDataCol="1" rowPageCount="1" colPageCount="1"/>
  <pivotFields count="9">
    <pivotField showAll="0"/>
    <pivotField showAll="0"/>
    <pivotField showAll="0"/>
    <pivotField showAll="0"/>
    <pivotField axis="axisPage" dataField="1" showAll="0">
      <items count="8">
        <item x="2"/>
        <item x="1"/>
        <item x="3"/>
        <item x="5"/>
        <item x="4"/>
        <item x="0"/>
        <item m="1" x="6"/>
        <item t="default"/>
      </items>
    </pivotField>
    <pivotField showAll="0"/>
    <pivotField showAll="0"/>
    <pivotField showAll="0" measureFilter="1" sortType="descending">
      <items count="312">
        <item m="1" x="310"/>
        <item x="54"/>
        <item x="200"/>
        <item x="145"/>
        <item x="125"/>
        <item x="38"/>
        <item x="216"/>
        <item x="197"/>
        <item x="228"/>
        <item x="55"/>
        <item x="117"/>
        <item x="5"/>
        <item x="173"/>
        <item x="210"/>
        <item x="118"/>
        <item x="39"/>
        <item x="214"/>
        <item x="95"/>
        <item x="17"/>
        <item x="80"/>
        <item x="2"/>
        <item x="79"/>
        <item x="70"/>
        <item x="78"/>
        <item x="94"/>
        <item x="128"/>
        <item x="129"/>
        <item x="148"/>
        <item x="171"/>
        <item x="132"/>
        <item x="6"/>
        <item x="140"/>
        <item x="127"/>
        <item x="239"/>
        <item x="122"/>
        <item x="110"/>
        <item x="203"/>
        <item x="114"/>
        <item x="111"/>
        <item x="81"/>
        <item x="90"/>
        <item x="10"/>
        <item x="16"/>
        <item x="71"/>
        <item x="184"/>
        <item x="141"/>
        <item x="241"/>
        <item x="220"/>
        <item x="87"/>
        <item x="33"/>
        <item x="166"/>
        <item x="29"/>
        <item x="21"/>
        <item x="85"/>
        <item x="50"/>
        <item x="88"/>
        <item x="65"/>
        <item x="179"/>
        <item x="199"/>
        <item x="92"/>
        <item x="243"/>
        <item x="233"/>
        <item x="23"/>
        <item x="152"/>
        <item x="252"/>
        <item x="169"/>
        <item x="248"/>
        <item x="218"/>
        <item x="1"/>
        <item x="133"/>
        <item x="168"/>
        <item x="135"/>
        <item x="186"/>
        <item x="112"/>
        <item x="192"/>
        <item x="119"/>
        <item x="68"/>
        <item x="36"/>
        <item x="72"/>
        <item x="183"/>
        <item x="22"/>
        <item x="32"/>
        <item x="69"/>
        <item x="244"/>
        <item x="131"/>
        <item x="209"/>
        <item x="147"/>
        <item x="13"/>
        <item x="11"/>
        <item x="215"/>
        <item x="217"/>
        <item x="136"/>
        <item x="47"/>
        <item x="219"/>
        <item x="108"/>
        <item x="249"/>
        <item x="25"/>
        <item x="115"/>
        <item x="61"/>
        <item x="97"/>
        <item x="107"/>
        <item x="113"/>
        <item x="193"/>
        <item x="149"/>
        <item x="15"/>
        <item x="53"/>
        <item x="120"/>
        <item x="163"/>
        <item x="165"/>
        <item x="7"/>
        <item x="130"/>
        <item x="89"/>
        <item x="103"/>
        <item x="73"/>
        <item x="223"/>
        <item x="181"/>
        <item x="67"/>
        <item x="46"/>
        <item x="247"/>
        <item x="161"/>
        <item x="151"/>
        <item x="8"/>
        <item x="126"/>
        <item x="213"/>
        <item x="175"/>
        <item x="222"/>
        <item x="238"/>
        <item x="234"/>
        <item x="194"/>
        <item x="202"/>
        <item x="157"/>
        <item x="242"/>
        <item x="240"/>
        <item x="4"/>
        <item x="31"/>
        <item x="142"/>
        <item x="177"/>
        <item x="178"/>
        <item x="64"/>
        <item x="58"/>
        <item x="229"/>
        <item x="176"/>
        <item x="160"/>
        <item x="235"/>
        <item x="34"/>
        <item x="154"/>
        <item x="221"/>
        <item x="245"/>
        <item x="172"/>
        <item x="153"/>
        <item x="9"/>
        <item x="196"/>
        <item x="84"/>
        <item x="230"/>
        <item x="66"/>
        <item x="212"/>
        <item x="14"/>
        <item x="150"/>
        <item x="86"/>
        <item x="51"/>
        <item x="44"/>
        <item x="191"/>
        <item x="20"/>
        <item x="121"/>
        <item x="237"/>
        <item x="19"/>
        <item x="75"/>
        <item x="138"/>
        <item x="204"/>
        <item x="155"/>
        <item x="52"/>
        <item x="42"/>
        <item x="93"/>
        <item x="109"/>
        <item x="180"/>
        <item x="3"/>
        <item x="18"/>
        <item x="211"/>
        <item x="24"/>
        <item x="124"/>
        <item x="195"/>
        <item x="41"/>
        <item x="224"/>
        <item x="101"/>
        <item x="134"/>
        <item x="162"/>
        <item x="83"/>
        <item x="164"/>
        <item x="174"/>
        <item x="57"/>
        <item x="231"/>
        <item x="96"/>
        <item x="59"/>
        <item x="116"/>
        <item x="201"/>
        <item x="123"/>
        <item x="49"/>
        <item x="91"/>
        <item x="12"/>
        <item x="105"/>
        <item x="188"/>
        <item x="43"/>
        <item x="251"/>
        <item x="98"/>
        <item x="205"/>
        <item x="62"/>
        <item x="48"/>
        <item x="206"/>
        <item x="137"/>
        <item x="190"/>
        <item x="185"/>
        <item x="144"/>
        <item x="106"/>
        <item x="189"/>
        <item x="187"/>
        <item x="0"/>
        <item x="35"/>
        <item x="37"/>
        <item x="225"/>
        <item x="102"/>
        <item x="40"/>
        <item x="246"/>
        <item x="232"/>
        <item x="170"/>
        <item x="26"/>
        <item x="158"/>
        <item x="236"/>
        <item x="60"/>
        <item x="250"/>
        <item x="226"/>
        <item x="100"/>
        <item x="45"/>
        <item x="156"/>
        <item x="63"/>
        <item x="182"/>
        <item x="56"/>
        <item x="159"/>
        <item x="77"/>
        <item x="30"/>
        <item x="28"/>
        <item x="76"/>
        <item x="198"/>
        <item x="167"/>
        <item x="99"/>
        <item x="208"/>
        <item x="207"/>
        <item x="139"/>
        <item x="104"/>
        <item x="27"/>
        <item x="82"/>
        <item x="74"/>
        <item x="143"/>
        <item x="227"/>
        <item x="146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measureFilter="1" sortType="descending">
      <items count="36">
        <item m="1" x="32"/>
        <item x="8"/>
        <item x="14"/>
        <item x="21"/>
        <item x="29"/>
        <item m="1" x="33"/>
        <item x="24"/>
        <item x="22"/>
        <item x="20"/>
        <item x="31"/>
        <item x="10"/>
        <item x="1"/>
        <item x="2"/>
        <item x="15"/>
        <item x="17"/>
        <item x="28"/>
        <item x="3"/>
        <item x="18"/>
        <item x="26"/>
        <item m="1" x="34"/>
        <item x="12"/>
        <item x="16"/>
        <item x="4"/>
        <item x="13"/>
        <item x="27"/>
        <item x="0"/>
        <item x="9"/>
        <item x="5"/>
        <item x="30"/>
        <item x="19"/>
        <item x="23"/>
        <item x="11"/>
        <item x="25"/>
        <item x="6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8"/>
  </rowFields>
  <rowItems count="11">
    <i>
      <x v="13"/>
    </i>
    <i>
      <x v="1"/>
    </i>
    <i>
      <x v="12"/>
    </i>
    <i>
      <x v="24"/>
    </i>
    <i>
      <x v="22"/>
    </i>
    <i>
      <x v="29"/>
    </i>
    <i>
      <x v="9"/>
    </i>
    <i>
      <x v="4"/>
    </i>
    <i>
      <x v="21"/>
    </i>
    <i>
      <x v="14"/>
    </i>
    <i t="grand">
      <x/>
    </i>
  </rowItems>
  <colItems count="1">
    <i/>
  </colItems>
  <pageFields count="1">
    <pageField fld="4" item="1" hier="-1"/>
  </pageFields>
  <dataFields count="1">
    <dataField name="Goal Action per Team" fld="4" subtotal="count" baseField="8" baseItem="13"/>
  </dataFields>
  <formats count="5"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7" type="button" dataOnly="0" labelOnly="1" outline="0"/>
    </format>
    <format dxfId="46">
      <pivotArea dataOnly="0" labelOnly="1" grandRow="1" outline="0" fieldPosition="0"/>
    </format>
    <format dxfId="45">
      <pivotArea dataOnly="0" labelOnly="1" outline="0" axis="axisValues" fieldPosition="0"/>
    </format>
  </formats>
  <pivotTableStyleInfo name="PivotStyleLight16" showRowHeaders="1" showColHeaders="1" showRowStripes="0" showColStripes="0" showLastColumn="1"/>
  <filters count="2">
    <filter fld="7" type="count" evalOrder="-1" id="3" iMeasureFld="0">
      <autoFilter ref="A1">
        <filterColumn colId="0">
          <top10 val="10" filterVal="10"/>
        </filterColumn>
      </autoFilter>
    </filter>
    <filter fld="8" type="count" evalOrder="-1" id="4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82C544-BC2B-4692-8A71-D68A7787082F}" name="Player_Assist_Action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E4:F34" firstHeaderRow="1" firstDataRow="1" firstDataCol="1" rowPageCount="1" colPageCount="1"/>
  <pivotFields count="9">
    <pivotField showAll="0"/>
    <pivotField showAll="0"/>
    <pivotField showAll="0"/>
    <pivotField showAll="0"/>
    <pivotField axis="axisPage" dataField="1" multipleItemSelectionAllowed="1" showAll="0">
      <items count="8">
        <item x="2"/>
        <item x="1"/>
        <item h="1" x="3"/>
        <item h="1" x="5"/>
        <item h="1" x="4"/>
        <item h="1" x="0"/>
        <item m="1" x="6"/>
        <item t="default"/>
      </items>
    </pivotField>
    <pivotField showAll="0"/>
    <pivotField showAll="0"/>
    <pivotField axis="axisRow" showAll="0" measureFilter="1" sortType="descending">
      <items count="312">
        <item m="1" x="310"/>
        <item x="54"/>
        <item x="200"/>
        <item x="145"/>
        <item x="125"/>
        <item x="38"/>
        <item x="216"/>
        <item x="197"/>
        <item x="228"/>
        <item x="55"/>
        <item x="117"/>
        <item x="5"/>
        <item x="173"/>
        <item x="210"/>
        <item x="118"/>
        <item x="39"/>
        <item x="214"/>
        <item x="95"/>
        <item x="17"/>
        <item x="80"/>
        <item x="2"/>
        <item x="79"/>
        <item x="70"/>
        <item x="78"/>
        <item x="94"/>
        <item x="128"/>
        <item x="129"/>
        <item x="148"/>
        <item x="171"/>
        <item x="132"/>
        <item x="6"/>
        <item x="140"/>
        <item x="127"/>
        <item x="239"/>
        <item x="122"/>
        <item x="110"/>
        <item x="203"/>
        <item x="114"/>
        <item x="111"/>
        <item x="81"/>
        <item x="90"/>
        <item x="10"/>
        <item x="16"/>
        <item x="71"/>
        <item x="184"/>
        <item x="141"/>
        <item x="241"/>
        <item x="220"/>
        <item x="87"/>
        <item x="33"/>
        <item x="166"/>
        <item x="29"/>
        <item x="21"/>
        <item x="85"/>
        <item x="50"/>
        <item x="88"/>
        <item x="65"/>
        <item x="179"/>
        <item x="199"/>
        <item x="92"/>
        <item x="243"/>
        <item x="233"/>
        <item x="23"/>
        <item x="152"/>
        <item x="252"/>
        <item x="169"/>
        <item x="248"/>
        <item x="218"/>
        <item x="1"/>
        <item x="133"/>
        <item x="168"/>
        <item x="135"/>
        <item x="186"/>
        <item x="112"/>
        <item x="192"/>
        <item x="119"/>
        <item x="68"/>
        <item x="36"/>
        <item x="72"/>
        <item x="183"/>
        <item x="22"/>
        <item x="32"/>
        <item x="69"/>
        <item x="244"/>
        <item x="131"/>
        <item x="209"/>
        <item x="147"/>
        <item x="13"/>
        <item x="11"/>
        <item x="215"/>
        <item x="217"/>
        <item x="136"/>
        <item x="47"/>
        <item x="219"/>
        <item x="108"/>
        <item x="249"/>
        <item x="25"/>
        <item x="115"/>
        <item x="61"/>
        <item x="97"/>
        <item x="107"/>
        <item x="113"/>
        <item x="193"/>
        <item x="149"/>
        <item x="15"/>
        <item x="53"/>
        <item x="120"/>
        <item x="163"/>
        <item x="165"/>
        <item x="7"/>
        <item x="130"/>
        <item x="89"/>
        <item x="103"/>
        <item x="73"/>
        <item x="223"/>
        <item x="181"/>
        <item x="67"/>
        <item x="46"/>
        <item x="247"/>
        <item x="161"/>
        <item x="151"/>
        <item x="8"/>
        <item x="126"/>
        <item x="213"/>
        <item x="175"/>
        <item x="222"/>
        <item x="238"/>
        <item x="234"/>
        <item x="194"/>
        <item x="202"/>
        <item x="157"/>
        <item x="242"/>
        <item x="240"/>
        <item x="4"/>
        <item x="31"/>
        <item x="142"/>
        <item x="177"/>
        <item x="178"/>
        <item x="64"/>
        <item x="58"/>
        <item x="229"/>
        <item x="176"/>
        <item x="160"/>
        <item x="235"/>
        <item x="34"/>
        <item x="154"/>
        <item x="221"/>
        <item x="245"/>
        <item x="172"/>
        <item x="153"/>
        <item x="9"/>
        <item x="196"/>
        <item x="84"/>
        <item x="230"/>
        <item x="66"/>
        <item x="212"/>
        <item x="14"/>
        <item x="150"/>
        <item x="86"/>
        <item x="51"/>
        <item x="44"/>
        <item x="191"/>
        <item x="20"/>
        <item x="121"/>
        <item x="237"/>
        <item x="19"/>
        <item x="75"/>
        <item x="138"/>
        <item x="204"/>
        <item x="155"/>
        <item x="52"/>
        <item x="42"/>
        <item x="93"/>
        <item x="109"/>
        <item x="180"/>
        <item x="3"/>
        <item x="18"/>
        <item x="211"/>
        <item x="24"/>
        <item x="124"/>
        <item x="195"/>
        <item x="41"/>
        <item x="224"/>
        <item x="101"/>
        <item x="134"/>
        <item x="162"/>
        <item x="83"/>
        <item x="164"/>
        <item x="174"/>
        <item x="57"/>
        <item x="231"/>
        <item x="96"/>
        <item x="59"/>
        <item x="116"/>
        <item x="201"/>
        <item x="123"/>
        <item x="49"/>
        <item x="91"/>
        <item x="12"/>
        <item x="105"/>
        <item x="188"/>
        <item x="43"/>
        <item x="251"/>
        <item x="98"/>
        <item x="205"/>
        <item x="62"/>
        <item x="48"/>
        <item x="206"/>
        <item x="137"/>
        <item x="190"/>
        <item x="185"/>
        <item x="144"/>
        <item x="106"/>
        <item x="189"/>
        <item x="187"/>
        <item x="0"/>
        <item x="35"/>
        <item x="37"/>
        <item x="225"/>
        <item x="102"/>
        <item x="40"/>
        <item x="246"/>
        <item x="232"/>
        <item x="170"/>
        <item x="26"/>
        <item x="158"/>
        <item x="236"/>
        <item x="60"/>
        <item x="250"/>
        <item x="226"/>
        <item x="100"/>
        <item x="45"/>
        <item x="156"/>
        <item x="63"/>
        <item x="182"/>
        <item x="56"/>
        <item x="159"/>
        <item x="77"/>
        <item x="30"/>
        <item x="28"/>
        <item x="76"/>
        <item x="198"/>
        <item x="167"/>
        <item x="99"/>
        <item x="208"/>
        <item x="207"/>
        <item x="139"/>
        <item x="104"/>
        <item x="27"/>
        <item x="82"/>
        <item x="74"/>
        <item x="143"/>
        <item x="227"/>
        <item x="146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6">
        <item m="1" x="32"/>
        <item x="8"/>
        <item x="14"/>
        <item x="21"/>
        <item x="29"/>
        <item m="1" x="33"/>
        <item x="24"/>
        <item x="22"/>
        <item x="20"/>
        <item x="31"/>
        <item x="10"/>
        <item x="1"/>
        <item x="2"/>
        <item x="15"/>
        <item x="17"/>
        <item x="28"/>
        <item x="3"/>
        <item x="18"/>
        <item x="26"/>
        <item m="1" x="34"/>
        <item x="12"/>
        <item x="16"/>
        <item x="4"/>
        <item x="13"/>
        <item x="27"/>
        <item x="0"/>
        <item x="9"/>
        <item x="5"/>
        <item x="30"/>
        <item x="19"/>
        <item x="23"/>
        <item x="11"/>
        <item x="25"/>
        <item x="6"/>
        <item x="7"/>
        <item t="default"/>
      </items>
    </pivotField>
  </pivotFields>
  <rowFields count="1">
    <field x="7"/>
  </rowFields>
  <rowItems count="30">
    <i>
      <x v="139"/>
    </i>
    <i>
      <x v="144"/>
    </i>
    <i>
      <x v="40"/>
    </i>
    <i>
      <x v="87"/>
    </i>
    <i>
      <x v="123"/>
    </i>
    <i>
      <x v="284"/>
    </i>
    <i>
      <x v="189"/>
    </i>
    <i>
      <x v="103"/>
    </i>
    <i>
      <x v="22"/>
    </i>
    <i>
      <x v="242"/>
    </i>
    <i>
      <x v="194"/>
    </i>
    <i>
      <x v="41"/>
    </i>
    <i>
      <x v="51"/>
    </i>
    <i>
      <x v="203"/>
    </i>
    <i>
      <x v="111"/>
    </i>
    <i>
      <x v="268"/>
    </i>
    <i>
      <x v="52"/>
    </i>
    <i>
      <x v="76"/>
    </i>
    <i>
      <x v="32"/>
    </i>
    <i>
      <x v="200"/>
    </i>
    <i>
      <x v="62"/>
    </i>
    <i>
      <x v="235"/>
    </i>
    <i>
      <x v="68"/>
    </i>
    <i>
      <x v="243"/>
    </i>
    <i>
      <x v="165"/>
    </i>
    <i>
      <x v="279"/>
    </i>
    <i>
      <x v="169"/>
    </i>
    <i>
      <x v="185"/>
    </i>
    <i>
      <x v="156"/>
    </i>
    <i t="grand">
      <x/>
    </i>
  </rowItems>
  <colItems count="1">
    <i/>
  </colItems>
  <pageFields count="1">
    <pageField fld="4" hier="-1"/>
  </pageFields>
  <dataFields count="1">
    <dataField name="Assist Action" fld="4" subtotal="count" baseField="0" baseItem="0"/>
  </dataFields>
  <formats count="8">
    <format dxfId="57">
      <pivotArea type="all" dataOnly="0" outline="0" fieldPosition="0"/>
    </format>
    <format dxfId="56">
      <pivotArea outline="0" collapsedLevelsAreSubtotals="1" fieldPosition="0"/>
    </format>
    <format dxfId="55">
      <pivotArea field="7" type="button" dataOnly="0" labelOnly="1" outline="0" axis="axisRow" fieldPosition="0"/>
    </format>
    <format dxfId="54">
      <pivotArea dataOnly="0" labelOnly="1" fieldPosition="0">
        <references count="1">
          <reference field="7" count="50">
            <x v="12"/>
            <x v="13"/>
            <x v="22"/>
            <x v="27"/>
            <x v="33"/>
            <x v="39"/>
            <x v="40"/>
            <x v="41"/>
            <x v="48"/>
            <x v="51"/>
            <x v="52"/>
            <x v="68"/>
            <x v="76"/>
            <x v="82"/>
            <x v="83"/>
            <x v="86"/>
            <x v="87"/>
            <x v="93"/>
            <x v="95"/>
            <x v="98"/>
            <x v="102"/>
            <x v="103"/>
            <x v="123"/>
            <x v="127"/>
            <x v="139"/>
            <x v="144"/>
            <x v="156"/>
            <x v="165"/>
            <x v="172"/>
            <x v="185"/>
            <x v="189"/>
            <x v="191"/>
            <x v="195"/>
            <x v="197"/>
            <x v="198"/>
            <x v="203"/>
            <x v="205"/>
            <x v="212"/>
            <x v="217"/>
            <x v="223"/>
            <x v="239"/>
            <x v="242"/>
            <x v="249"/>
            <x v="252"/>
            <x v="259"/>
            <x v="269"/>
            <x v="277"/>
            <x v="279"/>
            <x v="284"/>
            <x v="292"/>
          </reference>
        </references>
      </pivotArea>
    </format>
    <format dxfId="53">
      <pivotArea dataOnly="0" labelOnly="1" fieldPosition="0">
        <references count="1">
          <reference field="7" count="50">
            <x v="21"/>
            <x v="24"/>
            <x v="25"/>
            <x v="38"/>
            <x v="43"/>
            <x v="44"/>
            <x v="54"/>
            <x v="55"/>
            <x v="56"/>
            <x v="69"/>
            <x v="70"/>
            <x v="73"/>
            <x v="81"/>
            <x v="104"/>
            <x v="108"/>
            <x v="111"/>
            <x v="121"/>
            <x v="128"/>
            <x v="135"/>
            <x v="137"/>
            <x v="145"/>
            <x v="146"/>
            <x v="152"/>
            <x v="154"/>
            <x v="173"/>
            <x v="174"/>
            <x v="194"/>
            <x v="199"/>
            <x v="200"/>
            <x v="202"/>
            <x v="206"/>
            <x v="211"/>
            <x v="216"/>
            <x v="222"/>
            <x v="230"/>
            <x v="233"/>
            <x v="235"/>
            <x v="243"/>
            <x v="244"/>
            <x v="251"/>
            <x v="253"/>
            <x v="264"/>
            <x v="267"/>
            <x v="268"/>
            <x v="273"/>
            <x v="281"/>
            <x v="282"/>
            <x v="285"/>
            <x v="301"/>
            <x v="307"/>
          </reference>
        </references>
      </pivotArea>
    </format>
    <format dxfId="52">
      <pivotArea dataOnly="0" labelOnly="1" fieldPosition="0">
        <references count="1">
          <reference field="7" count="16">
            <x v="9"/>
            <x v="29"/>
            <x v="37"/>
            <x v="62"/>
            <x v="80"/>
            <x v="157"/>
            <x v="159"/>
            <x v="166"/>
            <x v="169"/>
            <x v="170"/>
            <x v="175"/>
            <x v="177"/>
            <x v="271"/>
            <x v="276"/>
            <x v="288"/>
            <x v="306"/>
          </reference>
        </references>
      </pivotArea>
    </format>
    <format dxfId="51">
      <pivotArea dataOnly="0" labelOnly="1" grandRow="1" outline="0" fieldPosition="0"/>
    </format>
    <format dxfId="50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count" evalOrder="-1" id="3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0479E0-064F-4F90-8FB0-0B802F217477}" name="Player_Goal_Action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4:B16" firstHeaderRow="1" firstDataRow="1" firstDataCol="1" rowPageCount="1" colPageCount="1"/>
  <pivotFields count="9">
    <pivotField showAll="0"/>
    <pivotField showAll="0"/>
    <pivotField showAll="0"/>
    <pivotField showAll="0"/>
    <pivotField axis="axisPage" dataField="1" showAll="0">
      <items count="8">
        <item x="2"/>
        <item x="1"/>
        <item x="3"/>
        <item x="5"/>
        <item x="4"/>
        <item x="0"/>
        <item m="1" x="6"/>
        <item t="default"/>
      </items>
    </pivotField>
    <pivotField showAll="0"/>
    <pivotField showAll="0"/>
    <pivotField axis="axisRow" showAll="0" measureFilter="1" sortType="descending">
      <items count="312">
        <item m="1" x="310"/>
        <item x="54"/>
        <item x="200"/>
        <item x="145"/>
        <item x="125"/>
        <item x="38"/>
        <item x="216"/>
        <item x="197"/>
        <item x="228"/>
        <item x="55"/>
        <item x="117"/>
        <item x="5"/>
        <item x="173"/>
        <item x="210"/>
        <item x="118"/>
        <item x="39"/>
        <item x="214"/>
        <item x="95"/>
        <item x="17"/>
        <item x="80"/>
        <item x="2"/>
        <item x="79"/>
        <item x="70"/>
        <item x="78"/>
        <item x="94"/>
        <item x="128"/>
        <item x="129"/>
        <item x="148"/>
        <item x="171"/>
        <item x="132"/>
        <item x="6"/>
        <item x="140"/>
        <item x="127"/>
        <item x="239"/>
        <item x="122"/>
        <item x="110"/>
        <item x="203"/>
        <item x="114"/>
        <item x="111"/>
        <item x="81"/>
        <item x="90"/>
        <item x="10"/>
        <item x="16"/>
        <item x="71"/>
        <item x="184"/>
        <item x="141"/>
        <item x="241"/>
        <item x="220"/>
        <item x="87"/>
        <item x="33"/>
        <item x="166"/>
        <item x="29"/>
        <item x="21"/>
        <item x="85"/>
        <item x="50"/>
        <item x="88"/>
        <item x="65"/>
        <item x="179"/>
        <item x="199"/>
        <item x="92"/>
        <item x="243"/>
        <item x="233"/>
        <item x="23"/>
        <item x="152"/>
        <item x="252"/>
        <item x="169"/>
        <item x="248"/>
        <item x="218"/>
        <item x="1"/>
        <item x="133"/>
        <item x="168"/>
        <item x="135"/>
        <item x="186"/>
        <item x="112"/>
        <item x="192"/>
        <item x="119"/>
        <item x="68"/>
        <item x="36"/>
        <item x="72"/>
        <item x="183"/>
        <item x="22"/>
        <item x="32"/>
        <item x="69"/>
        <item x="244"/>
        <item x="131"/>
        <item x="209"/>
        <item x="147"/>
        <item x="13"/>
        <item x="11"/>
        <item x="215"/>
        <item x="217"/>
        <item x="136"/>
        <item x="47"/>
        <item x="219"/>
        <item x="108"/>
        <item x="249"/>
        <item x="25"/>
        <item x="115"/>
        <item x="61"/>
        <item x="97"/>
        <item x="107"/>
        <item x="113"/>
        <item x="193"/>
        <item x="149"/>
        <item x="15"/>
        <item x="53"/>
        <item x="120"/>
        <item x="163"/>
        <item x="165"/>
        <item x="7"/>
        <item x="130"/>
        <item x="89"/>
        <item x="103"/>
        <item x="73"/>
        <item x="223"/>
        <item x="181"/>
        <item x="67"/>
        <item x="46"/>
        <item x="247"/>
        <item x="161"/>
        <item x="151"/>
        <item x="8"/>
        <item x="126"/>
        <item x="213"/>
        <item x="175"/>
        <item x="222"/>
        <item x="238"/>
        <item x="234"/>
        <item x="194"/>
        <item x="202"/>
        <item x="157"/>
        <item x="242"/>
        <item x="240"/>
        <item x="4"/>
        <item x="31"/>
        <item x="142"/>
        <item x="177"/>
        <item x="178"/>
        <item x="64"/>
        <item x="58"/>
        <item x="229"/>
        <item x="176"/>
        <item x="160"/>
        <item x="235"/>
        <item x="34"/>
        <item x="154"/>
        <item x="221"/>
        <item x="245"/>
        <item x="172"/>
        <item x="153"/>
        <item x="9"/>
        <item x="196"/>
        <item x="84"/>
        <item x="230"/>
        <item x="66"/>
        <item x="212"/>
        <item x="14"/>
        <item x="150"/>
        <item x="86"/>
        <item x="51"/>
        <item x="44"/>
        <item x="191"/>
        <item x="20"/>
        <item x="121"/>
        <item x="237"/>
        <item x="19"/>
        <item x="75"/>
        <item x="138"/>
        <item x="204"/>
        <item x="155"/>
        <item x="52"/>
        <item x="42"/>
        <item x="93"/>
        <item x="109"/>
        <item x="180"/>
        <item x="3"/>
        <item x="18"/>
        <item x="211"/>
        <item x="24"/>
        <item x="124"/>
        <item x="195"/>
        <item x="41"/>
        <item x="224"/>
        <item x="101"/>
        <item x="134"/>
        <item x="162"/>
        <item x="83"/>
        <item x="164"/>
        <item x="174"/>
        <item x="57"/>
        <item x="231"/>
        <item x="96"/>
        <item x="59"/>
        <item x="116"/>
        <item x="201"/>
        <item x="123"/>
        <item x="49"/>
        <item x="91"/>
        <item x="12"/>
        <item x="105"/>
        <item x="188"/>
        <item x="43"/>
        <item x="251"/>
        <item x="98"/>
        <item x="205"/>
        <item x="62"/>
        <item x="48"/>
        <item x="206"/>
        <item x="137"/>
        <item x="190"/>
        <item x="185"/>
        <item x="144"/>
        <item x="106"/>
        <item x="189"/>
        <item x="187"/>
        <item x="0"/>
        <item x="35"/>
        <item x="37"/>
        <item x="225"/>
        <item x="102"/>
        <item x="40"/>
        <item x="246"/>
        <item x="232"/>
        <item x="170"/>
        <item x="26"/>
        <item x="158"/>
        <item x="236"/>
        <item x="60"/>
        <item x="250"/>
        <item x="226"/>
        <item x="100"/>
        <item x="45"/>
        <item x="156"/>
        <item x="63"/>
        <item x="182"/>
        <item x="56"/>
        <item x="159"/>
        <item x="77"/>
        <item x="30"/>
        <item x="28"/>
        <item x="76"/>
        <item x="198"/>
        <item x="167"/>
        <item x="99"/>
        <item x="208"/>
        <item x="207"/>
        <item x="139"/>
        <item x="104"/>
        <item x="27"/>
        <item x="82"/>
        <item x="74"/>
        <item x="143"/>
        <item x="227"/>
        <item x="146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6">
        <item m="1" x="32"/>
        <item x="8"/>
        <item x="14"/>
        <item x="21"/>
        <item x="29"/>
        <item m="1" x="33"/>
        <item x="24"/>
        <item x="22"/>
        <item x="20"/>
        <item x="31"/>
        <item x="10"/>
        <item x="1"/>
        <item x="2"/>
        <item x="15"/>
        <item x="17"/>
        <item x="28"/>
        <item x="3"/>
        <item x="18"/>
        <item x="26"/>
        <item m="1" x="34"/>
        <item x="12"/>
        <item x="16"/>
        <item x="4"/>
        <item x="13"/>
        <item x="27"/>
        <item x="0"/>
        <item x="9"/>
        <item x="5"/>
        <item x="30"/>
        <item x="19"/>
        <item x="23"/>
        <item x="11"/>
        <item x="25"/>
        <item x="6"/>
        <item x="7"/>
        <item t="default"/>
      </items>
    </pivotField>
  </pivotFields>
  <rowFields count="1">
    <field x="7"/>
  </rowFields>
  <rowItems count="12">
    <i>
      <x v="139"/>
    </i>
    <i>
      <x v="144"/>
    </i>
    <i>
      <x v="189"/>
    </i>
    <i>
      <x v="123"/>
    </i>
    <i>
      <x v="156"/>
    </i>
    <i>
      <x v="203"/>
    </i>
    <i>
      <x v="68"/>
    </i>
    <i>
      <x v="284"/>
    </i>
    <i>
      <x v="52"/>
    </i>
    <i>
      <x v="41"/>
    </i>
    <i>
      <x v="22"/>
    </i>
    <i t="grand">
      <x/>
    </i>
  </rowItems>
  <colItems count="1">
    <i/>
  </colItems>
  <pageFields count="1">
    <pageField fld="4" item="1" hier="-1"/>
  </pageFields>
  <dataFields count="1">
    <dataField name="Goal Action" fld="4" subtotal="count" baseField="0" baseItem="0"/>
  </dataFields>
  <formats count="8">
    <format dxfId="65">
      <pivotArea type="all" dataOnly="0" outline="0" fieldPosition="0"/>
    </format>
    <format dxfId="64">
      <pivotArea outline="0" collapsedLevelsAreSubtotals="1" fieldPosition="0"/>
    </format>
    <format dxfId="63">
      <pivotArea field="7" type="button" dataOnly="0" labelOnly="1" outline="0" axis="axisRow" fieldPosition="0"/>
    </format>
    <format dxfId="62">
      <pivotArea dataOnly="0" labelOnly="1" fieldPosition="0">
        <references count="1">
          <reference field="7" count="50">
            <x v="12"/>
            <x v="13"/>
            <x v="22"/>
            <x v="27"/>
            <x v="33"/>
            <x v="39"/>
            <x v="40"/>
            <x v="41"/>
            <x v="48"/>
            <x v="51"/>
            <x v="52"/>
            <x v="68"/>
            <x v="76"/>
            <x v="82"/>
            <x v="83"/>
            <x v="86"/>
            <x v="87"/>
            <x v="93"/>
            <x v="95"/>
            <x v="98"/>
            <x v="102"/>
            <x v="103"/>
            <x v="123"/>
            <x v="127"/>
            <x v="139"/>
            <x v="144"/>
            <x v="156"/>
            <x v="165"/>
            <x v="172"/>
            <x v="185"/>
            <x v="189"/>
            <x v="191"/>
            <x v="195"/>
            <x v="197"/>
            <x v="198"/>
            <x v="203"/>
            <x v="205"/>
            <x v="212"/>
            <x v="217"/>
            <x v="223"/>
            <x v="239"/>
            <x v="242"/>
            <x v="249"/>
            <x v="252"/>
            <x v="259"/>
            <x v="269"/>
            <x v="277"/>
            <x v="279"/>
            <x v="284"/>
            <x v="292"/>
          </reference>
        </references>
      </pivotArea>
    </format>
    <format dxfId="61">
      <pivotArea dataOnly="0" labelOnly="1" fieldPosition="0">
        <references count="1">
          <reference field="7" count="50">
            <x v="21"/>
            <x v="24"/>
            <x v="25"/>
            <x v="38"/>
            <x v="43"/>
            <x v="44"/>
            <x v="54"/>
            <x v="55"/>
            <x v="56"/>
            <x v="69"/>
            <x v="70"/>
            <x v="73"/>
            <x v="81"/>
            <x v="104"/>
            <x v="108"/>
            <x v="111"/>
            <x v="121"/>
            <x v="128"/>
            <x v="135"/>
            <x v="137"/>
            <x v="145"/>
            <x v="146"/>
            <x v="152"/>
            <x v="154"/>
            <x v="173"/>
            <x v="174"/>
            <x v="194"/>
            <x v="199"/>
            <x v="200"/>
            <x v="202"/>
            <x v="206"/>
            <x v="211"/>
            <x v="216"/>
            <x v="222"/>
            <x v="230"/>
            <x v="233"/>
            <x v="235"/>
            <x v="243"/>
            <x v="244"/>
            <x v="251"/>
            <x v="253"/>
            <x v="264"/>
            <x v="267"/>
            <x v="268"/>
            <x v="273"/>
            <x v="281"/>
            <x v="282"/>
            <x v="285"/>
            <x v="301"/>
            <x v="307"/>
          </reference>
        </references>
      </pivotArea>
    </format>
    <format dxfId="60">
      <pivotArea dataOnly="0" labelOnly="1" fieldPosition="0">
        <references count="1">
          <reference field="7" count="16">
            <x v="9"/>
            <x v="29"/>
            <x v="37"/>
            <x v="62"/>
            <x v="80"/>
            <x v="157"/>
            <x v="159"/>
            <x v="166"/>
            <x v="169"/>
            <x v="170"/>
            <x v="175"/>
            <x v="177"/>
            <x v="271"/>
            <x v="276"/>
            <x v="288"/>
            <x v="306"/>
          </reference>
        </references>
      </pivotArea>
    </format>
    <format dxfId="59">
      <pivotArea dataOnly="0" labelOnly="1" grandRow="1" outline="0" fieldPosition="0"/>
    </format>
    <format dxfId="58">
      <pivotArea dataOnly="0" labelOnly="1" outline="0" axis="axisValues" fieldPosition="0"/>
    </format>
  </formats>
  <chartFormats count="1"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count" evalOrder="-1" id="3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897464-ABEA-4135-BFB5-2A9D877C1C25}" name="PivotTable2" cacheId="0" applyNumberFormats="0" applyBorderFormats="0" applyFontFormats="0" applyPatternFormats="0" applyAlignmentFormats="0" applyWidthHeightFormats="1" dataCaption="Values" missingCaption="0" updatedVersion="8" minRefreshableVersion="3" useAutoFormatting="1" itemPrintTitles="1" createdVersion="8" indent="0" outline="1" outlineData="1" multipleFieldFilters="0">
  <location ref="A3:B36" firstHeaderRow="1" firstDataRow="1" firstDataCol="1" rowPageCount="1" colPageCount="1"/>
  <pivotFields count="9">
    <pivotField showAll="0"/>
    <pivotField showAll="0"/>
    <pivotField showAll="0"/>
    <pivotField showAll="0"/>
    <pivotField axis="axisPage" dataField="1" showAll="0">
      <items count="8">
        <item x="2"/>
        <item x="1"/>
        <item x="3"/>
        <item x="5"/>
        <item x="4"/>
        <item x="0"/>
        <item m="1" x="6"/>
        <item t="default"/>
      </items>
    </pivotField>
    <pivotField showAll="0"/>
    <pivotField showAll="0"/>
    <pivotField showAll="0"/>
    <pivotField axis="axisRow" showAll="0" sortType="descending">
      <items count="36">
        <item m="1" x="32"/>
        <item x="8"/>
        <item x="14"/>
        <item x="21"/>
        <item m="1" x="33"/>
        <item x="24"/>
        <item x="22"/>
        <item x="20"/>
        <item x="31"/>
        <item x="10"/>
        <item x="1"/>
        <item x="2"/>
        <item x="15"/>
        <item x="17"/>
        <item x="28"/>
        <item x="3"/>
        <item x="18"/>
        <item m="1" x="34"/>
        <item x="12"/>
        <item x="16"/>
        <item x="4"/>
        <item x="13"/>
        <item x="27"/>
        <item x="0"/>
        <item x="9"/>
        <item x="5"/>
        <item x="30"/>
        <item x="19"/>
        <item x="23"/>
        <item x="11"/>
        <item x="25"/>
        <item x="6"/>
        <item x="7"/>
        <item x="26"/>
        <item x="2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8"/>
  </rowFields>
  <rowItems count="33">
    <i>
      <x v="12"/>
    </i>
    <i>
      <x v="1"/>
    </i>
    <i>
      <x v="11"/>
    </i>
    <i>
      <x v="22"/>
    </i>
    <i>
      <x v="20"/>
    </i>
    <i>
      <x v="27"/>
    </i>
    <i>
      <x v="8"/>
    </i>
    <i>
      <x v="34"/>
    </i>
    <i>
      <x v="13"/>
    </i>
    <i>
      <x v="19"/>
    </i>
    <i>
      <x v="33"/>
    </i>
    <i>
      <x v="26"/>
    </i>
    <i>
      <x v="25"/>
    </i>
    <i>
      <x v="16"/>
    </i>
    <i>
      <x v="14"/>
    </i>
    <i>
      <x v="28"/>
    </i>
    <i>
      <x v="5"/>
    </i>
    <i>
      <x v="10"/>
    </i>
    <i>
      <x v="15"/>
    </i>
    <i>
      <x v="31"/>
    </i>
    <i>
      <x v="2"/>
    </i>
    <i>
      <x v="24"/>
    </i>
    <i>
      <x v="30"/>
    </i>
    <i>
      <x v="21"/>
    </i>
    <i>
      <x v="7"/>
    </i>
    <i>
      <x v="18"/>
    </i>
    <i>
      <x v="32"/>
    </i>
    <i>
      <x v="3"/>
    </i>
    <i>
      <x v="23"/>
    </i>
    <i>
      <x v="6"/>
    </i>
    <i>
      <x v="29"/>
    </i>
    <i>
      <x v="9"/>
    </i>
    <i t="grand">
      <x/>
    </i>
  </rowItems>
  <colItems count="1">
    <i/>
  </colItems>
  <pageFields count="1">
    <pageField fld="4" item="1" hier="-1"/>
  </pageFields>
  <dataFields count="1">
    <dataField name="Count of Action" fld="4" subtotal="count" baseField="8" baseItem="24"/>
  </dataFields>
  <formats count="6"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8" type="button" dataOnly="0" labelOnly="1" outline="0" axis="axisRow" fieldPosition="0"/>
    </format>
    <format dxfId="31">
      <pivotArea dataOnly="0" labelOnly="1" fieldPosition="0">
        <references count="1">
          <reference field="8" count="31"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</reference>
        </references>
      </pivotArea>
    </format>
    <format dxfId="30">
      <pivotArea dataOnly="0" labelOnly="1" grandRow="1" outline="0" fieldPosition="0"/>
    </format>
    <format dxfId="2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CB634540-FAFE-4D0A-B727-463E744085D6}" autoFormatId="16" applyNumberFormats="0" applyBorderFormats="0" applyFontFormats="0" applyPatternFormats="0" applyAlignmentFormats="0" applyWidthHeightFormats="0">
  <queryTableRefresh nextId="23">
    <queryTableFields count="18">
      <queryTableField id="1" name="Nation Code" tableColumnId="1"/>
      <queryTableField id="2" name="FA" tableColumnId="2"/>
      <queryTableField id="20" name="FullFA" tableColumnId="17"/>
      <queryTableField id="3" name="Player No" tableColumnId="3"/>
      <queryTableField id="4" name="Squad No" tableColumnId="4"/>
      <queryTableField id="5" name="Position" tableColumnId="5"/>
      <queryTableField id="6" name="Player Name" tableColumnId="6"/>
      <queryTableField id="7" name="Date Of Birth" tableColumnId="7"/>
      <queryTableField id="8" name="Age" tableColumnId="8"/>
      <queryTableField id="9" name="Caps" tableColumnId="9"/>
      <queryTableField id="10" name="International Goals" tableColumnId="10"/>
      <queryTableField id="11" name="Current Club" tableColumnId="11"/>
      <queryTableField id="18" name="ClubID" tableColumnId="16"/>
      <queryTableField id="14" name="World Cup Result" tableColumnId="14"/>
      <queryTableField id="15" name="Last Four" tableColumnId="15"/>
      <queryTableField id="12" name="Clubs.Club - League" tableColumnId="12"/>
      <queryTableField id="13" name="Clubs.Football Association" tableColumnId="13"/>
      <queryTableField id="21" name="FullPlayerData" tableColumnId="18"/>
    </queryTableFields>
  </queryTableRefresh>
  <extLst>
    <ext xmlns:x15="http://schemas.microsoft.com/office/spreadsheetml/2010/11/main" uri="{883FBD77-0823-4a55-B5E3-86C4891E6966}">
      <x15:queryTable sourceDataName="Query - Squad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F1D92283-AA9A-4F79-B8BF-9E7D54CDC9B8}" autoFormatId="16" applyNumberFormats="0" applyBorderFormats="0" applyFontFormats="0" applyPatternFormats="0" applyAlignmentFormats="0" applyWidthHeightFormats="0">
  <queryTableRefresh nextId="18">
    <queryTableFields count="13">
      <queryTableField id="1" name="Match Category" tableColumnId="1"/>
      <queryTableField id="2" name="Round" tableColumnId="2"/>
      <queryTableField id="3" name="Match No" tableColumnId="3"/>
      <queryTableField id="4" name="Date" tableColumnId="4"/>
      <queryTableField id="5" name="Time" tableColumnId="5"/>
      <queryTableField id="6" name="Home" tableColumnId="6"/>
      <queryTableField id="7" name="Home Score" tableColumnId="7"/>
      <queryTableField id="8" name="Away Score" tableColumnId="8"/>
      <queryTableField id="9" name="Away" tableColumnId="9"/>
      <queryTableField id="10" name="Location" tableColumnId="10"/>
      <queryTableField id="11" name="Attendance" tableColumnId="11"/>
      <queryTableField id="12" name="Total Goals" tableColumnId="12"/>
      <queryTableField id="17" name="Merged" tableColumnId="17"/>
    </queryTableFields>
  </queryTableRefresh>
  <extLst>
    <ext xmlns:x15="http://schemas.microsoft.com/office/spreadsheetml/2010/11/main" uri="{883FBD77-0823-4a55-B5E3-86C4891E6966}">
      <x15:queryTable sourceDataName="Query - All_Results"/>
    </ext>
  </extLst>
</queryTable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Outcome" displayName="Outcome" ref="A1:A3" totalsRowShown="0">
  <autoFilter ref="A1:A3" xr:uid="{00000000-0009-0000-0100-000002000000}"/>
  <tableColumns count="1">
    <tableColumn id="1" xr3:uid="{00000000-0010-0000-0A00-000001000000}" name="Outcome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561122B-AE57-47E6-86C1-0121E743B3F5}" name="Actions" displayName="Actions" ref="G1:G11" totalsRowShown="0">
  <autoFilter ref="G1:G11" xr:uid="{6561122B-AE57-47E6-86C1-0121E743B3F5}"/>
  <tableColumns count="1">
    <tableColumn id="1" xr3:uid="{950B2BC6-E445-4DBC-A80B-EAC15A09759A}" name="Action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868F03D-D16B-44E8-AB4F-83605F5ED36E}" name="Qualified" displayName="Qualified" ref="L1:N33" totalsRowShown="0" dataDxfId="477" tableBorderDxfId="476" dataCellStyle="Normal_Football Associations">
  <autoFilter ref="L1:N33" xr:uid="{F868F03D-D16B-44E8-AB4F-83605F5ED36E}"/>
  <tableColumns count="3">
    <tableColumn id="1" xr3:uid="{66CFA73C-77CD-4062-93E3-A912774C84BC}" name="Qualified Teams" dataDxfId="475" dataCellStyle="Normal_Football Associations"/>
    <tableColumn id="2" xr3:uid="{5167F82C-2149-403B-9D88-4D8B0E3EB1E0}" name="Nation Code" dataDxfId="474" dataCellStyle="Normal_Football Associations"/>
    <tableColumn id="3" xr3:uid="{F2F0B241-3956-4230-8067-5AB190708246}" name="FA" dataDxfId="473" dataCellStyle="Normal_Football Association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6F09A41-5FB2-48EC-9247-A779CF587229}" name="FIFA_Region" displayName="FIFA_Region" ref="A1:B7" totalsRowShown="0" dataDxfId="472">
  <autoFilter ref="A1:B7" xr:uid="{76F09A41-5FB2-48EC-9247-A779CF587229}"/>
  <sortState xmlns:xlrd2="http://schemas.microsoft.com/office/spreadsheetml/2017/richdata2" ref="A2:A6">
    <sortCondition ref="A2:A7"/>
  </sortState>
  <tableColumns count="2">
    <tableColumn id="1" xr3:uid="{E0BB23B7-F6B5-4E04-BB54-0302311365EC}" name="FIFA Region" dataDxfId="471"/>
    <tableColumn id="2" xr3:uid="{77FF8614-9CAE-4FA7-AD49-22DC73D9832C}" name="Area" dataDxfId="47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F8B57EF-B486-4B77-AD6F-D83410589BCA}" name="Stadiums27" displayName="Stadiums27" ref="A1:D9" totalsRowShown="0" headerRowDxfId="469" dataDxfId="468">
  <autoFilter ref="A1:D9" xr:uid="{CF8B57EF-B486-4B77-AD6F-D83410589BCA}"/>
  <sortState xmlns:xlrd2="http://schemas.microsoft.com/office/spreadsheetml/2017/richdata2" ref="A2:D9">
    <sortCondition descending="1" ref="C2:C10"/>
  </sortState>
  <tableColumns count="4">
    <tableColumn id="1" xr3:uid="{9FF475A4-9931-478D-9B9C-C55815D691A2}" name="Stadium_No" dataDxfId="467"/>
    <tableColumn id="2" xr3:uid="{3DFDAEAF-089E-4C8F-915B-7DAA1B213C24}" name="Name" dataDxfId="466"/>
    <tableColumn id="3" xr3:uid="{6A689AEC-9878-499C-9818-C0518050017F}" name="Capacity" dataDxfId="465"/>
    <tableColumn id="4" xr3:uid="{8A725E63-6546-4D8D-9C9B-D7B86EFC0BAF}" name="Location" dataDxfId="464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F18D510-85AE-498D-B16A-992F100C378C}" name="WC_Groups" displayName="WC_Groups" ref="A1:A9" totalsRowShown="0" dataDxfId="463">
  <autoFilter ref="A1:A9" xr:uid="{EF18D510-85AE-498D-B16A-992F100C378C}"/>
  <tableColumns count="1">
    <tableColumn id="1" xr3:uid="{27902303-DE0D-402F-8937-7F6D11ECE236}" name="World Cup Groups" dataDxfId="462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0E99C51-B765-4B83-8FA9-255C5CDB632E}" name="Football_Associations" displayName="Football_Associations" ref="A1:G223" totalsRowShown="0" headerRowDxfId="461" headerRowBorderDxfId="460" tableBorderDxfId="459" totalsRowBorderDxfId="458">
  <autoFilter ref="A1:G223" xr:uid="{20E99C51-B765-4B83-8FA9-255C5CDB632E}"/>
  <sortState xmlns:xlrd2="http://schemas.microsoft.com/office/spreadsheetml/2017/richdata2" ref="A2:F223">
    <sortCondition ref="B1:B223"/>
  </sortState>
  <tableColumns count="7">
    <tableColumn id="1" xr3:uid="{36073AB2-EC47-4D7E-8561-382CDF5A057C}" name="Nation Code" dataDxfId="457"/>
    <tableColumn id="2" xr3:uid="{E367DDEF-ABA9-4CFB-A0DB-CE5D217762F7}" name="Football Association" dataDxfId="456"/>
    <tableColumn id="3" xr3:uid="{59502F66-7FF4-4CCD-B542-DD1773BAD5FC}" name="FIFA Region" dataDxfId="455"/>
    <tableColumn id="4" xr3:uid="{6B8BFE72-9B93-44CE-94D4-13B6184E4781}" name="FIFA Ranking" dataDxfId="454"/>
    <tableColumn id="5" xr3:uid="{3FA1D18A-F642-4942-AD9C-C191DFE93B30}" name="World Cup 2022 Qualification Status" dataDxfId="453"/>
    <tableColumn id="6" xr3:uid="{B7847229-A57C-4768-A4C5-426EF392F189}" name="World Cup Group" dataDxfId="452" dataCellStyle="Normal_Football Associations"/>
    <tableColumn id="7" xr3:uid="{063F5639-5A22-4C8C-BAC5-C4267EA2465D}" name="World Cup Result" dataDxfId="451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8CE925B3-CE08-4988-A3AC-CDE73DF642AB}" name="Club_Leagues" displayName="Club_Leagues" ref="A1:B54" totalsRowShown="0" headerRowDxfId="450" dataDxfId="448" headerRowBorderDxfId="449" tableBorderDxfId="447" totalsRowBorderDxfId="446">
  <autoFilter ref="A1:B54" xr:uid="{8CE925B3-CE08-4988-A3AC-CDE73DF642AB}"/>
  <sortState xmlns:xlrd2="http://schemas.microsoft.com/office/spreadsheetml/2017/richdata2" ref="A2:B54">
    <sortCondition ref="A1:A54"/>
  </sortState>
  <tableColumns count="2">
    <tableColumn id="1" xr3:uid="{50609189-F1D9-4607-89A4-C1C731D65DD9}" name="Club - League" dataDxfId="445"/>
    <tableColumn id="2" xr3:uid="{5B16188E-1732-4A47-81BC-B0B81D0E5FCD}" name="Football Association" dataDxfId="44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Clubs" displayName="Clubs" ref="A1:E298" totalsRowCount="1" headerRowDxfId="443" dataDxfId="441" headerRowBorderDxfId="442" tableBorderDxfId="440" totalsRowBorderDxfId="439">
  <autoFilter ref="A1:E297" xr:uid="{00000000-0009-0000-0100-00000F000000}"/>
  <sortState xmlns:xlrd2="http://schemas.microsoft.com/office/spreadsheetml/2017/richdata2" ref="A2:E297">
    <sortCondition ref="C1:C297"/>
  </sortState>
  <tableColumns count="5">
    <tableColumn id="1" xr3:uid="{00000000-0010-0000-0C00-000001000000}" name="Current Club" totalsRowLabel="Total" dataDxfId="438" totalsRowDxfId="437"/>
    <tableColumn id="2" xr3:uid="{00000000-0010-0000-0C00-000002000000}" name="Club - League" dataDxfId="436" totalsRowDxfId="435"/>
    <tableColumn id="3" xr3:uid="{00000000-0010-0000-0C00-000003000000}" name="Football Association" dataDxfId="434" totalsRowDxfId="433"/>
    <tableColumn id="5" xr3:uid="{D02ED162-0759-44D3-9DE0-5415AF431B97}" name="Club_ID" dataDxfId="432" totalsRowDxfId="431"/>
    <tableColumn id="4" xr3:uid="{D846036C-BD77-4B36-9B9E-01C0E5E15F64}" name="Players Represented At World Cup" totalsRowFunction="sum" dataDxfId="430" totalsRowDxfId="429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GroupA" displayName="GroupA" ref="B2:R6" totalsRowShown="0" headerRowDxfId="428" headerRowBorderDxfId="427" tableBorderDxfId="426" totalsRowBorderDxfId="425">
  <autoFilter ref="B2:R6" xr:uid="{00000000-0009-0000-0100-000005000000}"/>
  <sortState xmlns:xlrd2="http://schemas.microsoft.com/office/spreadsheetml/2017/richdata2" ref="B3:R6">
    <sortCondition descending="1" ref="R3:R6"/>
    <sortCondition descending="1" ref="M3:M6"/>
    <sortCondition descending="1" ref="J3:J6"/>
    <sortCondition descending="1" ref="G3:G6"/>
  </sortState>
  <tableColumns count="17">
    <tableColumn id="1" xr3:uid="{00000000-0010-0000-0000-000001000000}" name="Teams" dataDxfId="424"/>
    <tableColumn id="2" xr3:uid="{00000000-0010-0000-0000-000002000000}" name="Region" dataDxfId="423"/>
    <tableColumn id="3" xr3:uid="{00000000-0010-0000-0000-000003000000}" name="Group" dataDxfId="422"/>
    <tableColumn id="4" xr3:uid="{00000000-0010-0000-0000-000004000000}" name="Home Games Played" dataDxfId="421">
      <calculatedColumnFormula>SUMIF('World Cup 2022 Matches'!$G$2:$G$49,GroupA[[#This Row],[Teams]],'World Cup 2022 Matches'!$T$2:$T$49)</calculatedColumnFormula>
    </tableColumn>
    <tableColumn id="5" xr3:uid="{00000000-0010-0000-0000-000005000000}" name="Away Games Played" dataDxfId="420">
      <calculatedColumnFormula>SUMIF('World Cup 2022 Matches'!$J$2:$J$49,GroupA[[#This Row],[Teams]],'World Cup 2022 Matches'!$U$2:$U$49)</calculatedColumnFormula>
    </tableColumn>
    <tableColumn id="6" xr3:uid="{00000000-0010-0000-0000-000006000000}" name="Total Games Played" dataDxfId="419">
      <calculatedColumnFormula>GroupA[[#This Row],[Home Games Played]]+GroupA[[#This Row],[Away Games Played]]</calculatedColumnFormula>
    </tableColumn>
    <tableColumn id="12" xr3:uid="{00000000-0010-0000-0000-00000C000000}" name="Goals For Home" dataDxfId="418">
      <calculatedColumnFormula>SUMIF('World Cup 2022 Matches'!$G$2:$G$49,GroupA[[#This Row],[Teams]],'World Cup 2022 Matches'!$H$2:$H$49)</calculatedColumnFormula>
    </tableColumn>
    <tableColumn id="16" xr3:uid="{00000000-0010-0000-0000-000010000000}" name="Goals For Away" dataDxfId="417">
      <calculatedColumnFormula>SUMIF('World Cup 2022 Matches'!$J$2:$J$49,GroupA[[#This Row],[Teams]],'World Cup 2022 Matches'!$I$2:$I$49)</calculatedColumnFormula>
    </tableColumn>
    <tableColumn id="18" xr3:uid="{00000000-0010-0000-0000-000012000000}" name="Total Goals For" dataDxfId="416">
      <calculatedColumnFormula>GroupA[[#This Row],[Goals For Home]]+GroupA[[#This Row],[Goals For Away]]</calculatedColumnFormula>
    </tableColumn>
    <tableColumn id="11" xr3:uid="{00000000-0010-0000-0000-00000B000000}" name="Goals Against Home" dataDxfId="415">
      <calculatedColumnFormula>SUMIF('World Cup 2022 Matches'!$G$2:$G$49,GroupA[[#This Row],[Teams]],'World Cup 2022 Matches'!$I$2:$I$49)</calculatedColumnFormula>
    </tableColumn>
    <tableColumn id="15" xr3:uid="{00000000-0010-0000-0000-00000F000000}" name="Goals Against Away" dataDxfId="414">
      <calculatedColumnFormula>SUMIF('World Cup 2022 Matches'!$J$2:$J$49,GroupA[[#This Row],[Teams]],'World Cup 2022 Matches'!$H$2:$H$49)</calculatedColumnFormula>
    </tableColumn>
    <tableColumn id="13" xr3:uid="{00000000-0010-0000-0000-00000D000000}" name="Goal Difference" dataDxfId="413">
      <calculatedColumnFormula>(GroupA[[#This Row],[Goals For Home]]+GroupA[[#This Row],[Goals For Away]])-(GroupA[[#This Row],[Goals Against Home]]+GroupA[[#This Row],[Goals Against Away]])</calculatedColumnFormula>
    </tableColumn>
    <tableColumn id="7" xr3:uid="{00000000-0010-0000-0000-000007000000}" name="Home Points" dataDxfId="412">
      <calculatedColumnFormula>SUMIF('World Cup 2022 Matches'!$G$2:$G$49,GroupA[[#This Row],[Teams]],'World Cup 2022 Matches'!$V$2:$V$49)</calculatedColumnFormula>
    </tableColumn>
    <tableColumn id="8" xr3:uid="{00000000-0010-0000-0000-000008000000}" name="Away Points" dataDxfId="411">
      <calculatedColumnFormula>SUMIF('World Cup 2022 Matches'!$J$2:$J$49,GroupA[[#This Row],[Teams]],'World Cup 2022 Matches'!$W$2:$W$49)</calculatedColumnFormula>
    </tableColumn>
    <tableColumn id="17" xr3:uid="{00000000-0010-0000-0000-000011000000}" name="Home Draw Points" dataDxfId="410">
      <calculatedColumnFormula>SUMIF('World Cup 2022 Matches'!$G$2:$G$49,GroupA[[#This Row],[Teams]],'World Cup 2022 Matches'!$X$2:$X$49)</calculatedColumnFormula>
    </tableColumn>
    <tableColumn id="9" xr3:uid="{00000000-0010-0000-0000-000009000000}" name="Away Draw Points" dataDxfId="409">
      <calculatedColumnFormula>SUMIF('World Cup 2022 Matches'!$J$2:$J$49,GroupA[[#This Row],[Teams]],'World Cup 2022 Matches'!$Y$2:$Y$49)</calculatedColumnFormula>
    </tableColumn>
    <tableColumn id="10" xr3:uid="{00000000-0010-0000-0000-00000A000000}" name="Total Points" dataDxfId="408">
      <calculatedColumnFormula>GroupA[[#This Row],[Away Draw Points]]+GroupA[[#This Row],[Home Draw Points]]+GroupA[[#This Row],[Away Points]]+GroupA[[#This Row],[Home Points]]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1000000}" name="GroupB" displayName="GroupB" ref="B10:R14" totalsRowShown="0" headerRowDxfId="407" headerRowBorderDxfId="406" tableBorderDxfId="405" totalsRowBorderDxfId="404">
  <autoFilter ref="B10:R14" xr:uid="{00000000-0009-0000-0100-000006000000}"/>
  <sortState xmlns:xlrd2="http://schemas.microsoft.com/office/spreadsheetml/2017/richdata2" ref="B11:R14">
    <sortCondition descending="1" ref="R11:R14"/>
    <sortCondition descending="1" ref="M11:M14"/>
    <sortCondition descending="1" ref="J11:J14"/>
    <sortCondition descending="1" ref="G11:G14"/>
  </sortState>
  <tableColumns count="17">
    <tableColumn id="1" xr3:uid="{00000000-0010-0000-0100-000001000000}" name="Teams" dataDxfId="403"/>
    <tableColumn id="2" xr3:uid="{00000000-0010-0000-0100-000002000000}" name="Region" dataDxfId="402"/>
    <tableColumn id="3" xr3:uid="{00000000-0010-0000-0100-000003000000}" name="Group" dataDxfId="401"/>
    <tableColumn id="4" xr3:uid="{00000000-0010-0000-0100-000004000000}" name="Home Games Played" dataDxfId="400">
      <calculatedColumnFormula>SUMIF('World Cup 2022 Matches'!$G$2:$G$49,GroupB[[#This Row],[Teams]],'World Cup 2022 Matches'!$T$2:$T$49)</calculatedColumnFormula>
    </tableColumn>
    <tableColumn id="5" xr3:uid="{00000000-0010-0000-0100-000005000000}" name="Away Games Played" dataDxfId="399">
      <calculatedColumnFormula>SUMIF('World Cup 2022 Matches'!$J$2:$J$49,GroupB[[#This Row],[Teams]],'World Cup 2022 Matches'!$U$2:$U$49)</calculatedColumnFormula>
    </tableColumn>
    <tableColumn id="6" xr3:uid="{00000000-0010-0000-0100-000006000000}" name="Total Games Played" dataDxfId="398">
      <calculatedColumnFormula>GroupB[[#This Row],[Home Games Played]]+GroupB[[#This Row],[Away Games Played]]</calculatedColumnFormula>
    </tableColumn>
    <tableColumn id="7" xr3:uid="{00000000-0010-0000-0100-000007000000}" name="Goals For Home" dataDxfId="397">
      <calculatedColumnFormula>SUMIF('World Cup 2022 Matches'!$G$2:$G$49,GroupB[[#This Row],[Teams]],'World Cup 2022 Matches'!$H$2:$H$49)</calculatedColumnFormula>
    </tableColumn>
    <tableColumn id="8" xr3:uid="{00000000-0010-0000-0100-000008000000}" name="Goals For Away" dataDxfId="396">
      <calculatedColumnFormula>SUMIF('World Cup 2022 Matches'!$J$2:$J$49,GroupB[[#This Row],[Teams]],'World Cup 2022 Matches'!$I$2:$I$49)</calculatedColumnFormula>
    </tableColumn>
    <tableColumn id="17" xr3:uid="{00000000-0010-0000-0100-000011000000}" name="Total Goals For" dataDxfId="395">
      <calculatedColumnFormula>GroupB[[#This Row],[Goals For Home]]+GroupB[[#This Row],[Goals For Away]]</calculatedColumnFormula>
    </tableColumn>
    <tableColumn id="9" xr3:uid="{00000000-0010-0000-0100-000009000000}" name="Goals Against Home" dataDxfId="394">
      <calculatedColumnFormula>SUMIF('World Cup 2022 Matches'!$G$2:$G$49,GroupB[[#This Row],[Teams]],'World Cup 2022 Matches'!$I$2:$I$49)</calculatedColumnFormula>
    </tableColumn>
    <tableColumn id="10" xr3:uid="{00000000-0010-0000-0100-00000A000000}" name="Goals Against Away" dataDxfId="393">
      <calculatedColumnFormula>SUMIF('World Cup 2022 Matches'!$J$2:$J$49,GroupB[[#This Row],[Teams]],'World Cup 2022 Matches'!$H$2:$H$49)</calculatedColumnFormula>
    </tableColumn>
    <tableColumn id="11" xr3:uid="{00000000-0010-0000-0100-00000B000000}" name="Goal Difference" dataDxfId="392">
      <calculatedColumnFormula>(GroupB[[#This Row],[Goals For Home]]+GroupB[[#This Row],[Goals For Away]])-(GroupB[[#This Row],[Goals Against Home]]+GroupB[[#This Row],[Goals Against Away]])</calculatedColumnFormula>
    </tableColumn>
    <tableColumn id="12" xr3:uid="{00000000-0010-0000-0100-00000C000000}" name="Home Points" dataDxfId="391">
      <calculatedColumnFormula>SUMIF('World Cup 2022 Matches'!$G$2:$G$49,GroupB[[#This Row],[Teams]],'World Cup 2022 Matches'!$V$2:$V$49)</calculatedColumnFormula>
    </tableColumn>
    <tableColumn id="13" xr3:uid="{00000000-0010-0000-0100-00000D000000}" name="Away Points" dataDxfId="390">
      <calculatedColumnFormula>SUMIF('World Cup 2022 Matches'!$J$2:$J$49,GroupB[[#This Row],[Teams]],'World Cup 2022 Matches'!$W$2:$W$49)</calculatedColumnFormula>
    </tableColumn>
    <tableColumn id="14" xr3:uid="{00000000-0010-0000-0100-00000E000000}" name="Home Draw Points" dataDxfId="389">
      <calculatedColumnFormula>SUMIF('World Cup 2022 Matches'!$G$2:$G$49,GroupB[[#This Row],[Teams]],'World Cup 2022 Matches'!$X$2:$X$49)</calculatedColumnFormula>
    </tableColumn>
    <tableColumn id="15" xr3:uid="{00000000-0010-0000-0100-00000F000000}" name="Away Draw Points" dataDxfId="388">
      <calculatedColumnFormula>SUMIF('World Cup 2022 Matches'!$J$2:$J$49,GroupB[[#This Row],[Teams]],'World Cup 2022 Matches'!$Y$2:$Y$49)</calculatedColumnFormula>
    </tableColumn>
    <tableColumn id="16" xr3:uid="{00000000-0010-0000-0100-000010000000}" name="Total Points" dataDxfId="387">
      <calculatedColumnFormula>GroupB[[#This Row],[Away Draw Points]]+GroupB[[#This Row],[Home Draw Points]]+GroupB[[#This Row],[Away Points]]+GroupB[[#This Row],[Home Points]]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GroupC" displayName="GroupC" ref="B18:R22" totalsRowShown="0" headerRowDxfId="386" headerRowBorderDxfId="385" tableBorderDxfId="384" totalsRowBorderDxfId="383">
  <autoFilter ref="B18:R22" xr:uid="{00000000-0009-0000-0100-000007000000}"/>
  <sortState xmlns:xlrd2="http://schemas.microsoft.com/office/spreadsheetml/2017/richdata2" ref="B19:R22">
    <sortCondition descending="1" ref="R19:R22"/>
    <sortCondition descending="1" ref="M19:M22"/>
    <sortCondition descending="1" ref="J19:J22"/>
    <sortCondition descending="1" ref="G19:G22"/>
  </sortState>
  <tableColumns count="17">
    <tableColumn id="1" xr3:uid="{00000000-0010-0000-0200-000001000000}" name="Teams" dataDxfId="382"/>
    <tableColumn id="2" xr3:uid="{00000000-0010-0000-0200-000002000000}" name="Region" dataDxfId="381"/>
    <tableColumn id="3" xr3:uid="{00000000-0010-0000-0200-000003000000}" name="Group" dataDxfId="380"/>
    <tableColumn id="4" xr3:uid="{00000000-0010-0000-0200-000004000000}" name="Home Games Played" dataDxfId="379">
      <calculatedColumnFormula>SUMIF('World Cup 2022 Matches'!$G$2:$G$49,GroupC[[#This Row],[Teams]],'World Cup 2022 Matches'!$T$2:$T$49)</calculatedColumnFormula>
    </tableColumn>
    <tableColumn id="5" xr3:uid="{00000000-0010-0000-0200-000005000000}" name="Away Games Played" dataDxfId="378">
      <calculatedColumnFormula>SUMIF('World Cup 2022 Matches'!$J$2:$J$49,GroupC[[#This Row],[Teams]],'World Cup 2022 Matches'!$U$2:$U$49)</calculatedColumnFormula>
    </tableColumn>
    <tableColumn id="6" xr3:uid="{00000000-0010-0000-0200-000006000000}" name="Total Games Played" dataDxfId="377">
      <calculatedColumnFormula>GroupC[[#This Row],[Home Games Played]]+GroupC[[#This Row],[Away Games Played]]</calculatedColumnFormula>
    </tableColumn>
    <tableColumn id="7" xr3:uid="{00000000-0010-0000-0200-000007000000}" name="Goals For Home" dataDxfId="376">
      <calculatedColumnFormula>SUMIF('World Cup 2022 Matches'!$G$2:$G$49,GroupC[[#This Row],[Teams]],'World Cup 2022 Matches'!$H$2:$H$49)</calculatedColumnFormula>
    </tableColumn>
    <tableColumn id="8" xr3:uid="{00000000-0010-0000-0200-000008000000}" name="Goals For Away" dataDxfId="375">
      <calculatedColumnFormula>SUMIF('World Cup 2022 Matches'!$J$2:$J$49,GroupC[[#This Row],[Teams]],'World Cup 2022 Matches'!$I$2:$I$49)</calculatedColumnFormula>
    </tableColumn>
    <tableColumn id="17" xr3:uid="{00000000-0010-0000-0200-000011000000}" name="Total Goals For" dataDxfId="374">
      <calculatedColumnFormula>GroupC[[#This Row],[Goals For Home]]+GroupC[[#This Row],[Goals For Away]]</calculatedColumnFormula>
    </tableColumn>
    <tableColumn id="9" xr3:uid="{00000000-0010-0000-0200-000009000000}" name="Goals Against Home" dataDxfId="373">
      <calculatedColumnFormula>SUMIF('World Cup 2022 Matches'!$G$2:$G$49,GroupC[[#This Row],[Teams]],'World Cup 2022 Matches'!$I$2:$I$49)</calculatedColumnFormula>
    </tableColumn>
    <tableColumn id="10" xr3:uid="{00000000-0010-0000-0200-00000A000000}" name="Goals Against Away" dataDxfId="372">
      <calculatedColumnFormula>SUMIF('World Cup 2022 Matches'!$J$2:$J$49,GroupC[[#This Row],[Teams]],'World Cup 2022 Matches'!$H$2:$H$49)</calculatedColumnFormula>
    </tableColumn>
    <tableColumn id="11" xr3:uid="{00000000-0010-0000-0200-00000B000000}" name="Goal Difference" dataDxfId="371">
      <calculatedColumnFormula>(GroupC[[#This Row],[Goals For Home]]+GroupC[[#This Row],[Goals For Away]])-(GroupC[[#This Row],[Goals Against Home]]+GroupC[[#This Row],[Goals Against Away]])</calculatedColumnFormula>
    </tableColumn>
    <tableColumn id="12" xr3:uid="{00000000-0010-0000-0200-00000C000000}" name="Home Points" dataDxfId="370">
      <calculatedColumnFormula>SUMIF('World Cup 2022 Matches'!$G$2:$G$49,GroupC[[#This Row],[Teams]],'World Cup 2022 Matches'!$V$2:$V$49)</calculatedColumnFormula>
    </tableColumn>
    <tableColumn id="13" xr3:uid="{00000000-0010-0000-0200-00000D000000}" name="Away Points" dataDxfId="369">
      <calculatedColumnFormula>SUMIF('World Cup 2022 Matches'!$J$2:$J$49,GroupC[[#This Row],[Teams]],'World Cup 2022 Matches'!$W$2:$W$49)</calculatedColumnFormula>
    </tableColumn>
    <tableColumn id="14" xr3:uid="{00000000-0010-0000-0200-00000E000000}" name="Home Draw Points" dataDxfId="368">
      <calculatedColumnFormula>SUMIF('World Cup 2022 Matches'!$G$2:$G$49,GroupC[[#This Row],[Teams]],'World Cup 2022 Matches'!$X$2:$X$49)</calculatedColumnFormula>
    </tableColumn>
    <tableColumn id="15" xr3:uid="{00000000-0010-0000-0200-00000F000000}" name="Away Draw Points" dataDxfId="367">
      <calculatedColumnFormula>SUMIF('World Cup 2022 Matches'!$J$2:$J$49,GroupC[[#This Row],[Teams]],'World Cup 2022 Matches'!$Y$2:$Y$49)</calculatedColumnFormula>
    </tableColumn>
    <tableColumn id="16" xr3:uid="{00000000-0010-0000-0200-000010000000}" name="Total Points" dataDxfId="366">
      <calculatedColumnFormula>GroupC[[#This Row],[Away Draw Points]]+GroupC[[#This Row],[Home Draw Points]]+GroupC[[#This Row],[Away Points]]+GroupC[[#This Row],[Home Points]]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GroupD" displayName="GroupD" ref="B26:R30" totalsRowShown="0" headerRowDxfId="365" headerRowBorderDxfId="364" tableBorderDxfId="363" totalsRowBorderDxfId="362">
  <autoFilter ref="B26:R30" xr:uid="{00000000-0009-0000-0100-000008000000}"/>
  <sortState xmlns:xlrd2="http://schemas.microsoft.com/office/spreadsheetml/2017/richdata2" ref="B27:R30">
    <sortCondition descending="1" ref="R27:R30"/>
    <sortCondition descending="1" ref="M27:M30"/>
    <sortCondition descending="1" ref="J27:J30"/>
    <sortCondition descending="1" ref="G27:G30"/>
  </sortState>
  <tableColumns count="17">
    <tableColumn id="1" xr3:uid="{00000000-0010-0000-0300-000001000000}" name="Teams" dataDxfId="361"/>
    <tableColumn id="2" xr3:uid="{00000000-0010-0000-0300-000002000000}" name="Region" dataDxfId="360"/>
    <tableColumn id="3" xr3:uid="{00000000-0010-0000-0300-000003000000}" name="Group" dataDxfId="359"/>
    <tableColumn id="4" xr3:uid="{00000000-0010-0000-0300-000004000000}" name="Home Games Played" dataDxfId="358">
      <calculatedColumnFormula>SUMIF('World Cup 2022 Matches'!$G$2:$G$49,GroupD[[#This Row],[Teams]],'World Cup 2022 Matches'!$T$2:$T$49)</calculatedColumnFormula>
    </tableColumn>
    <tableColumn id="5" xr3:uid="{00000000-0010-0000-0300-000005000000}" name="Away Games Played" dataDxfId="357">
      <calculatedColumnFormula>SUMIF('World Cup 2022 Matches'!$J$2:$J$49,GroupD[[#This Row],[Teams]],'World Cup 2022 Matches'!$U$2:$U$49)</calculatedColumnFormula>
    </tableColumn>
    <tableColumn id="6" xr3:uid="{00000000-0010-0000-0300-000006000000}" name="Total Games Played" dataDxfId="356">
      <calculatedColumnFormula>GroupD[[#This Row],[Home Games Played]]+GroupD[[#This Row],[Away Games Played]]</calculatedColumnFormula>
    </tableColumn>
    <tableColumn id="7" xr3:uid="{00000000-0010-0000-0300-000007000000}" name="Goals For Home" dataDxfId="355">
      <calculatedColumnFormula>SUMIF('World Cup 2022 Matches'!$G$2:$G$49,GroupD[[#This Row],[Teams]],'World Cup 2022 Matches'!$H$2:$H$49)</calculatedColumnFormula>
    </tableColumn>
    <tableColumn id="8" xr3:uid="{00000000-0010-0000-0300-000008000000}" name="Goals For Away" dataDxfId="354">
      <calculatedColumnFormula>SUMIF('World Cup 2022 Matches'!$J$2:$J$49,GroupD[[#This Row],[Teams]],'World Cup 2022 Matches'!$I$2:$I$49)</calculatedColumnFormula>
    </tableColumn>
    <tableColumn id="17" xr3:uid="{00000000-0010-0000-0300-000011000000}" name="Total Goals For" dataDxfId="353">
      <calculatedColumnFormula>GroupD[[#This Row],[Goals For Home]]+GroupD[[#This Row],[Goals For Away]]</calculatedColumnFormula>
    </tableColumn>
    <tableColumn id="9" xr3:uid="{00000000-0010-0000-0300-000009000000}" name="Goals Against Home" dataDxfId="352">
      <calculatedColumnFormula>SUMIF('World Cup 2022 Matches'!$G$2:$G$49,GroupD[[#This Row],[Teams]],'World Cup 2022 Matches'!$I$2:$I$49)</calculatedColumnFormula>
    </tableColumn>
    <tableColumn id="10" xr3:uid="{00000000-0010-0000-0300-00000A000000}" name="Goals Against Away" dataDxfId="351">
      <calculatedColumnFormula>SUMIF('World Cup 2022 Matches'!$J$2:$J$49,GroupD[[#This Row],[Teams]],'World Cup 2022 Matches'!$H$2:$H$49)</calculatedColumnFormula>
    </tableColumn>
    <tableColumn id="11" xr3:uid="{00000000-0010-0000-0300-00000B000000}" name="Goal Difference" dataDxfId="350">
      <calculatedColumnFormula>(GroupD[[#This Row],[Goals For Home]]+GroupD[[#This Row],[Goals For Away]])-(GroupD[[#This Row],[Goals Against Home]]+GroupD[[#This Row],[Goals Against Away]])</calculatedColumnFormula>
    </tableColumn>
    <tableColumn id="12" xr3:uid="{00000000-0010-0000-0300-00000C000000}" name="Home Points" dataDxfId="349">
      <calculatedColumnFormula>SUMIF('World Cup 2022 Matches'!$G$2:$G$49,GroupD[[#This Row],[Teams]],'World Cup 2022 Matches'!$V$2:$V$49)</calculatedColumnFormula>
    </tableColumn>
    <tableColumn id="13" xr3:uid="{00000000-0010-0000-0300-00000D000000}" name="Away Points" dataDxfId="348">
      <calculatedColumnFormula>SUMIF('World Cup 2022 Matches'!$J$2:$J$49,GroupD[[#This Row],[Teams]],'World Cup 2022 Matches'!$W$2:$W$49)</calculatedColumnFormula>
    </tableColumn>
    <tableColumn id="14" xr3:uid="{00000000-0010-0000-0300-00000E000000}" name="Home Draw Points" dataDxfId="347">
      <calculatedColumnFormula>SUMIF('World Cup 2022 Matches'!$G$2:$G$49,GroupD[[#This Row],[Teams]],'World Cup 2022 Matches'!$X$2:$X$49)</calculatedColumnFormula>
    </tableColumn>
    <tableColumn id="15" xr3:uid="{00000000-0010-0000-0300-00000F000000}" name="Away Draw Points" dataDxfId="346">
      <calculatedColumnFormula>SUMIF('World Cup 2022 Matches'!$J$2:$J$49,GroupD[[#This Row],[Teams]],'World Cup 2022 Matches'!$Y$2:$Y$49)</calculatedColumnFormula>
    </tableColumn>
    <tableColumn id="16" xr3:uid="{00000000-0010-0000-0300-000010000000}" name="Total Points" dataDxfId="345">
      <calculatedColumnFormula>GroupD[[#This Row],[Away Draw Points]]+GroupD[[#This Row],[Home Draw Points]]+GroupD[[#This Row],[Away Points]]+GroupD[[#This Row],[Home Points]]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GroupE" displayName="GroupE" ref="B34:R38" totalsRowShown="0" headerRowDxfId="344" headerRowBorderDxfId="343" tableBorderDxfId="342" totalsRowBorderDxfId="341">
  <autoFilter ref="B34:R38" xr:uid="{00000000-0009-0000-0100-000009000000}"/>
  <sortState xmlns:xlrd2="http://schemas.microsoft.com/office/spreadsheetml/2017/richdata2" ref="B35:R38">
    <sortCondition descending="1" ref="R35:R38"/>
    <sortCondition descending="1" ref="M35:M38"/>
    <sortCondition descending="1" ref="J35:J38"/>
    <sortCondition descending="1" ref="G35:G38"/>
  </sortState>
  <tableColumns count="17">
    <tableColumn id="1" xr3:uid="{00000000-0010-0000-0400-000001000000}" name="Teams" dataDxfId="340"/>
    <tableColumn id="2" xr3:uid="{00000000-0010-0000-0400-000002000000}" name="Region" dataDxfId="339"/>
    <tableColumn id="3" xr3:uid="{00000000-0010-0000-0400-000003000000}" name="Group" dataDxfId="338"/>
    <tableColumn id="4" xr3:uid="{00000000-0010-0000-0400-000004000000}" name="Home Games Played" dataDxfId="337">
      <calculatedColumnFormula>SUMIF('World Cup 2022 Matches'!$G$2:$G$49,GroupE[[#This Row],[Teams]],'World Cup 2022 Matches'!$T$2:$T$49)</calculatedColumnFormula>
    </tableColumn>
    <tableColumn id="5" xr3:uid="{00000000-0010-0000-0400-000005000000}" name="Away Games Played" dataDxfId="336">
      <calculatedColumnFormula>SUMIF('World Cup 2022 Matches'!$J$2:$J$49,GroupE[[#This Row],[Teams]],'World Cup 2022 Matches'!$U$2:$U$49)</calculatedColumnFormula>
    </tableColumn>
    <tableColumn id="6" xr3:uid="{00000000-0010-0000-0400-000006000000}" name="Total Games Played" dataDxfId="335">
      <calculatedColumnFormula>GroupE[[#This Row],[Home Games Played]]+GroupE[[#This Row],[Away Games Played]]</calculatedColumnFormula>
    </tableColumn>
    <tableColumn id="7" xr3:uid="{00000000-0010-0000-0400-000007000000}" name="Goals For Home" dataDxfId="334">
      <calculatedColumnFormula>SUMIF('World Cup 2022 Matches'!$G$2:$G$49,GroupE[[#This Row],[Teams]],'World Cup 2022 Matches'!$H$2:$H$49)</calculatedColumnFormula>
    </tableColumn>
    <tableColumn id="8" xr3:uid="{00000000-0010-0000-0400-000008000000}" name="Goals For Away" dataDxfId="333">
      <calculatedColumnFormula>SUMIF('World Cup 2022 Matches'!$J$2:$J$49,GroupE[[#This Row],[Teams]],'World Cup 2022 Matches'!$I$2:$I$49)</calculatedColumnFormula>
    </tableColumn>
    <tableColumn id="17" xr3:uid="{00000000-0010-0000-0400-000011000000}" name="Total Goals For" dataDxfId="332">
      <calculatedColumnFormula>GroupE[[#This Row],[Goals For Home]]+GroupE[[#This Row],[Goals For Away]]</calculatedColumnFormula>
    </tableColumn>
    <tableColumn id="9" xr3:uid="{00000000-0010-0000-0400-000009000000}" name="Goals Against Home" dataDxfId="331">
      <calculatedColumnFormula>SUMIF('World Cup 2022 Matches'!$G$2:$G$49,GroupE[[#This Row],[Teams]],'World Cup 2022 Matches'!$I$2:$I$49)</calculatedColumnFormula>
    </tableColumn>
    <tableColumn id="10" xr3:uid="{00000000-0010-0000-0400-00000A000000}" name="Goals Against Away" dataDxfId="330">
      <calculatedColumnFormula>SUMIF('World Cup 2022 Matches'!$J$2:$J$49,GroupE[[#This Row],[Teams]],'World Cup 2022 Matches'!$H$2:$H$49)</calculatedColumnFormula>
    </tableColumn>
    <tableColumn id="11" xr3:uid="{00000000-0010-0000-0400-00000B000000}" name="Goal Difference" dataDxfId="329">
      <calculatedColumnFormula>(GroupE[[#This Row],[Goals For Home]]+GroupE[[#This Row],[Goals For Away]])-(GroupE[[#This Row],[Goals Against Home]]+GroupE[[#This Row],[Goals Against Away]])</calculatedColumnFormula>
    </tableColumn>
    <tableColumn id="12" xr3:uid="{00000000-0010-0000-0400-00000C000000}" name="Home Points" dataDxfId="328">
      <calculatedColumnFormula>SUMIF('World Cup 2022 Matches'!$G$2:$G$49,GroupE[[#This Row],[Teams]],'World Cup 2022 Matches'!$V$2:$V$49)</calculatedColumnFormula>
    </tableColumn>
    <tableColumn id="13" xr3:uid="{00000000-0010-0000-0400-00000D000000}" name="Away Points" dataDxfId="327">
      <calculatedColumnFormula>SUMIF('World Cup 2022 Matches'!$J$2:$J$49,GroupE[[#This Row],[Teams]],'World Cup 2022 Matches'!$W$2:$W$49)</calculatedColumnFormula>
    </tableColumn>
    <tableColumn id="14" xr3:uid="{00000000-0010-0000-0400-00000E000000}" name="Home Draw Points" dataDxfId="326">
      <calculatedColumnFormula>SUMIF('World Cup 2022 Matches'!$G$2:$G$49,GroupE[[#This Row],[Teams]],'World Cup 2022 Matches'!$X$2:$X$49)</calculatedColumnFormula>
    </tableColumn>
    <tableColumn id="15" xr3:uid="{00000000-0010-0000-0400-00000F000000}" name="Away Draw Points" dataDxfId="325">
      <calculatedColumnFormula>SUMIF('World Cup 2022 Matches'!$J$2:$J$49,GroupE[[#This Row],[Teams]],'World Cup 2022 Matches'!$Y$2:$Y$49)</calculatedColumnFormula>
    </tableColumn>
    <tableColumn id="16" xr3:uid="{00000000-0010-0000-0400-000010000000}" name="Total Points" dataDxfId="324">
      <calculatedColumnFormula>GroupE[[#This Row],[Away Draw Points]]+GroupE[[#This Row],[Home Draw Points]]+GroupE[[#This Row],[Away Points]]+GroupE[[#This Row],[Home Points]]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5000000}" name="GroupG" displayName="GroupG" ref="B50:R54" totalsRowShown="0" headerRowDxfId="323" headerRowBorderDxfId="322" tableBorderDxfId="321" totalsRowBorderDxfId="320">
  <autoFilter ref="B50:R54" xr:uid="{00000000-0009-0000-0100-00000B000000}"/>
  <sortState xmlns:xlrd2="http://schemas.microsoft.com/office/spreadsheetml/2017/richdata2" ref="B51:R54">
    <sortCondition descending="1" ref="R51:R54"/>
    <sortCondition descending="1" ref="M51:M54"/>
    <sortCondition descending="1" ref="J51:J54"/>
    <sortCondition descending="1" ref="G51:G54"/>
  </sortState>
  <tableColumns count="17">
    <tableColumn id="1" xr3:uid="{00000000-0010-0000-0500-000001000000}" name="Teams" dataDxfId="319"/>
    <tableColumn id="2" xr3:uid="{00000000-0010-0000-0500-000002000000}" name="Region" dataDxfId="318"/>
    <tableColumn id="3" xr3:uid="{00000000-0010-0000-0500-000003000000}" name="Group" dataDxfId="317"/>
    <tableColumn id="4" xr3:uid="{00000000-0010-0000-0500-000004000000}" name="Home Games Played" dataDxfId="316">
      <calculatedColumnFormula>SUMIF('World Cup 2022 Matches'!$G$2:$G$49,GroupG[[#This Row],[Teams]],'World Cup 2022 Matches'!$T$2:$T$49)</calculatedColumnFormula>
    </tableColumn>
    <tableColumn id="5" xr3:uid="{00000000-0010-0000-0500-000005000000}" name="Away Games Played" dataDxfId="315">
      <calculatedColumnFormula>SUMIF('World Cup 2022 Matches'!$J$2:$J$49,GroupG[[#This Row],[Teams]],'World Cup 2022 Matches'!$U$2:$U$49)</calculatedColumnFormula>
    </tableColumn>
    <tableColumn id="6" xr3:uid="{00000000-0010-0000-0500-000006000000}" name="Total Games Played" dataDxfId="314">
      <calculatedColumnFormula>GroupG[[#This Row],[Home Games Played]]+GroupG[[#This Row],[Away Games Played]]</calculatedColumnFormula>
    </tableColumn>
    <tableColumn id="7" xr3:uid="{00000000-0010-0000-0500-000007000000}" name="Goals For Home" dataDxfId="313">
      <calculatedColumnFormula>SUMIF('World Cup 2022 Matches'!$G$2:$G$49,GroupG[[#This Row],[Teams]],'World Cup 2022 Matches'!$H$2:$H$49)</calculatedColumnFormula>
    </tableColumn>
    <tableColumn id="8" xr3:uid="{00000000-0010-0000-0500-000008000000}" name="Goals For Away" dataDxfId="312">
      <calculatedColumnFormula>SUMIF('World Cup 2022 Matches'!$J$2:$J$49,GroupG[[#This Row],[Teams]],'World Cup 2022 Matches'!$I$2:$I$49)</calculatedColumnFormula>
    </tableColumn>
    <tableColumn id="17" xr3:uid="{00000000-0010-0000-0500-000011000000}" name="Total Goals For" dataDxfId="311">
      <calculatedColumnFormula>GroupG[[#This Row],[Goals For Home]]+GroupG[[#This Row],[Goals For Away]]</calculatedColumnFormula>
    </tableColumn>
    <tableColumn id="9" xr3:uid="{00000000-0010-0000-0500-000009000000}" name="Goals Against Home" dataDxfId="310">
      <calculatedColumnFormula>SUMIF('World Cup 2022 Matches'!$G$2:$G$49,GroupG[[#This Row],[Teams]],'World Cup 2022 Matches'!$I$2:$I$49)</calculatedColumnFormula>
    </tableColumn>
    <tableColumn id="10" xr3:uid="{00000000-0010-0000-0500-00000A000000}" name="Goals Against Away" dataDxfId="309">
      <calculatedColumnFormula>SUMIF('World Cup 2022 Matches'!$J$2:$J$49,GroupG[[#This Row],[Teams]],'World Cup 2022 Matches'!$H$2:$H$49)</calculatedColumnFormula>
    </tableColumn>
    <tableColumn id="11" xr3:uid="{00000000-0010-0000-0500-00000B000000}" name="Goal Difference" dataDxfId="308">
      <calculatedColumnFormula>(GroupG[[#This Row],[Goals For Home]]+GroupG[[#This Row],[Goals For Away]])-(GroupG[[#This Row],[Goals Against Home]]+GroupG[[#This Row],[Goals Against Away]])</calculatedColumnFormula>
    </tableColumn>
    <tableColumn id="12" xr3:uid="{00000000-0010-0000-0500-00000C000000}" name="Home Points" dataDxfId="307">
      <calculatedColumnFormula>SUMIF('World Cup 2022 Matches'!$G$2:$G$49,GroupG[[#This Row],[Teams]],'World Cup 2022 Matches'!$V$2:$V$49)</calculatedColumnFormula>
    </tableColumn>
    <tableColumn id="13" xr3:uid="{00000000-0010-0000-0500-00000D000000}" name="Away Points" dataDxfId="306">
      <calculatedColumnFormula>SUMIF('World Cup 2022 Matches'!$J$2:$J$49,GroupG[[#This Row],[Teams]],'World Cup 2022 Matches'!$W$2:$W$49)</calculatedColumnFormula>
    </tableColumn>
    <tableColumn id="14" xr3:uid="{00000000-0010-0000-0500-00000E000000}" name="Home Draw Points" dataDxfId="305">
      <calculatedColumnFormula>SUMIF('World Cup 2022 Matches'!$G$2:$G$49,GroupG[[#This Row],[Teams]],'World Cup 2022 Matches'!$X$2:$X$49)</calculatedColumnFormula>
    </tableColumn>
    <tableColumn id="15" xr3:uid="{00000000-0010-0000-0500-00000F000000}" name="Away Draw Points" dataDxfId="304">
      <calculatedColumnFormula>SUMIF('World Cup 2022 Matches'!$J$2:$J$49,GroupG[[#This Row],[Teams]],'World Cup 2022 Matches'!$Y$2:$Y$49)</calculatedColumnFormula>
    </tableColumn>
    <tableColumn id="16" xr3:uid="{00000000-0010-0000-0500-000010000000}" name="Total Points" dataDxfId="303">
      <calculatedColumnFormula>GroupG[[#This Row],[Away Draw Points]]+GroupG[[#This Row],[Home Draw Points]]+GroupG[[#This Row],[Away Points]]+GroupG[[#This Row],[Home Points]]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6000000}" name="GroupH" displayName="GroupH" ref="B58:R62" totalsRowShown="0" headerRowDxfId="302" headerRowBorderDxfId="301" tableBorderDxfId="300" totalsRowBorderDxfId="299">
  <autoFilter ref="B58:R62" xr:uid="{00000000-0009-0000-0100-00000C000000}"/>
  <sortState xmlns:xlrd2="http://schemas.microsoft.com/office/spreadsheetml/2017/richdata2" ref="B59:R62">
    <sortCondition descending="1" ref="R59:R62"/>
    <sortCondition descending="1" ref="M59:M62"/>
    <sortCondition descending="1" ref="J59:J62"/>
    <sortCondition descending="1" ref="G59:G62"/>
  </sortState>
  <tableColumns count="17">
    <tableColumn id="1" xr3:uid="{00000000-0010-0000-0600-000001000000}" name="Teams" dataDxfId="298"/>
    <tableColumn id="2" xr3:uid="{00000000-0010-0000-0600-000002000000}" name="Region" dataDxfId="297"/>
    <tableColumn id="3" xr3:uid="{00000000-0010-0000-0600-000003000000}" name="Group" dataDxfId="296"/>
    <tableColumn id="4" xr3:uid="{00000000-0010-0000-0600-000004000000}" name="Home Games Played" dataDxfId="295">
      <calculatedColumnFormula>SUMIF('World Cup 2022 Matches'!$G$2:$G$49,GroupH[[#This Row],[Teams]],'World Cup 2022 Matches'!$T$2:$T$49)</calculatedColumnFormula>
    </tableColumn>
    <tableColumn id="5" xr3:uid="{00000000-0010-0000-0600-000005000000}" name="Away Games Played" dataDxfId="294">
      <calculatedColumnFormula>SUMIF('World Cup 2022 Matches'!$J$2:$J$49,GroupH[[#This Row],[Teams]],'World Cup 2022 Matches'!$U$2:$U$49)</calculatedColumnFormula>
    </tableColumn>
    <tableColumn id="6" xr3:uid="{00000000-0010-0000-0600-000006000000}" name="Total Games Played" dataDxfId="293">
      <calculatedColumnFormula>GroupH[[#This Row],[Home Games Played]]+GroupH[[#This Row],[Away Games Played]]</calculatedColumnFormula>
    </tableColumn>
    <tableColumn id="7" xr3:uid="{00000000-0010-0000-0600-000007000000}" name="Goals For Home" dataDxfId="292">
      <calculatedColumnFormula>SUMIF('World Cup 2022 Matches'!$G$2:$G$49,GroupH[[#This Row],[Teams]],'World Cup 2022 Matches'!$H$2:$H$49)</calculatedColumnFormula>
    </tableColumn>
    <tableColumn id="8" xr3:uid="{00000000-0010-0000-0600-000008000000}" name="Goals For Away" dataDxfId="291">
      <calculatedColumnFormula>SUMIF('World Cup 2022 Matches'!$J$2:$J$49,GroupH[[#This Row],[Teams]],'World Cup 2022 Matches'!$I$2:$I$49)</calculatedColumnFormula>
    </tableColumn>
    <tableColumn id="17" xr3:uid="{00000000-0010-0000-0600-000011000000}" name="Total Goals For" dataDxfId="290">
      <calculatedColumnFormula>GroupH[[#This Row],[Goals For Home]]+GroupH[[#This Row],[Goals For Away]]</calculatedColumnFormula>
    </tableColumn>
    <tableColumn id="9" xr3:uid="{00000000-0010-0000-0600-000009000000}" name="Goals Against Home" dataDxfId="289">
      <calculatedColumnFormula>SUMIF('World Cup 2022 Matches'!$G$2:$G$49,GroupH[[#This Row],[Teams]],'World Cup 2022 Matches'!$I$2:$I$49)</calculatedColumnFormula>
    </tableColumn>
    <tableColumn id="10" xr3:uid="{00000000-0010-0000-0600-00000A000000}" name="Goals Against Away" dataDxfId="288">
      <calculatedColumnFormula>SUMIF('World Cup 2022 Matches'!$J$2:$J$49,GroupH[[#This Row],[Teams]],'World Cup 2022 Matches'!$H$2:$H$49)</calculatedColumnFormula>
    </tableColumn>
    <tableColumn id="11" xr3:uid="{00000000-0010-0000-0600-00000B000000}" name="Goal Difference" dataDxfId="287">
      <calculatedColumnFormula>(GroupH[[#This Row],[Goals For Home]]+GroupH[[#This Row],[Goals For Away]])-(GroupH[[#This Row],[Goals Against Home]]+GroupH[[#This Row],[Goals Against Away]])</calculatedColumnFormula>
    </tableColumn>
    <tableColumn id="12" xr3:uid="{00000000-0010-0000-0600-00000C000000}" name="Home Points" dataDxfId="286">
      <calculatedColumnFormula>SUMIF('World Cup 2022 Matches'!$G$2:$G$49,GroupH[[#This Row],[Teams]],'World Cup 2022 Matches'!$V$2:$V$49)</calculatedColumnFormula>
    </tableColumn>
    <tableColumn id="13" xr3:uid="{00000000-0010-0000-0600-00000D000000}" name="Away Points" dataDxfId="285">
      <calculatedColumnFormula>SUMIF('World Cup 2022 Matches'!$J$2:$J$49,GroupH[[#This Row],[Teams]],'World Cup 2022 Matches'!$W$2:$W$49)</calculatedColumnFormula>
    </tableColumn>
    <tableColumn id="14" xr3:uid="{00000000-0010-0000-0600-00000E000000}" name="Home Draw Points" dataDxfId="284">
      <calculatedColumnFormula>SUMIF('World Cup 2022 Matches'!$G$2:$G$49,GroupH[[#This Row],[Teams]],'World Cup 2022 Matches'!$X$2:$X$49)</calculatedColumnFormula>
    </tableColumn>
    <tableColumn id="15" xr3:uid="{00000000-0010-0000-0600-00000F000000}" name="Away Draw Points" dataDxfId="283">
      <calculatedColumnFormula>SUMIF('World Cup 2022 Matches'!$J$2:$J$49,GroupH[[#This Row],[Teams]],'World Cup 2022 Matches'!$Y$2:$Y$49)</calculatedColumnFormula>
    </tableColumn>
    <tableColumn id="16" xr3:uid="{00000000-0010-0000-0600-000010000000}" name="Total Points" dataDxfId="282">
      <calculatedColumnFormula>GroupH[[#This Row],[Away Draw Points]]+GroupH[[#This Row],[Home Draw Points]]+GroupH[[#This Row],[Away Points]]+GroupH[[#This Row],[Home Points]]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7000000}" name="GroupF" displayName="GroupF" ref="B42:R46" totalsRowShown="0" headerRowDxfId="281" dataDxfId="279" headerRowBorderDxfId="280" tableBorderDxfId="278" totalsRowBorderDxfId="277">
  <autoFilter ref="B42:R46" xr:uid="{00000000-0009-0000-0100-00000D000000}"/>
  <sortState xmlns:xlrd2="http://schemas.microsoft.com/office/spreadsheetml/2017/richdata2" ref="B43:R46">
    <sortCondition descending="1" ref="R43:R46"/>
    <sortCondition descending="1" ref="M43:M46"/>
    <sortCondition descending="1" ref="J43:J46"/>
    <sortCondition descending="1" ref="G43:G46"/>
  </sortState>
  <tableColumns count="17">
    <tableColumn id="1" xr3:uid="{00000000-0010-0000-0700-000001000000}" name="Teams" dataDxfId="276"/>
    <tableColumn id="2" xr3:uid="{00000000-0010-0000-0700-000002000000}" name="Region" dataDxfId="275"/>
    <tableColumn id="3" xr3:uid="{00000000-0010-0000-0700-000003000000}" name="Group" dataDxfId="274"/>
    <tableColumn id="4" xr3:uid="{00000000-0010-0000-0700-000004000000}" name="Home Games Played" dataDxfId="273">
      <calculatedColumnFormula>SUMIF('World Cup 2022 Matches'!$G$2:$G$49,GroupF[[#This Row],[Teams]],'World Cup 2022 Matches'!$T$2:$T$49)</calculatedColumnFormula>
    </tableColumn>
    <tableColumn id="5" xr3:uid="{00000000-0010-0000-0700-000005000000}" name="Away Games Played" dataDxfId="272">
      <calculatedColumnFormula>SUMIF('World Cup 2022 Matches'!$J$2:$J$49,GroupF[[#This Row],[Teams]],'World Cup 2022 Matches'!$U$2:$U$49)</calculatedColumnFormula>
    </tableColumn>
    <tableColumn id="6" xr3:uid="{00000000-0010-0000-0700-000006000000}" name="Total Games Played" dataDxfId="271">
      <calculatedColumnFormula>GroupF[[#This Row],[Home Games Played]]+GroupF[[#This Row],[Away Games Played]]</calculatedColumnFormula>
    </tableColumn>
    <tableColumn id="7" xr3:uid="{00000000-0010-0000-0700-000007000000}" name="Goals For Home" dataDxfId="270">
      <calculatedColumnFormula>SUMIF('World Cup 2022 Matches'!$G$2:$G$49,GroupF[[#This Row],[Teams]],'World Cup 2022 Matches'!$H$2:$H$49)</calculatedColumnFormula>
    </tableColumn>
    <tableColumn id="8" xr3:uid="{00000000-0010-0000-0700-000008000000}" name="Goals For Away" dataDxfId="269">
      <calculatedColumnFormula>SUMIF('World Cup 2022 Matches'!$J$2:$J$49,GroupF[[#This Row],[Teams]],'World Cup 2022 Matches'!$I$2:$I$49)</calculatedColumnFormula>
    </tableColumn>
    <tableColumn id="17" xr3:uid="{00000000-0010-0000-0700-000011000000}" name="Total Goals For" dataDxfId="268">
      <calculatedColumnFormula>GroupF[[#This Row],[Goals For Home]]+GroupF[[#This Row],[Goals For Away]]</calculatedColumnFormula>
    </tableColumn>
    <tableColumn id="9" xr3:uid="{00000000-0010-0000-0700-000009000000}" name="Goals Against Home" dataDxfId="267">
      <calculatedColumnFormula>SUMIF('World Cup 2022 Matches'!$G$2:$G$49,GroupF[[#This Row],[Teams]],'World Cup 2022 Matches'!$I$2:$I$49)</calculatedColumnFormula>
    </tableColumn>
    <tableColumn id="10" xr3:uid="{00000000-0010-0000-0700-00000A000000}" name="Goals Against Away" dataDxfId="266">
      <calculatedColumnFormula>SUMIF('World Cup 2022 Matches'!$J$2:$J$49,GroupF[[#This Row],[Teams]],'World Cup 2022 Matches'!$H$2:$H$49)</calculatedColumnFormula>
    </tableColumn>
    <tableColumn id="11" xr3:uid="{00000000-0010-0000-0700-00000B000000}" name="Goal Difference" dataDxfId="265">
      <calculatedColumnFormula>(GroupF[[#This Row],[Goals For Home]]+GroupF[[#This Row],[Goals For Away]])-(GroupF[[#This Row],[Goals Against Home]]+GroupF[[#This Row],[Goals Against Away]])</calculatedColumnFormula>
    </tableColumn>
    <tableColumn id="12" xr3:uid="{00000000-0010-0000-0700-00000C000000}" name="Home Points" dataDxfId="264">
      <calculatedColumnFormula>SUMIF('World Cup 2022 Matches'!$G$2:$G$49,GroupF[[#This Row],[Teams]],'World Cup 2022 Matches'!$V$2:$V$49)</calculatedColumnFormula>
    </tableColumn>
    <tableColumn id="13" xr3:uid="{00000000-0010-0000-0700-00000D000000}" name="Away Points" dataDxfId="263">
      <calculatedColumnFormula>SUMIF('World Cup 2022 Matches'!$J$2:$J$49,GroupF[[#This Row],[Teams]],'World Cup 2022 Matches'!$W$2:$W$49)</calculatedColumnFormula>
    </tableColumn>
    <tableColumn id="14" xr3:uid="{00000000-0010-0000-0700-00000E000000}" name="Home Draw Points" dataDxfId="262">
      <calculatedColumnFormula>SUMIF('World Cup 2022 Matches'!$G$2:$G$49,GroupF[[#This Row],[Teams]],'World Cup 2022 Matches'!$X$2:$X$49)</calculatedColumnFormula>
    </tableColumn>
    <tableColumn id="15" xr3:uid="{00000000-0010-0000-0700-00000F000000}" name="Away Draw Points" dataDxfId="261">
      <calculatedColumnFormula>SUMIF('World Cup 2022 Matches'!$J$2:$J$49,GroupF[[#This Row],[Teams]],'World Cup 2022 Matches'!$Y$2:$Y$49)</calculatedColumnFormula>
    </tableColumn>
    <tableColumn id="16" xr3:uid="{00000000-0010-0000-0700-000010000000}" name="Total Points" dataDxfId="260">
      <calculatedColumnFormula>GroupF[[#This Row],[Away Draw Points]]+GroupF[[#This Row],[Home Draw Points]]+GroupF[[#This Row],[Away Points]]+GroupF[[#This Row],[Home Points]]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05ED61D-0DA3-4872-919F-0DA3979FA3D8}" name="All_Results" displayName="All_Results" ref="A1:L66" totalsRowCount="1" headerRowDxfId="259">
  <autoFilter ref="A1:L65" xr:uid="{00000000-0009-0000-0100-000004000000}"/>
  <sortState xmlns:xlrd2="http://schemas.microsoft.com/office/spreadsheetml/2017/richdata2" ref="A2:L49">
    <sortCondition ref="D1:D49"/>
  </sortState>
  <tableColumns count="12">
    <tableColumn id="1" xr3:uid="{2B4E011F-9868-4552-9047-CCF023865822}" name="Match Category" totalsRowLabel="Total"/>
    <tableColumn id="2" xr3:uid="{95222C51-390A-4B9E-A001-155FD4E62C85}" name="Round   " dataDxfId="258" totalsRowDxfId="257"/>
    <tableColumn id="3" xr3:uid="{BA6C8CF6-D736-40F1-AD57-394C6644C868}" name="Match No" dataDxfId="256"/>
    <tableColumn id="4" xr3:uid="{518BD37D-10B0-44C5-8815-843F76BF205F}" name="Date" dataDxfId="255"/>
    <tableColumn id="14" xr3:uid="{897C69C7-7DAD-4C7F-BA85-165197150BF3}" name="Time" dataDxfId="254"/>
    <tableColumn id="5" xr3:uid="{2AEC6697-1054-4488-BA3A-D4E03908F525}" name="Home"/>
    <tableColumn id="6" xr3:uid="{3BAAA2BD-7F21-4E1C-9EA5-A145B88E6C69}" name="Home Score" dataDxfId="253"/>
    <tableColumn id="7" xr3:uid="{D8C56AB4-946B-4242-B656-3D04CC1A53D7}" name="Away Score" dataDxfId="252"/>
    <tableColumn id="8" xr3:uid="{0F7FC31B-80E6-419B-9660-A19D9F8F6B4D}" name="Away"/>
    <tableColumn id="13" xr3:uid="{7B049E2D-97D5-485C-8042-790BF23C4BB6}" name="Location"/>
    <tableColumn id="12" xr3:uid="{DC3697E9-2B5E-458B-BB10-8BA58345A175}" name="Attendance" totalsRowFunction="average" dataDxfId="251" totalsRowDxfId="250"/>
    <tableColumn id="10" xr3:uid="{75586034-FF6C-4EE2-96B3-F0800DEF946B}" name="Total Goals" dataDxfId="249">
      <calculatedColumnFormula>All_Results[[#This Row],[Home Score]]+All_Results[[#This Row],[Away Score]]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8000000}" name="Fixtures" displayName="Fixtures" ref="A1:Y50" totalsRowCount="1" headerRowDxfId="248">
  <autoFilter ref="A1:Y49" xr:uid="{00000000-0009-0000-0100-000004000000}"/>
  <sortState xmlns:xlrd2="http://schemas.microsoft.com/office/spreadsheetml/2017/richdata2" ref="A2:R49">
    <sortCondition ref="D1:D49"/>
  </sortState>
  <tableColumns count="25">
    <tableColumn id="1" xr3:uid="{00000000-0010-0000-0800-000001000000}" name="Match Category" totalsRowLabel="Total"/>
    <tableColumn id="2" xr3:uid="{00000000-0010-0000-0800-000002000000}" name="Round   " dataDxfId="247" totalsRowDxfId="246"/>
    <tableColumn id="3" xr3:uid="{00000000-0010-0000-0800-000003000000}" name="Match No" dataDxfId="245"/>
    <tableColumn id="4" xr3:uid="{00000000-0010-0000-0800-000004000000}" name="Date" dataDxfId="244"/>
    <tableColumn id="14" xr3:uid="{00000000-0010-0000-0800-00000E000000}" name="Time" dataDxfId="243"/>
    <tableColumn id="24" xr3:uid="{00000000-0010-0000-0800-000018000000}" name="Knock Out Rounds Home" dataDxfId="242"/>
    <tableColumn id="5" xr3:uid="{00000000-0010-0000-0800-000005000000}" name="Home"/>
    <tableColumn id="6" xr3:uid="{00000000-0010-0000-0800-000006000000}" name="Home Score"/>
    <tableColumn id="7" xr3:uid="{00000000-0010-0000-0800-000007000000}" name="Away Score"/>
    <tableColumn id="8" xr3:uid="{00000000-0010-0000-0800-000008000000}" name="Away"/>
    <tableColumn id="23" xr3:uid="{00000000-0010-0000-0800-000017000000}" name="Knock Out Rounds Away"/>
    <tableColumn id="13" xr3:uid="{00000000-0010-0000-0800-00000D000000}" name="Location"/>
    <tableColumn id="12" xr3:uid="{00000000-0010-0000-0800-00000C000000}" name="Attendance" totalsRowFunction="average" dataDxfId="241" totalsRowDxfId="240"/>
    <tableColumn id="9" xr3:uid="{00000000-0010-0000-0800-000009000000}" name="Outcome"/>
    <tableColumn id="25" xr3:uid="{9F0BB80D-2153-44BC-B8AC-2DD68706F8B4}" name="Knock Out Rounds Home2" dataDxfId="239" totalsRowDxfId="238"/>
    <tableColumn id="15" xr3:uid="{00000000-0010-0000-0800-00000F000000}" name="Knock Out Winner"/>
    <tableColumn id="10" xr3:uid="{00000000-0010-0000-0800-00000A000000}" name="Total Goals" dataDxfId="237">
      <calculatedColumnFormula>Fixtures[[#This Row],[Home Score]]+Fixtures[[#This Row],[Away Score]]</calculatedColumnFormula>
    </tableColumn>
    <tableColumn id="11" xr3:uid="{00000000-0010-0000-0800-00000B000000}" name="Forecast Result" dataDxfId="236">
      <calculatedColumnFormula>IF(Fixtures[[#This Row],[Home Score]]&gt;Fixtures[[#This Row],[Away Score]],"Home Win",IF(Fixtures[[#This Row],[Home Score]]&lt;Fixtures[[#This Row],[Away Score]],"Away Win","Draw"))</calculatedColumnFormula>
    </tableColumn>
    <tableColumn id="16" xr3:uid="{00000000-0010-0000-0800-000010000000}" name="Result" dataDxfId="235">
      <calculatedColumnFormula>IF(Fixtures[[#This Row],[Outcome]]="Completed",Fixtures[[#This Row],[Forecast Result]],"Awaiting Result")</calculatedColumnFormula>
    </tableColumn>
    <tableColumn id="17" xr3:uid="{00000000-0010-0000-0800-000011000000}" name="Home Games Played" dataDxfId="234">
      <calculatedColumnFormula>IF(Fixtures[[#This Row],[Outcome]]="Completed",1,0)</calculatedColumnFormula>
    </tableColumn>
    <tableColumn id="18" xr3:uid="{00000000-0010-0000-0800-000012000000}" name="Away Games Played" dataDxfId="233">
      <calculatedColumnFormula>IF(Fixtures[[#This Row],[Outcome]]="Completed",1,0)</calculatedColumnFormula>
    </tableColumn>
    <tableColumn id="20" xr3:uid="{00000000-0010-0000-0800-000014000000}" name="Home Points" dataDxfId="232">
      <calculatedColumnFormula>IF(AND(Fixtures[[#This Row],[Result]]="Home Win",Fixtures[[#This Row],[Outcome]]="Completed"),3,0)</calculatedColumnFormula>
    </tableColumn>
    <tableColumn id="21" xr3:uid="{00000000-0010-0000-0800-000015000000}" name="Away Points" dataDxfId="231">
      <calculatedColumnFormula>IF(AND(Fixtures[[#This Row],[Result]]="Away Win",Fixtures[[#This Row],[Outcome]]="Completed"),3,0)</calculatedColumnFormula>
    </tableColumn>
    <tableColumn id="19" xr3:uid="{00000000-0010-0000-0800-000013000000}" name="Home Draw Points" dataDxfId="230">
      <calculatedColumnFormula>IF(AND(Fixtures[[#This Row],[Result]]="Draw",Fixtures[[#This Row],[Outcome]]="Completed"),1,0)</calculatedColumnFormula>
    </tableColumn>
    <tableColumn id="22" xr3:uid="{00000000-0010-0000-0800-000016000000}" name="Away Draw Points" totalsRowFunction="sum" dataDxfId="229">
      <calculatedColumnFormula>IF(Fixtures[[#This Row],[Home Draw Points]]=1,1,0)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E73FAFC-ACAE-4D4D-AB35-0070809B8206}" name="Knock_Out" displayName="Knock_Out" ref="A1:O18" totalsRowCount="1" headerRowDxfId="228" headerRowBorderDxfId="227" tableBorderDxfId="226">
  <autoFilter ref="A1:O17" xr:uid="{8E73FAFC-ACAE-4D4D-AB35-0070809B8206}"/>
  <tableColumns count="15">
    <tableColumn id="1" xr3:uid="{C2A5E258-E7DE-4322-B649-D105A5DD1D49}" name="Match Category" totalsRowLabel="Total"/>
    <tableColumn id="2" xr3:uid="{5242F828-545A-421F-A00F-F283DD66DFBD}" name="Round   " dataDxfId="225" totalsRowDxfId="224"/>
    <tableColumn id="3" xr3:uid="{9D7CA6E9-A4A6-4BCB-9436-6F3974B4E23B}" name="Match No" dataDxfId="223"/>
    <tableColumn id="4" xr3:uid="{D014E4D4-0653-47E2-A37B-CA61A2698B65}" name="Date" dataDxfId="222"/>
    <tableColumn id="5" xr3:uid="{73E8C72C-C508-4AD2-A24F-25DB011EDF7C}" name="Time" dataDxfId="221"/>
    <tableColumn id="6" xr3:uid="{5658EA6A-22F7-4916-9A34-450176A22FEA}" name="Knock Out Rounds Home"/>
    <tableColumn id="7" xr3:uid="{D679786A-DB07-4912-96FA-11795AE0A798}" name="Home"/>
    <tableColumn id="8" xr3:uid="{AF5A9D67-D6AE-421C-AE7E-59C8E12B39D3}" name="Home Score" dataDxfId="220" totalsRowDxfId="219"/>
    <tableColumn id="9" xr3:uid="{FFBE628A-447F-4535-B873-CDD4A797AAF8}" name="Away Score" dataDxfId="218" totalsRowDxfId="217"/>
    <tableColumn id="10" xr3:uid="{3126EADE-F918-4108-AA87-B34568B4FE55}" name="Away"/>
    <tableColumn id="11" xr3:uid="{252D0591-305C-4175-8E31-92BA44421BE2}" name="Knock Out Rounds Away" totalsRowDxfId="216"/>
    <tableColumn id="12" xr3:uid="{54D279D2-6DDE-4BB0-87F0-DC4FB3527347}" name="Location"/>
    <tableColumn id="13" xr3:uid="{DDAE299A-27E6-4CCA-AFE0-3D70EC7F66CE}" name="Attendance" totalsRowFunction="average" dataDxfId="215" totalsRowDxfId="214"/>
    <tableColumn id="14" xr3:uid="{2B544EAC-96F5-434C-A5C2-5AD7AEA40894}" name="Outcome"/>
    <tableColumn id="16" xr3:uid="{13A9DAD0-5DCF-45E9-8811-C6D216C67F29}" name="Knock Out Winner" totalsRowFunction="count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Squads" displayName="Squads" ref="A1:N832" totalsRowCount="1" headerRowDxfId="213" dataDxfId="212">
  <autoFilter ref="A1:N831" xr:uid="{00000000-0009-0000-0100-00000E000000}"/>
  <tableColumns count="14">
    <tableColumn id="11" xr3:uid="{16F416D7-F09C-4C46-9879-C2FF06192255}" name="Player No" dataDxfId="211" totalsRowDxfId="210"/>
    <tableColumn id="1" xr3:uid="{00000000-0010-0000-0D00-000001000000}" name="National Team" dataDxfId="209" totalsRowDxfId="208"/>
    <tableColumn id="10" xr3:uid="{C1F01BA6-A4AD-4F25-8AFC-9CC4E9A46EFE}" name="FA" dataDxfId="207" totalsRowDxfId="206">
      <calculatedColumnFormula>VLOOKUP(Squads[[#This Row],[National Team]],Qualified[],3,TRUE)</calculatedColumnFormula>
    </tableColumn>
    <tableColumn id="2" xr3:uid="{00000000-0010-0000-0D00-000002000000}" name="Squad No" dataDxfId="205" totalsRowDxfId="204"/>
    <tableColumn id="3" xr3:uid="{00000000-0010-0000-0D00-000003000000}" name="Position" dataDxfId="203" totalsRowDxfId="202" dataCellStyle="Output"/>
    <tableColumn id="4" xr3:uid="{00000000-0010-0000-0D00-000004000000}" name="Player Name" dataDxfId="201" totalsRowDxfId="200" dataCellStyle="Output"/>
    <tableColumn id="5" xr3:uid="{00000000-0010-0000-0D00-000005000000}" name="Date Of Birth" dataDxfId="199" totalsRowDxfId="198"/>
    <tableColumn id="6" xr3:uid="{039F958B-5FA7-4D4A-90A2-118361E7DF8A}" name="Age" dataDxfId="197" totalsRowDxfId="196">
      <calculatedColumnFormula>DATEDIF(Squads[[#This Row],[Date Of Birth]],World_Cup_Start_Date,"Y")</calculatedColumnFormula>
    </tableColumn>
    <tableColumn id="7" xr3:uid="{00000000-0010-0000-0D00-000007000000}" name="Caps" dataDxfId="195" totalsRowDxfId="194"/>
    <tableColumn id="8" xr3:uid="{00000000-0010-0000-0D00-000008000000}" name="International Goals" dataDxfId="193" totalsRowDxfId="192"/>
    <tableColumn id="9" xr3:uid="{00000000-0010-0000-0D00-000009000000}" name="Current Club" totalsRowFunction="count" dataDxfId="191" totalsRowDxfId="190"/>
    <tableColumn id="14" xr3:uid="{EF68DE86-742B-4820-9057-595C34F279EB}" name="ClubID" dataDxfId="189" totalsRowDxfId="188">
      <calculatedColumnFormula>_xlfn.XLOOKUP(Squads[[#This Row],[Current Club]],Clubs[Current Club],Clubs[Club_ID])</calculatedColumnFormula>
    </tableColumn>
    <tableColumn id="12" xr3:uid="{76BAF2D9-A6E8-4F5B-97F8-9B1FD617C453}" name="World Cup Result" dataDxfId="187" totalsRowDxfId="186">
      <calculatedColumnFormula>_xlfn.XLOOKUP(Squads[[#This Row],[National Team]],Football_Associations[Football Association],Football_Associations[World Cup Result])</calculatedColumnFormula>
    </tableColumn>
    <tableColumn id="13" xr3:uid="{0794971A-BC7B-4CE8-BD80-B93C6C52FFB6}" name="Last Four" dataDxfId="185" totalsRowDxfId="184">
      <calculatedColumnFormula>IF(Squads[[#This Row],[World Cup Result]]="Winner",1,IF(Squads[[#This Row],[World Cup Result]]="Runner Up",1,IF(Squads[[#This Row],[World Cup Result]]="third",1,IF(Squads[[#This Row],[World Cup Result]]="Fourth",1,0))))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7FFBED3-4857-4FEC-943A-9FCA5F1169DF}" name="Match_Record" displayName="Match_Record" ref="A1:I519" totalsRowCount="1" headerRowDxfId="183" dataDxfId="182">
  <autoFilter ref="A1:I518" xr:uid="{67FFBED3-4857-4FEC-943A-9FCA5F1169DF}"/>
  <tableColumns count="9">
    <tableColumn id="1" xr3:uid="{B6BE5CD7-7F82-4C97-841C-28B9CF503A82}" name="Match No" totalsRowLabel="Total" dataDxfId="181" totalsRowDxfId="180"/>
    <tableColumn id="3" xr3:uid="{9AB08158-B5A2-4E74-B50E-F118D47B3385}" name="Date" totalsRowFunction="count" dataDxfId="179" totalsRowDxfId="178">
      <calculatedColumnFormula>IFERROR(VLOOKUP(Match_Record[[#This Row],[Match No]],Fixtures[[#All],[Match No]:[Location]],2,TRUE),"")</calculatedColumnFormula>
    </tableColumn>
    <tableColumn id="9" xr3:uid="{75B1DD4B-F359-40CD-846C-881912C02235}" name="Home" dataDxfId="177" totalsRowDxfId="176">
      <calculatedColumnFormula>IFERROR(VLOOKUP(Match_Record[[#This Row],[Match No]],Fixtures[[#All],[Match No]:[Location]],5,TRUE),"")</calculatedColumnFormula>
    </tableColumn>
    <tableColumn id="8" xr3:uid="{2460A12F-DCF7-4ECE-8AFE-1D061F657FD1}" name="Away" dataDxfId="175" totalsRowDxfId="174">
      <calculatedColumnFormula>IFERROR(VLOOKUP(Match_Record[[#This Row],[Match No]],Fixtures[[#All],[Match No]:[Location]],8,TRUE),"")</calculatedColumnFormula>
    </tableColumn>
    <tableColumn id="5" xr3:uid="{22C262CF-DA18-4399-823B-B0E8E8C33E30}" name="Action" dataDxfId="173" totalsRowDxfId="172"/>
    <tableColumn id="6" xr3:uid="{39B572F2-3BB5-42A1-84D3-6CDAB048A01F}" name="Minutes of Action" dataDxfId="171" totalsRowDxfId="170"/>
    <tableColumn id="2" xr3:uid="{BEF43305-C31B-483A-8156-C20B9F54BC01}" name="Player_No" dataDxfId="169" totalsRowDxfId="168"/>
    <tableColumn id="10" xr3:uid="{8C5CC4BA-A5CC-484E-A53C-155B1CA5D54E}" name="Player Name" dataDxfId="167" totalsRowDxfId="166">
      <calculatedColumnFormula>IFERROR(VLOOKUP(Match_Record[[#This Row],[Player_No]],Squads[[Player No]:[Player Name]],6,TRUE),"")</calculatedColumnFormula>
    </tableColumn>
    <tableColumn id="11" xr3:uid="{0BBB3C08-1A83-4A21-B6DD-14BB9DA436DB}" name="Team" totalsRowFunction="count" dataDxfId="165" totalsRowDxfId="164">
      <calculatedColumnFormula>IFERROR(VLOOKUP(Match_Record[[#This Row],[Player_No]],Squads[[Player No]:[Player Name]],2,TRUE),"")</calculatedColumnFormula>
    </tableColumn>
  </tableColumns>
  <tableStyleInfo name="TableStyleLight14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22F8B64-AABA-4BFA-B595-855883706657}" name="Squads_2" displayName="Squads_2" ref="A1:R831" tableType="queryTable" totalsRowShown="0">
  <autoFilter ref="A1:R831" xr:uid="{722F8B64-AABA-4BFA-B595-855883706657}"/>
  <sortState xmlns:xlrd2="http://schemas.microsoft.com/office/spreadsheetml/2017/richdata2" ref="A2:R831">
    <sortCondition descending="1" ref="J1:J831"/>
  </sortState>
  <tableColumns count="18">
    <tableColumn id="1" xr3:uid="{EC82F6AC-3A3F-40BF-958B-C96324902A66}" uniqueName="1" name="Nation Code" queryTableFieldId="1" dataDxfId="28"/>
    <tableColumn id="2" xr3:uid="{3AF75052-F93A-432E-AB6E-162DCED422D9}" uniqueName="2" name="FA" queryTableFieldId="2" dataDxfId="27"/>
    <tableColumn id="17" xr3:uid="{7A8D933B-2C19-453D-B93D-2C749E755010}" uniqueName="17" name="FullFA" queryTableFieldId="20" dataDxfId="26"/>
    <tableColumn id="3" xr3:uid="{4DFDC669-5B4A-4CA5-9FBD-2295C136780D}" uniqueName="3" name="Player No" queryTableFieldId="3" dataDxfId="25"/>
    <tableColumn id="4" xr3:uid="{D91BFEBC-81A8-4793-9A3E-512285493583}" uniqueName="4" name="Squad No" queryTableFieldId="4" dataDxfId="24"/>
    <tableColumn id="5" xr3:uid="{D4163D93-E6FE-42F8-9D2A-7BA3CAE9D549}" uniqueName="5" name="Position" queryTableFieldId="5" dataDxfId="23"/>
    <tableColumn id="6" xr3:uid="{314F8D27-4317-4B79-B1D9-0755463704AE}" uniqueName="6" name="Player Name" queryTableFieldId="6" dataDxfId="22"/>
    <tableColumn id="7" xr3:uid="{A6C969DD-8C9D-484B-911E-40306B7960EE}" uniqueName="7" name="Date Of Birth" queryTableFieldId="7" dataDxfId="21"/>
    <tableColumn id="8" xr3:uid="{282F4047-5FE1-4046-B922-7A58DDED6C72}" uniqueName="8" name="Age" queryTableFieldId="8" dataDxfId="20"/>
    <tableColumn id="9" xr3:uid="{CD451F26-9D57-477F-AFC6-8168089896B0}" uniqueName="9" name="Caps" queryTableFieldId="9" dataDxfId="19"/>
    <tableColumn id="10" xr3:uid="{41A3A809-BFDC-430D-8594-667F7701DC00}" uniqueName="10" name="International Goals" queryTableFieldId="10" dataDxfId="18"/>
    <tableColumn id="11" xr3:uid="{E96EBBD0-E783-4017-AAE2-0BF772B434FB}" uniqueName="11" name="Current Club" queryTableFieldId="11" dataDxfId="17"/>
    <tableColumn id="16" xr3:uid="{DE8404CA-12EE-419B-BC75-0D85EC8AB997}" uniqueName="16" name="ClubID" queryTableFieldId="18" dataDxfId="16"/>
    <tableColumn id="14" xr3:uid="{BCA2F939-3BFD-4763-9B68-58E98C0EA44B}" uniqueName="14" name="World Cup Result" queryTableFieldId="14"/>
    <tableColumn id="15" xr3:uid="{AD62B9B3-EB2E-4FB5-91F3-6E5133A70A0F}" uniqueName="15" name="Last Four" queryTableFieldId="15"/>
    <tableColumn id="12" xr3:uid="{4EFE6761-670C-4878-B68D-411710C01081}" uniqueName="12" name="Clubs.Club - League" queryTableFieldId="12" dataDxfId="15"/>
    <tableColumn id="13" xr3:uid="{42A78239-24B0-42E6-89F6-8BF786A0E5DE}" uniqueName="13" name="Clubs.Football Association" queryTableFieldId="13" dataDxfId="14"/>
    <tableColumn id="18" xr3:uid="{D6C38101-ED58-4E95-835B-85F89FF4DBBC}" uniqueName="18" name="FullPlayerData" queryTableFieldId="21" dataDxfId="13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B79CA4C-86CF-4A9C-A3D1-50E5AB61EF86}" name="All_Results_2" displayName="All_Results_2" ref="A1:M66" tableType="queryTable" totalsRowShown="0">
  <autoFilter ref="A1:M66" xr:uid="{EB79CA4C-86CF-4A9C-A3D1-50E5AB61EF86}"/>
  <tableColumns count="13">
    <tableColumn id="1" xr3:uid="{5CA158EB-F908-4BC1-A8E9-BD4893869D51}" uniqueName="1" name="Match Category" queryTableFieldId="1" dataDxfId="12"/>
    <tableColumn id="2" xr3:uid="{A8DCCBAA-2460-4276-93FC-CAA63C59256C}" uniqueName="2" name="Round" queryTableFieldId="2" dataDxfId="11"/>
    <tableColumn id="3" xr3:uid="{3C296A5C-F2D3-4F13-9EDA-B3D48543C930}" uniqueName="3" name="Match No" queryTableFieldId="3" dataDxfId="10"/>
    <tableColumn id="4" xr3:uid="{5AE87147-5DAE-445D-A2F2-FA543E993EFE}" uniqueName="4" name="Date" queryTableFieldId="4" dataDxfId="9"/>
    <tableColumn id="5" xr3:uid="{49D27150-6363-4B5E-810A-64E3D488ACE2}" uniqueName="5" name="Time" queryTableFieldId="5" dataDxfId="8"/>
    <tableColumn id="6" xr3:uid="{07AD56B5-005D-4B17-8106-418CC53E0D32}" uniqueName="6" name="Home" queryTableFieldId="6" dataDxfId="7"/>
    <tableColumn id="7" xr3:uid="{105C8EFE-9FC8-42C6-BE3C-6E011437DCD3}" uniqueName="7" name="Home Score" queryTableFieldId="7" dataDxfId="6"/>
    <tableColumn id="8" xr3:uid="{586385C4-6300-481F-B431-BB8A7A3BD290}" uniqueName="8" name="Away Score" queryTableFieldId="8" dataDxfId="5"/>
    <tableColumn id="9" xr3:uid="{A4A52155-1EEA-436C-8F8F-7E56268DC3AB}" uniqueName="9" name="Away" queryTableFieldId="9" dataDxfId="4"/>
    <tableColumn id="10" xr3:uid="{E9977611-CBE8-49E2-A873-295B137A9516}" uniqueName="10" name="Location" queryTableFieldId="10" dataDxfId="3"/>
    <tableColumn id="11" xr3:uid="{7B779769-33FF-4933-A4D7-A8EDC5A59C59}" uniqueName="11" name="Attendance" queryTableFieldId="11" dataDxfId="2"/>
    <tableColumn id="12" xr3:uid="{DA8D80D9-DE62-471B-9340-2D4D693FF993}" uniqueName="12" name="Total Goals" queryTableFieldId="12" dataDxfId="1"/>
    <tableColumn id="17" xr3:uid="{E70C55EA-A230-48F6-8F5A-BA324C843717}" uniqueName="17" name="Merged" queryTableFieldId="17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5" Type="http://schemas.openxmlformats.org/officeDocument/2006/relationships/table" Target="../tables/table10.xml"/><Relationship Id="rId10" Type="http://schemas.openxmlformats.org/officeDocument/2006/relationships/table" Target="../tables/table15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ivotTable" Target="../pivotTables/pivotTable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71"/>
  <sheetViews>
    <sheetView workbookViewId="0">
      <selection activeCell="N5" sqref="N5"/>
    </sheetView>
  </sheetViews>
  <sheetFormatPr defaultRowHeight="15" x14ac:dyDescent="0.25"/>
  <cols>
    <col min="1" max="1" width="17.5703125" bestFit="1" customWidth="1"/>
    <col min="2" max="2" width="5.42578125" customWidth="1"/>
    <col min="3" max="3" width="8.7109375" customWidth="1"/>
    <col min="4" max="4" width="22.140625" bestFit="1" customWidth="1"/>
    <col min="5" max="5" width="17.5703125" bestFit="1" customWidth="1"/>
    <col min="7" max="7" width="15.28515625" bestFit="1" customWidth="1"/>
    <col min="12" max="12" width="17.5703125" customWidth="1"/>
    <col min="13" max="13" width="14.28515625" bestFit="1" customWidth="1"/>
    <col min="14" max="14" width="15.42578125" bestFit="1" customWidth="1"/>
  </cols>
  <sheetData>
    <row r="1" spans="1:14" ht="15" customHeight="1" x14ac:dyDescent="0.25">
      <c r="A1" t="s">
        <v>60</v>
      </c>
      <c r="D1" s="106" t="s">
        <v>950</v>
      </c>
      <c r="E1" s="106"/>
      <c r="G1" t="s">
        <v>1075</v>
      </c>
      <c r="L1" t="s">
        <v>1582</v>
      </c>
      <c r="M1" t="s">
        <v>1177</v>
      </c>
      <c r="N1" t="s">
        <v>1583</v>
      </c>
    </row>
    <row r="2" spans="1:14" ht="15" customHeight="1" x14ac:dyDescent="0.25">
      <c r="A2" t="s">
        <v>61</v>
      </c>
      <c r="D2" s="9" t="s">
        <v>941</v>
      </c>
      <c r="E2" s="22">
        <f>MIN(Fixtures[Date])</f>
        <v>44885</v>
      </c>
      <c r="G2" t="s">
        <v>1078</v>
      </c>
      <c r="L2" s="49" t="s">
        <v>13</v>
      </c>
      <c r="M2" s="70" t="s">
        <v>1178</v>
      </c>
      <c r="N2" s="70" t="s">
        <v>1584</v>
      </c>
    </row>
    <row r="3" spans="1:14" ht="15" customHeight="1" x14ac:dyDescent="0.25">
      <c r="A3" t="s">
        <v>62</v>
      </c>
      <c r="D3" s="9" t="s">
        <v>942</v>
      </c>
      <c r="E3" s="22">
        <f>MAX(Fixtures[Date])</f>
        <v>44897</v>
      </c>
      <c r="G3" t="s">
        <v>1079</v>
      </c>
      <c r="L3" s="49" t="s">
        <v>21</v>
      </c>
      <c r="M3" s="48" t="s">
        <v>1188</v>
      </c>
      <c r="N3" s="49" t="s">
        <v>1585</v>
      </c>
    </row>
    <row r="4" spans="1:14" ht="15" customHeight="1" x14ac:dyDescent="0.25">
      <c r="D4" s="9" t="s">
        <v>943</v>
      </c>
      <c r="E4" s="9">
        <f>DATEDIF(E2,E3,"D")</f>
        <v>12</v>
      </c>
      <c r="G4" t="s">
        <v>1080</v>
      </c>
      <c r="L4" s="49" t="s">
        <v>30</v>
      </c>
      <c r="M4" s="48" t="s">
        <v>1124</v>
      </c>
      <c r="N4" s="49" t="s">
        <v>1586</v>
      </c>
    </row>
    <row r="5" spans="1:14" ht="15" customHeight="1" x14ac:dyDescent="0.25">
      <c r="G5" t="s">
        <v>1081</v>
      </c>
      <c r="L5" s="49" t="s">
        <v>1059</v>
      </c>
      <c r="M5" s="48" t="s">
        <v>1180</v>
      </c>
      <c r="N5" s="49" t="s">
        <v>1587</v>
      </c>
    </row>
    <row r="6" spans="1:14" ht="15" customHeight="1" x14ac:dyDescent="0.25">
      <c r="G6" t="s">
        <v>1089</v>
      </c>
      <c r="L6" s="49" t="s">
        <v>34</v>
      </c>
      <c r="M6" s="48" t="s">
        <v>1256</v>
      </c>
      <c r="N6" s="49" t="s">
        <v>1588</v>
      </c>
    </row>
    <row r="7" spans="1:14" ht="15" customHeight="1" x14ac:dyDescent="0.25">
      <c r="G7" t="s">
        <v>1090</v>
      </c>
      <c r="L7" s="49" t="s">
        <v>31</v>
      </c>
      <c r="M7" s="48" t="s">
        <v>1291</v>
      </c>
      <c r="N7" s="49" t="s">
        <v>1589</v>
      </c>
    </row>
    <row r="8" spans="1:14" ht="15" customHeight="1" x14ac:dyDescent="0.25">
      <c r="G8" t="s">
        <v>1538</v>
      </c>
      <c r="L8" s="49" t="s">
        <v>29</v>
      </c>
      <c r="M8" s="48" t="s">
        <v>1294</v>
      </c>
      <c r="N8" s="49" t="s">
        <v>1590</v>
      </c>
    </row>
    <row r="9" spans="1:14" ht="15" customHeight="1" x14ac:dyDescent="0.25">
      <c r="G9" t="s">
        <v>1539</v>
      </c>
      <c r="L9" s="49" t="s">
        <v>24</v>
      </c>
      <c r="M9" s="48" t="s">
        <v>1127</v>
      </c>
      <c r="N9" s="49" t="s">
        <v>1591</v>
      </c>
    </row>
    <row r="10" spans="1:14" ht="15" customHeight="1" x14ac:dyDescent="0.25">
      <c r="L10" s="49" t="s">
        <v>16</v>
      </c>
      <c r="M10" s="48" t="s">
        <v>1130</v>
      </c>
      <c r="N10" s="49" t="s">
        <v>1592</v>
      </c>
    </row>
    <row r="11" spans="1:14" ht="15" customHeight="1" x14ac:dyDescent="0.25">
      <c r="L11" s="49" t="s">
        <v>9</v>
      </c>
      <c r="M11" s="48" t="s">
        <v>1183</v>
      </c>
      <c r="N11" s="49" t="s">
        <v>1593</v>
      </c>
    </row>
    <row r="12" spans="1:14" ht="15" customHeight="1" x14ac:dyDescent="0.25">
      <c r="L12" s="49" t="s">
        <v>6</v>
      </c>
      <c r="M12" s="48" t="s">
        <v>1131</v>
      </c>
      <c r="N12" s="49" t="s">
        <v>1594</v>
      </c>
    </row>
    <row r="13" spans="1:14" ht="15" customHeight="1" x14ac:dyDescent="0.25">
      <c r="L13" s="49" t="s">
        <v>20</v>
      </c>
      <c r="M13" s="48" t="s">
        <v>1135</v>
      </c>
      <c r="N13" s="49" t="s">
        <v>1595</v>
      </c>
    </row>
    <row r="14" spans="1:14" ht="15" customHeight="1" x14ac:dyDescent="0.25">
      <c r="L14" s="49" t="s">
        <v>26</v>
      </c>
      <c r="M14" s="48" t="s">
        <v>1137</v>
      </c>
      <c r="N14" s="49" t="s">
        <v>1596</v>
      </c>
    </row>
    <row r="15" spans="1:14" ht="15" customHeight="1" x14ac:dyDescent="0.25">
      <c r="L15" s="49" t="s">
        <v>39</v>
      </c>
      <c r="M15" s="48" t="s">
        <v>1244</v>
      </c>
      <c r="N15" s="49" t="s">
        <v>1597</v>
      </c>
    </row>
    <row r="16" spans="1:14" ht="15" customHeight="1" x14ac:dyDescent="0.25">
      <c r="L16" s="49" t="s">
        <v>7</v>
      </c>
      <c r="M16" s="48" t="s">
        <v>1201</v>
      </c>
      <c r="N16" s="49" t="s">
        <v>1598</v>
      </c>
    </row>
    <row r="17" spans="12:14" ht="15" customHeight="1" x14ac:dyDescent="0.25">
      <c r="L17" s="49" t="s">
        <v>27</v>
      </c>
      <c r="M17" s="48" t="s">
        <v>1211</v>
      </c>
      <c r="N17" s="49" t="s">
        <v>1599</v>
      </c>
    </row>
    <row r="18" spans="12:14" ht="15" customHeight="1" x14ac:dyDescent="0.25">
      <c r="L18" s="49" t="s">
        <v>37</v>
      </c>
      <c r="M18" s="48" t="s">
        <v>1212</v>
      </c>
      <c r="N18" s="49" t="s">
        <v>1600</v>
      </c>
    </row>
    <row r="19" spans="12:14" ht="15" customHeight="1" x14ac:dyDescent="0.25">
      <c r="L19" s="49" t="s">
        <v>18</v>
      </c>
      <c r="M19" s="48" t="s">
        <v>1292</v>
      </c>
      <c r="N19" s="49" t="s">
        <v>1601</v>
      </c>
    </row>
    <row r="20" spans="12:14" ht="15" customHeight="1" x14ac:dyDescent="0.25">
      <c r="L20" s="49" t="s">
        <v>23</v>
      </c>
      <c r="M20" s="48" t="s">
        <v>1238</v>
      </c>
      <c r="N20" s="49" t="s">
        <v>1602</v>
      </c>
    </row>
    <row r="21" spans="12:14" ht="15" customHeight="1" x14ac:dyDescent="0.25">
      <c r="L21" s="49" t="s">
        <v>4</v>
      </c>
      <c r="M21" s="48" t="s">
        <v>1153</v>
      </c>
      <c r="N21" s="49" t="s">
        <v>1603</v>
      </c>
    </row>
    <row r="22" spans="12:14" ht="15" customHeight="1" x14ac:dyDescent="0.25">
      <c r="L22" s="49" t="s">
        <v>19</v>
      </c>
      <c r="M22" s="48" t="s">
        <v>1157</v>
      </c>
      <c r="N22" s="49" t="s">
        <v>1604</v>
      </c>
    </row>
    <row r="23" spans="12:14" ht="15" customHeight="1" x14ac:dyDescent="0.25">
      <c r="L23" s="49" t="s">
        <v>38</v>
      </c>
      <c r="M23" s="48" t="s">
        <v>1158</v>
      </c>
      <c r="N23" s="49" t="s">
        <v>1605</v>
      </c>
    </row>
    <row r="24" spans="12:14" ht="15" customHeight="1" x14ac:dyDescent="0.25">
      <c r="L24" s="49" t="s">
        <v>8</v>
      </c>
      <c r="M24" s="48" t="s">
        <v>1230</v>
      </c>
      <c r="N24" s="49" t="s">
        <v>1606</v>
      </c>
    </row>
    <row r="25" spans="12:14" ht="15" customHeight="1" x14ac:dyDescent="0.25">
      <c r="L25" s="49" t="s">
        <v>14</v>
      </c>
      <c r="M25" s="48" t="s">
        <v>1231</v>
      </c>
      <c r="N25" s="49" t="s">
        <v>1607</v>
      </c>
    </row>
    <row r="26" spans="12:14" ht="15" customHeight="1" x14ac:dyDescent="0.25">
      <c r="L26" s="49" t="s">
        <v>3</v>
      </c>
      <c r="M26" s="48" t="s">
        <v>1253</v>
      </c>
      <c r="N26" s="49" t="s">
        <v>1608</v>
      </c>
    </row>
    <row r="27" spans="12:14" ht="15" customHeight="1" x14ac:dyDescent="0.25">
      <c r="L27" s="49" t="s">
        <v>40</v>
      </c>
      <c r="M27" s="48" t="s">
        <v>1164</v>
      </c>
      <c r="N27" s="49" t="s">
        <v>1609</v>
      </c>
    </row>
    <row r="28" spans="12:14" ht="15" customHeight="1" x14ac:dyDescent="0.25">
      <c r="L28" s="49" t="s">
        <v>28</v>
      </c>
      <c r="M28" s="48" t="s">
        <v>1167</v>
      </c>
      <c r="N28" s="49" t="s">
        <v>1610</v>
      </c>
    </row>
    <row r="29" spans="12:14" ht="15" customHeight="1" x14ac:dyDescent="0.25">
      <c r="L29" s="49" t="s">
        <v>33</v>
      </c>
      <c r="M29" s="48" t="s">
        <v>1169</v>
      </c>
      <c r="N29" s="49" t="s">
        <v>1611</v>
      </c>
    </row>
    <row r="30" spans="12:14" ht="15" customHeight="1" x14ac:dyDescent="0.25">
      <c r="L30" s="49" t="s">
        <v>17</v>
      </c>
      <c r="M30" s="48" t="s">
        <v>1239</v>
      </c>
      <c r="N30" s="49" t="s">
        <v>1612</v>
      </c>
    </row>
    <row r="31" spans="12:14" ht="15" customHeight="1" x14ac:dyDescent="0.25">
      <c r="L31" s="49" t="s">
        <v>36</v>
      </c>
      <c r="M31" s="48" t="s">
        <v>1186</v>
      </c>
      <c r="N31" s="49" t="s">
        <v>1613</v>
      </c>
    </row>
    <row r="32" spans="12:14" ht="15" customHeight="1" x14ac:dyDescent="0.25">
      <c r="L32" s="49" t="s">
        <v>10</v>
      </c>
      <c r="M32" s="48" t="s">
        <v>10</v>
      </c>
      <c r="N32" s="49" t="s">
        <v>1614</v>
      </c>
    </row>
    <row r="33" spans="12:14" ht="15" customHeight="1" x14ac:dyDescent="0.25">
      <c r="L33" s="54" t="s">
        <v>11</v>
      </c>
      <c r="M33" s="48" t="s">
        <v>1172</v>
      </c>
      <c r="N33" s="54" t="s">
        <v>1615</v>
      </c>
    </row>
    <row r="34" spans="12:14" ht="15" customHeight="1" x14ac:dyDescent="0.25"/>
    <row r="35" spans="12:14" ht="15" customHeight="1" x14ac:dyDescent="0.25"/>
    <row r="36" spans="12:14" ht="15" customHeight="1" x14ac:dyDescent="0.25"/>
    <row r="37" spans="12:14" ht="15" customHeight="1" x14ac:dyDescent="0.25"/>
    <row r="38" spans="12:14" ht="15" customHeight="1" x14ac:dyDescent="0.25"/>
    <row r="39" spans="12:14" ht="15" customHeight="1" x14ac:dyDescent="0.25"/>
    <row r="40" spans="12:14" ht="15" customHeight="1" x14ac:dyDescent="0.25"/>
    <row r="41" spans="12:14" ht="15" customHeight="1" x14ac:dyDescent="0.25"/>
    <row r="42" spans="12:14" ht="15" customHeight="1" x14ac:dyDescent="0.25"/>
    <row r="43" spans="12:14" ht="15" customHeight="1" x14ac:dyDescent="0.25"/>
    <row r="44" spans="12:14" ht="15" customHeight="1" x14ac:dyDescent="0.25"/>
    <row r="45" spans="12:14" ht="15" customHeight="1" x14ac:dyDescent="0.25"/>
    <row r="46" spans="12:14" ht="15" customHeight="1" x14ac:dyDescent="0.25"/>
    <row r="47" spans="12:14" ht="15" customHeight="1" x14ac:dyDescent="0.25"/>
    <row r="48" spans="12:14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</sheetData>
  <mergeCells count="1">
    <mergeCell ref="D1:E1"/>
  </mergeCells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EA92B-3CE9-4B3A-B72E-F67CD0BC8D3A}">
  <sheetPr codeName="Sheet8"/>
  <dimension ref="A1:B7"/>
  <sheetViews>
    <sheetView workbookViewId="0">
      <pane ySplit="1" topLeftCell="A2" activePane="bottomLeft" state="frozen"/>
      <selection pane="bottomLeft" activeCell="B10" sqref="B10"/>
    </sheetView>
  </sheetViews>
  <sheetFormatPr defaultRowHeight="15" x14ac:dyDescent="0.25"/>
  <cols>
    <col min="1" max="1" width="13.7109375" bestFit="1" customWidth="1"/>
    <col min="2" max="2" width="23" bestFit="1" customWidth="1"/>
  </cols>
  <sheetData>
    <row r="1" spans="1:2" x14ac:dyDescent="0.25">
      <c r="A1" t="s">
        <v>1085</v>
      </c>
      <c r="B1" t="s">
        <v>1092</v>
      </c>
    </row>
    <row r="2" spans="1:2" x14ac:dyDescent="0.25">
      <c r="A2" s="30" t="s">
        <v>53</v>
      </c>
      <c r="B2" t="s">
        <v>1095</v>
      </c>
    </row>
    <row r="3" spans="1:2" x14ac:dyDescent="0.25">
      <c r="A3" s="30" t="s">
        <v>54</v>
      </c>
      <c r="B3" t="s">
        <v>1094</v>
      </c>
    </row>
    <row r="4" spans="1:2" x14ac:dyDescent="0.25">
      <c r="A4" s="30" t="s">
        <v>52</v>
      </c>
      <c r="B4" t="s">
        <v>1097</v>
      </c>
    </row>
    <row r="5" spans="1:2" x14ac:dyDescent="0.25">
      <c r="A5" s="30" t="s">
        <v>50</v>
      </c>
      <c r="B5" t="s">
        <v>1096</v>
      </c>
    </row>
    <row r="6" spans="1:2" x14ac:dyDescent="0.25">
      <c r="A6" s="30" t="s">
        <v>51</v>
      </c>
      <c r="B6" t="s">
        <v>1093</v>
      </c>
    </row>
    <row r="7" spans="1:2" x14ac:dyDescent="0.25">
      <c r="A7" s="30" t="s">
        <v>1331</v>
      </c>
      <c r="B7" s="30" t="s">
        <v>1332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F8F6B-DDE1-4FEC-A691-D014107D7047}">
  <sheetPr codeName="Sheet7"/>
  <dimension ref="A1:D9"/>
  <sheetViews>
    <sheetView workbookViewId="0">
      <selection activeCell="A2" sqref="A2"/>
    </sheetView>
  </sheetViews>
  <sheetFormatPr defaultRowHeight="15" x14ac:dyDescent="0.25"/>
  <cols>
    <col min="1" max="1" width="14.140625" bestFit="1" customWidth="1"/>
    <col min="2" max="2" width="33" customWidth="1"/>
    <col min="3" max="3" width="10.7109375" bestFit="1" customWidth="1"/>
    <col min="4" max="4" width="22.5703125" customWidth="1"/>
  </cols>
  <sheetData>
    <row r="1" spans="1:4" x14ac:dyDescent="0.25">
      <c r="A1" s="2" t="s">
        <v>1353</v>
      </c>
      <c r="B1" s="2" t="s">
        <v>63</v>
      </c>
      <c r="C1" s="2" t="s">
        <v>65</v>
      </c>
      <c r="D1" s="2" t="s">
        <v>66</v>
      </c>
    </row>
    <row r="2" spans="1:4" x14ac:dyDescent="0.25">
      <c r="A2" s="2" t="s">
        <v>1346</v>
      </c>
      <c r="B2" s="2" t="s">
        <v>64</v>
      </c>
      <c r="C2" s="32">
        <v>80000</v>
      </c>
      <c r="D2" s="2" t="s">
        <v>67</v>
      </c>
    </row>
    <row r="3" spans="1:4" x14ac:dyDescent="0.25">
      <c r="A3" s="2" t="s">
        <v>1347</v>
      </c>
      <c r="B3" s="2" t="s">
        <v>68</v>
      </c>
      <c r="C3" s="32">
        <v>60000</v>
      </c>
      <c r="D3" s="2" t="s">
        <v>69</v>
      </c>
    </row>
    <row r="4" spans="1:4" x14ac:dyDescent="0.25">
      <c r="A4" s="2" t="s">
        <v>1348</v>
      </c>
      <c r="B4" s="2" t="s">
        <v>72</v>
      </c>
      <c r="C4" s="32">
        <v>45416</v>
      </c>
      <c r="D4" s="2" t="s">
        <v>70</v>
      </c>
    </row>
    <row r="5" spans="1:4" x14ac:dyDescent="0.25">
      <c r="A5" s="2" t="s">
        <v>1349</v>
      </c>
      <c r="B5" s="2" t="s">
        <v>80</v>
      </c>
      <c r="C5" s="32">
        <v>45000</v>
      </c>
      <c r="D5" s="2" t="s">
        <v>70</v>
      </c>
    </row>
    <row r="6" spans="1:4" x14ac:dyDescent="0.25">
      <c r="A6" s="2" t="s">
        <v>1350</v>
      </c>
      <c r="B6" s="2" t="s">
        <v>71</v>
      </c>
      <c r="C6" s="32">
        <v>45000</v>
      </c>
      <c r="D6" s="2" t="s">
        <v>73</v>
      </c>
    </row>
    <row r="7" spans="1:4" x14ac:dyDescent="0.25">
      <c r="A7" s="2" t="s">
        <v>1351</v>
      </c>
      <c r="B7" s="2" t="s">
        <v>74</v>
      </c>
      <c r="C7" s="32">
        <v>45000</v>
      </c>
      <c r="D7" s="2" t="s">
        <v>70</v>
      </c>
    </row>
    <row r="8" spans="1:4" x14ac:dyDescent="0.25">
      <c r="A8" s="2" t="s">
        <v>1352</v>
      </c>
      <c r="B8" s="2" t="s">
        <v>75</v>
      </c>
      <c r="C8" s="32">
        <v>45000</v>
      </c>
      <c r="D8" s="2" t="s">
        <v>76</v>
      </c>
    </row>
    <row r="9" spans="1:4" x14ac:dyDescent="0.25">
      <c r="A9" s="2" t="s">
        <v>1354</v>
      </c>
      <c r="B9" s="2" t="s">
        <v>77</v>
      </c>
      <c r="C9" s="32">
        <v>45000</v>
      </c>
      <c r="D9" s="2" t="s">
        <v>73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40D99-0921-4FE1-97AC-636901D95549}">
  <sheetPr codeName="Sheet9"/>
  <dimension ref="A1:A9"/>
  <sheetViews>
    <sheetView workbookViewId="0">
      <pane ySplit="1" topLeftCell="A2" activePane="bottomLeft" state="frozen"/>
      <selection pane="bottomLeft" activeCell="A5" sqref="A5"/>
    </sheetView>
  </sheetViews>
  <sheetFormatPr defaultRowHeight="15" x14ac:dyDescent="0.25"/>
  <cols>
    <col min="1" max="1" width="19.85546875" bestFit="1" customWidth="1"/>
  </cols>
  <sheetData>
    <row r="1" spans="1:1" x14ac:dyDescent="0.25">
      <c r="A1" t="s">
        <v>1073</v>
      </c>
    </row>
    <row r="2" spans="1:1" x14ac:dyDescent="0.25">
      <c r="A2" t="s">
        <v>2</v>
      </c>
    </row>
    <row r="3" spans="1:1" x14ac:dyDescent="0.25">
      <c r="A3" t="s">
        <v>5</v>
      </c>
    </row>
    <row r="4" spans="1:1" x14ac:dyDescent="0.25">
      <c r="A4" t="s">
        <v>12</v>
      </c>
    </row>
    <row r="5" spans="1:1" x14ac:dyDescent="0.25">
      <c r="A5" t="s">
        <v>15</v>
      </c>
    </row>
    <row r="6" spans="1:1" x14ac:dyDescent="0.25">
      <c r="A6" t="s">
        <v>25</v>
      </c>
    </row>
    <row r="7" spans="1:1" x14ac:dyDescent="0.25">
      <c r="A7" t="s">
        <v>22</v>
      </c>
    </row>
    <row r="8" spans="1:1" x14ac:dyDescent="0.25">
      <c r="A8" t="s">
        <v>32</v>
      </c>
    </row>
    <row r="9" spans="1:1" x14ac:dyDescent="0.25">
      <c r="A9" t="s">
        <v>35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3FC58-DDE8-47BB-9A32-A5CF807FDE6B}">
  <sheetPr codeName="Sheet10"/>
  <dimension ref="A1:G22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42578125" customWidth="1"/>
    <col min="2" max="2" width="31.5703125" bestFit="1" customWidth="1"/>
    <col min="3" max="3" width="16" bestFit="1" customWidth="1"/>
    <col min="4" max="4" width="16.85546875" bestFit="1" customWidth="1"/>
    <col min="5" max="5" width="23.7109375" customWidth="1"/>
    <col min="6" max="7" width="21.140625" bestFit="1" customWidth="1"/>
  </cols>
  <sheetData>
    <row r="1" spans="1:7" ht="29.25" customHeight="1" x14ac:dyDescent="0.25">
      <c r="A1" s="57" t="s">
        <v>1177</v>
      </c>
      <c r="B1" s="58" t="s">
        <v>1068</v>
      </c>
      <c r="C1" s="58" t="s">
        <v>1085</v>
      </c>
      <c r="D1" s="58" t="s">
        <v>1173</v>
      </c>
      <c r="E1" s="58" t="s">
        <v>1174</v>
      </c>
      <c r="F1" s="59" t="s">
        <v>1355</v>
      </c>
      <c r="G1" s="58" t="s">
        <v>1645</v>
      </c>
    </row>
    <row r="2" spans="1:7" ht="15" customHeight="1" x14ac:dyDescent="0.25">
      <c r="A2" s="48" t="s">
        <v>1200</v>
      </c>
      <c r="B2" s="49" t="s">
        <v>1357</v>
      </c>
      <c r="C2" s="49" t="s">
        <v>53</v>
      </c>
      <c r="D2" s="50"/>
      <c r="E2" s="49" t="s">
        <v>1176</v>
      </c>
      <c r="F2" s="51" t="s">
        <v>1356</v>
      </c>
      <c r="G2" s="70"/>
    </row>
    <row r="3" spans="1:7" ht="15" customHeight="1" x14ac:dyDescent="0.25">
      <c r="A3" s="48" t="s">
        <v>1118</v>
      </c>
      <c r="B3" s="49" t="s">
        <v>1358</v>
      </c>
      <c r="C3" s="49" t="s">
        <v>51</v>
      </c>
      <c r="D3" s="50"/>
      <c r="E3" s="49" t="s">
        <v>1176</v>
      </c>
      <c r="F3" s="51" t="s">
        <v>1356</v>
      </c>
      <c r="G3" s="49"/>
    </row>
    <row r="4" spans="1:7" ht="15" customHeight="1" x14ac:dyDescent="0.25">
      <c r="A4" s="48" t="s">
        <v>1235</v>
      </c>
      <c r="B4" s="49" t="s">
        <v>1359</v>
      </c>
      <c r="C4" s="49" t="s">
        <v>54</v>
      </c>
      <c r="D4" s="50"/>
      <c r="E4" s="49" t="s">
        <v>1176</v>
      </c>
      <c r="F4" s="51" t="s">
        <v>1356</v>
      </c>
      <c r="G4" s="49"/>
    </row>
    <row r="5" spans="1:7" ht="15" customHeight="1" x14ac:dyDescent="0.25">
      <c r="A5" s="48" t="s">
        <v>1333</v>
      </c>
      <c r="B5" s="49" t="s">
        <v>1360</v>
      </c>
      <c r="C5" s="49" t="s">
        <v>1331</v>
      </c>
      <c r="D5" s="50"/>
      <c r="E5" s="49" t="s">
        <v>1176</v>
      </c>
      <c r="F5" s="51" t="s">
        <v>1356</v>
      </c>
      <c r="G5" s="49"/>
    </row>
    <row r="6" spans="1:7" ht="15" customHeight="1" x14ac:dyDescent="0.25">
      <c r="A6" s="48" t="s">
        <v>1119</v>
      </c>
      <c r="B6" s="49" t="s">
        <v>1361</v>
      </c>
      <c r="C6" s="49" t="s">
        <v>51</v>
      </c>
      <c r="D6" s="50"/>
      <c r="E6" s="49" t="s">
        <v>1176</v>
      </c>
      <c r="F6" s="51" t="s">
        <v>1356</v>
      </c>
      <c r="G6" s="49"/>
    </row>
    <row r="7" spans="1:7" ht="15" customHeight="1" x14ac:dyDescent="0.25">
      <c r="A7" s="48" t="s">
        <v>1276</v>
      </c>
      <c r="B7" s="49" t="s">
        <v>1362</v>
      </c>
      <c r="C7" s="49" t="s">
        <v>54</v>
      </c>
      <c r="D7" s="50"/>
      <c r="E7" s="49" t="s">
        <v>1176</v>
      </c>
      <c r="F7" s="51" t="s">
        <v>1356</v>
      </c>
      <c r="G7" s="49"/>
    </row>
    <row r="8" spans="1:7" ht="15" customHeight="1" x14ac:dyDescent="0.25">
      <c r="A8" s="48" t="s">
        <v>1300</v>
      </c>
      <c r="B8" s="49" t="s">
        <v>1363</v>
      </c>
      <c r="C8" s="49" t="s">
        <v>52</v>
      </c>
      <c r="D8" s="50"/>
      <c r="E8" s="49" t="s">
        <v>1176</v>
      </c>
      <c r="F8" s="51" t="s">
        <v>1356</v>
      </c>
      <c r="G8" s="49"/>
    </row>
    <row r="9" spans="1:7" ht="15" customHeight="1" x14ac:dyDescent="0.25">
      <c r="A9" s="48" t="s">
        <v>1301</v>
      </c>
      <c r="B9" s="49" t="s">
        <v>1364</v>
      </c>
      <c r="C9" s="49" t="s">
        <v>52</v>
      </c>
      <c r="D9" s="50"/>
      <c r="E9" s="49" t="s">
        <v>1176</v>
      </c>
      <c r="F9" s="51" t="s">
        <v>1356</v>
      </c>
      <c r="G9" s="49"/>
    </row>
    <row r="10" spans="1:7" ht="15" customHeight="1" x14ac:dyDescent="0.25">
      <c r="A10" s="48" t="s">
        <v>1178</v>
      </c>
      <c r="B10" s="49" t="s">
        <v>13</v>
      </c>
      <c r="C10" s="49" t="s">
        <v>50</v>
      </c>
      <c r="D10" s="52">
        <v>3</v>
      </c>
      <c r="E10" s="49" t="s">
        <v>1175</v>
      </c>
      <c r="F10" s="51" t="s">
        <v>12</v>
      </c>
      <c r="G10" s="49" t="s">
        <v>1646</v>
      </c>
    </row>
    <row r="11" spans="1:7" ht="15" customHeight="1" x14ac:dyDescent="0.25">
      <c r="A11" s="48" t="s">
        <v>1120</v>
      </c>
      <c r="B11" s="49" t="s">
        <v>1365</v>
      </c>
      <c r="C11" s="49" t="s">
        <v>51</v>
      </c>
      <c r="D11" s="50"/>
      <c r="E11" s="49" t="s">
        <v>1176</v>
      </c>
      <c r="F11" s="51" t="s">
        <v>1356</v>
      </c>
      <c r="G11" s="49"/>
    </row>
    <row r="12" spans="1:7" ht="15" customHeight="1" x14ac:dyDescent="0.25">
      <c r="A12" s="48" t="s">
        <v>1302</v>
      </c>
      <c r="B12" s="49" t="s">
        <v>1366</v>
      </c>
      <c r="C12" s="49" t="s">
        <v>52</v>
      </c>
      <c r="D12" s="50"/>
      <c r="E12" s="49" t="s">
        <v>1176</v>
      </c>
      <c r="F12" s="51" t="s">
        <v>1356</v>
      </c>
      <c r="G12" s="49"/>
    </row>
    <row r="13" spans="1:7" ht="15" customHeight="1" x14ac:dyDescent="0.25">
      <c r="A13" s="48" t="s">
        <v>1188</v>
      </c>
      <c r="B13" s="49" t="s">
        <v>21</v>
      </c>
      <c r="C13" s="49" t="s">
        <v>53</v>
      </c>
      <c r="D13" s="52">
        <v>38</v>
      </c>
      <c r="E13" s="49" t="s">
        <v>1175</v>
      </c>
      <c r="F13" s="51" t="s">
        <v>15</v>
      </c>
      <c r="G13" s="49" t="s">
        <v>1647</v>
      </c>
    </row>
    <row r="14" spans="1:7" ht="15" customHeight="1" x14ac:dyDescent="0.25">
      <c r="A14" s="48" t="s">
        <v>1121</v>
      </c>
      <c r="B14" s="49" t="s">
        <v>1039</v>
      </c>
      <c r="C14" s="49" t="s">
        <v>51</v>
      </c>
      <c r="D14" s="50"/>
      <c r="E14" s="49" t="s">
        <v>1176</v>
      </c>
      <c r="F14" s="51" t="s">
        <v>1356</v>
      </c>
      <c r="G14" s="49"/>
    </row>
    <row r="15" spans="1:7" ht="15" customHeight="1" x14ac:dyDescent="0.25">
      <c r="A15" s="48" t="s">
        <v>1122</v>
      </c>
      <c r="B15" s="49" t="s">
        <v>1367</v>
      </c>
      <c r="C15" s="49" t="s">
        <v>51</v>
      </c>
      <c r="D15" s="50"/>
      <c r="E15" s="49" t="s">
        <v>1176</v>
      </c>
      <c r="F15" s="51" t="s">
        <v>1356</v>
      </c>
      <c r="G15" s="49"/>
    </row>
    <row r="16" spans="1:7" ht="15" customHeight="1" x14ac:dyDescent="0.25">
      <c r="A16" s="48" t="s">
        <v>1303</v>
      </c>
      <c r="B16" s="49" t="s">
        <v>1368</v>
      </c>
      <c r="C16" s="49" t="s">
        <v>52</v>
      </c>
      <c r="D16" s="50"/>
      <c r="E16" s="49" t="s">
        <v>1176</v>
      </c>
      <c r="F16" s="51" t="s">
        <v>1356</v>
      </c>
      <c r="G16" s="49"/>
    </row>
    <row r="17" spans="1:7" ht="15" customHeight="1" x14ac:dyDescent="0.25">
      <c r="A17" s="48" t="s">
        <v>1223</v>
      </c>
      <c r="B17" s="49" t="s">
        <v>1369</v>
      </c>
      <c r="C17" s="49" t="s">
        <v>53</v>
      </c>
      <c r="D17" s="50"/>
      <c r="E17" s="49" t="s">
        <v>1176</v>
      </c>
      <c r="F17" s="51" t="s">
        <v>1356</v>
      </c>
      <c r="G17" s="49"/>
    </row>
    <row r="18" spans="1:7" ht="15" customHeight="1" x14ac:dyDescent="0.25">
      <c r="A18" s="48" t="s">
        <v>1216</v>
      </c>
      <c r="B18" s="49" t="s">
        <v>1370</v>
      </c>
      <c r="C18" s="49" t="s">
        <v>53</v>
      </c>
      <c r="D18" s="50"/>
      <c r="E18" s="49" t="s">
        <v>1176</v>
      </c>
      <c r="F18" s="51" t="s">
        <v>1356</v>
      </c>
      <c r="G18" s="49"/>
    </row>
    <row r="19" spans="1:7" ht="15" customHeight="1" x14ac:dyDescent="0.25">
      <c r="A19" s="48" t="s">
        <v>1304</v>
      </c>
      <c r="B19" s="49" t="s">
        <v>1371</v>
      </c>
      <c r="C19" s="49" t="s">
        <v>52</v>
      </c>
      <c r="D19" s="50"/>
      <c r="E19" s="49" t="s">
        <v>1176</v>
      </c>
      <c r="F19" s="51" t="s">
        <v>1356</v>
      </c>
      <c r="G19" s="49"/>
    </row>
    <row r="20" spans="1:7" ht="15" customHeight="1" x14ac:dyDescent="0.25">
      <c r="A20" s="48" t="s">
        <v>1123</v>
      </c>
      <c r="B20" s="49" t="s">
        <v>1372</v>
      </c>
      <c r="C20" s="49" t="s">
        <v>51</v>
      </c>
      <c r="D20" s="50"/>
      <c r="E20" s="49" t="s">
        <v>1176</v>
      </c>
      <c r="F20" s="51" t="s">
        <v>1356</v>
      </c>
      <c r="G20" s="49"/>
    </row>
    <row r="21" spans="1:7" ht="15" customHeight="1" x14ac:dyDescent="0.25">
      <c r="A21" s="48" t="s">
        <v>1124</v>
      </c>
      <c r="B21" s="49" t="s">
        <v>30</v>
      </c>
      <c r="C21" s="49" t="s">
        <v>51</v>
      </c>
      <c r="D21" s="52">
        <v>2</v>
      </c>
      <c r="E21" s="49" t="s">
        <v>1175</v>
      </c>
      <c r="F21" s="51" t="s">
        <v>22</v>
      </c>
      <c r="G21" s="49" t="s">
        <v>1648</v>
      </c>
    </row>
    <row r="22" spans="1:7" ht="15" customHeight="1" x14ac:dyDescent="0.25">
      <c r="A22" s="48" t="s">
        <v>1293</v>
      </c>
      <c r="B22" s="49" t="s">
        <v>1373</v>
      </c>
      <c r="C22" s="49" t="s">
        <v>52</v>
      </c>
      <c r="D22" s="50"/>
      <c r="E22" s="49" t="s">
        <v>1176</v>
      </c>
      <c r="F22" s="51" t="s">
        <v>1356</v>
      </c>
      <c r="G22" s="49"/>
    </row>
    <row r="23" spans="1:7" ht="15" customHeight="1" x14ac:dyDescent="0.25">
      <c r="A23" s="48" t="s">
        <v>1240</v>
      </c>
      <c r="B23" s="49" t="s">
        <v>1374</v>
      </c>
      <c r="C23" s="49" t="s">
        <v>54</v>
      </c>
      <c r="D23" s="50"/>
      <c r="E23" s="49" t="s">
        <v>1176</v>
      </c>
      <c r="F23" s="51" t="s">
        <v>1356</v>
      </c>
      <c r="G23" s="49"/>
    </row>
    <row r="24" spans="1:7" ht="15" customHeight="1" x14ac:dyDescent="0.25">
      <c r="A24" s="48" t="s">
        <v>1305</v>
      </c>
      <c r="B24" s="49" t="s">
        <v>1375</v>
      </c>
      <c r="C24" s="49" t="s">
        <v>52</v>
      </c>
      <c r="D24" s="50"/>
      <c r="E24" s="49" t="s">
        <v>1176</v>
      </c>
      <c r="F24" s="51" t="s">
        <v>1356</v>
      </c>
      <c r="G24" s="49"/>
    </row>
    <row r="25" spans="1:7" ht="15" customHeight="1" x14ac:dyDescent="0.25">
      <c r="A25" s="48" t="s">
        <v>1217</v>
      </c>
      <c r="B25" s="49" t="s">
        <v>1376</v>
      </c>
      <c r="C25" s="49" t="s">
        <v>53</v>
      </c>
      <c r="D25" s="50"/>
      <c r="E25" s="49" t="s">
        <v>1176</v>
      </c>
      <c r="F25" s="51" t="s">
        <v>1356</v>
      </c>
      <c r="G25" s="49"/>
    </row>
    <row r="26" spans="1:7" ht="15" customHeight="1" x14ac:dyDescent="0.25">
      <c r="A26" s="48" t="s">
        <v>1179</v>
      </c>
      <c r="B26" s="49" t="s">
        <v>1377</v>
      </c>
      <c r="C26" s="49" t="s">
        <v>50</v>
      </c>
      <c r="D26" s="50"/>
      <c r="E26" s="49" t="s">
        <v>1176</v>
      </c>
      <c r="F26" s="51" t="s">
        <v>1356</v>
      </c>
      <c r="G26" s="49"/>
    </row>
    <row r="27" spans="1:7" ht="15" customHeight="1" x14ac:dyDescent="0.25">
      <c r="A27" s="48" t="s">
        <v>1306</v>
      </c>
      <c r="B27" s="49" t="s">
        <v>1378</v>
      </c>
      <c r="C27" s="49" t="s">
        <v>52</v>
      </c>
      <c r="D27" s="50"/>
      <c r="E27" s="49" t="s">
        <v>1176</v>
      </c>
      <c r="F27" s="51" t="s">
        <v>1356</v>
      </c>
      <c r="G27" s="49"/>
    </row>
    <row r="28" spans="1:7" ht="15" customHeight="1" x14ac:dyDescent="0.25">
      <c r="A28" s="48" t="s">
        <v>1125</v>
      </c>
      <c r="B28" s="49" t="s">
        <v>1379</v>
      </c>
      <c r="C28" s="49" t="s">
        <v>51</v>
      </c>
      <c r="D28" s="50"/>
      <c r="E28" s="49" t="s">
        <v>1176</v>
      </c>
      <c r="F28" s="51" t="s">
        <v>1356</v>
      </c>
      <c r="G28" s="49"/>
    </row>
    <row r="29" spans="1:7" ht="15" customHeight="1" x14ac:dyDescent="0.25">
      <c r="A29" s="48" t="s">
        <v>1277</v>
      </c>
      <c r="B29" s="49" t="s">
        <v>1380</v>
      </c>
      <c r="C29" s="49" t="s">
        <v>54</v>
      </c>
      <c r="D29" s="50"/>
      <c r="E29" s="49" t="s">
        <v>1176</v>
      </c>
      <c r="F29" s="51" t="s">
        <v>1356</v>
      </c>
      <c r="G29" s="49"/>
    </row>
    <row r="30" spans="1:7" ht="15" customHeight="1" x14ac:dyDescent="0.25">
      <c r="A30" s="48" t="s">
        <v>1180</v>
      </c>
      <c r="B30" s="49" t="s">
        <v>1059</v>
      </c>
      <c r="C30" s="49" t="s">
        <v>50</v>
      </c>
      <c r="D30" s="52">
        <v>1</v>
      </c>
      <c r="E30" s="49" t="s">
        <v>1175</v>
      </c>
      <c r="F30" s="51" t="s">
        <v>32</v>
      </c>
      <c r="G30" s="49" t="s">
        <v>43</v>
      </c>
    </row>
    <row r="31" spans="1:7" ht="15" customHeight="1" x14ac:dyDescent="0.25">
      <c r="A31" s="48" t="s">
        <v>1307</v>
      </c>
      <c r="B31" s="49" t="s">
        <v>1381</v>
      </c>
      <c r="C31" s="49" t="s">
        <v>52</v>
      </c>
      <c r="D31" s="50"/>
      <c r="E31" s="49" t="s">
        <v>1176</v>
      </c>
      <c r="F31" s="51" t="s">
        <v>1356</v>
      </c>
      <c r="G31" s="49"/>
    </row>
    <row r="32" spans="1:7" ht="15" customHeight="1" x14ac:dyDescent="0.25">
      <c r="A32" s="48" t="s">
        <v>1189</v>
      </c>
      <c r="B32" s="49" t="s">
        <v>1382</v>
      </c>
      <c r="C32" s="49" t="s">
        <v>53</v>
      </c>
      <c r="D32" s="50"/>
      <c r="E32" s="49" t="s">
        <v>1176</v>
      </c>
      <c r="F32" s="51" t="s">
        <v>1356</v>
      </c>
      <c r="G32" s="49"/>
    </row>
    <row r="33" spans="1:7" ht="15" customHeight="1" x14ac:dyDescent="0.25">
      <c r="A33" s="48" t="s">
        <v>1126</v>
      </c>
      <c r="B33" s="49" t="s">
        <v>1383</v>
      </c>
      <c r="C33" s="49" t="s">
        <v>51</v>
      </c>
      <c r="D33" s="50"/>
      <c r="E33" s="49" t="s">
        <v>1176</v>
      </c>
      <c r="F33" s="51" t="s">
        <v>1356</v>
      </c>
      <c r="G33" s="49"/>
    </row>
    <row r="34" spans="1:7" ht="15" customHeight="1" x14ac:dyDescent="0.25">
      <c r="A34" s="48" t="s">
        <v>1241</v>
      </c>
      <c r="B34" s="49" t="s">
        <v>1384</v>
      </c>
      <c r="C34" s="49" t="s">
        <v>54</v>
      </c>
      <c r="D34" s="50"/>
      <c r="E34" s="49" t="s">
        <v>1176</v>
      </c>
      <c r="F34" s="51" t="s">
        <v>1356</v>
      </c>
      <c r="G34" s="49"/>
    </row>
    <row r="35" spans="1:7" ht="15" customHeight="1" x14ac:dyDescent="0.25">
      <c r="A35" s="48" t="s">
        <v>1264</v>
      </c>
      <c r="B35" s="49" t="s">
        <v>1385</v>
      </c>
      <c r="C35" s="49" t="s">
        <v>54</v>
      </c>
      <c r="D35" s="50"/>
      <c r="E35" s="49" t="s">
        <v>1176</v>
      </c>
      <c r="F35" s="51" t="s">
        <v>1356</v>
      </c>
      <c r="G35" s="49"/>
    </row>
    <row r="36" spans="1:7" ht="15" customHeight="1" x14ac:dyDescent="0.25">
      <c r="A36" s="48" t="s">
        <v>1190</v>
      </c>
      <c r="B36" s="49" t="s">
        <v>1386</v>
      </c>
      <c r="C36" s="49" t="s">
        <v>53</v>
      </c>
      <c r="D36" s="50"/>
      <c r="E36" s="49" t="s">
        <v>1176</v>
      </c>
      <c r="F36" s="51" t="s">
        <v>1356</v>
      </c>
      <c r="G36" s="49"/>
    </row>
    <row r="37" spans="1:7" ht="15" customHeight="1" x14ac:dyDescent="0.25">
      <c r="A37" s="48" t="s">
        <v>1256</v>
      </c>
      <c r="B37" s="49" t="s">
        <v>34</v>
      </c>
      <c r="C37" s="49" t="s">
        <v>54</v>
      </c>
      <c r="D37" s="52">
        <v>43</v>
      </c>
      <c r="E37" s="49" t="s">
        <v>1175</v>
      </c>
      <c r="F37" s="51" t="s">
        <v>32</v>
      </c>
      <c r="G37" s="49" t="s">
        <v>1648</v>
      </c>
    </row>
    <row r="38" spans="1:7" ht="15" customHeight="1" x14ac:dyDescent="0.25">
      <c r="A38" s="48" t="s">
        <v>1291</v>
      </c>
      <c r="B38" s="49" t="s">
        <v>31</v>
      </c>
      <c r="C38" s="49" t="s">
        <v>52</v>
      </c>
      <c r="D38" s="52">
        <v>41</v>
      </c>
      <c r="E38" s="49" t="s">
        <v>1175</v>
      </c>
      <c r="F38" s="51" t="s">
        <v>22</v>
      </c>
      <c r="G38" s="49" t="s">
        <v>1648</v>
      </c>
    </row>
    <row r="39" spans="1:7" ht="15" customHeight="1" x14ac:dyDescent="0.25">
      <c r="A39" s="48" t="s">
        <v>1242</v>
      </c>
      <c r="B39" s="49" t="s">
        <v>1387</v>
      </c>
      <c r="C39" s="49" t="s">
        <v>54</v>
      </c>
      <c r="D39" s="50"/>
      <c r="E39" s="49" t="s">
        <v>1176</v>
      </c>
      <c r="F39" s="51" t="s">
        <v>1356</v>
      </c>
      <c r="G39" s="49"/>
    </row>
    <row r="40" spans="1:7" ht="15" customHeight="1" x14ac:dyDescent="0.25">
      <c r="A40" s="48" t="s">
        <v>1308</v>
      </c>
      <c r="B40" s="49" t="s">
        <v>1388</v>
      </c>
      <c r="C40" s="49" t="s">
        <v>52</v>
      </c>
      <c r="D40" s="50"/>
      <c r="E40" s="49" t="s">
        <v>1176</v>
      </c>
      <c r="F40" s="51" t="s">
        <v>1356</v>
      </c>
      <c r="G40" s="49"/>
    </row>
    <row r="41" spans="1:7" ht="15" customHeight="1" x14ac:dyDescent="0.25">
      <c r="A41" s="48" t="s">
        <v>1257</v>
      </c>
      <c r="B41" s="49" t="s">
        <v>1389</v>
      </c>
      <c r="C41" s="49" t="s">
        <v>54</v>
      </c>
      <c r="D41" s="50"/>
      <c r="E41" s="49" t="s">
        <v>1176</v>
      </c>
      <c r="F41" s="51" t="s">
        <v>1356</v>
      </c>
      <c r="G41" s="49"/>
    </row>
    <row r="42" spans="1:7" ht="15" customHeight="1" x14ac:dyDescent="0.25">
      <c r="A42" s="48" t="s">
        <v>1258</v>
      </c>
      <c r="B42" s="49" t="s">
        <v>1390</v>
      </c>
      <c r="C42" s="49" t="s">
        <v>54</v>
      </c>
      <c r="D42" s="50"/>
      <c r="E42" s="49" t="s">
        <v>1176</v>
      </c>
      <c r="F42" s="51" t="s">
        <v>1356</v>
      </c>
      <c r="G42" s="49"/>
    </row>
    <row r="43" spans="1:7" ht="15" customHeight="1" x14ac:dyDescent="0.25">
      <c r="A43" s="48" t="s">
        <v>1181</v>
      </c>
      <c r="B43" s="49" t="s">
        <v>1391</v>
      </c>
      <c r="C43" s="49" t="s">
        <v>50</v>
      </c>
      <c r="D43" s="50"/>
      <c r="E43" s="49" t="s">
        <v>1176</v>
      </c>
      <c r="F43" s="51" t="s">
        <v>1356</v>
      </c>
      <c r="G43" s="49"/>
    </row>
    <row r="44" spans="1:7" ht="15" customHeight="1" x14ac:dyDescent="0.25">
      <c r="A44" s="48" t="s">
        <v>1206</v>
      </c>
      <c r="B44" s="49" t="s">
        <v>1055</v>
      </c>
      <c r="C44" s="49" t="s">
        <v>53</v>
      </c>
      <c r="D44" s="50"/>
      <c r="E44" s="49" t="s">
        <v>1176</v>
      </c>
      <c r="F44" s="51" t="s">
        <v>1356</v>
      </c>
      <c r="G44" s="49"/>
    </row>
    <row r="45" spans="1:7" ht="15" customHeight="1" x14ac:dyDescent="0.25">
      <c r="A45" s="48" t="s">
        <v>1207</v>
      </c>
      <c r="B45" s="49" t="s">
        <v>1392</v>
      </c>
      <c r="C45" s="49" t="s">
        <v>53</v>
      </c>
      <c r="D45" s="50"/>
      <c r="E45" s="49" t="s">
        <v>1176</v>
      </c>
      <c r="F45" s="51" t="s">
        <v>1356</v>
      </c>
      <c r="G45" s="49"/>
    </row>
    <row r="46" spans="1:7" ht="15" customHeight="1" x14ac:dyDescent="0.25">
      <c r="A46" s="48" t="s">
        <v>1182</v>
      </c>
      <c r="B46" s="49" t="s">
        <v>1065</v>
      </c>
      <c r="C46" s="49" t="s">
        <v>50</v>
      </c>
      <c r="D46" s="50"/>
      <c r="E46" s="49" t="s">
        <v>1176</v>
      </c>
      <c r="F46" s="51" t="s">
        <v>1356</v>
      </c>
      <c r="G46" s="49"/>
    </row>
    <row r="47" spans="1:7" ht="15" customHeight="1" x14ac:dyDescent="0.25">
      <c r="A47" s="48" t="s">
        <v>1278</v>
      </c>
      <c r="B47" s="49" t="s">
        <v>1393</v>
      </c>
      <c r="C47" s="49" t="s">
        <v>54</v>
      </c>
      <c r="D47" s="50"/>
      <c r="E47" s="49" t="s">
        <v>1176</v>
      </c>
      <c r="F47" s="51" t="s">
        <v>1356</v>
      </c>
      <c r="G47" s="49"/>
    </row>
    <row r="48" spans="1:7" ht="15" customHeight="1" x14ac:dyDescent="0.25">
      <c r="A48" s="48" t="s">
        <v>1259</v>
      </c>
      <c r="B48" s="49" t="s">
        <v>1394</v>
      </c>
      <c r="C48" s="49" t="s">
        <v>54</v>
      </c>
      <c r="D48" s="50"/>
      <c r="E48" s="49" t="s">
        <v>1176</v>
      </c>
      <c r="F48" s="51" t="s">
        <v>1356</v>
      </c>
      <c r="G48" s="49"/>
    </row>
    <row r="49" spans="1:7" ht="15" customHeight="1" x14ac:dyDescent="0.25">
      <c r="A49" s="48" t="s">
        <v>1334</v>
      </c>
      <c r="B49" s="49" t="s">
        <v>1395</v>
      </c>
      <c r="C49" s="49" t="s">
        <v>1331</v>
      </c>
      <c r="D49" s="50"/>
      <c r="E49" s="49" t="s">
        <v>1176</v>
      </c>
      <c r="F49" s="51" t="s">
        <v>1356</v>
      </c>
      <c r="G49" s="49"/>
    </row>
    <row r="50" spans="1:7" ht="15" customHeight="1" x14ac:dyDescent="0.25">
      <c r="A50" s="48" t="s">
        <v>1294</v>
      </c>
      <c r="B50" s="49" t="s">
        <v>29</v>
      </c>
      <c r="C50" s="49" t="s">
        <v>52</v>
      </c>
      <c r="D50" s="52">
        <v>31</v>
      </c>
      <c r="E50" s="49" t="s">
        <v>1175</v>
      </c>
      <c r="F50" s="51" t="s">
        <v>25</v>
      </c>
      <c r="G50" s="49" t="s">
        <v>1648</v>
      </c>
    </row>
    <row r="51" spans="1:7" ht="15" customHeight="1" x14ac:dyDescent="0.25">
      <c r="A51" s="48" t="s">
        <v>1127</v>
      </c>
      <c r="B51" s="49" t="s">
        <v>24</v>
      </c>
      <c r="C51" s="49" t="s">
        <v>51</v>
      </c>
      <c r="D51" s="52">
        <v>12</v>
      </c>
      <c r="E51" s="49" t="s">
        <v>1175</v>
      </c>
      <c r="F51" s="51" t="s">
        <v>22</v>
      </c>
      <c r="G51" s="49" t="s">
        <v>1627</v>
      </c>
    </row>
    <row r="52" spans="1:7" ht="15" customHeight="1" x14ac:dyDescent="0.25">
      <c r="A52" s="48" t="s">
        <v>1309</v>
      </c>
      <c r="B52" s="49" t="s">
        <v>1396</v>
      </c>
      <c r="C52" s="49" t="s">
        <v>52</v>
      </c>
      <c r="D52" s="50"/>
      <c r="E52" s="49" t="s">
        <v>1176</v>
      </c>
      <c r="F52" s="51" t="s">
        <v>1356</v>
      </c>
      <c r="G52" s="49"/>
    </row>
    <row r="53" spans="1:7" ht="15" customHeight="1" x14ac:dyDescent="0.25">
      <c r="A53" s="48" t="s">
        <v>1310</v>
      </c>
      <c r="B53" s="49" t="s">
        <v>1397</v>
      </c>
      <c r="C53" s="49" t="s">
        <v>52</v>
      </c>
      <c r="D53" s="50"/>
      <c r="E53" s="49" t="s">
        <v>1176</v>
      </c>
      <c r="F53" s="51" t="s">
        <v>1356</v>
      </c>
      <c r="G53" s="49"/>
    </row>
    <row r="54" spans="1:7" ht="15" customHeight="1" x14ac:dyDescent="0.25">
      <c r="A54" s="48" t="s">
        <v>1128</v>
      </c>
      <c r="B54" s="49" t="s">
        <v>1398</v>
      </c>
      <c r="C54" s="49" t="s">
        <v>51</v>
      </c>
      <c r="D54" s="50"/>
      <c r="E54" s="49" t="s">
        <v>1176</v>
      </c>
      <c r="F54" s="51" t="s">
        <v>1356</v>
      </c>
      <c r="G54" s="49"/>
    </row>
    <row r="55" spans="1:7" ht="15" customHeight="1" x14ac:dyDescent="0.25">
      <c r="A55" s="48" t="s">
        <v>1129</v>
      </c>
      <c r="B55" s="49" t="s">
        <v>1399</v>
      </c>
      <c r="C55" s="49" t="s">
        <v>51</v>
      </c>
      <c r="D55" s="50"/>
      <c r="E55" s="49" t="s">
        <v>1176</v>
      </c>
      <c r="F55" s="51" t="s">
        <v>1356</v>
      </c>
      <c r="G55" s="49"/>
    </row>
    <row r="56" spans="1:7" ht="15" customHeight="1" x14ac:dyDescent="0.25">
      <c r="A56" s="48" t="s">
        <v>1130</v>
      </c>
      <c r="B56" s="49" t="s">
        <v>16</v>
      </c>
      <c r="C56" s="49" t="s">
        <v>51</v>
      </c>
      <c r="D56" s="52">
        <v>10</v>
      </c>
      <c r="E56" s="49" t="s">
        <v>1175</v>
      </c>
      <c r="F56" s="51" t="s">
        <v>15</v>
      </c>
      <c r="G56" s="49" t="s">
        <v>1648</v>
      </c>
    </row>
    <row r="57" spans="1:7" ht="15" customHeight="1" x14ac:dyDescent="0.25">
      <c r="A57" s="48" t="s">
        <v>1265</v>
      </c>
      <c r="B57" s="49" t="s">
        <v>1400</v>
      </c>
      <c r="C57" s="49" t="s">
        <v>54</v>
      </c>
      <c r="D57" s="50"/>
      <c r="E57" s="49" t="s">
        <v>1176</v>
      </c>
      <c r="F57" s="51" t="s">
        <v>1356</v>
      </c>
      <c r="G57" s="49"/>
    </row>
    <row r="58" spans="1:7" ht="15" customHeight="1" x14ac:dyDescent="0.25">
      <c r="A58" s="48" t="s">
        <v>1311</v>
      </c>
      <c r="B58" s="49" t="s">
        <v>1401</v>
      </c>
      <c r="C58" s="49" t="s">
        <v>52</v>
      </c>
      <c r="D58" s="50"/>
      <c r="E58" s="49" t="s">
        <v>1176</v>
      </c>
      <c r="F58" s="51" t="s">
        <v>1356</v>
      </c>
      <c r="G58" s="49"/>
    </row>
    <row r="59" spans="1:7" ht="15" customHeight="1" x14ac:dyDescent="0.25">
      <c r="A59" s="48" t="s">
        <v>1312</v>
      </c>
      <c r="B59" s="49" t="s">
        <v>1402</v>
      </c>
      <c r="C59" s="49" t="s">
        <v>52</v>
      </c>
      <c r="D59" s="50"/>
      <c r="E59" s="49" t="s">
        <v>1176</v>
      </c>
      <c r="F59" s="51" t="s">
        <v>1356</v>
      </c>
      <c r="G59" s="49"/>
    </row>
    <row r="60" spans="1:7" ht="15" customHeight="1" x14ac:dyDescent="0.25">
      <c r="A60" s="48" t="s">
        <v>1208</v>
      </c>
      <c r="B60" s="49" t="s">
        <v>1403</v>
      </c>
      <c r="C60" s="49" t="s">
        <v>53</v>
      </c>
      <c r="D60" s="50"/>
      <c r="E60" s="49" t="s">
        <v>1176</v>
      </c>
      <c r="F60" s="51" t="s">
        <v>1356</v>
      </c>
      <c r="G60" s="49"/>
    </row>
    <row r="61" spans="1:7" ht="15" customHeight="1" x14ac:dyDescent="0.25">
      <c r="A61" s="48" t="s">
        <v>1260</v>
      </c>
      <c r="B61" s="49" t="s">
        <v>1404</v>
      </c>
      <c r="C61" s="49" t="s">
        <v>54</v>
      </c>
      <c r="D61" s="50"/>
      <c r="E61" s="49" t="s">
        <v>1176</v>
      </c>
      <c r="F61" s="51" t="s">
        <v>1356</v>
      </c>
      <c r="G61" s="49"/>
    </row>
    <row r="62" spans="1:7" ht="15" customHeight="1" x14ac:dyDescent="0.25">
      <c r="A62" s="48" t="s">
        <v>1183</v>
      </c>
      <c r="B62" s="49" t="s">
        <v>9</v>
      </c>
      <c r="C62" s="49" t="s">
        <v>50</v>
      </c>
      <c r="D62" s="52">
        <v>44</v>
      </c>
      <c r="E62" s="49" t="s">
        <v>1175</v>
      </c>
      <c r="F62" s="51" t="s">
        <v>2</v>
      </c>
      <c r="G62" s="49" t="s">
        <v>1648</v>
      </c>
    </row>
    <row r="63" spans="1:7" ht="15" customHeight="1" x14ac:dyDescent="0.25">
      <c r="A63" s="48" t="s">
        <v>1236</v>
      </c>
      <c r="B63" s="49" t="s">
        <v>1405</v>
      </c>
      <c r="C63" s="49" t="s">
        <v>54</v>
      </c>
      <c r="D63" s="50"/>
      <c r="E63" s="49" t="s">
        <v>1176</v>
      </c>
      <c r="F63" s="51" t="s">
        <v>1356</v>
      </c>
      <c r="G63" s="49"/>
    </row>
    <row r="64" spans="1:7" ht="15" customHeight="1" x14ac:dyDescent="0.25">
      <c r="A64" s="48" t="s">
        <v>1295</v>
      </c>
      <c r="B64" s="49" t="s">
        <v>1406</v>
      </c>
      <c r="C64" s="49" t="s">
        <v>52</v>
      </c>
      <c r="D64" s="50"/>
      <c r="E64" s="49" t="s">
        <v>1176</v>
      </c>
      <c r="F64" s="51" t="s">
        <v>1356</v>
      </c>
      <c r="G64" s="49"/>
    </row>
    <row r="65" spans="1:7" ht="15" customHeight="1" x14ac:dyDescent="0.25">
      <c r="A65" s="48" t="s">
        <v>1131</v>
      </c>
      <c r="B65" s="49" t="s">
        <v>6</v>
      </c>
      <c r="C65" s="49" t="s">
        <v>51</v>
      </c>
      <c r="D65" s="52">
        <v>5</v>
      </c>
      <c r="E65" s="49" t="s">
        <v>1175</v>
      </c>
      <c r="F65" s="51" t="s">
        <v>5</v>
      </c>
      <c r="G65" s="49" t="s">
        <v>43</v>
      </c>
    </row>
    <row r="66" spans="1:7" ht="15" customHeight="1" x14ac:dyDescent="0.25">
      <c r="A66" s="48" t="s">
        <v>1261</v>
      </c>
      <c r="B66" s="49" t="s">
        <v>1407</v>
      </c>
      <c r="C66" s="49" t="s">
        <v>54</v>
      </c>
      <c r="D66" s="50"/>
      <c r="E66" s="49" t="s">
        <v>1176</v>
      </c>
      <c r="F66" s="51" t="s">
        <v>1356</v>
      </c>
      <c r="G66" s="49"/>
    </row>
    <row r="67" spans="1:7" ht="15" customHeight="1" x14ac:dyDescent="0.25">
      <c r="A67" s="48" t="s">
        <v>1266</v>
      </c>
      <c r="B67" s="49" t="s">
        <v>1408</v>
      </c>
      <c r="C67" s="49" t="s">
        <v>54</v>
      </c>
      <c r="D67" s="50"/>
      <c r="E67" s="49" t="s">
        <v>1176</v>
      </c>
      <c r="F67" s="51" t="s">
        <v>1356</v>
      </c>
      <c r="G67" s="49"/>
    </row>
    <row r="68" spans="1:7" ht="15" customHeight="1" x14ac:dyDescent="0.25">
      <c r="A68" s="48" t="s">
        <v>1132</v>
      </c>
      <c r="B68" s="49" t="s">
        <v>1409</v>
      </c>
      <c r="C68" s="49" t="s">
        <v>51</v>
      </c>
      <c r="D68" s="50"/>
      <c r="E68" s="49" t="s">
        <v>1176</v>
      </c>
      <c r="F68" s="51" t="s">
        <v>1356</v>
      </c>
      <c r="G68" s="49"/>
    </row>
    <row r="69" spans="1:7" ht="15" customHeight="1" x14ac:dyDescent="0.25">
      <c r="A69" s="48" t="s">
        <v>1279</v>
      </c>
      <c r="B69" s="49" t="s">
        <v>1410</v>
      </c>
      <c r="C69" s="49" t="s">
        <v>54</v>
      </c>
      <c r="D69" s="50"/>
      <c r="E69" s="49" t="s">
        <v>1176</v>
      </c>
      <c r="F69" s="51" t="s">
        <v>1356</v>
      </c>
      <c r="G69" s="49"/>
    </row>
    <row r="70" spans="1:7" ht="15" customHeight="1" x14ac:dyDescent="0.25">
      <c r="A70" s="48" t="s">
        <v>1267</v>
      </c>
      <c r="B70" s="49" t="s">
        <v>1411</v>
      </c>
      <c r="C70" s="49" t="s">
        <v>54</v>
      </c>
      <c r="D70" s="50"/>
      <c r="E70" s="49" t="s">
        <v>1176</v>
      </c>
      <c r="F70" s="51" t="s">
        <v>1356</v>
      </c>
      <c r="G70" s="49"/>
    </row>
    <row r="71" spans="1:7" ht="15" customHeight="1" x14ac:dyDescent="0.25">
      <c r="A71" s="48" t="s">
        <v>1133</v>
      </c>
      <c r="B71" s="49" t="s">
        <v>1412</v>
      </c>
      <c r="C71" s="49" t="s">
        <v>51</v>
      </c>
      <c r="D71" s="50"/>
      <c r="E71" s="49" t="s">
        <v>1176</v>
      </c>
      <c r="F71" s="51" t="s">
        <v>1356</v>
      </c>
      <c r="G71" s="49"/>
    </row>
    <row r="72" spans="1:7" ht="15" customHeight="1" x14ac:dyDescent="0.25">
      <c r="A72" s="48" t="s">
        <v>1335</v>
      </c>
      <c r="B72" s="49" t="s">
        <v>1413</v>
      </c>
      <c r="C72" s="49" t="s">
        <v>1331</v>
      </c>
      <c r="D72" s="50"/>
      <c r="E72" s="49" t="s">
        <v>1176</v>
      </c>
      <c r="F72" s="51" t="s">
        <v>1356</v>
      </c>
      <c r="G72" s="49"/>
    </row>
    <row r="73" spans="1:7" ht="15" customHeight="1" x14ac:dyDescent="0.25">
      <c r="A73" s="48" t="s">
        <v>1134</v>
      </c>
      <c r="B73" s="49" t="s">
        <v>1414</v>
      </c>
      <c r="C73" s="49" t="s">
        <v>51</v>
      </c>
      <c r="D73" s="50"/>
      <c r="E73" s="49" t="s">
        <v>1176</v>
      </c>
      <c r="F73" s="51" t="s">
        <v>1356</v>
      </c>
      <c r="G73" s="49"/>
    </row>
    <row r="74" spans="1:7" ht="15" customHeight="1" x14ac:dyDescent="0.25">
      <c r="A74" s="48" t="s">
        <v>1135</v>
      </c>
      <c r="B74" s="49" t="s">
        <v>20</v>
      </c>
      <c r="C74" s="49" t="s">
        <v>51</v>
      </c>
      <c r="D74" s="52">
        <v>4</v>
      </c>
      <c r="E74" s="49" t="s">
        <v>1175</v>
      </c>
      <c r="F74" s="51" t="s">
        <v>15</v>
      </c>
      <c r="G74" s="49" t="s">
        <v>1617</v>
      </c>
    </row>
    <row r="75" spans="1:7" ht="15" customHeight="1" x14ac:dyDescent="0.25">
      <c r="A75" s="48" t="s">
        <v>1313</v>
      </c>
      <c r="B75" s="49" t="s">
        <v>1415</v>
      </c>
      <c r="C75" s="49" t="s">
        <v>52</v>
      </c>
      <c r="D75" s="50"/>
      <c r="E75" s="49" t="s">
        <v>1176</v>
      </c>
      <c r="F75" s="51" t="s">
        <v>1356</v>
      </c>
      <c r="G75" s="49"/>
    </row>
    <row r="76" spans="1:7" ht="15" customHeight="1" x14ac:dyDescent="0.25">
      <c r="A76" s="48" t="s">
        <v>1262</v>
      </c>
      <c r="B76" s="49" t="s">
        <v>1416</v>
      </c>
      <c r="C76" s="49" t="s">
        <v>54</v>
      </c>
      <c r="D76" s="50"/>
      <c r="E76" s="49" t="s">
        <v>1176</v>
      </c>
      <c r="F76" s="51" t="s">
        <v>1356</v>
      </c>
      <c r="G76" s="49"/>
    </row>
    <row r="77" spans="1:7" ht="15" customHeight="1" x14ac:dyDescent="0.25">
      <c r="A77" s="48" t="s">
        <v>1243</v>
      </c>
      <c r="B77" s="49" t="s">
        <v>1417</v>
      </c>
      <c r="C77" s="49" t="s">
        <v>54</v>
      </c>
      <c r="D77" s="50"/>
      <c r="E77" s="49" t="s">
        <v>1176</v>
      </c>
      <c r="F77" s="51" t="s">
        <v>1356</v>
      </c>
      <c r="G77" s="49"/>
    </row>
    <row r="78" spans="1:7" ht="15" customHeight="1" x14ac:dyDescent="0.25">
      <c r="A78" s="48" t="s">
        <v>1136</v>
      </c>
      <c r="B78" s="49" t="s">
        <v>1418</v>
      </c>
      <c r="C78" s="49" t="s">
        <v>51</v>
      </c>
      <c r="D78" s="50"/>
      <c r="E78" s="49" t="s">
        <v>1176</v>
      </c>
      <c r="F78" s="51" t="s">
        <v>1356</v>
      </c>
      <c r="G78" s="49"/>
    </row>
    <row r="79" spans="1:7" ht="15" customHeight="1" x14ac:dyDescent="0.25">
      <c r="A79" s="48" t="s">
        <v>1137</v>
      </c>
      <c r="B79" s="49" t="s">
        <v>26</v>
      </c>
      <c r="C79" s="49" t="s">
        <v>51</v>
      </c>
      <c r="D79" s="52">
        <v>11</v>
      </c>
      <c r="E79" s="49" t="s">
        <v>1175</v>
      </c>
      <c r="F79" s="51" t="s">
        <v>25</v>
      </c>
      <c r="G79" s="49" t="s">
        <v>1644</v>
      </c>
    </row>
    <row r="80" spans="1:7" ht="15" customHeight="1" x14ac:dyDescent="0.25">
      <c r="A80" s="48" t="s">
        <v>1244</v>
      </c>
      <c r="B80" s="49" t="s">
        <v>39</v>
      </c>
      <c r="C80" s="49" t="s">
        <v>54</v>
      </c>
      <c r="D80" s="52">
        <v>61</v>
      </c>
      <c r="E80" s="49" t="s">
        <v>1175</v>
      </c>
      <c r="F80" s="51" t="s">
        <v>35</v>
      </c>
      <c r="G80" s="49" t="s">
        <v>1644</v>
      </c>
    </row>
    <row r="81" spans="1:7" ht="15" customHeight="1" x14ac:dyDescent="0.25">
      <c r="A81" s="48" t="s">
        <v>1138</v>
      </c>
      <c r="B81" s="49" t="s">
        <v>1419</v>
      </c>
      <c r="C81" s="49" t="s">
        <v>51</v>
      </c>
      <c r="D81" s="50"/>
      <c r="E81" s="49" t="s">
        <v>1176</v>
      </c>
      <c r="F81" s="51" t="s">
        <v>1356</v>
      </c>
      <c r="G81" s="49"/>
    </row>
    <row r="82" spans="1:7" ht="15" customHeight="1" x14ac:dyDescent="0.25">
      <c r="A82" s="48" t="s">
        <v>1139</v>
      </c>
      <c r="B82" s="49" t="s">
        <v>1029</v>
      </c>
      <c r="C82" s="49" t="s">
        <v>51</v>
      </c>
      <c r="D82" s="50"/>
      <c r="E82" s="49" t="s">
        <v>1176</v>
      </c>
      <c r="F82" s="51" t="s">
        <v>1356</v>
      </c>
      <c r="G82" s="49"/>
    </row>
    <row r="83" spans="1:7" ht="15" customHeight="1" x14ac:dyDescent="0.25">
      <c r="A83" s="48" t="s">
        <v>1314</v>
      </c>
      <c r="B83" s="49" t="s">
        <v>1420</v>
      </c>
      <c r="C83" s="49" t="s">
        <v>52</v>
      </c>
      <c r="D83" s="50"/>
      <c r="E83" s="49" t="s">
        <v>1176</v>
      </c>
      <c r="F83" s="51" t="s">
        <v>1356</v>
      </c>
      <c r="G83" s="49"/>
    </row>
    <row r="84" spans="1:7" ht="15" customHeight="1" x14ac:dyDescent="0.25">
      <c r="A84" s="48" t="s">
        <v>1315</v>
      </c>
      <c r="B84" s="49" t="s">
        <v>1421</v>
      </c>
      <c r="C84" s="49" t="s">
        <v>52</v>
      </c>
      <c r="D84" s="50"/>
      <c r="E84" s="49" t="s">
        <v>1176</v>
      </c>
      <c r="F84" s="51" t="s">
        <v>1356</v>
      </c>
      <c r="G84" s="49"/>
    </row>
    <row r="85" spans="1:7" ht="15" customHeight="1" x14ac:dyDescent="0.25">
      <c r="A85" s="48" t="s">
        <v>1209</v>
      </c>
      <c r="B85" s="49" t="s">
        <v>1422</v>
      </c>
      <c r="C85" s="49" t="s">
        <v>53</v>
      </c>
      <c r="D85" s="50"/>
      <c r="E85" s="49" t="s">
        <v>1176</v>
      </c>
      <c r="F85" s="51" t="s">
        <v>1356</v>
      </c>
      <c r="G85" s="49"/>
    </row>
    <row r="86" spans="1:7" ht="15" customHeight="1" x14ac:dyDescent="0.25">
      <c r="A86" s="48" t="s">
        <v>1296</v>
      </c>
      <c r="B86" s="49" t="s">
        <v>1423</v>
      </c>
      <c r="C86" s="49" t="s">
        <v>52</v>
      </c>
      <c r="D86" s="50"/>
      <c r="E86" s="49" t="s">
        <v>1176</v>
      </c>
      <c r="F86" s="51" t="s">
        <v>1356</v>
      </c>
      <c r="G86" s="49"/>
    </row>
    <row r="87" spans="1:7" ht="15" customHeight="1" x14ac:dyDescent="0.25">
      <c r="A87" s="48" t="s">
        <v>1245</v>
      </c>
      <c r="B87" s="49" t="s">
        <v>1424</v>
      </c>
      <c r="C87" s="49" t="s">
        <v>54</v>
      </c>
      <c r="D87" s="50"/>
      <c r="E87" s="49" t="s">
        <v>1176</v>
      </c>
      <c r="F87" s="51" t="s">
        <v>1356</v>
      </c>
      <c r="G87" s="49"/>
    </row>
    <row r="88" spans="1:7" ht="15" customHeight="1" x14ac:dyDescent="0.25">
      <c r="A88" s="48" t="s">
        <v>1246</v>
      </c>
      <c r="B88" s="49" t="s">
        <v>1425</v>
      </c>
      <c r="C88" s="49" t="s">
        <v>54</v>
      </c>
      <c r="D88" s="50"/>
      <c r="E88" s="49" t="s">
        <v>1176</v>
      </c>
      <c r="F88" s="51" t="s">
        <v>1356</v>
      </c>
      <c r="G88" s="49"/>
    </row>
    <row r="89" spans="1:7" ht="15" customHeight="1" x14ac:dyDescent="0.25">
      <c r="A89" s="48" t="s">
        <v>1316</v>
      </c>
      <c r="B89" s="49" t="s">
        <v>1426</v>
      </c>
      <c r="C89" s="49" t="s">
        <v>52</v>
      </c>
      <c r="D89" s="50"/>
      <c r="E89" s="49" t="s">
        <v>1176</v>
      </c>
      <c r="F89" s="51" t="s">
        <v>1356</v>
      </c>
      <c r="G89" s="49"/>
    </row>
    <row r="90" spans="1:7" ht="15" customHeight="1" x14ac:dyDescent="0.25">
      <c r="A90" s="48" t="s">
        <v>1317</v>
      </c>
      <c r="B90" s="49" t="s">
        <v>1427</v>
      </c>
      <c r="C90" s="49" t="s">
        <v>52</v>
      </c>
      <c r="D90" s="50"/>
      <c r="E90" s="49" t="s">
        <v>1176</v>
      </c>
      <c r="F90" s="51" t="s">
        <v>1356</v>
      </c>
      <c r="G90" s="49"/>
    </row>
    <row r="91" spans="1:7" ht="15" customHeight="1" x14ac:dyDescent="0.25">
      <c r="A91" s="48" t="s">
        <v>1297</v>
      </c>
      <c r="B91" s="49" t="s">
        <v>1428</v>
      </c>
      <c r="C91" s="49" t="s">
        <v>52</v>
      </c>
      <c r="D91" s="50"/>
      <c r="E91" s="49" t="s">
        <v>1176</v>
      </c>
      <c r="F91" s="51" t="s">
        <v>1356</v>
      </c>
      <c r="G91" s="49"/>
    </row>
    <row r="92" spans="1:7" ht="15" customHeight="1" x14ac:dyDescent="0.25">
      <c r="A92" s="48" t="s">
        <v>1210</v>
      </c>
      <c r="B92" s="49" t="s">
        <v>1429</v>
      </c>
      <c r="C92" s="49" t="s">
        <v>53</v>
      </c>
      <c r="D92" s="50"/>
      <c r="E92" s="49" t="s">
        <v>1176</v>
      </c>
      <c r="F92" s="51" t="s">
        <v>1356</v>
      </c>
      <c r="G92" s="49"/>
    </row>
    <row r="93" spans="1:7" ht="15" customHeight="1" x14ac:dyDescent="0.25">
      <c r="A93" s="48" t="s">
        <v>1140</v>
      </c>
      <c r="B93" s="49" t="s">
        <v>1430</v>
      </c>
      <c r="C93" s="49" t="s">
        <v>51</v>
      </c>
      <c r="D93" s="50"/>
      <c r="E93" s="49" t="s">
        <v>1176</v>
      </c>
      <c r="F93" s="51" t="s">
        <v>1356</v>
      </c>
      <c r="G93" s="49"/>
    </row>
    <row r="94" spans="1:7" ht="15" customHeight="1" x14ac:dyDescent="0.25">
      <c r="A94" s="48" t="s">
        <v>1141</v>
      </c>
      <c r="B94" s="49" t="s">
        <v>1431</v>
      </c>
      <c r="C94" s="49" t="s">
        <v>51</v>
      </c>
      <c r="D94" s="50"/>
      <c r="E94" s="49" t="s">
        <v>1176</v>
      </c>
      <c r="F94" s="51" t="s">
        <v>1356</v>
      </c>
      <c r="G94" s="49"/>
    </row>
    <row r="95" spans="1:7" ht="15" customHeight="1" x14ac:dyDescent="0.25">
      <c r="A95" s="48" t="s">
        <v>1218</v>
      </c>
      <c r="B95" s="49" t="s">
        <v>1432</v>
      </c>
      <c r="C95" s="49" t="s">
        <v>53</v>
      </c>
      <c r="D95" s="50"/>
      <c r="E95" s="49" t="s">
        <v>1176</v>
      </c>
      <c r="F95" s="51" t="s">
        <v>1356</v>
      </c>
      <c r="G95" s="49"/>
    </row>
    <row r="96" spans="1:7" ht="15" customHeight="1" x14ac:dyDescent="0.25">
      <c r="A96" s="48" t="s">
        <v>1192</v>
      </c>
      <c r="B96" s="49" t="s">
        <v>1433</v>
      </c>
      <c r="C96" s="49" t="s">
        <v>53</v>
      </c>
      <c r="D96" s="50"/>
      <c r="E96" s="49" t="s">
        <v>1176</v>
      </c>
      <c r="F96" s="51" t="s">
        <v>1356</v>
      </c>
      <c r="G96" s="49"/>
    </row>
    <row r="97" spans="1:7" ht="15" customHeight="1" x14ac:dyDescent="0.25">
      <c r="A97" s="48" t="s">
        <v>1201</v>
      </c>
      <c r="B97" s="49" t="s">
        <v>7</v>
      </c>
      <c r="C97" s="49" t="s">
        <v>53</v>
      </c>
      <c r="D97" s="52">
        <v>20</v>
      </c>
      <c r="E97" s="49" t="s">
        <v>1175</v>
      </c>
      <c r="F97" s="51" t="s">
        <v>5</v>
      </c>
      <c r="G97" s="49" t="s">
        <v>1644</v>
      </c>
    </row>
    <row r="98" spans="1:7" ht="15" customHeight="1" x14ac:dyDescent="0.25">
      <c r="A98" s="48" t="s">
        <v>1224</v>
      </c>
      <c r="B98" s="49" t="s">
        <v>1434</v>
      </c>
      <c r="C98" s="49" t="s">
        <v>53</v>
      </c>
      <c r="D98" s="50"/>
      <c r="E98" s="49" t="s">
        <v>1176</v>
      </c>
      <c r="F98" s="51" t="s">
        <v>1356</v>
      </c>
      <c r="G98" s="49"/>
    </row>
    <row r="99" spans="1:7" ht="15" customHeight="1" x14ac:dyDescent="0.25">
      <c r="A99" s="48" t="s">
        <v>1142</v>
      </c>
      <c r="B99" s="49" t="s">
        <v>1435</v>
      </c>
      <c r="C99" s="49" t="s">
        <v>51</v>
      </c>
      <c r="D99" s="50"/>
      <c r="E99" s="49" t="s">
        <v>1176</v>
      </c>
      <c r="F99" s="51" t="s">
        <v>1356</v>
      </c>
      <c r="G99" s="49"/>
    </row>
    <row r="100" spans="1:7" ht="15" customHeight="1" x14ac:dyDescent="0.25">
      <c r="A100" s="48" t="s">
        <v>1143</v>
      </c>
      <c r="B100" s="49" t="s">
        <v>1017</v>
      </c>
      <c r="C100" s="49" t="s">
        <v>51</v>
      </c>
      <c r="D100" s="50"/>
      <c r="E100" s="49" t="s">
        <v>1176</v>
      </c>
      <c r="F100" s="51" t="s">
        <v>1356</v>
      </c>
      <c r="G100" s="49"/>
    </row>
    <row r="101" spans="1:7" ht="15" customHeight="1" x14ac:dyDescent="0.25">
      <c r="A101" s="48" t="s">
        <v>1247</v>
      </c>
      <c r="B101" s="49" t="s">
        <v>1436</v>
      </c>
      <c r="C101" s="49" t="s">
        <v>54</v>
      </c>
      <c r="D101" s="50"/>
      <c r="E101" s="49" t="s">
        <v>1176</v>
      </c>
      <c r="F101" s="51" t="s">
        <v>1356</v>
      </c>
      <c r="G101" s="49"/>
    </row>
    <row r="102" spans="1:7" ht="15" customHeight="1" x14ac:dyDescent="0.25">
      <c r="A102" s="48" t="s">
        <v>1318</v>
      </c>
      <c r="B102" s="49" t="s">
        <v>1437</v>
      </c>
      <c r="C102" s="49" t="s">
        <v>52</v>
      </c>
      <c r="D102" s="50"/>
      <c r="E102" s="49" t="s">
        <v>1176</v>
      </c>
      <c r="F102" s="51" t="s">
        <v>1356</v>
      </c>
      <c r="G102" s="49"/>
    </row>
    <row r="103" spans="1:7" ht="15" customHeight="1" x14ac:dyDescent="0.25">
      <c r="A103" s="48" t="s">
        <v>1211</v>
      </c>
      <c r="B103" s="49" t="s">
        <v>27</v>
      </c>
      <c r="C103" s="49" t="s">
        <v>53</v>
      </c>
      <c r="D103" s="52">
        <v>24</v>
      </c>
      <c r="E103" s="49" t="s">
        <v>1175</v>
      </c>
      <c r="F103" s="51" t="s">
        <v>25</v>
      </c>
      <c r="G103" s="49" t="s">
        <v>1647</v>
      </c>
    </row>
    <row r="104" spans="1:7" ht="15" customHeight="1" x14ac:dyDescent="0.25">
      <c r="A104" s="48" t="s">
        <v>1225</v>
      </c>
      <c r="B104" s="49" t="s">
        <v>1438</v>
      </c>
      <c r="C104" s="49" t="s">
        <v>53</v>
      </c>
      <c r="D104" s="50"/>
      <c r="E104" s="49" t="s">
        <v>1176</v>
      </c>
      <c r="F104" s="51" t="s">
        <v>1356</v>
      </c>
      <c r="G104" s="49"/>
    </row>
    <row r="105" spans="1:7" ht="15" customHeight="1" x14ac:dyDescent="0.25">
      <c r="A105" s="48" t="s">
        <v>1144</v>
      </c>
      <c r="B105" s="49" t="s">
        <v>1439</v>
      </c>
      <c r="C105" s="49" t="s">
        <v>51</v>
      </c>
      <c r="D105" s="50"/>
      <c r="E105" s="49" t="s">
        <v>1176</v>
      </c>
      <c r="F105" s="51" t="s">
        <v>1356</v>
      </c>
      <c r="G105" s="49"/>
    </row>
    <row r="106" spans="1:7" ht="15" customHeight="1" x14ac:dyDescent="0.25">
      <c r="A106" s="48" t="s">
        <v>1268</v>
      </c>
      <c r="B106" s="49" t="s">
        <v>1440</v>
      </c>
      <c r="C106" s="49" t="s">
        <v>54</v>
      </c>
      <c r="D106" s="50"/>
      <c r="E106" s="49" t="s">
        <v>1176</v>
      </c>
      <c r="F106" s="51" t="s">
        <v>1356</v>
      </c>
      <c r="G106" s="49"/>
    </row>
    <row r="107" spans="1:7" ht="15" customHeight="1" x14ac:dyDescent="0.25">
      <c r="A107" s="48" t="s">
        <v>1336</v>
      </c>
      <c r="B107" s="49" t="s">
        <v>1441</v>
      </c>
      <c r="C107" s="49" t="s">
        <v>1331</v>
      </c>
      <c r="D107" s="50"/>
      <c r="E107" s="49" t="s">
        <v>1176</v>
      </c>
      <c r="F107" s="51" t="s">
        <v>1356</v>
      </c>
      <c r="G107" s="49"/>
    </row>
    <row r="108" spans="1:7" ht="15" customHeight="1" x14ac:dyDescent="0.25">
      <c r="A108" s="48" t="s">
        <v>1212</v>
      </c>
      <c r="B108" s="49" t="s">
        <v>37</v>
      </c>
      <c r="C108" s="49" t="s">
        <v>53</v>
      </c>
      <c r="D108" s="52">
        <v>28</v>
      </c>
      <c r="E108" s="49" t="s">
        <v>1175</v>
      </c>
      <c r="F108" s="51" t="s">
        <v>35</v>
      </c>
      <c r="G108" s="49" t="s">
        <v>1647</v>
      </c>
    </row>
    <row r="109" spans="1:7" ht="15" customHeight="1" x14ac:dyDescent="0.25">
      <c r="A109" s="48" t="s">
        <v>1145</v>
      </c>
      <c r="B109" s="49" t="s">
        <v>1442</v>
      </c>
      <c r="C109" s="49" t="s">
        <v>51</v>
      </c>
      <c r="D109" s="50"/>
      <c r="E109" s="49" t="s">
        <v>1176</v>
      </c>
      <c r="F109" s="51" t="s">
        <v>1356</v>
      </c>
      <c r="G109" s="49"/>
    </row>
    <row r="110" spans="1:7" ht="15" customHeight="1" x14ac:dyDescent="0.25">
      <c r="A110" s="48" t="s">
        <v>1226</v>
      </c>
      <c r="B110" s="49" t="s">
        <v>1063</v>
      </c>
      <c r="C110" s="49" t="s">
        <v>53</v>
      </c>
      <c r="D110" s="50"/>
      <c r="E110" s="49" t="s">
        <v>1176</v>
      </c>
      <c r="F110" s="51" t="s">
        <v>1356</v>
      </c>
      <c r="G110" s="49"/>
    </row>
    <row r="111" spans="1:7" ht="15" customHeight="1" x14ac:dyDescent="0.25">
      <c r="A111" s="48" t="s">
        <v>1202</v>
      </c>
      <c r="B111" s="49" t="s">
        <v>1443</v>
      </c>
      <c r="C111" s="49" t="s">
        <v>53</v>
      </c>
      <c r="D111" s="50"/>
      <c r="E111" s="49" t="s">
        <v>1176</v>
      </c>
      <c r="F111" s="51" t="s">
        <v>1356</v>
      </c>
      <c r="G111" s="49"/>
    </row>
    <row r="112" spans="1:7" ht="15" customHeight="1" x14ac:dyDescent="0.25">
      <c r="A112" s="48" t="s">
        <v>1191</v>
      </c>
      <c r="B112" s="49" t="s">
        <v>1444</v>
      </c>
      <c r="C112" s="49" t="s">
        <v>53</v>
      </c>
      <c r="D112" s="50"/>
      <c r="E112" s="49" t="s">
        <v>1176</v>
      </c>
      <c r="F112" s="51" t="s">
        <v>1356</v>
      </c>
      <c r="G112" s="49"/>
    </row>
    <row r="113" spans="1:7" ht="15" customHeight="1" x14ac:dyDescent="0.25">
      <c r="A113" s="48" t="s">
        <v>1146</v>
      </c>
      <c r="B113" s="49" t="s">
        <v>1445</v>
      </c>
      <c r="C113" s="49" t="s">
        <v>51</v>
      </c>
      <c r="D113" s="50"/>
      <c r="E113" s="49" t="s">
        <v>1176</v>
      </c>
      <c r="F113" s="51" t="s">
        <v>1356</v>
      </c>
      <c r="G113" s="49"/>
    </row>
    <row r="114" spans="1:7" ht="15" customHeight="1" x14ac:dyDescent="0.25">
      <c r="A114" s="48" t="s">
        <v>1227</v>
      </c>
      <c r="B114" s="49" t="s">
        <v>1446</v>
      </c>
      <c r="C114" s="49" t="s">
        <v>53</v>
      </c>
      <c r="D114" s="50"/>
      <c r="E114" s="49" t="s">
        <v>1176</v>
      </c>
      <c r="F114" s="51" t="s">
        <v>1356</v>
      </c>
      <c r="G114" s="49"/>
    </row>
    <row r="115" spans="1:7" ht="15" customHeight="1" x14ac:dyDescent="0.25">
      <c r="A115" s="48" t="s">
        <v>1280</v>
      </c>
      <c r="B115" s="49" t="s">
        <v>1447</v>
      </c>
      <c r="C115" s="49" t="s">
        <v>54</v>
      </c>
      <c r="D115" s="50"/>
      <c r="E115" s="49" t="s">
        <v>1176</v>
      </c>
      <c r="F115" s="51" t="s">
        <v>1356</v>
      </c>
      <c r="G115" s="49"/>
    </row>
    <row r="116" spans="1:7" ht="15" customHeight="1" x14ac:dyDescent="0.25">
      <c r="A116" s="48" t="s">
        <v>1248</v>
      </c>
      <c r="B116" s="49" t="s">
        <v>1448</v>
      </c>
      <c r="C116" s="49" t="s">
        <v>54</v>
      </c>
      <c r="D116" s="50"/>
      <c r="E116" s="49" t="s">
        <v>1176</v>
      </c>
      <c r="F116" s="51" t="s">
        <v>1356</v>
      </c>
      <c r="G116" s="49"/>
    </row>
    <row r="117" spans="1:7" ht="15" customHeight="1" x14ac:dyDescent="0.25">
      <c r="A117" s="48" t="s">
        <v>1237</v>
      </c>
      <c r="B117" s="49" t="s">
        <v>1449</v>
      </c>
      <c r="C117" s="49" t="s">
        <v>54</v>
      </c>
      <c r="D117" s="50"/>
      <c r="E117" s="49" t="s">
        <v>1176</v>
      </c>
      <c r="F117" s="51" t="s">
        <v>1356</v>
      </c>
      <c r="G117" s="49"/>
    </row>
    <row r="118" spans="1:7" ht="15" customHeight="1" x14ac:dyDescent="0.25">
      <c r="A118" s="48" t="s">
        <v>1147</v>
      </c>
      <c r="B118" s="49" t="s">
        <v>1450</v>
      </c>
      <c r="C118" s="49" t="s">
        <v>51</v>
      </c>
      <c r="D118" s="50"/>
      <c r="E118" s="49" t="s">
        <v>1176</v>
      </c>
      <c r="F118" s="51" t="s">
        <v>1356</v>
      </c>
      <c r="G118" s="49"/>
    </row>
    <row r="119" spans="1:7" ht="15" customHeight="1" x14ac:dyDescent="0.25">
      <c r="A119" s="48" t="s">
        <v>1148</v>
      </c>
      <c r="B119" s="49" t="s">
        <v>1451</v>
      </c>
      <c r="C119" s="49" t="s">
        <v>51</v>
      </c>
      <c r="D119" s="50"/>
      <c r="E119" s="49" t="s">
        <v>1176</v>
      </c>
      <c r="F119" s="51" t="s">
        <v>1356</v>
      </c>
      <c r="G119" s="49"/>
    </row>
    <row r="120" spans="1:7" ht="15" customHeight="1" x14ac:dyDescent="0.25">
      <c r="A120" s="48" t="s">
        <v>1149</v>
      </c>
      <c r="B120" s="49" t="s">
        <v>1452</v>
      </c>
      <c r="C120" s="49" t="s">
        <v>51</v>
      </c>
      <c r="D120" s="50"/>
      <c r="E120" s="49" t="s">
        <v>1176</v>
      </c>
      <c r="F120" s="51" t="s">
        <v>1356</v>
      </c>
      <c r="G120" s="49"/>
    </row>
    <row r="121" spans="1:7" ht="15" customHeight="1" x14ac:dyDescent="0.25">
      <c r="A121" s="48" t="s">
        <v>1213</v>
      </c>
      <c r="B121" s="49" t="s">
        <v>1453</v>
      </c>
      <c r="C121" s="49" t="s">
        <v>53</v>
      </c>
      <c r="D121" s="50"/>
      <c r="E121" s="49" t="s">
        <v>1176</v>
      </c>
      <c r="F121" s="51" t="s">
        <v>1356</v>
      </c>
      <c r="G121" s="49"/>
    </row>
    <row r="122" spans="1:7" ht="15" customHeight="1" x14ac:dyDescent="0.25">
      <c r="A122" s="48" t="s">
        <v>1281</v>
      </c>
      <c r="B122" s="49" t="s">
        <v>1454</v>
      </c>
      <c r="C122" s="49" t="s">
        <v>54</v>
      </c>
      <c r="D122" s="50"/>
      <c r="E122" s="49" t="s">
        <v>1176</v>
      </c>
      <c r="F122" s="51" t="s">
        <v>1356</v>
      </c>
      <c r="G122" s="49"/>
    </row>
    <row r="123" spans="1:7" ht="15" customHeight="1" x14ac:dyDescent="0.25">
      <c r="A123" s="48" t="s">
        <v>1282</v>
      </c>
      <c r="B123" s="49" t="s">
        <v>1455</v>
      </c>
      <c r="C123" s="49" t="s">
        <v>54</v>
      </c>
      <c r="D123" s="50"/>
      <c r="E123" s="49" t="s">
        <v>1176</v>
      </c>
      <c r="F123" s="51" t="s">
        <v>1356</v>
      </c>
      <c r="G123" s="49"/>
    </row>
    <row r="124" spans="1:7" ht="15" customHeight="1" x14ac:dyDescent="0.25">
      <c r="A124" s="48" t="s">
        <v>1193</v>
      </c>
      <c r="B124" s="49" t="s">
        <v>1456</v>
      </c>
      <c r="C124" s="49" t="s">
        <v>53</v>
      </c>
      <c r="D124" s="50"/>
      <c r="E124" s="49" t="s">
        <v>1176</v>
      </c>
      <c r="F124" s="51" t="s">
        <v>1356</v>
      </c>
      <c r="G124" s="49"/>
    </row>
    <row r="125" spans="1:7" ht="15" customHeight="1" x14ac:dyDescent="0.25">
      <c r="A125" s="48" t="s">
        <v>1219</v>
      </c>
      <c r="B125" s="49" t="s">
        <v>1457</v>
      </c>
      <c r="C125" s="49" t="s">
        <v>53</v>
      </c>
      <c r="D125" s="50"/>
      <c r="E125" s="49" t="s">
        <v>1176</v>
      </c>
      <c r="F125" s="51" t="s">
        <v>1356</v>
      </c>
      <c r="G125" s="49"/>
    </row>
    <row r="126" spans="1:7" ht="15" customHeight="1" x14ac:dyDescent="0.25">
      <c r="A126" s="48" t="s">
        <v>1249</v>
      </c>
      <c r="B126" s="49" t="s">
        <v>1458</v>
      </c>
      <c r="C126" s="49" t="s">
        <v>54</v>
      </c>
      <c r="D126" s="50"/>
      <c r="E126" s="49" t="s">
        <v>1176</v>
      </c>
      <c r="F126" s="51" t="s">
        <v>1356</v>
      </c>
      <c r="G126" s="49"/>
    </row>
    <row r="127" spans="1:7" ht="15" customHeight="1" x14ac:dyDescent="0.25">
      <c r="A127" s="48" t="s">
        <v>1150</v>
      </c>
      <c r="B127" s="49" t="s">
        <v>1459</v>
      </c>
      <c r="C127" s="49" t="s">
        <v>51</v>
      </c>
      <c r="D127" s="50"/>
      <c r="E127" s="49" t="s">
        <v>1176</v>
      </c>
      <c r="F127" s="51" t="s">
        <v>1356</v>
      </c>
      <c r="G127" s="49"/>
    </row>
    <row r="128" spans="1:7" ht="15" customHeight="1" x14ac:dyDescent="0.25">
      <c r="A128" s="48" t="s">
        <v>1319</v>
      </c>
      <c r="B128" s="49" t="s">
        <v>1460</v>
      </c>
      <c r="C128" s="49" t="s">
        <v>52</v>
      </c>
      <c r="D128" s="50"/>
      <c r="E128" s="49" t="s">
        <v>1176</v>
      </c>
      <c r="F128" s="51" t="s">
        <v>1356</v>
      </c>
      <c r="G128" s="49"/>
    </row>
    <row r="129" spans="1:7" ht="15" customHeight="1" x14ac:dyDescent="0.25">
      <c r="A129" s="48" t="s">
        <v>1250</v>
      </c>
      <c r="B129" s="49" t="s">
        <v>1461</v>
      </c>
      <c r="C129" s="49" t="s">
        <v>54</v>
      </c>
      <c r="D129" s="50"/>
      <c r="E129" s="49" t="s">
        <v>1176</v>
      </c>
      <c r="F129" s="51" t="s">
        <v>1356</v>
      </c>
      <c r="G129" s="49"/>
    </row>
    <row r="130" spans="1:7" ht="15" customHeight="1" x14ac:dyDescent="0.25">
      <c r="A130" s="48" t="s">
        <v>1283</v>
      </c>
      <c r="B130" s="49" t="s">
        <v>1462</v>
      </c>
      <c r="C130" s="49" t="s">
        <v>54</v>
      </c>
      <c r="D130" s="50"/>
      <c r="E130" s="49" t="s">
        <v>1176</v>
      </c>
      <c r="F130" s="51" t="s">
        <v>1356</v>
      </c>
      <c r="G130" s="49"/>
    </row>
    <row r="131" spans="1:7" ht="15" customHeight="1" x14ac:dyDescent="0.25">
      <c r="A131" s="48" t="s">
        <v>1292</v>
      </c>
      <c r="B131" s="49" t="s">
        <v>18</v>
      </c>
      <c r="C131" s="49" t="s">
        <v>52</v>
      </c>
      <c r="D131" s="52">
        <v>13</v>
      </c>
      <c r="E131" s="49" t="s">
        <v>1175</v>
      </c>
      <c r="F131" s="51" t="s">
        <v>12</v>
      </c>
      <c r="G131" s="49" t="s">
        <v>1644</v>
      </c>
    </row>
    <row r="132" spans="1:7" ht="15" customHeight="1" x14ac:dyDescent="0.25">
      <c r="A132" s="48" t="s">
        <v>1151</v>
      </c>
      <c r="B132" s="49" t="s">
        <v>1463</v>
      </c>
      <c r="C132" s="49" t="s">
        <v>51</v>
      </c>
      <c r="D132" s="50"/>
      <c r="E132" s="49" t="s">
        <v>1176</v>
      </c>
      <c r="F132" s="51" t="s">
        <v>1356</v>
      </c>
      <c r="G132" s="49"/>
    </row>
    <row r="133" spans="1:7" ht="15" customHeight="1" x14ac:dyDescent="0.25">
      <c r="A133" s="48" t="s">
        <v>1214</v>
      </c>
      <c r="B133" s="49" t="s">
        <v>1464</v>
      </c>
      <c r="C133" s="49" t="s">
        <v>53</v>
      </c>
      <c r="D133" s="50"/>
      <c r="E133" s="49" t="s">
        <v>1176</v>
      </c>
      <c r="F133" s="51" t="s">
        <v>1356</v>
      </c>
      <c r="G133" s="49"/>
    </row>
    <row r="134" spans="1:7" ht="15" customHeight="1" x14ac:dyDescent="0.25">
      <c r="A134" s="48" t="s">
        <v>1152</v>
      </c>
      <c r="B134" s="49" t="s">
        <v>1465</v>
      </c>
      <c r="C134" s="49" t="s">
        <v>51</v>
      </c>
      <c r="D134" s="50"/>
      <c r="E134" s="49" t="s">
        <v>1176</v>
      </c>
      <c r="F134" s="51" t="s">
        <v>1356</v>
      </c>
      <c r="G134" s="49"/>
    </row>
    <row r="135" spans="1:7" ht="15" customHeight="1" x14ac:dyDescent="0.25">
      <c r="A135" s="48" t="s">
        <v>1320</v>
      </c>
      <c r="B135" s="49" t="s">
        <v>1466</v>
      </c>
      <c r="C135" s="49" t="s">
        <v>52</v>
      </c>
      <c r="D135" s="50"/>
      <c r="E135" s="49" t="s">
        <v>1176</v>
      </c>
      <c r="F135" s="51" t="s">
        <v>1356</v>
      </c>
      <c r="G135" s="49"/>
    </row>
    <row r="136" spans="1:7" ht="15" customHeight="1" x14ac:dyDescent="0.25">
      <c r="A136" s="48" t="s">
        <v>1238</v>
      </c>
      <c r="B136" s="49" t="s">
        <v>23</v>
      </c>
      <c r="C136" s="49" t="s">
        <v>54</v>
      </c>
      <c r="D136" s="52">
        <v>22</v>
      </c>
      <c r="E136" s="49" t="s">
        <v>1175</v>
      </c>
      <c r="F136" s="51" t="s">
        <v>22</v>
      </c>
      <c r="G136" s="49" t="s">
        <v>1628</v>
      </c>
    </row>
    <row r="137" spans="1:7" ht="15" customHeight="1" x14ac:dyDescent="0.25">
      <c r="A137" s="48" t="s">
        <v>1284</v>
      </c>
      <c r="B137" s="49" t="s">
        <v>1467</v>
      </c>
      <c r="C137" s="49" t="s">
        <v>54</v>
      </c>
      <c r="D137" s="50"/>
      <c r="E137" s="49" t="s">
        <v>1176</v>
      </c>
      <c r="F137" s="51" t="s">
        <v>1356</v>
      </c>
      <c r="G137" s="49"/>
    </row>
    <row r="138" spans="1:7" ht="15" customHeight="1" x14ac:dyDescent="0.25">
      <c r="A138" s="48" t="s">
        <v>1194</v>
      </c>
      <c r="B138" s="49" t="s">
        <v>1468</v>
      </c>
      <c r="C138" s="49" t="s">
        <v>53</v>
      </c>
      <c r="D138" s="50"/>
      <c r="E138" s="49" t="s">
        <v>1176</v>
      </c>
      <c r="F138" s="51" t="s">
        <v>1356</v>
      </c>
      <c r="G138" s="49"/>
    </row>
    <row r="139" spans="1:7" ht="15" customHeight="1" x14ac:dyDescent="0.25">
      <c r="A139" s="48" t="s">
        <v>1285</v>
      </c>
      <c r="B139" s="49" t="s">
        <v>1469</v>
      </c>
      <c r="C139" s="49" t="s">
        <v>54</v>
      </c>
      <c r="D139" s="50"/>
      <c r="E139" s="49" t="s">
        <v>1176</v>
      </c>
      <c r="F139" s="51" t="s">
        <v>1356</v>
      </c>
      <c r="G139" s="49"/>
    </row>
    <row r="140" spans="1:7" ht="15" customHeight="1" x14ac:dyDescent="0.25">
      <c r="A140" s="48" t="s">
        <v>1220</v>
      </c>
      <c r="B140" s="49" t="s">
        <v>1470</v>
      </c>
      <c r="C140" s="49" t="s">
        <v>53</v>
      </c>
      <c r="D140" s="50"/>
      <c r="E140" s="49" t="s">
        <v>1176</v>
      </c>
      <c r="F140" s="51" t="s">
        <v>1356</v>
      </c>
      <c r="G140" s="49"/>
    </row>
    <row r="141" spans="1:7" ht="15" customHeight="1" x14ac:dyDescent="0.25">
      <c r="A141" s="48" t="s">
        <v>1153</v>
      </c>
      <c r="B141" s="49" t="s">
        <v>4</v>
      </c>
      <c r="C141" s="49" t="s">
        <v>51</v>
      </c>
      <c r="D141" s="52">
        <v>8</v>
      </c>
      <c r="E141" s="49" t="s">
        <v>1175</v>
      </c>
      <c r="F141" s="51" t="s">
        <v>2</v>
      </c>
      <c r="G141" s="49" t="s">
        <v>43</v>
      </c>
    </row>
    <row r="142" spans="1:7" ht="15" customHeight="1" x14ac:dyDescent="0.25">
      <c r="A142" s="48" t="s">
        <v>1337</v>
      </c>
      <c r="B142" s="49" t="s">
        <v>1471</v>
      </c>
      <c r="C142" s="49" t="s">
        <v>1331</v>
      </c>
      <c r="D142" s="50"/>
      <c r="E142" s="49" t="s">
        <v>1176</v>
      </c>
      <c r="F142" s="51" t="s">
        <v>1356</v>
      </c>
      <c r="G142" s="49"/>
    </row>
    <row r="143" spans="1:7" ht="15" customHeight="1" x14ac:dyDescent="0.25">
      <c r="A143" s="48" t="s">
        <v>1338</v>
      </c>
      <c r="B143" s="49" t="s">
        <v>1472</v>
      </c>
      <c r="C143" s="49" t="s">
        <v>1331</v>
      </c>
      <c r="D143" s="50"/>
      <c r="E143" s="49" t="s">
        <v>1176</v>
      </c>
      <c r="F143" s="51" t="s">
        <v>1356</v>
      </c>
      <c r="G143" s="49"/>
    </row>
    <row r="144" spans="1:7" ht="15" customHeight="1" x14ac:dyDescent="0.25">
      <c r="A144" s="48" t="s">
        <v>1298</v>
      </c>
      <c r="B144" s="49" t="s">
        <v>1473</v>
      </c>
      <c r="C144" s="49" t="s">
        <v>52</v>
      </c>
      <c r="D144" s="50"/>
      <c r="E144" s="49" t="s">
        <v>1176</v>
      </c>
      <c r="F144" s="51" t="s">
        <v>1356</v>
      </c>
      <c r="G144" s="49"/>
    </row>
    <row r="145" spans="1:7" ht="15" customHeight="1" x14ac:dyDescent="0.25">
      <c r="A145" s="48" t="s">
        <v>1251</v>
      </c>
      <c r="B145" s="49" t="s">
        <v>1474</v>
      </c>
      <c r="C145" s="49" t="s">
        <v>54</v>
      </c>
      <c r="D145" s="50"/>
      <c r="E145" s="49" t="s">
        <v>1176</v>
      </c>
      <c r="F145" s="51" t="s">
        <v>1356</v>
      </c>
      <c r="G145" s="49"/>
    </row>
    <row r="146" spans="1:7" ht="15" customHeight="1" x14ac:dyDescent="0.25">
      <c r="A146" s="48" t="s">
        <v>1252</v>
      </c>
      <c r="B146" s="49" t="s">
        <v>1475</v>
      </c>
      <c r="C146" s="49" t="s">
        <v>54</v>
      </c>
      <c r="D146" s="50"/>
      <c r="E146" s="49" t="s">
        <v>1176</v>
      </c>
      <c r="F146" s="51" t="s">
        <v>1356</v>
      </c>
      <c r="G146" s="49"/>
    </row>
    <row r="147" spans="1:7" ht="15" customHeight="1" x14ac:dyDescent="0.25">
      <c r="A147" s="48" t="s">
        <v>1154</v>
      </c>
      <c r="B147" s="49" t="s">
        <v>1476</v>
      </c>
      <c r="C147" s="49" t="s">
        <v>51</v>
      </c>
      <c r="D147" s="50"/>
      <c r="E147" s="49" t="s">
        <v>1176</v>
      </c>
      <c r="F147" s="51" t="s">
        <v>1356</v>
      </c>
      <c r="G147" s="49"/>
    </row>
    <row r="148" spans="1:7" ht="15" customHeight="1" x14ac:dyDescent="0.25">
      <c r="A148" s="48" t="s">
        <v>1155</v>
      </c>
      <c r="B148" s="49" t="s">
        <v>1477</v>
      </c>
      <c r="C148" s="49" t="s">
        <v>51</v>
      </c>
      <c r="D148" s="50"/>
      <c r="E148" s="49" t="s">
        <v>1176</v>
      </c>
      <c r="F148" s="51" t="s">
        <v>1356</v>
      </c>
      <c r="G148" s="49"/>
    </row>
    <row r="149" spans="1:7" ht="15" customHeight="1" x14ac:dyDescent="0.25">
      <c r="A149" s="48" t="s">
        <v>1215</v>
      </c>
      <c r="B149" s="49" t="s">
        <v>1478</v>
      </c>
      <c r="C149" s="49" t="s">
        <v>53</v>
      </c>
      <c r="D149" s="50"/>
      <c r="E149" s="49" t="s">
        <v>1176</v>
      </c>
      <c r="F149" s="51" t="s">
        <v>1356</v>
      </c>
      <c r="G149" s="49"/>
    </row>
    <row r="150" spans="1:7" ht="15" customHeight="1" x14ac:dyDescent="0.25">
      <c r="A150" s="48" t="s">
        <v>1156</v>
      </c>
      <c r="B150" s="49" t="s">
        <v>1479</v>
      </c>
      <c r="C150" s="49" t="s">
        <v>51</v>
      </c>
      <c r="D150" s="50"/>
      <c r="E150" s="49" t="s">
        <v>1176</v>
      </c>
      <c r="F150" s="51" t="s">
        <v>1356</v>
      </c>
      <c r="G150" s="49"/>
    </row>
    <row r="151" spans="1:7" ht="15" customHeight="1" x14ac:dyDescent="0.25">
      <c r="A151" s="48" t="s">
        <v>1228</v>
      </c>
      <c r="B151" s="49" t="s">
        <v>1480</v>
      </c>
      <c r="C151" s="49" t="s">
        <v>53</v>
      </c>
      <c r="D151" s="50"/>
      <c r="E151" s="49" t="s">
        <v>1176</v>
      </c>
      <c r="F151" s="51" t="s">
        <v>1356</v>
      </c>
      <c r="G151" s="49"/>
    </row>
    <row r="152" spans="1:7" ht="15" customHeight="1" x14ac:dyDescent="0.25">
      <c r="A152" s="48" t="s">
        <v>1221</v>
      </c>
      <c r="B152" s="49" t="s">
        <v>1481</v>
      </c>
      <c r="C152" s="49" t="s">
        <v>53</v>
      </c>
      <c r="D152" s="50"/>
      <c r="E152" s="49" t="s">
        <v>1176</v>
      </c>
      <c r="F152" s="51" t="s">
        <v>1356</v>
      </c>
      <c r="G152" s="49"/>
    </row>
    <row r="153" spans="1:7" ht="15" customHeight="1" x14ac:dyDescent="0.25">
      <c r="A153" s="48" t="s">
        <v>1229</v>
      </c>
      <c r="B153" s="49" t="s">
        <v>1482</v>
      </c>
      <c r="C153" s="49" t="s">
        <v>53</v>
      </c>
      <c r="D153" s="50"/>
      <c r="E153" s="49" t="s">
        <v>1176</v>
      </c>
      <c r="F153" s="51" t="s">
        <v>1356</v>
      </c>
      <c r="G153" s="49"/>
    </row>
    <row r="154" spans="1:7" ht="15" customHeight="1" x14ac:dyDescent="0.25">
      <c r="A154" s="48" t="s">
        <v>1299</v>
      </c>
      <c r="B154" s="49" t="s">
        <v>1483</v>
      </c>
      <c r="C154" s="49" t="s">
        <v>52</v>
      </c>
      <c r="D154" s="50"/>
      <c r="E154" s="49" t="s">
        <v>1176</v>
      </c>
      <c r="F154" s="51" t="s">
        <v>1356</v>
      </c>
      <c r="G154" s="49"/>
    </row>
    <row r="155" spans="1:7" ht="15" customHeight="1" x14ac:dyDescent="0.25">
      <c r="A155" s="48" t="s">
        <v>1339</v>
      </c>
      <c r="B155" s="49" t="s">
        <v>1484</v>
      </c>
      <c r="C155" s="49" t="s">
        <v>1331</v>
      </c>
      <c r="D155" s="50"/>
      <c r="E155" s="49" t="s">
        <v>1176</v>
      </c>
      <c r="F155" s="51" t="s">
        <v>1356</v>
      </c>
      <c r="G155" s="49"/>
    </row>
    <row r="156" spans="1:7" ht="15" customHeight="1" x14ac:dyDescent="0.25">
      <c r="A156" s="48" t="s">
        <v>1184</v>
      </c>
      <c r="B156" s="49" t="s">
        <v>1485</v>
      </c>
      <c r="C156" s="49" t="s">
        <v>50</v>
      </c>
      <c r="D156" s="50"/>
      <c r="E156" s="49" t="s">
        <v>1176</v>
      </c>
      <c r="F156" s="51" t="s">
        <v>1356</v>
      </c>
      <c r="G156" s="49"/>
    </row>
    <row r="157" spans="1:7" ht="15" customHeight="1" x14ac:dyDescent="0.25">
      <c r="A157" s="48" t="s">
        <v>1185</v>
      </c>
      <c r="B157" s="49" t="s">
        <v>1486</v>
      </c>
      <c r="C157" s="49" t="s">
        <v>50</v>
      </c>
      <c r="D157" s="50"/>
      <c r="E157" s="49" t="s">
        <v>1176</v>
      </c>
      <c r="F157" s="51" t="s">
        <v>1356</v>
      </c>
      <c r="G157" s="49"/>
    </row>
    <row r="158" spans="1:7" ht="15" customHeight="1" x14ac:dyDescent="0.25">
      <c r="A158" s="48" t="s">
        <v>1195</v>
      </c>
      <c r="B158" s="49" t="s">
        <v>1487</v>
      </c>
      <c r="C158" s="49" t="s">
        <v>53</v>
      </c>
      <c r="D158" s="50"/>
      <c r="E158" s="49" t="s">
        <v>1176</v>
      </c>
      <c r="F158" s="51" t="s">
        <v>1356</v>
      </c>
      <c r="G158" s="49"/>
    </row>
    <row r="159" spans="1:7" ht="15" customHeight="1" x14ac:dyDescent="0.25">
      <c r="A159" s="48" t="s">
        <v>1157</v>
      </c>
      <c r="B159" s="49" t="s">
        <v>19</v>
      </c>
      <c r="C159" s="49" t="s">
        <v>51</v>
      </c>
      <c r="D159" s="52">
        <v>26</v>
      </c>
      <c r="E159" s="49" t="s">
        <v>1175</v>
      </c>
      <c r="F159" s="51" t="s">
        <v>12</v>
      </c>
      <c r="G159" s="49" t="s">
        <v>1647</v>
      </c>
    </row>
    <row r="160" spans="1:7" ht="15" customHeight="1" x14ac:dyDescent="0.25">
      <c r="A160" s="48" t="s">
        <v>1158</v>
      </c>
      <c r="B160" s="49" t="s">
        <v>38</v>
      </c>
      <c r="C160" s="49" t="s">
        <v>51</v>
      </c>
      <c r="D160" s="52">
        <v>9</v>
      </c>
      <c r="E160" s="49" t="s">
        <v>1175</v>
      </c>
      <c r="F160" s="51" t="s">
        <v>35</v>
      </c>
      <c r="G160" s="49" t="s">
        <v>43</v>
      </c>
    </row>
    <row r="161" spans="1:7" ht="15" customHeight="1" x14ac:dyDescent="0.25">
      <c r="A161" s="48" t="s">
        <v>1321</v>
      </c>
      <c r="B161" s="49" t="s">
        <v>1488</v>
      </c>
      <c r="C161" s="49" t="s">
        <v>52</v>
      </c>
      <c r="D161" s="50"/>
      <c r="E161" s="49" t="s">
        <v>1176</v>
      </c>
      <c r="F161" s="51" t="s">
        <v>1356</v>
      </c>
      <c r="G161" s="49"/>
    </row>
    <row r="162" spans="1:7" ht="15" customHeight="1" x14ac:dyDescent="0.25">
      <c r="A162" s="48" t="s">
        <v>1230</v>
      </c>
      <c r="B162" s="49" t="s">
        <v>8</v>
      </c>
      <c r="C162" s="49" t="s">
        <v>53</v>
      </c>
      <c r="D162" s="52">
        <v>50</v>
      </c>
      <c r="E162" s="49" t="s">
        <v>1175</v>
      </c>
      <c r="F162" s="51" t="s">
        <v>2</v>
      </c>
      <c r="G162" s="49" t="s">
        <v>1644</v>
      </c>
    </row>
    <row r="163" spans="1:7" ht="15" customHeight="1" x14ac:dyDescent="0.25">
      <c r="A163" s="48" t="s">
        <v>1159</v>
      </c>
      <c r="B163" s="49" t="s">
        <v>1489</v>
      </c>
      <c r="C163" s="49" t="s">
        <v>51</v>
      </c>
      <c r="D163" s="50"/>
      <c r="E163" s="49" t="s">
        <v>1176</v>
      </c>
      <c r="F163" s="51" t="s">
        <v>1356</v>
      </c>
      <c r="G163" s="49"/>
    </row>
    <row r="164" spans="1:7" ht="15" customHeight="1" x14ac:dyDescent="0.25">
      <c r="A164" s="48" t="s">
        <v>1290</v>
      </c>
      <c r="B164" s="49" t="s">
        <v>1490</v>
      </c>
      <c r="C164" s="49" t="s">
        <v>54</v>
      </c>
      <c r="D164" s="50"/>
      <c r="E164" s="49" t="s">
        <v>1176</v>
      </c>
      <c r="F164" s="51" t="s">
        <v>1356</v>
      </c>
      <c r="G164" s="49"/>
    </row>
    <row r="165" spans="1:7" ht="15" customHeight="1" x14ac:dyDescent="0.25">
      <c r="A165" s="48" t="s">
        <v>1160</v>
      </c>
      <c r="B165" s="49" t="s">
        <v>1491</v>
      </c>
      <c r="C165" s="49" t="s">
        <v>51</v>
      </c>
      <c r="D165" s="50"/>
      <c r="E165" s="49" t="s">
        <v>1176</v>
      </c>
      <c r="F165" s="51" t="s">
        <v>1356</v>
      </c>
      <c r="G165" s="49"/>
    </row>
    <row r="166" spans="1:7" ht="15" customHeight="1" x14ac:dyDescent="0.25">
      <c r="A166" s="48" t="s">
        <v>1161</v>
      </c>
      <c r="B166" s="49" t="s">
        <v>1037</v>
      </c>
      <c r="C166" s="49" t="s">
        <v>51</v>
      </c>
      <c r="D166" s="50"/>
      <c r="E166" s="49" t="s">
        <v>1176</v>
      </c>
      <c r="F166" s="51" t="s">
        <v>1356</v>
      </c>
      <c r="G166" s="49"/>
    </row>
    <row r="167" spans="1:7" ht="15" customHeight="1" x14ac:dyDescent="0.25">
      <c r="A167" s="48" t="s">
        <v>1269</v>
      </c>
      <c r="B167" s="49" t="s">
        <v>1492</v>
      </c>
      <c r="C167" s="49" t="s">
        <v>54</v>
      </c>
      <c r="D167" s="50"/>
      <c r="E167" s="49" t="s">
        <v>1176</v>
      </c>
      <c r="F167" s="51" t="s">
        <v>1356</v>
      </c>
      <c r="G167" s="49"/>
    </row>
    <row r="168" spans="1:7" ht="15" customHeight="1" x14ac:dyDescent="0.25">
      <c r="A168" s="48" t="s">
        <v>1322</v>
      </c>
      <c r="B168" s="49" t="s">
        <v>1493</v>
      </c>
      <c r="C168" s="49" t="s">
        <v>52</v>
      </c>
      <c r="D168" s="50"/>
      <c r="E168" s="49" t="s">
        <v>1176</v>
      </c>
      <c r="F168" s="51" t="s">
        <v>1356</v>
      </c>
      <c r="G168" s="49"/>
    </row>
    <row r="169" spans="1:7" ht="15" customHeight="1" x14ac:dyDescent="0.25">
      <c r="A169" s="48" t="s">
        <v>1323</v>
      </c>
      <c r="B169" s="49" t="s">
        <v>1494</v>
      </c>
      <c r="C169" s="49" t="s">
        <v>52</v>
      </c>
      <c r="D169" s="50"/>
      <c r="E169" s="49" t="s">
        <v>1176</v>
      </c>
      <c r="F169" s="51" t="s">
        <v>1356</v>
      </c>
      <c r="G169" s="49"/>
    </row>
    <row r="170" spans="1:7" ht="15" customHeight="1" x14ac:dyDescent="0.25">
      <c r="A170" s="48" t="s">
        <v>1324</v>
      </c>
      <c r="B170" s="49" t="s">
        <v>1495</v>
      </c>
      <c r="C170" s="49" t="s">
        <v>52</v>
      </c>
      <c r="D170" s="50"/>
      <c r="E170" s="49" t="s">
        <v>1176</v>
      </c>
      <c r="F170" s="51" t="s">
        <v>1356</v>
      </c>
      <c r="G170" s="49"/>
    </row>
    <row r="171" spans="1:7" ht="15" customHeight="1" x14ac:dyDescent="0.25">
      <c r="A171" s="48" t="s">
        <v>1325</v>
      </c>
      <c r="B171" s="49" t="s">
        <v>1496</v>
      </c>
      <c r="C171" s="49" t="s">
        <v>52</v>
      </c>
      <c r="D171" s="50"/>
      <c r="E171" s="49" t="s">
        <v>1176</v>
      </c>
      <c r="F171" s="51" t="s">
        <v>1356</v>
      </c>
      <c r="G171" s="49"/>
    </row>
    <row r="172" spans="1:7" ht="15" customHeight="1" x14ac:dyDescent="0.25">
      <c r="A172" s="48" t="s">
        <v>1340</v>
      </c>
      <c r="B172" s="49" t="s">
        <v>1497</v>
      </c>
      <c r="C172" s="49" t="s">
        <v>1331</v>
      </c>
      <c r="D172" s="50"/>
      <c r="E172" s="49" t="s">
        <v>1176</v>
      </c>
      <c r="F172" s="51" t="s">
        <v>1356</v>
      </c>
      <c r="G172" s="49"/>
    </row>
    <row r="173" spans="1:7" ht="15" customHeight="1" x14ac:dyDescent="0.25">
      <c r="A173" s="48" t="s">
        <v>1162</v>
      </c>
      <c r="B173" s="49" t="s">
        <v>1498</v>
      </c>
      <c r="C173" s="49" t="s">
        <v>51</v>
      </c>
      <c r="D173" s="50"/>
      <c r="E173" s="49" t="s">
        <v>1176</v>
      </c>
      <c r="F173" s="51" t="s">
        <v>1356</v>
      </c>
      <c r="G173" s="49"/>
    </row>
    <row r="174" spans="1:7" ht="15" customHeight="1" x14ac:dyDescent="0.25">
      <c r="A174" s="48" t="s">
        <v>1263</v>
      </c>
      <c r="B174" s="49" t="s">
        <v>1499</v>
      </c>
      <c r="C174" s="49" t="s">
        <v>54</v>
      </c>
      <c r="D174" s="50"/>
      <c r="E174" s="49" t="s">
        <v>1176</v>
      </c>
      <c r="F174" s="51" t="s">
        <v>1356</v>
      </c>
      <c r="G174" s="49"/>
    </row>
    <row r="175" spans="1:7" ht="15" customHeight="1" x14ac:dyDescent="0.25">
      <c r="A175" s="48" t="s">
        <v>1231</v>
      </c>
      <c r="B175" s="49" t="s">
        <v>14</v>
      </c>
      <c r="C175" s="49" t="s">
        <v>53</v>
      </c>
      <c r="D175" s="52">
        <v>51</v>
      </c>
      <c r="E175" s="49" t="s">
        <v>1175</v>
      </c>
      <c r="F175" s="51" t="s">
        <v>12</v>
      </c>
      <c r="G175" s="49" t="s">
        <v>1644</v>
      </c>
    </row>
    <row r="176" spans="1:7" ht="15" customHeight="1" x14ac:dyDescent="0.25">
      <c r="A176" s="48" t="s">
        <v>1163</v>
      </c>
      <c r="B176" s="49" t="s">
        <v>1020</v>
      </c>
      <c r="C176" s="49" t="s">
        <v>51</v>
      </c>
      <c r="D176" s="50"/>
      <c r="E176" s="49" t="s">
        <v>1176</v>
      </c>
      <c r="F176" s="51" t="s">
        <v>1356</v>
      </c>
      <c r="G176" s="49"/>
    </row>
    <row r="177" spans="1:7" ht="15" customHeight="1" x14ac:dyDescent="0.25">
      <c r="A177" s="48" t="s">
        <v>1253</v>
      </c>
      <c r="B177" s="49" t="s">
        <v>3</v>
      </c>
      <c r="C177" s="49" t="s">
        <v>54</v>
      </c>
      <c r="D177" s="52">
        <v>18</v>
      </c>
      <c r="E177" s="49" t="s">
        <v>1175</v>
      </c>
      <c r="F177" s="51" t="s">
        <v>2</v>
      </c>
      <c r="G177" s="49" t="s">
        <v>1647</v>
      </c>
    </row>
    <row r="178" spans="1:7" ht="15" customHeight="1" x14ac:dyDescent="0.25">
      <c r="A178" s="48" t="s">
        <v>1164</v>
      </c>
      <c r="B178" s="49" t="s">
        <v>40</v>
      </c>
      <c r="C178" s="49" t="s">
        <v>51</v>
      </c>
      <c r="D178" s="52">
        <v>21</v>
      </c>
      <c r="E178" s="49" t="s">
        <v>1175</v>
      </c>
      <c r="F178" s="51" t="s">
        <v>32</v>
      </c>
      <c r="G178" s="49" t="s">
        <v>1644</v>
      </c>
    </row>
    <row r="179" spans="1:7" ht="15" customHeight="1" x14ac:dyDescent="0.25">
      <c r="A179" s="48" t="s">
        <v>1286</v>
      </c>
      <c r="B179" s="49" t="s">
        <v>1500</v>
      </c>
      <c r="C179" s="49" t="s">
        <v>54</v>
      </c>
      <c r="D179" s="50"/>
      <c r="E179" s="49" t="s">
        <v>1176</v>
      </c>
      <c r="F179" s="51" t="s">
        <v>1356</v>
      </c>
      <c r="G179" s="49"/>
    </row>
    <row r="180" spans="1:7" ht="15" customHeight="1" x14ac:dyDescent="0.25">
      <c r="A180" s="48" t="s">
        <v>1254</v>
      </c>
      <c r="B180" s="49" t="s">
        <v>1501</v>
      </c>
      <c r="C180" s="49" t="s">
        <v>54</v>
      </c>
      <c r="D180" s="50"/>
      <c r="E180" s="49" t="s">
        <v>1176</v>
      </c>
      <c r="F180" s="51" t="s">
        <v>1356</v>
      </c>
      <c r="G180" s="49"/>
    </row>
    <row r="181" spans="1:7" ht="15" customHeight="1" x14ac:dyDescent="0.25">
      <c r="A181" s="48" t="s">
        <v>1196</v>
      </c>
      <c r="B181" s="49" t="s">
        <v>1502</v>
      </c>
      <c r="C181" s="49" t="s">
        <v>53</v>
      </c>
      <c r="D181" s="50"/>
      <c r="E181" s="49" t="s">
        <v>1176</v>
      </c>
      <c r="F181" s="51" t="s">
        <v>1356</v>
      </c>
      <c r="G181" s="49"/>
    </row>
    <row r="182" spans="1:7" ht="15" customHeight="1" x14ac:dyDescent="0.25">
      <c r="A182" s="48" t="s">
        <v>1326</v>
      </c>
      <c r="B182" s="49" t="s">
        <v>1503</v>
      </c>
      <c r="C182" s="49" t="s">
        <v>52</v>
      </c>
      <c r="D182" s="50"/>
      <c r="E182" s="49" t="s">
        <v>1176</v>
      </c>
      <c r="F182" s="51" t="s">
        <v>1356</v>
      </c>
      <c r="G182" s="49"/>
    </row>
    <row r="183" spans="1:7" ht="15" customHeight="1" x14ac:dyDescent="0.25">
      <c r="A183" s="48" t="s">
        <v>1165</v>
      </c>
      <c r="B183" s="49" t="s">
        <v>1504</v>
      </c>
      <c r="C183" s="49" t="s">
        <v>51</v>
      </c>
      <c r="D183" s="50"/>
      <c r="E183" s="49" t="s">
        <v>1176</v>
      </c>
      <c r="F183" s="51" t="s">
        <v>1356</v>
      </c>
      <c r="G183" s="49"/>
    </row>
    <row r="184" spans="1:7" ht="15" customHeight="1" x14ac:dyDescent="0.25">
      <c r="A184" s="48" t="s">
        <v>1166</v>
      </c>
      <c r="B184" s="49" t="s">
        <v>1505</v>
      </c>
      <c r="C184" s="49" t="s">
        <v>51</v>
      </c>
      <c r="D184" s="50"/>
      <c r="E184" s="49" t="s">
        <v>1176</v>
      </c>
      <c r="F184" s="51" t="s">
        <v>1356</v>
      </c>
      <c r="G184" s="49"/>
    </row>
    <row r="185" spans="1:7" ht="15" customHeight="1" x14ac:dyDescent="0.25">
      <c r="A185" s="48" t="s">
        <v>1341</v>
      </c>
      <c r="B185" s="49" t="s">
        <v>1506</v>
      </c>
      <c r="C185" s="49" t="s">
        <v>1331</v>
      </c>
      <c r="D185" s="50"/>
      <c r="E185" s="49" t="s">
        <v>1176</v>
      </c>
      <c r="F185" s="51" t="s">
        <v>1356</v>
      </c>
      <c r="G185" s="49"/>
    </row>
    <row r="186" spans="1:7" ht="15" customHeight="1" x14ac:dyDescent="0.25">
      <c r="A186" s="48" t="s">
        <v>1270</v>
      </c>
      <c r="B186" s="49" t="s">
        <v>1507</v>
      </c>
      <c r="C186" s="49" t="s">
        <v>54</v>
      </c>
      <c r="D186" s="50"/>
      <c r="E186" s="49" t="s">
        <v>1176</v>
      </c>
      <c r="F186" s="51" t="s">
        <v>1356</v>
      </c>
      <c r="G186" s="49"/>
    </row>
    <row r="187" spans="1:7" ht="15" customHeight="1" x14ac:dyDescent="0.25">
      <c r="A187" s="48" t="s">
        <v>1287</v>
      </c>
      <c r="B187" s="49" t="s">
        <v>1508</v>
      </c>
      <c r="C187" s="49" t="s">
        <v>54</v>
      </c>
      <c r="D187" s="50"/>
      <c r="E187" s="49" t="s">
        <v>1176</v>
      </c>
      <c r="F187" s="51" t="s">
        <v>1356</v>
      </c>
      <c r="G187" s="49"/>
    </row>
    <row r="188" spans="1:7" ht="15" customHeight="1" x14ac:dyDescent="0.25">
      <c r="A188" s="48" t="s">
        <v>1271</v>
      </c>
      <c r="B188" s="49" t="s">
        <v>1509</v>
      </c>
      <c r="C188" s="49" t="s">
        <v>54</v>
      </c>
      <c r="D188" s="50"/>
      <c r="E188" s="49" t="s">
        <v>1176</v>
      </c>
      <c r="F188" s="51" t="s">
        <v>1356</v>
      </c>
      <c r="G188" s="49"/>
    </row>
    <row r="189" spans="1:7" ht="15" customHeight="1" x14ac:dyDescent="0.25">
      <c r="A189" s="48" t="s">
        <v>1167</v>
      </c>
      <c r="B189" s="49" t="s">
        <v>28</v>
      </c>
      <c r="C189" s="49" t="s">
        <v>51</v>
      </c>
      <c r="D189" s="52">
        <v>7</v>
      </c>
      <c r="E189" s="49" t="s">
        <v>1175</v>
      </c>
      <c r="F189" s="51" t="s">
        <v>25</v>
      </c>
      <c r="G189" s="49" t="s">
        <v>1647</v>
      </c>
    </row>
    <row r="190" spans="1:7" ht="15" customHeight="1" x14ac:dyDescent="0.25">
      <c r="A190" s="48" t="s">
        <v>1222</v>
      </c>
      <c r="B190" s="49" t="s">
        <v>1510</v>
      </c>
      <c r="C190" s="49" t="s">
        <v>53</v>
      </c>
      <c r="D190" s="50"/>
      <c r="E190" s="49" t="s">
        <v>1176</v>
      </c>
      <c r="F190" s="51" t="s">
        <v>1356</v>
      </c>
      <c r="G190" s="49"/>
    </row>
    <row r="191" spans="1:7" ht="15" customHeight="1" x14ac:dyDescent="0.25">
      <c r="A191" s="48" t="s">
        <v>1272</v>
      </c>
      <c r="B191" s="49" t="s">
        <v>1511</v>
      </c>
      <c r="C191" s="49" t="s">
        <v>54</v>
      </c>
      <c r="D191" s="50"/>
      <c r="E191" s="49" t="s">
        <v>1176</v>
      </c>
      <c r="F191" s="51" t="s">
        <v>1356</v>
      </c>
      <c r="G191" s="49"/>
    </row>
    <row r="192" spans="1:7" ht="15" customHeight="1" x14ac:dyDescent="0.25">
      <c r="A192" s="48" t="s">
        <v>1327</v>
      </c>
      <c r="B192" s="49" t="s">
        <v>1512</v>
      </c>
      <c r="C192" s="49" t="s">
        <v>52</v>
      </c>
      <c r="D192" s="50"/>
      <c r="E192" s="49" t="s">
        <v>1176</v>
      </c>
      <c r="F192" s="51" t="s">
        <v>1356</v>
      </c>
      <c r="G192" s="49"/>
    </row>
    <row r="193" spans="1:7" ht="15" customHeight="1" x14ac:dyDescent="0.25">
      <c r="A193" s="48" t="s">
        <v>1168</v>
      </c>
      <c r="B193" s="49" t="s">
        <v>1513</v>
      </c>
      <c r="C193" s="49" t="s">
        <v>51</v>
      </c>
      <c r="D193" s="50"/>
      <c r="E193" s="49" t="s">
        <v>1176</v>
      </c>
      <c r="F193" s="51" t="s">
        <v>1356</v>
      </c>
      <c r="G193" s="49"/>
    </row>
    <row r="194" spans="1:7" ht="15" customHeight="1" x14ac:dyDescent="0.25">
      <c r="A194" s="48" t="s">
        <v>1169</v>
      </c>
      <c r="B194" s="49" t="s">
        <v>33</v>
      </c>
      <c r="C194" s="49" t="s">
        <v>51</v>
      </c>
      <c r="D194" s="52">
        <v>15</v>
      </c>
      <c r="E194" s="49" t="s">
        <v>1175</v>
      </c>
      <c r="F194" s="51" t="s">
        <v>32</v>
      </c>
      <c r="G194" s="49" t="s">
        <v>1647</v>
      </c>
    </row>
    <row r="195" spans="1:7" ht="15" customHeight="1" x14ac:dyDescent="0.25">
      <c r="A195" s="48" t="s">
        <v>1232</v>
      </c>
      <c r="B195" s="49" t="s">
        <v>1514</v>
      </c>
      <c r="C195" s="49" t="s">
        <v>53</v>
      </c>
      <c r="D195" s="50"/>
      <c r="E195" s="49" t="s">
        <v>1176</v>
      </c>
      <c r="F195" s="51" t="s">
        <v>1356</v>
      </c>
      <c r="G195" s="49"/>
    </row>
    <row r="196" spans="1:7" ht="15" customHeight="1" x14ac:dyDescent="0.25">
      <c r="A196" s="48" t="s">
        <v>1342</v>
      </c>
      <c r="B196" s="49" t="s">
        <v>1515</v>
      </c>
      <c r="C196" s="49" t="s">
        <v>1331</v>
      </c>
      <c r="D196" s="50"/>
      <c r="E196" s="49" t="s">
        <v>1176</v>
      </c>
      <c r="F196" s="51" t="s">
        <v>1356</v>
      </c>
      <c r="G196" s="49"/>
    </row>
    <row r="197" spans="1:7" ht="15" customHeight="1" x14ac:dyDescent="0.25">
      <c r="A197" s="48" t="s">
        <v>1203</v>
      </c>
      <c r="B197" s="49" t="s">
        <v>1516</v>
      </c>
      <c r="C197" s="49" t="s">
        <v>53</v>
      </c>
      <c r="D197" s="50"/>
      <c r="E197" s="49" t="s">
        <v>1176</v>
      </c>
      <c r="F197" s="51" t="s">
        <v>1356</v>
      </c>
      <c r="G197" s="49"/>
    </row>
    <row r="198" spans="1:7" ht="15" customHeight="1" x14ac:dyDescent="0.25">
      <c r="A198" s="48" t="s">
        <v>1273</v>
      </c>
      <c r="B198" s="49" t="s">
        <v>1517</v>
      </c>
      <c r="C198" s="49" t="s">
        <v>54</v>
      </c>
      <c r="D198" s="50"/>
      <c r="E198" s="49" t="s">
        <v>1176</v>
      </c>
      <c r="F198" s="51" t="s">
        <v>1356</v>
      </c>
      <c r="G198" s="49"/>
    </row>
    <row r="199" spans="1:7" ht="15" customHeight="1" x14ac:dyDescent="0.25">
      <c r="A199" s="48" t="s">
        <v>1197</v>
      </c>
      <c r="B199" s="49" t="s">
        <v>1518</v>
      </c>
      <c r="C199" s="49" t="s">
        <v>53</v>
      </c>
      <c r="D199" s="50"/>
      <c r="E199" s="49" t="s">
        <v>1176</v>
      </c>
      <c r="F199" s="51" t="s">
        <v>1356</v>
      </c>
      <c r="G199" s="49"/>
    </row>
    <row r="200" spans="1:7" ht="15" customHeight="1" x14ac:dyDescent="0.25">
      <c r="A200" s="48" t="s">
        <v>1198</v>
      </c>
      <c r="B200" s="49" t="s">
        <v>1519</v>
      </c>
      <c r="C200" s="49" t="s">
        <v>53</v>
      </c>
      <c r="D200" s="50"/>
      <c r="E200" s="49" t="s">
        <v>1176</v>
      </c>
      <c r="F200" s="51" t="s">
        <v>1356</v>
      </c>
      <c r="G200" s="49"/>
    </row>
    <row r="201" spans="1:7" ht="15" customHeight="1" x14ac:dyDescent="0.25">
      <c r="A201" s="48" t="s">
        <v>1255</v>
      </c>
      <c r="B201" s="49" t="s">
        <v>1520</v>
      </c>
      <c r="C201" s="49" t="s">
        <v>54</v>
      </c>
      <c r="D201" s="50"/>
      <c r="E201" s="49" t="s">
        <v>1176</v>
      </c>
      <c r="F201" s="51" t="s">
        <v>1356</v>
      </c>
      <c r="G201" s="49"/>
    </row>
    <row r="202" spans="1:7" ht="15" customHeight="1" x14ac:dyDescent="0.25">
      <c r="A202" s="48" t="s">
        <v>1343</v>
      </c>
      <c r="B202" s="49" t="s">
        <v>1521</v>
      </c>
      <c r="C202" s="49" t="s">
        <v>1331</v>
      </c>
      <c r="D202" s="50"/>
      <c r="E202" s="49" t="s">
        <v>1176</v>
      </c>
      <c r="F202" s="51" t="s">
        <v>1356</v>
      </c>
      <c r="G202" s="49"/>
    </row>
    <row r="203" spans="1:7" ht="15" customHeight="1" x14ac:dyDescent="0.25">
      <c r="A203" s="48" t="s">
        <v>1328</v>
      </c>
      <c r="B203" s="49" t="s">
        <v>1522</v>
      </c>
      <c r="C203" s="49" t="s">
        <v>52</v>
      </c>
      <c r="D203" s="50"/>
      <c r="E203" s="49" t="s">
        <v>1176</v>
      </c>
      <c r="F203" s="51" t="s">
        <v>1356</v>
      </c>
      <c r="G203" s="49"/>
    </row>
    <row r="204" spans="1:7" ht="15" customHeight="1" x14ac:dyDescent="0.25">
      <c r="A204" s="48" t="s">
        <v>1239</v>
      </c>
      <c r="B204" s="49" t="s">
        <v>17</v>
      </c>
      <c r="C204" s="49" t="s">
        <v>54</v>
      </c>
      <c r="D204" s="52">
        <v>30</v>
      </c>
      <c r="E204" s="49" t="s">
        <v>1175</v>
      </c>
      <c r="F204" s="51" t="s">
        <v>15</v>
      </c>
      <c r="G204" s="49" t="s">
        <v>1644</v>
      </c>
    </row>
    <row r="205" spans="1:7" ht="15" customHeight="1" x14ac:dyDescent="0.25">
      <c r="A205" s="48" t="s">
        <v>1170</v>
      </c>
      <c r="B205" s="49" t="s">
        <v>1032</v>
      </c>
      <c r="C205" s="49" t="s">
        <v>51</v>
      </c>
      <c r="D205" s="50"/>
      <c r="E205" s="49" t="s">
        <v>1176</v>
      </c>
      <c r="F205" s="51" t="s">
        <v>1356</v>
      </c>
      <c r="G205" s="49"/>
    </row>
    <row r="206" spans="1:7" ht="15" customHeight="1" x14ac:dyDescent="0.25">
      <c r="A206" s="48" t="s">
        <v>1204</v>
      </c>
      <c r="B206" s="49" t="s">
        <v>1523</v>
      </c>
      <c r="C206" s="49" t="s">
        <v>53</v>
      </c>
      <c r="D206" s="50"/>
      <c r="E206" s="49" t="s">
        <v>1176</v>
      </c>
      <c r="F206" s="51" t="s">
        <v>1356</v>
      </c>
      <c r="G206" s="49"/>
    </row>
    <row r="207" spans="1:7" ht="15" customHeight="1" x14ac:dyDescent="0.25">
      <c r="A207" s="48" t="s">
        <v>1329</v>
      </c>
      <c r="B207" s="49" t="s">
        <v>1524</v>
      </c>
      <c r="C207" s="49" t="s">
        <v>52</v>
      </c>
      <c r="D207" s="50"/>
      <c r="E207" s="49" t="s">
        <v>1176</v>
      </c>
      <c r="F207" s="51" t="s">
        <v>1356</v>
      </c>
      <c r="G207" s="49"/>
    </row>
    <row r="208" spans="1:7" ht="15" customHeight="1" x14ac:dyDescent="0.25">
      <c r="A208" s="48" t="s">
        <v>1344</v>
      </c>
      <c r="B208" s="49" t="s">
        <v>1525</v>
      </c>
      <c r="C208" s="49" t="s">
        <v>1331</v>
      </c>
      <c r="D208" s="50"/>
      <c r="E208" s="49" t="s">
        <v>1176</v>
      </c>
      <c r="F208" s="51" t="s">
        <v>1356</v>
      </c>
      <c r="G208" s="49"/>
    </row>
    <row r="209" spans="1:7" ht="15" customHeight="1" x14ac:dyDescent="0.25">
      <c r="A209" s="48" t="s">
        <v>1330</v>
      </c>
      <c r="B209" s="49" t="s">
        <v>1526</v>
      </c>
      <c r="C209" s="49" t="s">
        <v>52</v>
      </c>
      <c r="D209" s="50"/>
      <c r="E209" s="49" t="s">
        <v>1176</v>
      </c>
      <c r="F209" s="51" t="s">
        <v>1356</v>
      </c>
      <c r="G209" s="49"/>
    </row>
    <row r="210" spans="1:7" ht="15" customHeight="1" x14ac:dyDescent="0.25">
      <c r="A210" s="48" t="s">
        <v>1274</v>
      </c>
      <c r="B210" s="49" t="s">
        <v>1527</v>
      </c>
      <c r="C210" s="49" t="s">
        <v>54</v>
      </c>
      <c r="D210" s="50"/>
      <c r="E210" s="49" t="s">
        <v>1176</v>
      </c>
      <c r="F210" s="51" t="s">
        <v>1356</v>
      </c>
      <c r="G210" s="49"/>
    </row>
    <row r="211" spans="1:7" ht="15" customHeight="1" x14ac:dyDescent="0.25">
      <c r="A211" s="48" t="s">
        <v>1171</v>
      </c>
      <c r="B211" s="49" t="s">
        <v>1528</v>
      </c>
      <c r="C211" s="49" t="s">
        <v>51</v>
      </c>
      <c r="D211" s="50"/>
      <c r="E211" s="49" t="s">
        <v>1176</v>
      </c>
      <c r="F211" s="51" t="s">
        <v>1356</v>
      </c>
      <c r="G211" s="49"/>
    </row>
    <row r="212" spans="1:7" ht="15" customHeight="1" x14ac:dyDescent="0.25">
      <c r="A212" s="48" t="s">
        <v>1233</v>
      </c>
      <c r="B212" s="49" t="s">
        <v>1053</v>
      </c>
      <c r="C212" s="49" t="s">
        <v>53</v>
      </c>
      <c r="D212" s="50"/>
      <c r="E212" s="49" t="s">
        <v>1176</v>
      </c>
      <c r="F212" s="51" t="s">
        <v>1356</v>
      </c>
      <c r="G212" s="49"/>
    </row>
    <row r="213" spans="1:7" ht="15" customHeight="1" x14ac:dyDescent="0.25">
      <c r="A213" s="48" t="s">
        <v>1186</v>
      </c>
      <c r="B213" s="49" t="s">
        <v>36</v>
      </c>
      <c r="C213" s="49" t="s">
        <v>50</v>
      </c>
      <c r="D213" s="52">
        <v>14</v>
      </c>
      <c r="E213" s="49" t="s">
        <v>1175</v>
      </c>
      <c r="F213" s="51" t="s">
        <v>35</v>
      </c>
      <c r="G213" s="49" t="s">
        <v>1644</v>
      </c>
    </row>
    <row r="214" spans="1:7" ht="15" customHeight="1" x14ac:dyDescent="0.25">
      <c r="A214" s="48" t="s">
        <v>10</v>
      </c>
      <c r="B214" s="49" t="s">
        <v>10</v>
      </c>
      <c r="C214" s="49" t="s">
        <v>52</v>
      </c>
      <c r="D214" s="52">
        <v>16</v>
      </c>
      <c r="E214" s="49" t="s">
        <v>1175</v>
      </c>
      <c r="F214" s="51" t="s">
        <v>5</v>
      </c>
      <c r="G214" s="49" t="s">
        <v>1647</v>
      </c>
    </row>
    <row r="215" spans="1:7" ht="15" customHeight="1" x14ac:dyDescent="0.25">
      <c r="A215" s="48" t="s">
        <v>1205</v>
      </c>
      <c r="B215" s="49" t="s">
        <v>1529</v>
      </c>
      <c r="C215" s="49" t="s">
        <v>53</v>
      </c>
      <c r="D215" s="50"/>
      <c r="E215" s="49" t="s">
        <v>1176</v>
      </c>
      <c r="F215" s="51" t="s">
        <v>1356</v>
      </c>
      <c r="G215" s="49"/>
    </row>
    <row r="216" spans="1:7" ht="15" customHeight="1" x14ac:dyDescent="0.25">
      <c r="A216" s="48" t="s">
        <v>1345</v>
      </c>
      <c r="B216" s="49" t="s">
        <v>1530</v>
      </c>
      <c r="C216" s="49" t="s">
        <v>1331</v>
      </c>
      <c r="D216" s="50"/>
      <c r="E216" s="49" t="s">
        <v>1176</v>
      </c>
      <c r="F216" s="51" t="s">
        <v>1356</v>
      </c>
      <c r="G216" s="49"/>
    </row>
    <row r="217" spans="1:7" ht="15" customHeight="1" x14ac:dyDescent="0.25">
      <c r="A217" s="48" t="s">
        <v>1187</v>
      </c>
      <c r="B217" s="49" t="s">
        <v>1536</v>
      </c>
      <c r="C217" s="49" t="s">
        <v>50</v>
      </c>
      <c r="D217" s="50"/>
      <c r="E217" s="49" t="s">
        <v>1356</v>
      </c>
      <c r="F217" s="51" t="s">
        <v>1356</v>
      </c>
      <c r="G217" s="49"/>
    </row>
    <row r="218" spans="1:7" ht="15" customHeight="1" x14ac:dyDescent="0.25">
      <c r="A218" s="48" t="s">
        <v>1199</v>
      </c>
      <c r="B218" s="49" t="s">
        <v>1531</v>
      </c>
      <c r="C218" s="49" t="s">
        <v>53</v>
      </c>
      <c r="D218" s="50"/>
      <c r="E218" s="49" t="s">
        <v>1176</v>
      </c>
      <c r="F218" s="51" t="s">
        <v>1356</v>
      </c>
      <c r="G218" s="49"/>
    </row>
    <row r="219" spans="1:7" ht="15" customHeight="1" x14ac:dyDescent="0.25">
      <c r="A219" s="48" t="s">
        <v>1172</v>
      </c>
      <c r="B219" s="49" t="s">
        <v>11</v>
      </c>
      <c r="C219" s="49" t="s">
        <v>51</v>
      </c>
      <c r="D219" s="52">
        <v>19</v>
      </c>
      <c r="E219" s="49" t="s">
        <v>1175</v>
      </c>
      <c r="F219" s="51" t="s">
        <v>5</v>
      </c>
      <c r="G219" s="49" t="s">
        <v>1644</v>
      </c>
    </row>
    <row r="220" spans="1:7" ht="15" customHeight="1" x14ac:dyDescent="0.25">
      <c r="A220" s="48" t="s">
        <v>1234</v>
      </c>
      <c r="B220" s="49" t="s">
        <v>1532</v>
      </c>
      <c r="C220" s="49" t="s">
        <v>53</v>
      </c>
      <c r="D220" s="50"/>
      <c r="E220" s="49" t="s">
        <v>1176</v>
      </c>
      <c r="F220" s="51" t="s">
        <v>1356</v>
      </c>
      <c r="G220" s="49"/>
    </row>
    <row r="221" spans="1:7" ht="15" customHeight="1" x14ac:dyDescent="0.25">
      <c r="A221" s="48" t="s">
        <v>1288</v>
      </c>
      <c r="B221" s="49" t="s">
        <v>1533</v>
      </c>
      <c r="C221" s="49" t="s">
        <v>54</v>
      </c>
      <c r="D221" s="50"/>
      <c r="E221" s="49" t="s">
        <v>1176</v>
      </c>
      <c r="F221" s="51" t="s">
        <v>1356</v>
      </c>
      <c r="G221" s="49"/>
    </row>
    <row r="222" spans="1:7" ht="15" customHeight="1" x14ac:dyDescent="0.25">
      <c r="A222" s="48" t="s">
        <v>1275</v>
      </c>
      <c r="B222" s="49" t="s">
        <v>1534</v>
      </c>
      <c r="C222" s="49" t="s">
        <v>54</v>
      </c>
      <c r="D222" s="50"/>
      <c r="E222" s="49" t="s">
        <v>1176</v>
      </c>
      <c r="F222" s="51" t="s">
        <v>1356</v>
      </c>
      <c r="G222" s="49"/>
    </row>
    <row r="223" spans="1:7" ht="15" customHeight="1" x14ac:dyDescent="0.25">
      <c r="A223" s="53" t="s">
        <v>1289</v>
      </c>
      <c r="B223" s="54" t="s">
        <v>1535</v>
      </c>
      <c r="C223" s="54" t="s">
        <v>54</v>
      </c>
      <c r="D223" s="55"/>
      <c r="E223" s="54" t="s">
        <v>1176</v>
      </c>
      <c r="F223" s="56" t="s">
        <v>1356</v>
      </c>
      <c r="G223" s="54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DC0D5-50C0-47F9-91C0-8E0596662EF0}">
  <sheetPr codeName="Sheet11"/>
  <dimension ref="A1:B54"/>
  <sheetViews>
    <sheetView workbookViewId="0">
      <pane ySplit="1" topLeftCell="A2" activePane="bottomLeft" state="frozen"/>
      <selection pane="bottomLeft" activeCell="B20" sqref="B20"/>
    </sheetView>
  </sheetViews>
  <sheetFormatPr defaultRowHeight="15" x14ac:dyDescent="0.25"/>
  <cols>
    <col min="1" max="1" width="41.5703125" customWidth="1"/>
    <col min="2" max="2" width="39.28515625" customWidth="1"/>
  </cols>
  <sheetData>
    <row r="1" spans="1:2" ht="15" customHeight="1" x14ac:dyDescent="0.25">
      <c r="A1" s="28" t="s">
        <v>539</v>
      </c>
      <c r="B1" s="29" t="s">
        <v>1068</v>
      </c>
    </row>
    <row r="2" spans="1:2" ht="15" customHeight="1" x14ac:dyDescent="0.25">
      <c r="A2" s="27" t="s">
        <v>1072</v>
      </c>
      <c r="B2" s="27" t="s">
        <v>1398</v>
      </c>
    </row>
    <row r="3" spans="1:2" ht="15" customHeight="1" x14ac:dyDescent="0.25">
      <c r="A3" s="27" t="s">
        <v>1051</v>
      </c>
      <c r="B3" s="27" t="s">
        <v>16</v>
      </c>
    </row>
    <row r="4" spans="1:2" ht="15" customHeight="1" x14ac:dyDescent="0.25">
      <c r="A4" s="27" t="s">
        <v>1008</v>
      </c>
      <c r="B4" s="27" t="s">
        <v>26</v>
      </c>
    </row>
    <row r="5" spans="1:2" ht="15" customHeight="1" x14ac:dyDescent="0.25">
      <c r="A5" s="27" t="s">
        <v>1025</v>
      </c>
      <c r="B5" s="27" t="s">
        <v>21</v>
      </c>
    </row>
    <row r="6" spans="1:2" ht="15" customHeight="1" x14ac:dyDescent="0.25">
      <c r="A6" s="27" t="s">
        <v>1050</v>
      </c>
      <c r="B6" s="27" t="s">
        <v>23</v>
      </c>
    </row>
    <row r="7" spans="1:2" ht="15" customHeight="1" x14ac:dyDescent="0.25">
      <c r="A7" s="27" t="s">
        <v>1058</v>
      </c>
      <c r="B7" s="27" t="s">
        <v>1059</v>
      </c>
    </row>
    <row r="8" spans="1:2" ht="15" customHeight="1" x14ac:dyDescent="0.25">
      <c r="A8" s="27" t="s">
        <v>1007</v>
      </c>
      <c r="B8" s="27" t="s">
        <v>26</v>
      </c>
    </row>
    <row r="9" spans="1:2" ht="15" customHeight="1" x14ac:dyDescent="0.25">
      <c r="A9" s="27" t="s">
        <v>1038</v>
      </c>
      <c r="B9" s="27" t="s">
        <v>1039</v>
      </c>
    </row>
    <row r="10" spans="1:2" ht="15" customHeight="1" x14ac:dyDescent="0.25">
      <c r="A10" s="27" t="s">
        <v>1057</v>
      </c>
      <c r="B10" s="27" t="s">
        <v>30</v>
      </c>
    </row>
    <row r="11" spans="1:2" ht="15" customHeight="1" x14ac:dyDescent="0.25">
      <c r="A11" s="27" t="s">
        <v>1010</v>
      </c>
      <c r="B11" s="27" t="s">
        <v>6</v>
      </c>
    </row>
    <row r="12" spans="1:2" ht="15" customHeight="1" x14ac:dyDescent="0.25">
      <c r="A12" s="27" t="s">
        <v>1054</v>
      </c>
      <c r="B12" s="27" t="s">
        <v>1055</v>
      </c>
    </row>
    <row r="13" spans="1:2" ht="15" customHeight="1" x14ac:dyDescent="0.25">
      <c r="A13" s="27" t="s">
        <v>1045</v>
      </c>
      <c r="B13" s="27" t="s">
        <v>1405</v>
      </c>
    </row>
    <row r="14" spans="1:2" ht="15" customHeight="1" x14ac:dyDescent="0.25">
      <c r="A14" s="27" t="s">
        <v>1035</v>
      </c>
      <c r="B14" s="27" t="s">
        <v>19</v>
      </c>
    </row>
    <row r="15" spans="1:2" ht="15" customHeight="1" x14ac:dyDescent="0.25">
      <c r="A15" s="27" t="s">
        <v>1066</v>
      </c>
      <c r="B15" s="27" t="s">
        <v>34</v>
      </c>
    </row>
    <row r="16" spans="1:2" ht="15" customHeight="1" x14ac:dyDescent="0.25">
      <c r="A16" s="27" t="s">
        <v>1021</v>
      </c>
      <c r="B16" s="27" t="s">
        <v>4</v>
      </c>
    </row>
    <row r="17" spans="1:2" ht="15" customHeight="1" x14ac:dyDescent="0.25">
      <c r="A17" s="27" t="s">
        <v>1026</v>
      </c>
      <c r="B17" s="27" t="s">
        <v>30</v>
      </c>
    </row>
    <row r="18" spans="1:2" ht="15" customHeight="1" x14ac:dyDescent="0.25">
      <c r="A18" s="27" t="s">
        <v>1061</v>
      </c>
      <c r="B18" s="27" t="s">
        <v>39</v>
      </c>
    </row>
    <row r="19" spans="1:2" ht="15" customHeight="1" x14ac:dyDescent="0.25">
      <c r="A19" s="27" t="s">
        <v>1041</v>
      </c>
      <c r="B19" s="27" t="s">
        <v>24</v>
      </c>
    </row>
    <row r="20" spans="1:2" ht="15" customHeight="1" x14ac:dyDescent="0.25">
      <c r="A20" s="27" t="s">
        <v>1047</v>
      </c>
      <c r="B20" s="27" t="s">
        <v>27</v>
      </c>
    </row>
    <row r="21" spans="1:2" ht="15" customHeight="1" x14ac:dyDescent="0.25">
      <c r="A21" s="27" t="s">
        <v>1067</v>
      </c>
      <c r="B21" s="27" t="s">
        <v>27</v>
      </c>
    </row>
    <row r="22" spans="1:2" ht="15" customHeight="1" x14ac:dyDescent="0.25">
      <c r="A22" s="27" t="s">
        <v>1046</v>
      </c>
      <c r="B22" s="27" t="s">
        <v>37</v>
      </c>
    </row>
    <row r="23" spans="1:2" ht="15" customHeight="1" x14ac:dyDescent="0.25">
      <c r="A23" s="27" t="s">
        <v>1048</v>
      </c>
      <c r="B23" s="27" t="s">
        <v>37</v>
      </c>
    </row>
    <row r="24" spans="1:2" ht="15" customHeight="1" x14ac:dyDescent="0.25">
      <c r="A24" s="27" t="s">
        <v>1062</v>
      </c>
      <c r="B24" s="27" t="s">
        <v>1063</v>
      </c>
    </row>
    <row r="25" spans="1:2" ht="15" customHeight="1" x14ac:dyDescent="0.25">
      <c r="A25" s="27" t="s">
        <v>1013</v>
      </c>
      <c r="B25" s="27" t="s">
        <v>28</v>
      </c>
    </row>
    <row r="26" spans="1:2" ht="15" customHeight="1" x14ac:dyDescent="0.25">
      <c r="A26" s="27" t="s">
        <v>1011</v>
      </c>
      <c r="B26" s="27" t="s">
        <v>6</v>
      </c>
    </row>
    <row r="27" spans="1:2" ht="15" customHeight="1" x14ac:dyDescent="0.25">
      <c r="A27" s="27" t="s">
        <v>1012</v>
      </c>
      <c r="B27" s="27" t="s">
        <v>6</v>
      </c>
    </row>
    <row r="28" spans="1:2" ht="15" customHeight="1" x14ac:dyDescent="0.25">
      <c r="A28" s="27" t="s">
        <v>1040</v>
      </c>
      <c r="B28" s="27" t="s">
        <v>18</v>
      </c>
    </row>
    <row r="29" spans="1:2" ht="15" customHeight="1" x14ac:dyDescent="0.25">
      <c r="A29" s="27" t="s">
        <v>1060</v>
      </c>
      <c r="B29" s="27" t="s">
        <v>9</v>
      </c>
    </row>
    <row r="30" spans="1:2" ht="15" customHeight="1" x14ac:dyDescent="0.25">
      <c r="A30" s="27" t="s">
        <v>1070</v>
      </c>
      <c r="B30" s="27" t="s">
        <v>9</v>
      </c>
    </row>
    <row r="31" spans="1:2" ht="15" customHeight="1" x14ac:dyDescent="0.25">
      <c r="A31" s="27" t="s">
        <v>1049</v>
      </c>
      <c r="B31" s="27" t="s">
        <v>13</v>
      </c>
    </row>
    <row r="32" spans="1:2" ht="15" customHeight="1" x14ac:dyDescent="0.25">
      <c r="A32" s="27" t="s">
        <v>1015</v>
      </c>
      <c r="B32" s="27" t="s">
        <v>20</v>
      </c>
    </row>
    <row r="33" spans="1:2" ht="15" customHeight="1" x14ac:dyDescent="0.25">
      <c r="A33" s="27" t="s">
        <v>1069</v>
      </c>
      <c r="B33" s="27" t="s">
        <v>17</v>
      </c>
    </row>
    <row r="34" spans="1:2" ht="15" customHeight="1" x14ac:dyDescent="0.25">
      <c r="A34" s="27" t="s">
        <v>1014</v>
      </c>
      <c r="B34" s="27" t="s">
        <v>20</v>
      </c>
    </row>
    <row r="35" spans="1:2" ht="15" customHeight="1" x14ac:dyDescent="0.25">
      <c r="A35" s="27" t="s">
        <v>1024</v>
      </c>
      <c r="B35" s="27" t="s">
        <v>10</v>
      </c>
    </row>
    <row r="36" spans="1:2" ht="15" customHeight="1" x14ac:dyDescent="0.25">
      <c r="A36" s="27" t="s">
        <v>1043</v>
      </c>
      <c r="B36" s="27" t="s">
        <v>7</v>
      </c>
    </row>
    <row r="37" spans="1:2" ht="15" customHeight="1" x14ac:dyDescent="0.25">
      <c r="A37" s="27" t="s">
        <v>1009</v>
      </c>
      <c r="B37" s="27" t="s">
        <v>6</v>
      </c>
    </row>
    <row r="38" spans="1:2" ht="15" customHeight="1" x14ac:dyDescent="0.25">
      <c r="A38" s="27" t="s">
        <v>1036</v>
      </c>
      <c r="B38" s="27" t="s">
        <v>1037</v>
      </c>
    </row>
    <row r="39" spans="1:2" ht="15" customHeight="1" x14ac:dyDescent="0.25">
      <c r="A39" s="27" t="s">
        <v>1019</v>
      </c>
      <c r="B39" s="27" t="s">
        <v>1020</v>
      </c>
    </row>
    <row r="40" spans="1:2" ht="15" customHeight="1" x14ac:dyDescent="0.25">
      <c r="A40" s="27" t="s">
        <v>1023</v>
      </c>
      <c r="B40" s="27" t="s">
        <v>38</v>
      </c>
    </row>
    <row r="41" spans="1:2" ht="15" customHeight="1" x14ac:dyDescent="0.25">
      <c r="A41" s="27" t="s">
        <v>1064</v>
      </c>
      <c r="B41" s="27" t="s">
        <v>1065</v>
      </c>
    </row>
    <row r="42" spans="1:2" ht="15" customHeight="1" x14ac:dyDescent="0.25">
      <c r="A42" s="27" t="s">
        <v>1056</v>
      </c>
      <c r="B42" s="27" t="s">
        <v>29</v>
      </c>
    </row>
    <row r="43" spans="1:2" ht="15" customHeight="1" x14ac:dyDescent="0.25">
      <c r="A43" s="27" t="s">
        <v>1071</v>
      </c>
      <c r="B43" s="27" t="s">
        <v>36</v>
      </c>
    </row>
    <row r="44" spans="1:2" ht="15" customHeight="1" x14ac:dyDescent="0.25">
      <c r="A44" s="27" t="s">
        <v>1052</v>
      </c>
      <c r="B44" s="27" t="s">
        <v>1053</v>
      </c>
    </row>
    <row r="45" spans="1:2" ht="15" customHeight="1" x14ac:dyDescent="0.25">
      <c r="A45" s="27" t="s">
        <v>1044</v>
      </c>
      <c r="B45" s="27" t="s">
        <v>14</v>
      </c>
    </row>
    <row r="46" spans="1:2" ht="15" customHeight="1" x14ac:dyDescent="0.25">
      <c r="A46" s="27" t="s">
        <v>1030</v>
      </c>
      <c r="B46" s="27" t="s">
        <v>28</v>
      </c>
    </row>
    <row r="47" spans="1:2" ht="15" customHeight="1" x14ac:dyDescent="0.25">
      <c r="A47" s="27" t="s">
        <v>1018</v>
      </c>
      <c r="B47" s="27" t="s">
        <v>1017</v>
      </c>
    </row>
    <row r="48" spans="1:2" ht="15" customHeight="1" x14ac:dyDescent="0.25">
      <c r="A48" s="27" t="s">
        <v>1016</v>
      </c>
      <c r="B48" s="27" t="s">
        <v>1017</v>
      </c>
    </row>
    <row r="49" spans="1:2" ht="15" customHeight="1" x14ac:dyDescent="0.25">
      <c r="A49" s="27" t="s">
        <v>1042</v>
      </c>
      <c r="B49" s="27" t="s">
        <v>8</v>
      </c>
    </row>
    <row r="50" spans="1:2" ht="15" customHeight="1" x14ac:dyDescent="0.25">
      <c r="A50" s="27" t="s">
        <v>1027</v>
      </c>
      <c r="B50" s="27" t="s">
        <v>33</v>
      </c>
    </row>
    <row r="51" spans="1:2" ht="15" customHeight="1" x14ac:dyDescent="0.25">
      <c r="A51" s="27" t="s">
        <v>1028</v>
      </c>
      <c r="B51" s="27" t="s">
        <v>1029</v>
      </c>
    </row>
    <row r="52" spans="1:2" ht="15" customHeight="1" x14ac:dyDescent="0.25">
      <c r="A52" s="27" t="s">
        <v>1031</v>
      </c>
      <c r="B52" s="27" t="s">
        <v>1032</v>
      </c>
    </row>
    <row r="53" spans="1:2" ht="15" customHeight="1" x14ac:dyDescent="0.25">
      <c r="A53" s="27" t="s">
        <v>1034</v>
      </c>
      <c r="B53" s="27" t="s">
        <v>40</v>
      </c>
    </row>
    <row r="54" spans="1:2" ht="15" customHeight="1" x14ac:dyDescent="0.25">
      <c r="A54" s="31" t="s">
        <v>1033</v>
      </c>
      <c r="B54" s="31" t="s">
        <v>16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E5E046E-C5F5-42D4-A1A6-B27CD8A8920C}">
          <x14:formula1>
            <xm:f>'Football Associations'!$B$2:$B$223</xm:f>
          </x14:formula1>
          <xm:sqref>B2:B54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829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2.28515625" customWidth="1"/>
    <col min="2" max="2" width="27.140625" bestFit="1" customWidth="1"/>
    <col min="3" max="3" width="28.85546875" customWidth="1"/>
    <col min="4" max="4" width="16.5703125" customWidth="1"/>
    <col min="5" max="5" width="34.5703125" bestFit="1" customWidth="1"/>
  </cols>
  <sheetData>
    <row r="1" spans="1:5" ht="15" customHeight="1" x14ac:dyDescent="0.25">
      <c r="A1" s="28" t="s">
        <v>951</v>
      </c>
      <c r="B1" s="28" t="s">
        <v>539</v>
      </c>
      <c r="C1" s="29" t="s">
        <v>1068</v>
      </c>
      <c r="D1" s="28" t="s">
        <v>2241</v>
      </c>
      <c r="E1" s="28" t="s">
        <v>1091</v>
      </c>
    </row>
    <row r="2" spans="1:5" ht="15" customHeight="1" x14ac:dyDescent="0.25">
      <c r="A2" t="s">
        <v>1798</v>
      </c>
      <c r="B2" t="s">
        <v>1049</v>
      </c>
      <c r="C2" t="s">
        <v>13</v>
      </c>
      <c r="D2" t="s">
        <v>2242</v>
      </c>
      <c r="E2">
        <v>2</v>
      </c>
    </row>
    <row r="3" spans="1:5" ht="15" customHeight="1" x14ac:dyDescent="0.25">
      <c r="A3" t="s">
        <v>1876</v>
      </c>
      <c r="B3" t="s">
        <v>1049</v>
      </c>
      <c r="C3" t="s">
        <v>13</v>
      </c>
      <c r="D3" t="s">
        <v>2243</v>
      </c>
      <c r="E3">
        <v>1</v>
      </c>
    </row>
    <row r="4" spans="1:5" ht="15" customHeight="1" x14ac:dyDescent="0.25">
      <c r="A4" t="s">
        <v>1898</v>
      </c>
      <c r="B4" t="s">
        <v>1049</v>
      </c>
      <c r="C4" t="s">
        <v>13</v>
      </c>
      <c r="D4" t="s">
        <v>2244</v>
      </c>
      <c r="E4">
        <v>1</v>
      </c>
    </row>
    <row r="5" spans="1:5" ht="15" customHeight="1" x14ac:dyDescent="0.25">
      <c r="A5" t="s">
        <v>1935</v>
      </c>
      <c r="B5" t="s">
        <v>1049</v>
      </c>
      <c r="C5" t="s">
        <v>13</v>
      </c>
      <c r="D5" t="s">
        <v>2245</v>
      </c>
      <c r="E5">
        <v>1</v>
      </c>
    </row>
    <row r="6" spans="1:5" ht="15" customHeight="1" x14ac:dyDescent="0.25">
      <c r="A6" t="s">
        <v>1944</v>
      </c>
      <c r="B6" t="s">
        <v>1049</v>
      </c>
      <c r="C6" t="s">
        <v>13</v>
      </c>
      <c r="D6" t="s">
        <v>2246</v>
      </c>
      <c r="E6">
        <v>1</v>
      </c>
    </row>
    <row r="7" spans="1:5" ht="15" customHeight="1" x14ac:dyDescent="0.25">
      <c r="A7" t="s">
        <v>1727</v>
      </c>
      <c r="B7" t="s">
        <v>1025</v>
      </c>
      <c r="C7" t="s">
        <v>21</v>
      </c>
      <c r="D7" t="s">
        <v>2247</v>
      </c>
      <c r="E7">
        <v>3</v>
      </c>
    </row>
    <row r="8" spans="1:5" ht="15" customHeight="1" x14ac:dyDescent="0.25">
      <c r="A8" t="s">
        <v>1791</v>
      </c>
      <c r="B8" t="s">
        <v>1025</v>
      </c>
      <c r="C8" t="s">
        <v>21</v>
      </c>
      <c r="D8" t="s">
        <v>2252</v>
      </c>
      <c r="E8">
        <v>2</v>
      </c>
    </row>
    <row r="9" spans="1:5" ht="15" customHeight="1" x14ac:dyDescent="0.25">
      <c r="A9" t="s">
        <v>1811</v>
      </c>
      <c r="B9" t="s">
        <v>1025</v>
      </c>
      <c r="C9" t="s">
        <v>21</v>
      </c>
      <c r="D9" t="s">
        <v>2253</v>
      </c>
      <c r="E9">
        <v>1</v>
      </c>
    </row>
    <row r="10" spans="1:5" ht="15" customHeight="1" x14ac:dyDescent="0.25">
      <c r="A10" t="s">
        <v>1934</v>
      </c>
      <c r="B10" t="s">
        <v>1025</v>
      </c>
      <c r="C10" t="s">
        <v>21</v>
      </c>
      <c r="D10" t="s">
        <v>2254</v>
      </c>
      <c r="E10">
        <v>1</v>
      </c>
    </row>
    <row r="11" spans="1:5" ht="15" customHeight="1" x14ac:dyDescent="0.25">
      <c r="A11" t="s">
        <v>1717</v>
      </c>
      <c r="B11" t="s">
        <v>1038</v>
      </c>
      <c r="C11" t="s">
        <v>1039</v>
      </c>
      <c r="D11" t="s">
        <v>2255</v>
      </c>
      <c r="E11">
        <v>4</v>
      </c>
    </row>
    <row r="12" spans="1:5" ht="15" customHeight="1" x14ac:dyDescent="0.25">
      <c r="A12" t="s">
        <v>1670</v>
      </c>
      <c r="B12" t="s">
        <v>1026</v>
      </c>
      <c r="C12" t="s">
        <v>30</v>
      </c>
      <c r="D12" t="s">
        <v>2248</v>
      </c>
      <c r="E12">
        <v>8</v>
      </c>
    </row>
    <row r="13" spans="1:5" ht="15" customHeight="1" x14ac:dyDescent="0.25">
      <c r="A13" t="s">
        <v>1725</v>
      </c>
      <c r="B13" t="s">
        <v>1026</v>
      </c>
      <c r="C13" t="s">
        <v>30</v>
      </c>
      <c r="D13" t="s">
        <v>2256</v>
      </c>
      <c r="E13">
        <v>3</v>
      </c>
    </row>
    <row r="14" spans="1:5" ht="15" customHeight="1" x14ac:dyDescent="0.25">
      <c r="A14" t="s">
        <v>1734</v>
      </c>
      <c r="B14" t="s">
        <v>1026</v>
      </c>
      <c r="C14" t="s">
        <v>30</v>
      </c>
      <c r="D14" t="s">
        <v>2257</v>
      </c>
      <c r="E14">
        <v>3</v>
      </c>
    </row>
    <row r="15" spans="1:5" ht="15" customHeight="1" x14ac:dyDescent="0.25">
      <c r="A15" t="s">
        <v>1762</v>
      </c>
      <c r="B15" t="s">
        <v>1026</v>
      </c>
      <c r="C15" t="s">
        <v>30</v>
      </c>
      <c r="D15" t="s">
        <v>2258</v>
      </c>
      <c r="E15">
        <v>2</v>
      </c>
    </row>
    <row r="16" spans="1:5" ht="15" customHeight="1" x14ac:dyDescent="0.25">
      <c r="A16" t="s">
        <v>1838</v>
      </c>
      <c r="B16" t="s">
        <v>1026</v>
      </c>
      <c r="C16" t="s">
        <v>30</v>
      </c>
      <c r="D16" t="s">
        <v>2259</v>
      </c>
      <c r="E16">
        <v>1</v>
      </c>
    </row>
    <row r="17" spans="1:5" ht="15" customHeight="1" x14ac:dyDescent="0.25">
      <c r="A17" t="s">
        <v>1839</v>
      </c>
      <c r="B17" t="s">
        <v>1026</v>
      </c>
      <c r="C17" t="s">
        <v>30</v>
      </c>
      <c r="D17" t="s">
        <v>2260</v>
      </c>
      <c r="E17">
        <v>1</v>
      </c>
    </row>
    <row r="18" spans="1:5" ht="15" customHeight="1" x14ac:dyDescent="0.25">
      <c r="A18" t="s">
        <v>1850</v>
      </c>
      <c r="B18" t="s">
        <v>1057</v>
      </c>
      <c r="C18" t="s">
        <v>30</v>
      </c>
      <c r="D18" t="s">
        <v>2261</v>
      </c>
      <c r="E18">
        <v>1</v>
      </c>
    </row>
    <row r="19" spans="1:5" ht="15" customHeight="1" x14ac:dyDescent="0.25">
      <c r="A19" t="s">
        <v>1854</v>
      </c>
      <c r="B19" t="s">
        <v>1057</v>
      </c>
      <c r="C19" t="s">
        <v>30</v>
      </c>
      <c r="D19" t="s">
        <v>2262</v>
      </c>
      <c r="E19">
        <v>1</v>
      </c>
    </row>
    <row r="20" spans="1:5" ht="15" customHeight="1" x14ac:dyDescent="0.25">
      <c r="A20" t="s">
        <v>1863</v>
      </c>
      <c r="B20" t="s">
        <v>1026</v>
      </c>
      <c r="C20" t="s">
        <v>30</v>
      </c>
      <c r="D20" t="s">
        <v>2263</v>
      </c>
      <c r="E20">
        <v>1</v>
      </c>
    </row>
    <row r="21" spans="1:5" ht="15" customHeight="1" x14ac:dyDescent="0.25">
      <c r="A21" t="s">
        <v>1888</v>
      </c>
      <c r="B21" t="s">
        <v>1026</v>
      </c>
      <c r="C21" t="s">
        <v>30</v>
      </c>
      <c r="D21" t="s">
        <v>2264</v>
      </c>
      <c r="E21">
        <v>1</v>
      </c>
    </row>
    <row r="22" spans="1:5" ht="15" customHeight="1" x14ac:dyDescent="0.25">
      <c r="A22" t="s">
        <v>1927</v>
      </c>
      <c r="B22" t="s">
        <v>1026</v>
      </c>
      <c r="C22" t="s">
        <v>30</v>
      </c>
      <c r="D22" t="s">
        <v>2265</v>
      </c>
      <c r="E22">
        <v>1</v>
      </c>
    </row>
    <row r="23" spans="1:5" ht="15" customHeight="1" x14ac:dyDescent="0.25">
      <c r="A23" t="s">
        <v>1931</v>
      </c>
      <c r="B23" t="s">
        <v>1026</v>
      </c>
      <c r="C23" t="s">
        <v>30</v>
      </c>
      <c r="D23" t="s">
        <v>2266</v>
      </c>
      <c r="E23">
        <v>1</v>
      </c>
    </row>
    <row r="24" spans="1:5" ht="15" customHeight="1" x14ac:dyDescent="0.25">
      <c r="A24" t="s">
        <v>1712</v>
      </c>
      <c r="B24" t="s">
        <v>1058</v>
      </c>
      <c r="C24" t="s">
        <v>1059</v>
      </c>
      <c r="D24" t="s">
        <v>2249</v>
      </c>
      <c r="E24">
        <v>4</v>
      </c>
    </row>
    <row r="25" spans="1:5" ht="15" customHeight="1" x14ac:dyDescent="0.25">
      <c r="A25" t="s">
        <v>1825</v>
      </c>
      <c r="B25" t="s">
        <v>1058</v>
      </c>
      <c r="C25" t="s">
        <v>1059</v>
      </c>
      <c r="D25" t="s">
        <v>2267</v>
      </c>
      <c r="E25">
        <v>1</v>
      </c>
    </row>
    <row r="26" spans="1:5" ht="15" customHeight="1" x14ac:dyDescent="0.25">
      <c r="A26" t="s">
        <v>1904</v>
      </c>
      <c r="B26" t="s">
        <v>1058</v>
      </c>
      <c r="C26" t="s">
        <v>1059</v>
      </c>
      <c r="D26" t="s">
        <v>2268</v>
      </c>
      <c r="E26">
        <v>1</v>
      </c>
    </row>
    <row r="27" spans="1:5" ht="15" customHeight="1" x14ac:dyDescent="0.25">
      <c r="A27" t="s">
        <v>1919</v>
      </c>
      <c r="B27" t="s">
        <v>1058</v>
      </c>
      <c r="C27" t="s">
        <v>1059</v>
      </c>
      <c r="D27" t="s">
        <v>2269</v>
      </c>
      <c r="E27">
        <v>1</v>
      </c>
    </row>
    <row r="28" spans="1:5" ht="15" customHeight="1" x14ac:dyDescent="0.25">
      <c r="A28" t="s">
        <v>1843</v>
      </c>
      <c r="B28" t="s">
        <v>1066</v>
      </c>
      <c r="C28" t="s">
        <v>34</v>
      </c>
      <c r="D28" t="s">
        <v>2250</v>
      </c>
      <c r="E28">
        <v>1</v>
      </c>
    </row>
    <row r="29" spans="1:5" ht="15" customHeight="1" x14ac:dyDescent="0.25">
      <c r="A29" t="s">
        <v>1845</v>
      </c>
      <c r="B29" t="s">
        <v>1066</v>
      </c>
      <c r="C29" t="s">
        <v>34</v>
      </c>
      <c r="D29" t="s">
        <v>2270</v>
      </c>
      <c r="E29">
        <v>1</v>
      </c>
    </row>
    <row r="30" spans="1:5" ht="15" customHeight="1" x14ac:dyDescent="0.25">
      <c r="A30" t="s">
        <v>1923</v>
      </c>
      <c r="B30" t="s">
        <v>1054</v>
      </c>
      <c r="C30" t="s">
        <v>1055</v>
      </c>
      <c r="D30" t="s">
        <v>2251</v>
      </c>
      <c r="E30">
        <v>1</v>
      </c>
    </row>
    <row r="31" spans="1:5" ht="15" customHeight="1" x14ac:dyDescent="0.25">
      <c r="A31" t="s">
        <v>1924</v>
      </c>
      <c r="B31" t="s">
        <v>1054</v>
      </c>
      <c r="C31" t="s">
        <v>1055</v>
      </c>
      <c r="D31" t="s">
        <v>2271</v>
      </c>
      <c r="E31">
        <v>1</v>
      </c>
    </row>
    <row r="32" spans="1:5" ht="15" customHeight="1" x14ac:dyDescent="0.25">
      <c r="A32" t="s">
        <v>1890</v>
      </c>
      <c r="B32" t="s">
        <v>1064</v>
      </c>
      <c r="C32" t="s">
        <v>1065</v>
      </c>
      <c r="D32" t="s">
        <v>2272</v>
      </c>
      <c r="E32">
        <v>1</v>
      </c>
    </row>
    <row r="33" spans="1:5" ht="15" customHeight="1" x14ac:dyDescent="0.25">
      <c r="A33" t="s">
        <v>1684</v>
      </c>
      <c r="B33" t="s">
        <v>1056</v>
      </c>
      <c r="C33" t="s">
        <v>29</v>
      </c>
      <c r="D33" t="s">
        <v>2273</v>
      </c>
      <c r="E33">
        <v>6</v>
      </c>
    </row>
    <row r="34" spans="1:5" ht="15" customHeight="1" x14ac:dyDescent="0.25">
      <c r="A34" t="s">
        <v>1722</v>
      </c>
      <c r="B34" t="s">
        <v>1056</v>
      </c>
      <c r="C34" t="s">
        <v>29</v>
      </c>
      <c r="D34" t="s">
        <v>2274</v>
      </c>
      <c r="E34">
        <v>3</v>
      </c>
    </row>
    <row r="35" spans="1:5" ht="15" customHeight="1" x14ac:dyDescent="0.25">
      <c r="A35" t="s">
        <v>1746</v>
      </c>
      <c r="B35" t="s">
        <v>1056</v>
      </c>
      <c r="C35" t="s">
        <v>29</v>
      </c>
      <c r="D35" t="s">
        <v>2275</v>
      </c>
      <c r="E35">
        <v>3</v>
      </c>
    </row>
    <row r="36" spans="1:5" ht="15" customHeight="1" x14ac:dyDescent="0.25">
      <c r="A36" t="s">
        <v>1837</v>
      </c>
      <c r="B36" t="s">
        <v>1056</v>
      </c>
      <c r="C36" t="s">
        <v>29</v>
      </c>
      <c r="D36" t="s">
        <v>2276</v>
      </c>
      <c r="E36">
        <v>1</v>
      </c>
    </row>
    <row r="37" spans="1:5" ht="15" customHeight="1" x14ac:dyDescent="0.25">
      <c r="A37" t="s">
        <v>1865</v>
      </c>
      <c r="B37" t="s">
        <v>1056</v>
      </c>
      <c r="C37" t="s">
        <v>29</v>
      </c>
      <c r="D37" t="s">
        <v>2277</v>
      </c>
      <c r="E37">
        <v>1</v>
      </c>
    </row>
    <row r="38" spans="1:5" ht="15" customHeight="1" x14ac:dyDescent="0.25">
      <c r="A38" t="s">
        <v>1893</v>
      </c>
      <c r="B38" t="s">
        <v>1056</v>
      </c>
      <c r="C38" t="s">
        <v>29</v>
      </c>
      <c r="D38" t="s">
        <v>2278</v>
      </c>
      <c r="E38">
        <v>1</v>
      </c>
    </row>
    <row r="39" spans="1:5" ht="15" customHeight="1" x14ac:dyDescent="0.25">
      <c r="A39" t="s">
        <v>1911</v>
      </c>
      <c r="B39" t="s">
        <v>1056</v>
      </c>
      <c r="C39" t="s">
        <v>29</v>
      </c>
      <c r="D39" t="s">
        <v>2279</v>
      </c>
      <c r="E39">
        <v>1</v>
      </c>
    </row>
    <row r="40" spans="1:5" ht="15" customHeight="1" x14ac:dyDescent="0.25">
      <c r="A40" t="s">
        <v>1918</v>
      </c>
      <c r="B40" t="s">
        <v>1056</v>
      </c>
      <c r="C40" t="s">
        <v>29</v>
      </c>
      <c r="D40" t="s">
        <v>2280</v>
      </c>
      <c r="E40">
        <v>1</v>
      </c>
    </row>
    <row r="41" spans="1:5" ht="15" customHeight="1" x14ac:dyDescent="0.25">
      <c r="A41" t="s">
        <v>1691</v>
      </c>
      <c r="B41" t="s">
        <v>1041</v>
      </c>
      <c r="C41" t="s">
        <v>24</v>
      </c>
      <c r="D41" t="s">
        <v>2281</v>
      </c>
      <c r="E41">
        <v>5</v>
      </c>
    </row>
    <row r="42" spans="1:5" ht="15" customHeight="1" x14ac:dyDescent="0.25">
      <c r="A42" t="s">
        <v>1866</v>
      </c>
      <c r="B42" t="s">
        <v>1041</v>
      </c>
      <c r="C42" t="s">
        <v>24</v>
      </c>
      <c r="D42" t="s">
        <v>2285</v>
      </c>
      <c r="E42">
        <v>1</v>
      </c>
    </row>
    <row r="43" spans="1:5" ht="15" customHeight="1" x14ac:dyDescent="0.25">
      <c r="A43" t="s">
        <v>1902</v>
      </c>
      <c r="B43" t="s">
        <v>1041</v>
      </c>
      <c r="C43" t="s">
        <v>24</v>
      </c>
      <c r="D43" t="s">
        <v>2286</v>
      </c>
      <c r="E43">
        <v>1</v>
      </c>
    </row>
    <row r="44" spans="1:5" ht="15" customHeight="1" x14ac:dyDescent="0.25">
      <c r="A44" t="s">
        <v>1900</v>
      </c>
      <c r="B44" t="s">
        <v>1072</v>
      </c>
      <c r="C44" t="s">
        <v>1398</v>
      </c>
      <c r="D44" t="s">
        <v>2282</v>
      </c>
      <c r="E44">
        <v>1</v>
      </c>
    </row>
    <row r="45" spans="1:5" ht="15" customHeight="1" x14ac:dyDescent="0.25">
      <c r="A45" t="s">
        <v>1903</v>
      </c>
      <c r="B45" t="s">
        <v>1072</v>
      </c>
      <c r="C45" t="s">
        <v>1398</v>
      </c>
      <c r="D45" t="s">
        <v>2289</v>
      </c>
      <c r="E45">
        <v>1</v>
      </c>
    </row>
    <row r="46" spans="1:5" ht="15" customHeight="1" x14ac:dyDescent="0.25">
      <c r="A46" t="s">
        <v>1728</v>
      </c>
      <c r="B46" t="s">
        <v>1033</v>
      </c>
      <c r="C46" t="s">
        <v>16</v>
      </c>
      <c r="D46" t="s">
        <v>2283</v>
      </c>
      <c r="E46">
        <v>3</v>
      </c>
    </row>
    <row r="47" spans="1:5" ht="15" customHeight="1" x14ac:dyDescent="0.25">
      <c r="A47" t="s">
        <v>1769</v>
      </c>
      <c r="B47" t="s">
        <v>1033</v>
      </c>
      <c r="C47" t="s">
        <v>16</v>
      </c>
      <c r="D47" t="s">
        <v>2288</v>
      </c>
      <c r="E47">
        <v>2</v>
      </c>
    </row>
    <row r="48" spans="1:5" ht="15" customHeight="1" x14ac:dyDescent="0.25">
      <c r="A48" t="s">
        <v>1795</v>
      </c>
      <c r="B48" t="s">
        <v>1033</v>
      </c>
      <c r="C48" t="s">
        <v>16</v>
      </c>
      <c r="D48" t="s">
        <v>2287</v>
      </c>
      <c r="E48">
        <v>2</v>
      </c>
    </row>
    <row r="49" spans="1:5" ht="15" customHeight="1" x14ac:dyDescent="0.25">
      <c r="A49" t="s">
        <v>1943</v>
      </c>
      <c r="B49" t="s">
        <v>1051</v>
      </c>
      <c r="C49" t="s">
        <v>16</v>
      </c>
      <c r="D49" t="s">
        <v>2290</v>
      </c>
      <c r="E49">
        <v>1</v>
      </c>
    </row>
    <row r="50" spans="1:5" ht="15" customHeight="1" x14ac:dyDescent="0.25">
      <c r="A50" t="s">
        <v>1828</v>
      </c>
      <c r="B50" t="s">
        <v>1060</v>
      </c>
      <c r="C50" t="s">
        <v>9</v>
      </c>
      <c r="D50" t="s">
        <v>2284</v>
      </c>
      <c r="E50">
        <v>1</v>
      </c>
    </row>
    <row r="51" spans="1:5" ht="15" customHeight="1" x14ac:dyDescent="0.25">
      <c r="A51" t="s">
        <v>1875</v>
      </c>
      <c r="B51" t="s">
        <v>1070</v>
      </c>
      <c r="C51" t="s">
        <v>9</v>
      </c>
      <c r="D51" t="s">
        <v>2292</v>
      </c>
      <c r="E51">
        <v>1</v>
      </c>
    </row>
    <row r="52" spans="1:5" ht="15" customHeight="1" x14ac:dyDescent="0.25">
      <c r="A52" t="s">
        <v>1877</v>
      </c>
      <c r="B52" t="s">
        <v>1060</v>
      </c>
      <c r="C52" t="s">
        <v>9</v>
      </c>
      <c r="D52" t="s">
        <v>2293</v>
      </c>
      <c r="E52">
        <v>1</v>
      </c>
    </row>
    <row r="53" spans="1:5" ht="15" customHeight="1" x14ac:dyDescent="0.25">
      <c r="A53" t="s">
        <v>1882</v>
      </c>
      <c r="B53" t="s">
        <v>1060</v>
      </c>
      <c r="C53" t="s">
        <v>9</v>
      </c>
      <c r="D53" t="s">
        <v>2294</v>
      </c>
      <c r="E53">
        <v>1</v>
      </c>
    </row>
    <row r="54" spans="1:5" ht="15" customHeight="1" x14ac:dyDescent="0.25">
      <c r="A54" t="s">
        <v>1813</v>
      </c>
      <c r="B54" t="s">
        <v>1045</v>
      </c>
      <c r="C54" t="s">
        <v>1405</v>
      </c>
      <c r="D54" t="s">
        <v>2291</v>
      </c>
      <c r="E54">
        <v>1</v>
      </c>
    </row>
    <row r="55" spans="1:5" ht="15" customHeight="1" x14ac:dyDescent="0.25">
      <c r="A55" t="s">
        <v>1947</v>
      </c>
      <c r="B55" t="s">
        <v>1045</v>
      </c>
      <c r="C55" t="s">
        <v>1405</v>
      </c>
      <c r="D55" t="s">
        <v>2295</v>
      </c>
      <c r="E55">
        <v>1</v>
      </c>
    </row>
    <row r="56" spans="1:5" ht="15" customHeight="1" x14ac:dyDescent="0.25">
      <c r="A56" t="s">
        <v>1655</v>
      </c>
      <c r="B56" t="s">
        <v>1009</v>
      </c>
      <c r="C56" t="s">
        <v>6</v>
      </c>
      <c r="D56" t="s">
        <v>2296</v>
      </c>
      <c r="E56">
        <v>16</v>
      </c>
    </row>
    <row r="57" spans="1:5" ht="15" customHeight="1" x14ac:dyDescent="0.25">
      <c r="A57" t="s">
        <v>1657</v>
      </c>
      <c r="B57" t="s">
        <v>1009</v>
      </c>
      <c r="C57" t="s">
        <v>6</v>
      </c>
      <c r="D57" t="s">
        <v>2297</v>
      </c>
      <c r="E57">
        <v>14</v>
      </c>
    </row>
    <row r="58" spans="1:5" ht="15" customHeight="1" x14ac:dyDescent="0.25">
      <c r="A58" t="s">
        <v>1661</v>
      </c>
      <c r="B58" t="s">
        <v>1009</v>
      </c>
      <c r="C58" t="s">
        <v>6</v>
      </c>
      <c r="D58" t="s">
        <v>2298</v>
      </c>
      <c r="E58">
        <v>12</v>
      </c>
    </row>
    <row r="59" spans="1:5" ht="15" customHeight="1" x14ac:dyDescent="0.25">
      <c r="A59" t="s">
        <v>1666</v>
      </c>
      <c r="B59" t="s">
        <v>1009</v>
      </c>
      <c r="C59" t="s">
        <v>6</v>
      </c>
      <c r="D59" t="s">
        <v>2299</v>
      </c>
      <c r="E59">
        <v>11</v>
      </c>
    </row>
    <row r="60" spans="1:5" ht="15" customHeight="1" x14ac:dyDescent="0.25">
      <c r="A60" t="s">
        <v>1667</v>
      </c>
      <c r="B60" t="s">
        <v>1009</v>
      </c>
      <c r="C60" t="s">
        <v>6</v>
      </c>
      <c r="D60" t="s">
        <v>2300</v>
      </c>
      <c r="E60">
        <v>10</v>
      </c>
    </row>
    <row r="61" spans="1:5" ht="15" customHeight="1" x14ac:dyDescent="0.25">
      <c r="A61" t="s">
        <v>1669</v>
      </c>
      <c r="B61" t="s">
        <v>1009</v>
      </c>
      <c r="C61" t="s">
        <v>6</v>
      </c>
      <c r="D61" t="s">
        <v>2301</v>
      </c>
      <c r="E61">
        <v>8</v>
      </c>
    </row>
    <row r="62" spans="1:5" ht="15" customHeight="1" x14ac:dyDescent="0.25">
      <c r="A62" t="s">
        <v>1675</v>
      </c>
      <c r="B62" t="s">
        <v>1009</v>
      </c>
      <c r="C62" t="s">
        <v>6</v>
      </c>
      <c r="D62" t="s">
        <v>2302</v>
      </c>
      <c r="E62">
        <v>7</v>
      </c>
    </row>
    <row r="63" spans="1:5" ht="15" customHeight="1" x14ac:dyDescent="0.25">
      <c r="A63" t="s">
        <v>1676</v>
      </c>
      <c r="B63" t="s">
        <v>1009</v>
      </c>
      <c r="C63" t="s">
        <v>6</v>
      </c>
      <c r="D63" t="s">
        <v>2303</v>
      </c>
      <c r="E63">
        <v>7</v>
      </c>
    </row>
    <row r="64" spans="1:5" ht="15" customHeight="1" x14ac:dyDescent="0.25">
      <c r="A64" t="s">
        <v>1681</v>
      </c>
      <c r="B64" t="s">
        <v>1009</v>
      </c>
      <c r="C64" t="s">
        <v>6</v>
      </c>
      <c r="D64" t="s">
        <v>2304</v>
      </c>
      <c r="E64">
        <v>6</v>
      </c>
    </row>
    <row r="65" spans="1:5" ht="15" customHeight="1" x14ac:dyDescent="0.25">
      <c r="A65" t="s">
        <v>1683</v>
      </c>
      <c r="B65" t="s">
        <v>1009</v>
      </c>
      <c r="C65" t="s">
        <v>6</v>
      </c>
      <c r="D65" t="s">
        <v>2305</v>
      </c>
      <c r="E65">
        <v>6</v>
      </c>
    </row>
    <row r="66" spans="1:5" ht="15" customHeight="1" x14ac:dyDescent="0.25">
      <c r="A66" t="s">
        <v>1697</v>
      </c>
      <c r="B66" t="s">
        <v>1009</v>
      </c>
      <c r="C66" t="s">
        <v>6</v>
      </c>
      <c r="D66" t="s">
        <v>2306</v>
      </c>
      <c r="E66">
        <v>5</v>
      </c>
    </row>
    <row r="67" spans="1:5" ht="15" customHeight="1" x14ac:dyDescent="0.25">
      <c r="A67" t="s">
        <v>1698</v>
      </c>
      <c r="B67" t="s">
        <v>1009</v>
      </c>
      <c r="C67" t="s">
        <v>6</v>
      </c>
      <c r="D67" t="s">
        <v>2307</v>
      </c>
      <c r="E67">
        <v>5</v>
      </c>
    </row>
    <row r="68" spans="1:5" ht="15" customHeight="1" x14ac:dyDescent="0.25">
      <c r="A68" t="s">
        <v>1703</v>
      </c>
      <c r="B68" t="s">
        <v>1009</v>
      </c>
      <c r="C68" t="s">
        <v>6</v>
      </c>
      <c r="D68" t="s">
        <v>2308</v>
      </c>
      <c r="E68">
        <v>5</v>
      </c>
    </row>
    <row r="69" spans="1:5" ht="15" customHeight="1" x14ac:dyDescent="0.25">
      <c r="A69" t="s">
        <v>1704</v>
      </c>
      <c r="B69" t="s">
        <v>1009</v>
      </c>
      <c r="C69" t="s">
        <v>6</v>
      </c>
      <c r="D69" t="s">
        <v>2309</v>
      </c>
      <c r="E69">
        <v>5</v>
      </c>
    </row>
    <row r="70" spans="1:5" ht="15" customHeight="1" x14ac:dyDescent="0.25">
      <c r="A70" t="s">
        <v>1705</v>
      </c>
      <c r="B70" t="s">
        <v>1009</v>
      </c>
      <c r="C70" t="s">
        <v>6</v>
      </c>
      <c r="D70" t="s">
        <v>2310</v>
      </c>
      <c r="E70">
        <v>4</v>
      </c>
    </row>
    <row r="71" spans="1:5" ht="15" customHeight="1" x14ac:dyDescent="0.25">
      <c r="A71" t="s">
        <v>1710</v>
      </c>
      <c r="B71" t="s">
        <v>1009</v>
      </c>
      <c r="C71" t="s">
        <v>6</v>
      </c>
      <c r="D71" t="s">
        <v>2311</v>
      </c>
      <c r="E71">
        <v>4</v>
      </c>
    </row>
    <row r="72" spans="1:5" ht="15" customHeight="1" x14ac:dyDescent="0.25">
      <c r="A72" t="s">
        <v>1736</v>
      </c>
      <c r="B72" t="s">
        <v>1009</v>
      </c>
      <c r="C72" t="s">
        <v>6</v>
      </c>
      <c r="D72" t="s">
        <v>2312</v>
      </c>
      <c r="E72">
        <v>3</v>
      </c>
    </row>
    <row r="73" spans="1:5" ht="15" customHeight="1" x14ac:dyDescent="0.25">
      <c r="A73" t="s">
        <v>1742</v>
      </c>
      <c r="B73" t="s">
        <v>1010</v>
      </c>
      <c r="C73" t="s">
        <v>6</v>
      </c>
      <c r="D73" t="s">
        <v>2313</v>
      </c>
      <c r="E73">
        <v>3</v>
      </c>
    </row>
    <row r="74" spans="1:5" ht="15" customHeight="1" x14ac:dyDescent="0.25">
      <c r="A74" t="s">
        <v>1747</v>
      </c>
      <c r="B74" t="s">
        <v>1010</v>
      </c>
      <c r="C74" t="s">
        <v>6</v>
      </c>
      <c r="D74" t="s">
        <v>2314</v>
      </c>
      <c r="E74">
        <v>3</v>
      </c>
    </row>
    <row r="75" spans="1:5" ht="15" customHeight="1" x14ac:dyDescent="0.25">
      <c r="A75" t="s">
        <v>1765</v>
      </c>
      <c r="B75" t="s">
        <v>1010</v>
      </c>
      <c r="C75" t="s">
        <v>6</v>
      </c>
      <c r="D75" t="s">
        <v>2315</v>
      </c>
      <c r="E75">
        <v>2</v>
      </c>
    </row>
    <row r="76" spans="1:5" ht="15" customHeight="1" x14ac:dyDescent="0.25">
      <c r="A76" t="s">
        <v>1767</v>
      </c>
      <c r="B76" t="s">
        <v>1009</v>
      </c>
      <c r="C76" t="s">
        <v>6</v>
      </c>
      <c r="D76" t="s">
        <v>2316</v>
      </c>
      <c r="E76">
        <v>2</v>
      </c>
    </row>
    <row r="77" spans="1:5" ht="15" customHeight="1" x14ac:dyDescent="0.25">
      <c r="A77" t="s">
        <v>1770</v>
      </c>
      <c r="B77" t="s">
        <v>1010</v>
      </c>
      <c r="C77" t="s">
        <v>6</v>
      </c>
      <c r="D77" t="s">
        <v>2317</v>
      </c>
      <c r="E77">
        <v>2</v>
      </c>
    </row>
    <row r="78" spans="1:5" ht="15" customHeight="1" x14ac:dyDescent="0.25">
      <c r="A78" t="s">
        <v>1771</v>
      </c>
      <c r="B78" t="s">
        <v>1010</v>
      </c>
      <c r="C78" t="s">
        <v>6</v>
      </c>
      <c r="D78" t="s">
        <v>2318</v>
      </c>
      <c r="E78">
        <v>2</v>
      </c>
    </row>
    <row r="79" spans="1:5" ht="15" customHeight="1" x14ac:dyDescent="0.25">
      <c r="A79" t="s">
        <v>1775</v>
      </c>
      <c r="B79" t="s">
        <v>1009</v>
      </c>
      <c r="C79" t="s">
        <v>6</v>
      </c>
      <c r="D79" t="s">
        <v>2319</v>
      </c>
      <c r="E79">
        <v>2</v>
      </c>
    </row>
    <row r="80" spans="1:5" ht="15" customHeight="1" x14ac:dyDescent="0.25">
      <c r="A80" t="s">
        <v>1787</v>
      </c>
      <c r="B80" t="s">
        <v>1010</v>
      </c>
      <c r="C80" t="s">
        <v>6</v>
      </c>
      <c r="D80" t="s">
        <v>2320</v>
      </c>
      <c r="E80">
        <v>2</v>
      </c>
    </row>
    <row r="81" spans="1:5" ht="15" customHeight="1" x14ac:dyDescent="0.25">
      <c r="A81" t="s">
        <v>1797</v>
      </c>
      <c r="B81" t="s">
        <v>1010</v>
      </c>
      <c r="C81" t="s">
        <v>6</v>
      </c>
      <c r="D81" t="s">
        <v>2321</v>
      </c>
      <c r="E81">
        <v>2</v>
      </c>
    </row>
    <row r="82" spans="1:5" ht="15" customHeight="1" x14ac:dyDescent="0.25">
      <c r="A82" t="s">
        <v>1801</v>
      </c>
      <c r="B82" t="s">
        <v>1010</v>
      </c>
      <c r="C82" t="s">
        <v>6</v>
      </c>
      <c r="D82" t="s">
        <v>2322</v>
      </c>
      <c r="E82">
        <v>2</v>
      </c>
    </row>
    <row r="83" spans="1:5" ht="15" customHeight="1" x14ac:dyDescent="0.25">
      <c r="A83" t="s">
        <v>1802</v>
      </c>
      <c r="B83" t="s">
        <v>1009</v>
      </c>
      <c r="C83" t="s">
        <v>6</v>
      </c>
      <c r="D83" t="s">
        <v>2323</v>
      </c>
      <c r="E83">
        <v>2</v>
      </c>
    </row>
    <row r="84" spans="1:5" ht="15" customHeight="1" x14ac:dyDescent="0.25">
      <c r="A84" t="s">
        <v>1805</v>
      </c>
      <c r="B84" t="s">
        <v>1010</v>
      </c>
      <c r="C84" t="s">
        <v>6</v>
      </c>
      <c r="D84" t="s">
        <v>2324</v>
      </c>
      <c r="E84">
        <v>2</v>
      </c>
    </row>
    <row r="85" spans="1:5" ht="15" customHeight="1" x14ac:dyDescent="0.25">
      <c r="A85" t="s">
        <v>1812</v>
      </c>
      <c r="B85" t="s">
        <v>1012</v>
      </c>
      <c r="C85" t="s">
        <v>6</v>
      </c>
      <c r="D85" t="s">
        <v>2325</v>
      </c>
      <c r="E85">
        <v>1</v>
      </c>
    </row>
    <row r="86" spans="1:5" ht="15" customHeight="1" x14ac:dyDescent="0.25">
      <c r="A86" t="s">
        <v>1834</v>
      </c>
      <c r="B86" t="s">
        <v>1010</v>
      </c>
      <c r="C86" t="s">
        <v>6</v>
      </c>
      <c r="D86" t="s">
        <v>2326</v>
      </c>
      <c r="E86">
        <v>1</v>
      </c>
    </row>
    <row r="87" spans="1:5" ht="15" customHeight="1" x14ac:dyDescent="0.25">
      <c r="A87" t="s">
        <v>1874</v>
      </c>
      <c r="B87" t="s">
        <v>1010</v>
      </c>
      <c r="C87" t="s">
        <v>6</v>
      </c>
      <c r="D87" t="s">
        <v>2327</v>
      </c>
      <c r="E87">
        <v>1</v>
      </c>
    </row>
    <row r="88" spans="1:5" ht="15" customHeight="1" x14ac:dyDescent="0.25">
      <c r="A88" t="s">
        <v>1889</v>
      </c>
      <c r="B88" t="s">
        <v>1010</v>
      </c>
      <c r="C88" t="s">
        <v>6</v>
      </c>
      <c r="D88" t="s">
        <v>2328</v>
      </c>
      <c r="E88">
        <v>1</v>
      </c>
    </row>
    <row r="89" spans="1:5" ht="15" customHeight="1" x14ac:dyDescent="0.25">
      <c r="A89" t="s">
        <v>1891</v>
      </c>
      <c r="B89" t="s">
        <v>1011</v>
      </c>
      <c r="C89" t="s">
        <v>6</v>
      </c>
      <c r="D89" t="s">
        <v>2329</v>
      </c>
      <c r="E89">
        <v>1</v>
      </c>
    </row>
    <row r="90" spans="1:5" ht="15" customHeight="1" x14ac:dyDescent="0.25">
      <c r="A90" t="s">
        <v>1899</v>
      </c>
      <c r="B90" t="s">
        <v>1010</v>
      </c>
      <c r="C90" t="s">
        <v>6</v>
      </c>
      <c r="D90" t="s">
        <v>2330</v>
      </c>
      <c r="E90">
        <v>1</v>
      </c>
    </row>
    <row r="91" spans="1:5" ht="15" customHeight="1" x14ac:dyDescent="0.25">
      <c r="A91" t="s">
        <v>1910</v>
      </c>
      <c r="B91" t="s">
        <v>1011</v>
      </c>
      <c r="C91" t="s">
        <v>6</v>
      </c>
      <c r="D91" t="s">
        <v>2331</v>
      </c>
      <c r="E91">
        <v>1</v>
      </c>
    </row>
    <row r="92" spans="1:5" ht="15" customHeight="1" x14ac:dyDescent="0.25">
      <c r="A92" t="s">
        <v>1932</v>
      </c>
      <c r="B92" t="s">
        <v>1010</v>
      </c>
      <c r="C92" t="s">
        <v>6</v>
      </c>
      <c r="D92" t="s">
        <v>2332</v>
      </c>
      <c r="E92">
        <v>1</v>
      </c>
    </row>
    <row r="93" spans="1:5" ht="15" customHeight="1" x14ac:dyDescent="0.25">
      <c r="A93" t="s">
        <v>1933</v>
      </c>
      <c r="B93" t="s">
        <v>1012</v>
      </c>
      <c r="C93" t="s">
        <v>6</v>
      </c>
      <c r="D93" t="s">
        <v>2333</v>
      </c>
      <c r="E93">
        <v>1</v>
      </c>
    </row>
    <row r="94" spans="1:5" ht="15" customHeight="1" x14ac:dyDescent="0.25">
      <c r="A94" t="s">
        <v>1946</v>
      </c>
      <c r="B94" t="s">
        <v>1010</v>
      </c>
      <c r="C94" t="s">
        <v>6</v>
      </c>
      <c r="D94" t="s">
        <v>2334</v>
      </c>
      <c r="E94">
        <v>1</v>
      </c>
    </row>
    <row r="95" spans="1:5" ht="15" customHeight="1" x14ac:dyDescent="0.25">
      <c r="A95" t="s">
        <v>1665</v>
      </c>
      <c r="B95" t="s">
        <v>1015</v>
      </c>
      <c r="C95" t="s">
        <v>20</v>
      </c>
      <c r="D95" t="s">
        <v>2335</v>
      </c>
      <c r="E95">
        <v>11</v>
      </c>
    </row>
    <row r="96" spans="1:5" ht="15" customHeight="1" x14ac:dyDescent="0.25">
      <c r="A96" t="s">
        <v>1671</v>
      </c>
      <c r="B96" t="s">
        <v>1015</v>
      </c>
      <c r="C96" t="s">
        <v>20</v>
      </c>
      <c r="D96" t="s">
        <v>2336</v>
      </c>
      <c r="E96">
        <v>8</v>
      </c>
    </row>
    <row r="97" spans="1:5" ht="15" customHeight="1" x14ac:dyDescent="0.25">
      <c r="A97" t="s">
        <v>1687</v>
      </c>
      <c r="B97" t="s">
        <v>1015</v>
      </c>
      <c r="C97" t="s">
        <v>20</v>
      </c>
      <c r="D97" t="s">
        <v>2337</v>
      </c>
      <c r="E97">
        <v>6</v>
      </c>
    </row>
    <row r="98" spans="1:5" ht="15" customHeight="1" x14ac:dyDescent="0.25">
      <c r="A98" t="s">
        <v>1694</v>
      </c>
      <c r="B98" t="s">
        <v>1015</v>
      </c>
      <c r="C98" t="s">
        <v>20</v>
      </c>
      <c r="D98" t="s">
        <v>2338</v>
      </c>
      <c r="E98">
        <v>5</v>
      </c>
    </row>
    <row r="99" spans="1:5" ht="15" customHeight="1" x14ac:dyDescent="0.25">
      <c r="A99" t="s">
        <v>1737</v>
      </c>
      <c r="B99" t="s">
        <v>1015</v>
      </c>
      <c r="C99" t="s">
        <v>20</v>
      </c>
      <c r="D99" t="s">
        <v>2339</v>
      </c>
      <c r="E99">
        <v>3</v>
      </c>
    </row>
    <row r="100" spans="1:5" ht="15" customHeight="1" x14ac:dyDescent="0.25">
      <c r="A100" t="s">
        <v>1763</v>
      </c>
      <c r="B100" t="s">
        <v>1015</v>
      </c>
      <c r="C100" t="s">
        <v>20</v>
      </c>
      <c r="D100" t="s">
        <v>2340</v>
      </c>
      <c r="E100">
        <v>2</v>
      </c>
    </row>
    <row r="101" spans="1:5" ht="15" customHeight="1" x14ac:dyDescent="0.25">
      <c r="A101" t="s">
        <v>1773</v>
      </c>
      <c r="B101" t="s">
        <v>1015</v>
      </c>
      <c r="C101" t="s">
        <v>20</v>
      </c>
      <c r="D101" t="s">
        <v>2341</v>
      </c>
      <c r="E101">
        <v>2</v>
      </c>
    </row>
    <row r="102" spans="1:5" ht="15" customHeight="1" x14ac:dyDescent="0.25">
      <c r="A102" t="s">
        <v>1786</v>
      </c>
      <c r="B102" t="s">
        <v>1015</v>
      </c>
      <c r="C102" t="s">
        <v>20</v>
      </c>
      <c r="D102" t="s">
        <v>2342</v>
      </c>
      <c r="E102">
        <v>2</v>
      </c>
    </row>
    <row r="103" spans="1:5" ht="15" customHeight="1" x14ac:dyDescent="0.25">
      <c r="A103" t="s">
        <v>1789</v>
      </c>
      <c r="B103" t="s">
        <v>1015</v>
      </c>
      <c r="C103" t="s">
        <v>20</v>
      </c>
      <c r="D103" t="s">
        <v>2343</v>
      </c>
      <c r="E103">
        <v>2</v>
      </c>
    </row>
    <row r="104" spans="1:5" ht="15" customHeight="1" x14ac:dyDescent="0.25">
      <c r="A104" t="s">
        <v>1792</v>
      </c>
      <c r="B104" t="s">
        <v>1015</v>
      </c>
      <c r="C104" t="s">
        <v>20</v>
      </c>
      <c r="D104" t="s">
        <v>2344</v>
      </c>
      <c r="E104">
        <v>2</v>
      </c>
    </row>
    <row r="105" spans="1:5" ht="15" customHeight="1" x14ac:dyDescent="0.25">
      <c r="A105" t="s">
        <v>1794</v>
      </c>
      <c r="B105" t="s">
        <v>1015</v>
      </c>
      <c r="C105" t="s">
        <v>20</v>
      </c>
      <c r="D105" t="s">
        <v>2345</v>
      </c>
      <c r="E105">
        <v>2</v>
      </c>
    </row>
    <row r="106" spans="1:5" ht="15" customHeight="1" x14ac:dyDescent="0.25">
      <c r="A106" t="s">
        <v>1804</v>
      </c>
      <c r="B106" t="s">
        <v>1015</v>
      </c>
      <c r="C106" t="s">
        <v>20</v>
      </c>
      <c r="D106" t="s">
        <v>2346</v>
      </c>
      <c r="E106">
        <v>2</v>
      </c>
    </row>
    <row r="107" spans="1:5" ht="15" customHeight="1" x14ac:dyDescent="0.25">
      <c r="A107" t="s">
        <v>1807</v>
      </c>
      <c r="B107" t="s">
        <v>1015</v>
      </c>
      <c r="C107" t="s">
        <v>20</v>
      </c>
      <c r="D107" t="s">
        <v>2347</v>
      </c>
      <c r="E107">
        <v>2</v>
      </c>
    </row>
    <row r="108" spans="1:5" ht="15" customHeight="1" x14ac:dyDescent="0.25">
      <c r="A108" t="s">
        <v>1821</v>
      </c>
      <c r="B108" t="s">
        <v>1014</v>
      </c>
      <c r="C108" t="s">
        <v>20</v>
      </c>
      <c r="D108" t="s">
        <v>2348</v>
      </c>
      <c r="E108">
        <v>1</v>
      </c>
    </row>
    <row r="109" spans="1:5" ht="15" customHeight="1" x14ac:dyDescent="0.25">
      <c r="A109" t="s">
        <v>1829</v>
      </c>
      <c r="B109" t="s">
        <v>1015</v>
      </c>
      <c r="C109" t="s">
        <v>20</v>
      </c>
      <c r="D109" t="s">
        <v>2349</v>
      </c>
      <c r="E109">
        <v>1</v>
      </c>
    </row>
    <row r="110" spans="1:5" ht="15" customHeight="1" x14ac:dyDescent="0.25">
      <c r="A110" t="s">
        <v>1833</v>
      </c>
      <c r="B110" t="s">
        <v>1015</v>
      </c>
      <c r="C110" t="s">
        <v>20</v>
      </c>
      <c r="D110" t="s">
        <v>2350</v>
      </c>
      <c r="E110">
        <v>1</v>
      </c>
    </row>
    <row r="111" spans="1:5" ht="15" customHeight="1" x14ac:dyDescent="0.25">
      <c r="A111" t="s">
        <v>1836</v>
      </c>
      <c r="B111" t="s">
        <v>1014</v>
      </c>
      <c r="C111" t="s">
        <v>20</v>
      </c>
      <c r="D111" t="s">
        <v>2351</v>
      </c>
      <c r="E111">
        <v>1</v>
      </c>
    </row>
    <row r="112" spans="1:5" ht="15" customHeight="1" x14ac:dyDescent="0.25">
      <c r="A112" t="s">
        <v>1885</v>
      </c>
      <c r="B112" t="s">
        <v>1015</v>
      </c>
      <c r="C112" t="s">
        <v>20</v>
      </c>
      <c r="D112" t="s">
        <v>2352</v>
      </c>
      <c r="E112">
        <v>1</v>
      </c>
    </row>
    <row r="113" spans="1:5" ht="15" customHeight="1" x14ac:dyDescent="0.25">
      <c r="A113" t="s">
        <v>1895</v>
      </c>
      <c r="B113" t="s">
        <v>1015</v>
      </c>
      <c r="C113" t="s">
        <v>20</v>
      </c>
      <c r="D113" t="s">
        <v>2353</v>
      </c>
      <c r="E113">
        <v>1</v>
      </c>
    </row>
    <row r="114" spans="1:5" ht="15" customHeight="1" x14ac:dyDescent="0.25">
      <c r="A114" t="s">
        <v>1917</v>
      </c>
      <c r="B114" t="s">
        <v>1015</v>
      </c>
      <c r="C114" t="s">
        <v>20</v>
      </c>
      <c r="D114" t="s">
        <v>2354</v>
      </c>
      <c r="E114">
        <v>1</v>
      </c>
    </row>
    <row r="115" spans="1:5" ht="15" customHeight="1" x14ac:dyDescent="0.25">
      <c r="A115" t="s">
        <v>1936</v>
      </c>
      <c r="B115" t="s">
        <v>1015</v>
      </c>
      <c r="C115" t="s">
        <v>20</v>
      </c>
      <c r="D115" t="s">
        <v>2355</v>
      </c>
      <c r="E115">
        <v>1</v>
      </c>
    </row>
    <row r="116" spans="1:5" ht="15" customHeight="1" x14ac:dyDescent="0.25">
      <c r="A116" t="s">
        <v>1654</v>
      </c>
      <c r="B116" t="s">
        <v>1007</v>
      </c>
      <c r="C116" t="s">
        <v>26</v>
      </c>
      <c r="D116" t="s">
        <v>2356</v>
      </c>
      <c r="E116">
        <v>16</v>
      </c>
    </row>
    <row r="117" spans="1:5" ht="15" customHeight="1" x14ac:dyDescent="0.25">
      <c r="A117" t="s">
        <v>1663</v>
      </c>
      <c r="B117" t="s">
        <v>1007</v>
      </c>
      <c r="C117" t="s">
        <v>26</v>
      </c>
      <c r="D117" t="s">
        <v>2357</v>
      </c>
      <c r="E117">
        <v>11</v>
      </c>
    </row>
    <row r="118" spans="1:5" ht="15" customHeight="1" x14ac:dyDescent="0.25">
      <c r="A118" t="s">
        <v>1674</v>
      </c>
      <c r="B118" t="s">
        <v>1007</v>
      </c>
      <c r="C118" t="s">
        <v>26</v>
      </c>
      <c r="D118" t="s">
        <v>2358</v>
      </c>
      <c r="E118">
        <v>7</v>
      </c>
    </row>
    <row r="119" spans="1:5" ht="15" customHeight="1" x14ac:dyDescent="0.25">
      <c r="A119" t="s">
        <v>1678</v>
      </c>
      <c r="B119" t="s">
        <v>1007</v>
      </c>
      <c r="C119" t="s">
        <v>26</v>
      </c>
      <c r="D119" t="s">
        <v>2359</v>
      </c>
      <c r="E119">
        <v>7</v>
      </c>
    </row>
    <row r="120" spans="1:5" ht="15" customHeight="1" x14ac:dyDescent="0.25">
      <c r="A120" t="s">
        <v>1680</v>
      </c>
      <c r="B120" t="s">
        <v>1007</v>
      </c>
      <c r="C120" t="s">
        <v>26</v>
      </c>
      <c r="D120" t="s">
        <v>2360</v>
      </c>
      <c r="E120">
        <v>6</v>
      </c>
    </row>
    <row r="121" spans="1:5" ht="15" customHeight="1" x14ac:dyDescent="0.25">
      <c r="A121" t="s">
        <v>1700</v>
      </c>
      <c r="B121" t="s">
        <v>1007</v>
      </c>
      <c r="C121" t="s">
        <v>26</v>
      </c>
      <c r="D121" t="s">
        <v>2361</v>
      </c>
      <c r="E121">
        <v>5</v>
      </c>
    </row>
    <row r="122" spans="1:5" ht="15" customHeight="1" x14ac:dyDescent="0.25">
      <c r="A122" t="s">
        <v>1707</v>
      </c>
      <c r="B122" t="s">
        <v>1007</v>
      </c>
      <c r="C122" t="s">
        <v>26</v>
      </c>
      <c r="D122" t="s">
        <v>2362</v>
      </c>
      <c r="E122">
        <v>4</v>
      </c>
    </row>
    <row r="123" spans="1:5" ht="15" customHeight="1" x14ac:dyDescent="0.25">
      <c r="A123" t="s">
        <v>1732</v>
      </c>
      <c r="B123" t="s">
        <v>1007</v>
      </c>
      <c r="C123" t="s">
        <v>26</v>
      </c>
      <c r="D123" t="s">
        <v>2363</v>
      </c>
      <c r="E123">
        <v>3</v>
      </c>
    </row>
    <row r="124" spans="1:5" ht="15" customHeight="1" x14ac:dyDescent="0.25">
      <c r="A124" t="s">
        <v>1739</v>
      </c>
      <c r="B124" t="s">
        <v>1007</v>
      </c>
      <c r="C124" t="s">
        <v>26</v>
      </c>
      <c r="D124" t="s">
        <v>2364</v>
      </c>
      <c r="E124">
        <v>3</v>
      </c>
    </row>
    <row r="125" spans="1:5" ht="15" customHeight="1" x14ac:dyDescent="0.25">
      <c r="A125" t="s">
        <v>1750</v>
      </c>
      <c r="B125" t="s">
        <v>1007</v>
      </c>
      <c r="C125" t="s">
        <v>26</v>
      </c>
      <c r="D125" t="s">
        <v>2365</v>
      </c>
      <c r="E125">
        <v>3</v>
      </c>
    </row>
    <row r="126" spans="1:5" ht="15" customHeight="1" x14ac:dyDescent="0.25">
      <c r="A126" t="s">
        <v>1751</v>
      </c>
      <c r="B126" t="s">
        <v>1007</v>
      </c>
      <c r="C126" t="s">
        <v>26</v>
      </c>
      <c r="D126" t="s">
        <v>2366</v>
      </c>
      <c r="E126">
        <v>3</v>
      </c>
    </row>
    <row r="127" spans="1:5" ht="15" customHeight="1" x14ac:dyDescent="0.25">
      <c r="A127" t="s">
        <v>1754</v>
      </c>
      <c r="B127" t="s">
        <v>1007</v>
      </c>
      <c r="C127" t="s">
        <v>26</v>
      </c>
      <c r="D127" t="s">
        <v>2367</v>
      </c>
      <c r="E127">
        <v>2</v>
      </c>
    </row>
    <row r="128" spans="1:5" ht="15" customHeight="1" x14ac:dyDescent="0.25">
      <c r="A128" t="s">
        <v>1809</v>
      </c>
      <c r="B128" t="s">
        <v>1007</v>
      </c>
      <c r="C128" t="s">
        <v>26</v>
      </c>
      <c r="D128" t="s">
        <v>2368</v>
      </c>
      <c r="E128">
        <v>2</v>
      </c>
    </row>
    <row r="129" spans="1:5" ht="15" customHeight="1" x14ac:dyDescent="0.25">
      <c r="A129" t="s">
        <v>1810</v>
      </c>
      <c r="B129" t="s">
        <v>1007</v>
      </c>
      <c r="C129" t="s">
        <v>26</v>
      </c>
      <c r="D129" t="s">
        <v>2369</v>
      </c>
      <c r="E129">
        <v>1</v>
      </c>
    </row>
    <row r="130" spans="1:5" ht="15" customHeight="1" x14ac:dyDescent="0.25">
      <c r="A130" t="s">
        <v>1858</v>
      </c>
      <c r="B130" t="s">
        <v>1008</v>
      </c>
      <c r="C130" t="s">
        <v>26</v>
      </c>
      <c r="D130" t="s">
        <v>2370</v>
      </c>
      <c r="E130">
        <v>1</v>
      </c>
    </row>
    <row r="131" spans="1:5" ht="15" customHeight="1" x14ac:dyDescent="0.25">
      <c r="A131" t="s">
        <v>1861</v>
      </c>
      <c r="B131" t="s">
        <v>1008</v>
      </c>
      <c r="C131" t="s">
        <v>26</v>
      </c>
      <c r="D131" t="s">
        <v>2371</v>
      </c>
      <c r="E131">
        <v>1</v>
      </c>
    </row>
    <row r="132" spans="1:5" ht="15" customHeight="1" x14ac:dyDescent="0.25">
      <c r="A132" t="s">
        <v>1867</v>
      </c>
      <c r="B132" t="s">
        <v>1008</v>
      </c>
      <c r="C132" t="s">
        <v>26</v>
      </c>
      <c r="D132" t="s">
        <v>2372</v>
      </c>
      <c r="E132">
        <v>1</v>
      </c>
    </row>
    <row r="133" spans="1:5" ht="15" customHeight="1" x14ac:dyDescent="0.25">
      <c r="A133" t="s">
        <v>1871</v>
      </c>
      <c r="B133" t="s">
        <v>1007</v>
      </c>
      <c r="C133" t="s">
        <v>26</v>
      </c>
      <c r="D133" t="s">
        <v>2373</v>
      </c>
      <c r="E133">
        <v>1</v>
      </c>
    </row>
    <row r="134" spans="1:5" ht="15" customHeight="1" x14ac:dyDescent="0.25">
      <c r="A134" t="s">
        <v>1921</v>
      </c>
      <c r="B134" t="s">
        <v>1007</v>
      </c>
      <c r="C134" t="s">
        <v>26</v>
      </c>
      <c r="D134" t="s">
        <v>2374</v>
      </c>
      <c r="E134">
        <v>1</v>
      </c>
    </row>
    <row r="135" spans="1:5" ht="15" customHeight="1" x14ac:dyDescent="0.25">
      <c r="A135" t="s">
        <v>1939</v>
      </c>
      <c r="B135" t="s">
        <v>1007</v>
      </c>
      <c r="C135" t="s">
        <v>26</v>
      </c>
      <c r="D135" t="s">
        <v>2375</v>
      </c>
      <c r="E135">
        <v>1</v>
      </c>
    </row>
    <row r="136" spans="1:5" ht="15" customHeight="1" x14ac:dyDescent="0.25">
      <c r="A136" t="s">
        <v>1945</v>
      </c>
      <c r="B136" t="s">
        <v>1007</v>
      </c>
      <c r="C136" t="s">
        <v>26</v>
      </c>
      <c r="D136" t="s">
        <v>2376</v>
      </c>
      <c r="E136">
        <v>1</v>
      </c>
    </row>
    <row r="137" spans="1:5" ht="15" customHeight="1" x14ac:dyDescent="0.25">
      <c r="A137" t="s">
        <v>1824</v>
      </c>
      <c r="B137" t="s">
        <v>1061</v>
      </c>
      <c r="C137" t="s">
        <v>39</v>
      </c>
      <c r="D137" t="s">
        <v>2377</v>
      </c>
      <c r="E137">
        <v>1</v>
      </c>
    </row>
    <row r="138" spans="1:5" ht="15" customHeight="1" x14ac:dyDescent="0.25">
      <c r="A138" t="s">
        <v>1869</v>
      </c>
      <c r="B138" t="s">
        <v>1061</v>
      </c>
      <c r="C138" t="s">
        <v>39</v>
      </c>
      <c r="D138" t="s">
        <v>2378</v>
      </c>
      <c r="E138">
        <v>1</v>
      </c>
    </row>
    <row r="139" spans="1:5" ht="15" customHeight="1" x14ac:dyDescent="0.25">
      <c r="A139" t="s">
        <v>1689</v>
      </c>
      <c r="B139" t="s">
        <v>1028</v>
      </c>
      <c r="C139" t="s">
        <v>1029</v>
      </c>
      <c r="D139" t="s">
        <v>2379</v>
      </c>
      <c r="E139">
        <v>5</v>
      </c>
    </row>
    <row r="140" spans="1:5" ht="15" customHeight="1" x14ac:dyDescent="0.25">
      <c r="A140" t="s">
        <v>1714</v>
      </c>
      <c r="B140" t="s">
        <v>1028</v>
      </c>
      <c r="C140" t="s">
        <v>1029</v>
      </c>
      <c r="D140" t="s">
        <v>2381</v>
      </c>
      <c r="E140">
        <v>4</v>
      </c>
    </row>
    <row r="141" spans="1:5" ht="15" customHeight="1" x14ac:dyDescent="0.25">
      <c r="A141" t="s">
        <v>1823</v>
      </c>
      <c r="B141" t="s">
        <v>1028</v>
      </c>
      <c r="C141" t="s">
        <v>1029</v>
      </c>
      <c r="D141" t="s">
        <v>2382</v>
      </c>
      <c r="E141">
        <v>1</v>
      </c>
    </row>
    <row r="142" spans="1:5" ht="15" customHeight="1" x14ac:dyDescent="0.25">
      <c r="A142" t="s">
        <v>1827</v>
      </c>
      <c r="B142" t="s">
        <v>1028</v>
      </c>
      <c r="C142" t="s">
        <v>1029</v>
      </c>
      <c r="D142" t="s">
        <v>2383</v>
      </c>
      <c r="E142">
        <v>1</v>
      </c>
    </row>
    <row r="143" spans="1:5" ht="15" customHeight="1" x14ac:dyDescent="0.25">
      <c r="A143" t="s">
        <v>1905</v>
      </c>
      <c r="B143" t="s">
        <v>1028</v>
      </c>
      <c r="C143" t="s">
        <v>1029</v>
      </c>
      <c r="D143" t="s">
        <v>2384</v>
      </c>
      <c r="E143">
        <v>1</v>
      </c>
    </row>
    <row r="144" spans="1:5" ht="15" customHeight="1" x14ac:dyDescent="0.25">
      <c r="A144" t="s">
        <v>1906</v>
      </c>
      <c r="B144" t="s">
        <v>1028</v>
      </c>
      <c r="C144" t="s">
        <v>1029</v>
      </c>
      <c r="D144" t="s">
        <v>2385</v>
      </c>
      <c r="E144">
        <v>1</v>
      </c>
    </row>
    <row r="145" spans="1:5" ht="15" customHeight="1" x14ac:dyDescent="0.25">
      <c r="A145" t="s">
        <v>1715</v>
      </c>
      <c r="B145" t="s">
        <v>1043</v>
      </c>
      <c r="C145" t="s">
        <v>7</v>
      </c>
      <c r="D145" t="s">
        <v>2386</v>
      </c>
      <c r="E145">
        <v>4</v>
      </c>
    </row>
    <row r="146" spans="1:5" ht="15" customHeight="1" x14ac:dyDescent="0.25">
      <c r="A146" t="s">
        <v>1731</v>
      </c>
      <c r="B146" t="s">
        <v>1043</v>
      </c>
      <c r="C146" t="s">
        <v>7</v>
      </c>
      <c r="D146" t="s">
        <v>2387</v>
      </c>
      <c r="E146">
        <v>3</v>
      </c>
    </row>
    <row r="147" spans="1:5" ht="15" customHeight="1" x14ac:dyDescent="0.25">
      <c r="A147" t="s">
        <v>1800</v>
      </c>
      <c r="B147" t="s">
        <v>1043</v>
      </c>
      <c r="C147" t="s">
        <v>7</v>
      </c>
      <c r="D147" t="s">
        <v>2388</v>
      </c>
      <c r="E147">
        <v>2</v>
      </c>
    </row>
    <row r="148" spans="1:5" ht="15" customHeight="1" x14ac:dyDescent="0.25">
      <c r="A148" t="s">
        <v>1664</v>
      </c>
      <c r="B148" t="s">
        <v>1018</v>
      </c>
      <c r="C148" t="s">
        <v>1017</v>
      </c>
      <c r="D148" t="s">
        <v>2380</v>
      </c>
      <c r="E148">
        <v>11</v>
      </c>
    </row>
    <row r="149" spans="1:5" ht="15" customHeight="1" x14ac:dyDescent="0.25">
      <c r="A149" t="s">
        <v>1677</v>
      </c>
      <c r="B149" t="s">
        <v>1018</v>
      </c>
      <c r="C149" t="s">
        <v>1017</v>
      </c>
      <c r="D149" t="s">
        <v>2389</v>
      </c>
      <c r="E149">
        <v>7</v>
      </c>
    </row>
    <row r="150" spans="1:5" ht="15" customHeight="1" x14ac:dyDescent="0.25">
      <c r="A150" t="s">
        <v>1685</v>
      </c>
      <c r="B150" t="s">
        <v>1018</v>
      </c>
      <c r="C150" t="s">
        <v>1017</v>
      </c>
      <c r="D150" t="s">
        <v>2390</v>
      </c>
      <c r="E150">
        <v>6</v>
      </c>
    </row>
    <row r="151" spans="1:5" ht="15" customHeight="1" x14ac:dyDescent="0.25">
      <c r="A151" t="s">
        <v>1696</v>
      </c>
      <c r="B151" t="s">
        <v>1018</v>
      </c>
      <c r="C151" t="s">
        <v>1017</v>
      </c>
      <c r="D151" t="s">
        <v>2391</v>
      </c>
      <c r="E151">
        <v>5</v>
      </c>
    </row>
    <row r="152" spans="1:5" ht="15" customHeight="1" x14ac:dyDescent="0.25">
      <c r="A152" t="s">
        <v>1701</v>
      </c>
      <c r="B152" t="s">
        <v>1018</v>
      </c>
      <c r="C152" t="s">
        <v>1017</v>
      </c>
      <c r="D152" t="s">
        <v>2392</v>
      </c>
      <c r="E152">
        <v>5</v>
      </c>
    </row>
    <row r="153" spans="1:5" ht="15" customHeight="1" x14ac:dyDescent="0.25">
      <c r="A153" t="s">
        <v>1706</v>
      </c>
      <c r="B153" t="s">
        <v>1018</v>
      </c>
      <c r="C153" t="s">
        <v>1017</v>
      </c>
      <c r="D153" t="s">
        <v>2393</v>
      </c>
      <c r="E153">
        <v>4</v>
      </c>
    </row>
    <row r="154" spans="1:5" ht="15" customHeight="1" x14ac:dyDescent="0.25">
      <c r="A154" t="s">
        <v>1711</v>
      </c>
      <c r="B154" t="s">
        <v>1018</v>
      </c>
      <c r="C154" t="s">
        <v>1017</v>
      </c>
      <c r="D154" t="s">
        <v>2394</v>
      </c>
      <c r="E154">
        <v>4</v>
      </c>
    </row>
    <row r="155" spans="1:5" ht="15" customHeight="1" x14ac:dyDescent="0.25">
      <c r="A155" t="s">
        <v>1713</v>
      </c>
      <c r="B155" t="s">
        <v>1018</v>
      </c>
      <c r="C155" t="s">
        <v>1017</v>
      </c>
      <c r="D155" t="s">
        <v>2395</v>
      </c>
      <c r="E155">
        <v>4</v>
      </c>
    </row>
    <row r="156" spans="1:5" ht="15" customHeight="1" x14ac:dyDescent="0.25">
      <c r="A156" t="s">
        <v>1718</v>
      </c>
      <c r="B156" t="s">
        <v>1018</v>
      </c>
      <c r="C156" t="s">
        <v>1017</v>
      </c>
      <c r="D156" t="s">
        <v>2396</v>
      </c>
      <c r="E156">
        <v>4</v>
      </c>
    </row>
    <row r="157" spans="1:5" ht="15" customHeight="1" x14ac:dyDescent="0.25">
      <c r="A157" t="s">
        <v>1744</v>
      </c>
      <c r="B157" t="s">
        <v>1018</v>
      </c>
      <c r="C157" t="s">
        <v>1017</v>
      </c>
      <c r="D157" t="s">
        <v>2397</v>
      </c>
      <c r="E157">
        <v>3</v>
      </c>
    </row>
    <row r="158" spans="1:5" ht="15" customHeight="1" x14ac:dyDescent="0.25">
      <c r="A158" t="s">
        <v>1745</v>
      </c>
      <c r="B158" t="s">
        <v>1018</v>
      </c>
      <c r="C158" t="s">
        <v>1017</v>
      </c>
      <c r="D158" t="s">
        <v>2398</v>
      </c>
      <c r="E158">
        <v>3</v>
      </c>
    </row>
    <row r="159" spans="1:5" ht="15" customHeight="1" x14ac:dyDescent="0.25">
      <c r="A159" t="s">
        <v>1766</v>
      </c>
      <c r="B159" t="s">
        <v>1018</v>
      </c>
      <c r="C159" t="s">
        <v>1017</v>
      </c>
      <c r="D159" t="s">
        <v>2399</v>
      </c>
      <c r="E159">
        <v>2</v>
      </c>
    </row>
    <row r="160" spans="1:5" ht="15" customHeight="1" x14ac:dyDescent="0.25">
      <c r="A160" t="s">
        <v>1784</v>
      </c>
      <c r="B160" t="s">
        <v>1018</v>
      </c>
      <c r="C160" t="s">
        <v>1017</v>
      </c>
      <c r="D160" t="s">
        <v>2400</v>
      </c>
      <c r="E160">
        <v>2</v>
      </c>
    </row>
    <row r="161" spans="1:5" ht="15" customHeight="1" x14ac:dyDescent="0.25">
      <c r="A161" t="s">
        <v>1803</v>
      </c>
      <c r="B161" t="s">
        <v>1018</v>
      </c>
      <c r="C161" t="s">
        <v>1017</v>
      </c>
      <c r="D161" t="s">
        <v>2401</v>
      </c>
      <c r="E161">
        <v>2</v>
      </c>
    </row>
    <row r="162" spans="1:5" ht="15" customHeight="1" x14ac:dyDescent="0.25">
      <c r="A162" t="s">
        <v>1830</v>
      </c>
      <c r="B162" t="s">
        <v>1016</v>
      </c>
      <c r="C162" t="s">
        <v>1017</v>
      </c>
      <c r="D162" t="s">
        <v>2402</v>
      </c>
      <c r="E162">
        <v>1</v>
      </c>
    </row>
    <row r="163" spans="1:5" ht="15" customHeight="1" x14ac:dyDescent="0.25">
      <c r="A163" t="s">
        <v>1831</v>
      </c>
      <c r="B163" t="s">
        <v>1016</v>
      </c>
      <c r="C163" t="s">
        <v>1017</v>
      </c>
      <c r="D163" t="s">
        <v>2403</v>
      </c>
      <c r="E163">
        <v>1</v>
      </c>
    </row>
    <row r="164" spans="1:5" ht="15" customHeight="1" x14ac:dyDescent="0.25">
      <c r="A164" t="s">
        <v>1832</v>
      </c>
      <c r="B164" t="s">
        <v>1016</v>
      </c>
      <c r="C164" t="s">
        <v>1017</v>
      </c>
      <c r="D164" t="s">
        <v>2404</v>
      </c>
      <c r="E164">
        <v>1</v>
      </c>
    </row>
    <row r="165" spans="1:5" ht="15" customHeight="1" x14ac:dyDescent="0.25">
      <c r="A165" t="s">
        <v>1846</v>
      </c>
      <c r="B165" t="s">
        <v>1018</v>
      </c>
      <c r="C165" t="s">
        <v>1017</v>
      </c>
      <c r="D165" t="s">
        <v>2405</v>
      </c>
      <c r="E165">
        <v>1</v>
      </c>
    </row>
    <row r="166" spans="1:5" ht="15" customHeight="1" x14ac:dyDescent="0.25">
      <c r="A166" t="s">
        <v>1920</v>
      </c>
      <c r="B166" t="s">
        <v>1018</v>
      </c>
      <c r="C166" t="s">
        <v>1017</v>
      </c>
      <c r="D166" t="s">
        <v>2406</v>
      </c>
      <c r="E166">
        <v>1</v>
      </c>
    </row>
    <row r="167" spans="1:5" ht="15" customHeight="1" x14ac:dyDescent="0.25">
      <c r="A167" t="s">
        <v>1937</v>
      </c>
      <c r="B167" t="s">
        <v>1018</v>
      </c>
      <c r="C167" t="s">
        <v>1017</v>
      </c>
      <c r="D167" t="s">
        <v>2407</v>
      </c>
      <c r="E167">
        <v>1</v>
      </c>
    </row>
    <row r="168" spans="1:5" ht="15" customHeight="1" x14ac:dyDescent="0.25">
      <c r="A168" t="s">
        <v>1781</v>
      </c>
      <c r="B168" t="s">
        <v>1047</v>
      </c>
      <c r="C168" t="s">
        <v>27</v>
      </c>
      <c r="D168" t="s">
        <v>2408</v>
      </c>
      <c r="E168">
        <v>2</v>
      </c>
    </row>
    <row r="169" spans="1:5" ht="15" customHeight="1" x14ac:dyDescent="0.25">
      <c r="A169" t="s">
        <v>1815</v>
      </c>
      <c r="B169" t="s">
        <v>1067</v>
      </c>
      <c r="C169" t="s">
        <v>27</v>
      </c>
      <c r="D169" t="s">
        <v>2409</v>
      </c>
      <c r="E169">
        <v>1</v>
      </c>
    </row>
    <row r="170" spans="1:5" ht="15" customHeight="1" x14ac:dyDescent="0.25">
      <c r="A170" t="s">
        <v>1855</v>
      </c>
      <c r="B170" t="s">
        <v>1067</v>
      </c>
      <c r="C170" t="s">
        <v>27</v>
      </c>
      <c r="D170" t="s">
        <v>2410</v>
      </c>
      <c r="E170">
        <v>1</v>
      </c>
    </row>
    <row r="171" spans="1:5" ht="15" customHeight="1" x14ac:dyDescent="0.25">
      <c r="A171" t="s">
        <v>1859</v>
      </c>
      <c r="B171" t="s">
        <v>1047</v>
      </c>
      <c r="C171" t="s">
        <v>27</v>
      </c>
      <c r="D171" t="s">
        <v>2411</v>
      </c>
      <c r="E171">
        <v>1</v>
      </c>
    </row>
    <row r="172" spans="1:5" ht="15" customHeight="1" x14ac:dyDescent="0.25">
      <c r="A172" t="s">
        <v>1862</v>
      </c>
      <c r="B172" t="s">
        <v>1047</v>
      </c>
      <c r="C172" t="s">
        <v>27</v>
      </c>
      <c r="D172" t="s">
        <v>2412</v>
      </c>
      <c r="E172">
        <v>1</v>
      </c>
    </row>
    <row r="173" spans="1:5" ht="15" customHeight="1" x14ac:dyDescent="0.25">
      <c r="A173" t="s">
        <v>1894</v>
      </c>
      <c r="B173" t="s">
        <v>1047</v>
      </c>
      <c r="C173" t="s">
        <v>27</v>
      </c>
      <c r="D173" t="s">
        <v>2413</v>
      </c>
      <c r="E173">
        <v>1</v>
      </c>
    </row>
    <row r="174" spans="1:5" ht="15" customHeight="1" x14ac:dyDescent="0.25">
      <c r="A174" t="s">
        <v>1925</v>
      </c>
      <c r="B174" t="s">
        <v>1047</v>
      </c>
      <c r="C174" t="s">
        <v>27</v>
      </c>
      <c r="D174" t="s">
        <v>2414</v>
      </c>
      <c r="E174">
        <v>1</v>
      </c>
    </row>
    <row r="175" spans="1:5" ht="15" customHeight="1" x14ac:dyDescent="0.25">
      <c r="A175" t="s">
        <v>1926</v>
      </c>
      <c r="B175" t="s">
        <v>1047</v>
      </c>
      <c r="C175" t="s">
        <v>27</v>
      </c>
      <c r="D175" t="s">
        <v>2415</v>
      </c>
      <c r="E175">
        <v>1</v>
      </c>
    </row>
    <row r="176" spans="1:5" ht="15" customHeight="1" x14ac:dyDescent="0.25">
      <c r="A176" t="s">
        <v>1940</v>
      </c>
      <c r="B176" t="s">
        <v>1047</v>
      </c>
      <c r="C176" t="s">
        <v>27</v>
      </c>
      <c r="D176" t="s">
        <v>2416</v>
      </c>
      <c r="E176">
        <v>1</v>
      </c>
    </row>
    <row r="177" spans="1:5" ht="15" customHeight="1" x14ac:dyDescent="0.25">
      <c r="A177" t="s">
        <v>1686</v>
      </c>
      <c r="B177" t="s">
        <v>1046</v>
      </c>
      <c r="C177" t="s">
        <v>37</v>
      </c>
      <c r="D177" t="s">
        <v>2417</v>
      </c>
      <c r="E177">
        <v>6</v>
      </c>
    </row>
    <row r="178" spans="1:5" ht="15" customHeight="1" x14ac:dyDescent="0.25">
      <c r="A178" t="s">
        <v>1749</v>
      </c>
      <c r="B178" t="s">
        <v>1046</v>
      </c>
      <c r="C178" t="s">
        <v>37</v>
      </c>
      <c r="D178" t="s">
        <v>2418</v>
      </c>
      <c r="E178">
        <v>3</v>
      </c>
    </row>
    <row r="179" spans="1:5" ht="15" customHeight="1" x14ac:dyDescent="0.25">
      <c r="A179" t="s">
        <v>1777</v>
      </c>
      <c r="B179" t="s">
        <v>1046</v>
      </c>
      <c r="C179" t="s">
        <v>37</v>
      </c>
      <c r="D179" t="s">
        <v>2419</v>
      </c>
      <c r="E179">
        <v>2</v>
      </c>
    </row>
    <row r="180" spans="1:5" ht="15" customHeight="1" x14ac:dyDescent="0.25">
      <c r="A180" t="s">
        <v>1848</v>
      </c>
      <c r="B180" t="s">
        <v>1046</v>
      </c>
      <c r="C180" t="s">
        <v>37</v>
      </c>
      <c r="D180" t="s">
        <v>2420</v>
      </c>
      <c r="E180">
        <v>1</v>
      </c>
    </row>
    <row r="181" spans="1:5" ht="15" customHeight="1" x14ac:dyDescent="0.25">
      <c r="A181" t="s">
        <v>1849</v>
      </c>
      <c r="B181" t="s">
        <v>1048</v>
      </c>
      <c r="C181" t="s">
        <v>37</v>
      </c>
      <c r="D181" t="s">
        <v>2421</v>
      </c>
      <c r="E181">
        <v>1</v>
      </c>
    </row>
    <row r="182" spans="1:5" ht="15" customHeight="1" x14ac:dyDescent="0.25">
      <c r="A182" t="s">
        <v>1864</v>
      </c>
      <c r="B182" t="s">
        <v>1046</v>
      </c>
      <c r="C182" t="s">
        <v>37</v>
      </c>
      <c r="D182" t="s">
        <v>2422</v>
      </c>
      <c r="E182">
        <v>1</v>
      </c>
    </row>
    <row r="183" spans="1:5" ht="15" customHeight="1" x14ac:dyDescent="0.25">
      <c r="A183" t="s">
        <v>1783</v>
      </c>
      <c r="B183" t="s">
        <v>1062</v>
      </c>
      <c r="C183" t="s">
        <v>1063</v>
      </c>
      <c r="D183" t="s">
        <v>2423</v>
      </c>
      <c r="E183">
        <v>2</v>
      </c>
    </row>
    <row r="184" spans="1:5" ht="15" customHeight="1" x14ac:dyDescent="0.25">
      <c r="A184" t="s">
        <v>1695</v>
      </c>
      <c r="B184" t="s">
        <v>1040</v>
      </c>
      <c r="C184" t="s">
        <v>18</v>
      </c>
      <c r="D184" t="s">
        <v>2424</v>
      </c>
      <c r="E184">
        <v>5</v>
      </c>
    </row>
    <row r="185" spans="1:5" ht="15" customHeight="1" x14ac:dyDescent="0.25">
      <c r="A185" t="s">
        <v>1724</v>
      </c>
      <c r="B185" t="s">
        <v>1040</v>
      </c>
      <c r="C185" t="s">
        <v>18</v>
      </c>
      <c r="D185" t="s">
        <v>2425</v>
      </c>
      <c r="E185">
        <v>3</v>
      </c>
    </row>
    <row r="186" spans="1:5" ht="15" customHeight="1" x14ac:dyDescent="0.25">
      <c r="A186" t="s">
        <v>1729</v>
      </c>
      <c r="B186" t="s">
        <v>1040</v>
      </c>
      <c r="C186" t="s">
        <v>18</v>
      </c>
      <c r="D186" t="s">
        <v>2426</v>
      </c>
      <c r="E186">
        <v>3</v>
      </c>
    </row>
    <row r="187" spans="1:5" ht="15" customHeight="1" x14ac:dyDescent="0.25">
      <c r="A187" t="s">
        <v>1738</v>
      </c>
      <c r="B187" t="s">
        <v>1040</v>
      </c>
      <c r="C187" t="s">
        <v>18</v>
      </c>
      <c r="D187" t="s">
        <v>2427</v>
      </c>
      <c r="E187">
        <v>3</v>
      </c>
    </row>
    <row r="188" spans="1:5" ht="15" customHeight="1" x14ac:dyDescent="0.25">
      <c r="A188" t="s">
        <v>1741</v>
      </c>
      <c r="B188" t="s">
        <v>1040</v>
      </c>
      <c r="C188" t="s">
        <v>18</v>
      </c>
      <c r="D188" t="s">
        <v>2428</v>
      </c>
      <c r="E188">
        <v>3</v>
      </c>
    </row>
    <row r="189" spans="1:5" ht="15" customHeight="1" x14ac:dyDescent="0.25">
      <c r="A189" t="s">
        <v>1780</v>
      </c>
      <c r="B189" t="s">
        <v>1040</v>
      </c>
      <c r="C189" t="s">
        <v>18</v>
      </c>
      <c r="D189" t="s">
        <v>2429</v>
      </c>
      <c r="E189">
        <v>2</v>
      </c>
    </row>
    <row r="190" spans="1:5" ht="15" customHeight="1" x14ac:dyDescent="0.25">
      <c r="A190" t="s">
        <v>1799</v>
      </c>
      <c r="B190" t="s">
        <v>1040</v>
      </c>
      <c r="C190" t="s">
        <v>18</v>
      </c>
      <c r="D190" t="s">
        <v>2430</v>
      </c>
      <c r="E190">
        <v>2</v>
      </c>
    </row>
    <row r="191" spans="1:5" ht="15" customHeight="1" x14ac:dyDescent="0.25">
      <c r="A191" t="s">
        <v>1879</v>
      </c>
      <c r="B191" t="s">
        <v>1040</v>
      </c>
      <c r="C191" t="s">
        <v>18</v>
      </c>
      <c r="D191" t="s">
        <v>2431</v>
      </c>
      <c r="E191">
        <v>1</v>
      </c>
    </row>
    <row r="192" spans="1:5" ht="15" customHeight="1" x14ac:dyDescent="0.25">
      <c r="A192" t="s">
        <v>1887</v>
      </c>
      <c r="B192" t="s">
        <v>1040</v>
      </c>
      <c r="C192" t="s">
        <v>18</v>
      </c>
      <c r="D192" t="s">
        <v>2432</v>
      </c>
      <c r="E192">
        <v>1</v>
      </c>
    </row>
    <row r="193" spans="1:5" ht="15" customHeight="1" x14ac:dyDescent="0.25">
      <c r="A193" t="s">
        <v>1938</v>
      </c>
      <c r="B193" t="s">
        <v>1040</v>
      </c>
      <c r="C193" t="s">
        <v>18</v>
      </c>
      <c r="D193" t="s">
        <v>2433</v>
      </c>
      <c r="E193">
        <v>1</v>
      </c>
    </row>
    <row r="194" spans="1:5" ht="15" customHeight="1" x14ac:dyDescent="0.25">
      <c r="A194" t="s">
        <v>1752</v>
      </c>
      <c r="B194" t="s">
        <v>1050</v>
      </c>
      <c r="C194" t="s">
        <v>23</v>
      </c>
      <c r="D194" t="s">
        <v>2434</v>
      </c>
      <c r="E194">
        <v>3</v>
      </c>
    </row>
    <row r="195" spans="1:5" ht="15" customHeight="1" x14ac:dyDescent="0.25">
      <c r="A195" t="s">
        <v>1662</v>
      </c>
      <c r="B195" t="s">
        <v>1021</v>
      </c>
      <c r="C195" t="s">
        <v>4</v>
      </c>
      <c r="D195" t="s">
        <v>2435</v>
      </c>
      <c r="E195">
        <v>11</v>
      </c>
    </row>
    <row r="196" spans="1:5" ht="15" customHeight="1" x14ac:dyDescent="0.25">
      <c r="A196" t="s">
        <v>1716</v>
      </c>
      <c r="B196" t="s">
        <v>1021</v>
      </c>
      <c r="C196" t="s">
        <v>4</v>
      </c>
      <c r="D196" t="s">
        <v>2436</v>
      </c>
      <c r="E196">
        <v>4</v>
      </c>
    </row>
    <row r="197" spans="1:5" ht="15" customHeight="1" x14ac:dyDescent="0.25">
      <c r="A197" t="s">
        <v>1733</v>
      </c>
      <c r="B197" t="s">
        <v>1021</v>
      </c>
      <c r="C197" t="s">
        <v>4</v>
      </c>
      <c r="D197" t="s">
        <v>2437</v>
      </c>
      <c r="E197">
        <v>3</v>
      </c>
    </row>
    <row r="198" spans="1:5" ht="15" customHeight="1" x14ac:dyDescent="0.25">
      <c r="A198" t="s">
        <v>1870</v>
      </c>
      <c r="B198" t="s">
        <v>1021</v>
      </c>
      <c r="C198" t="s">
        <v>4</v>
      </c>
      <c r="D198" t="s">
        <v>2438</v>
      </c>
      <c r="E198">
        <v>1</v>
      </c>
    </row>
    <row r="199" spans="1:5" ht="15" customHeight="1" x14ac:dyDescent="0.25">
      <c r="A199" t="s">
        <v>1785</v>
      </c>
      <c r="B199" t="s">
        <v>1035</v>
      </c>
      <c r="C199" t="s">
        <v>19</v>
      </c>
      <c r="D199" t="s">
        <v>2439</v>
      </c>
      <c r="E199">
        <v>2</v>
      </c>
    </row>
    <row r="200" spans="1:5" ht="15" customHeight="1" x14ac:dyDescent="0.25">
      <c r="A200" t="s">
        <v>1883</v>
      </c>
      <c r="B200" t="s">
        <v>1035</v>
      </c>
      <c r="C200" t="s">
        <v>19</v>
      </c>
      <c r="D200" t="s">
        <v>2441</v>
      </c>
      <c r="E200">
        <v>1</v>
      </c>
    </row>
    <row r="201" spans="1:5" ht="15" customHeight="1" x14ac:dyDescent="0.25">
      <c r="A201" t="s">
        <v>1908</v>
      </c>
      <c r="B201" t="s">
        <v>1035</v>
      </c>
      <c r="C201" t="s">
        <v>19</v>
      </c>
      <c r="D201" t="s">
        <v>2442</v>
      </c>
      <c r="E201">
        <v>1</v>
      </c>
    </row>
    <row r="202" spans="1:5" ht="15" customHeight="1" x14ac:dyDescent="0.25">
      <c r="A202" t="s">
        <v>1679</v>
      </c>
      <c r="B202" t="s">
        <v>1023</v>
      </c>
      <c r="C202" t="s">
        <v>38</v>
      </c>
      <c r="D202" t="s">
        <v>2440</v>
      </c>
      <c r="E202">
        <v>6</v>
      </c>
    </row>
    <row r="203" spans="1:5" ht="15" customHeight="1" x14ac:dyDescent="0.25">
      <c r="A203" t="s">
        <v>1688</v>
      </c>
      <c r="B203" t="s">
        <v>1023</v>
      </c>
      <c r="C203" t="s">
        <v>38</v>
      </c>
      <c r="D203" t="s">
        <v>2443</v>
      </c>
      <c r="E203">
        <v>6</v>
      </c>
    </row>
    <row r="204" spans="1:5" ht="15" customHeight="1" x14ac:dyDescent="0.25">
      <c r="A204" t="s">
        <v>1720</v>
      </c>
      <c r="B204" t="s">
        <v>1023</v>
      </c>
      <c r="C204" t="s">
        <v>38</v>
      </c>
      <c r="D204" t="s">
        <v>2444</v>
      </c>
      <c r="E204">
        <v>4</v>
      </c>
    </row>
    <row r="205" spans="1:5" ht="15" customHeight="1" x14ac:dyDescent="0.25">
      <c r="A205" t="s">
        <v>1768</v>
      </c>
      <c r="B205" t="s">
        <v>1023</v>
      </c>
      <c r="C205" t="s">
        <v>38</v>
      </c>
      <c r="D205" t="s">
        <v>2445</v>
      </c>
      <c r="E205">
        <v>2</v>
      </c>
    </row>
    <row r="206" spans="1:5" ht="15" customHeight="1" x14ac:dyDescent="0.25">
      <c r="A206" t="s">
        <v>1841</v>
      </c>
      <c r="B206" t="s">
        <v>1023</v>
      </c>
      <c r="C206" t="s">
        <v>38</v>
      </c>
      <c r="D206" t="s">
        <v>2446</v>
      </c>
      <c r="E206">
        <v>1</v>
      </c>
    </row>
    <row r="207" spans="1:5" ht="15" customHeight="1" x14ac:dyDescent="0.25">
      <c r="A207" t="s">
        <v>1656</v>
      </c>
      <c r="B207" t="s">
        <v>1042</v>
      </c>
      <c r="C207" t="s">
        <v>8</v>
      </c>
      <c r="D207" t="s">
        <v>2447</v>
      </c>
      <c r="E207">
        <v>15</v>
      </c>
    </row>
    <row r="208" spans="1:5" ht="15" customHeight="1" x14ac:dyDescent="0.25">
      <c r="A208" t="s">
        <v>1672</v>
      </c>
      <c r="B208" t="s">
        <v>1042</v>
      </c>
      <c r="C208" t="s">
        <v>8</v>
      </c>
      <c r="D208" t="s">
        <v>2448</v>
      </c>
      <c r="E208">
        <v>7</v>
      </c>
    </row>
    <row r="209" spans="1:5" ht="15" customHeight="1" x14ac:dyDescent="0.25">
      <c r="A209" t="s">
        <v>1723</v>
      </c>
      <c r="B209" t="s">
        <v>1042</v>
      </c>
      <c r="C209" t="s">
        <v>8</v>
      </c>
      <c r="D209" t="s">
        <v>2449</v>
      </c>
      <c r="E209">
        <v>3</v>
      </c>
    </row>
    <row r="210" spans="1:5" ht="15" customHeight="1" x14ac:dyDescent="0.25">
      <c r="A210" t="s">
        <v>1757</v>
      </c>
      <c r="B210" t="s">
        <v>1042</v>
      </c>
      <c r="C210" t="s">
        <v>8</v>
      </c>
      <c r="D210" t="s">
        <v>2450</v>
      </c>
      <c r="E210">
        <v>2</v>
      </c>
    </row>
    <row r="211" spans="1:5" ht="15" customHeight="1" x14ac:dyDescent="0.25">
      <c r="A211" t="s">
        <v>1758</v>
      </c>
      <c r="B211" t="s">
        <v>1042</v>
      </c>
      <c r="C211" t="s">
        <v>8</v>
      </c>
      <c r="D211" t="s">
        <v>2451</v>
      </c>
      <c r="E211">
        <v>2</v>
      </c>
    </row>
    <row r="212" spans="1:5" ht="15" customHeight="1" x14ac:dyDescent="0.25">
      <c r="A212" t="s">
        <v>1760</v>
      </c>
      <c r="B212" t="s">
        <v>1042</v>
      </c>
      <c r="C212" t="s">
        <v>8</v>
      </c>
      <c r="D212" t="s">
        <v>2452</v>
      </c>
      <c r="E212">
        <v>2</v>
      </c>
    </row>
    <row r="213" spans="1:5" ht="15" customHeight="1" x14ac:dyDescent="0.25">
      <c r="A213" t="s">
        <v>1820</v>
      </c>
      <c r="B213" t="s">
        <v>1042</v>
      </c>
      <c r="C213" t="s">
        <v>8</v>
      </c>
      <c r="D213" t="s">
        <v>2453</v>
      </c>
      <c r="E213">
        <v>1</v>
      </c>
    </row>
    <row r="214" spans="1:5" ht="15" customHeight="1" x14ac:dyDescent="0.25">
      <c r="A214" t="s">
        <v>1912</v>
      </c>
      <c r="B214" t="s">
        <v>1042</v>
      </c>
      <c r="C214" t="s">
        <v>8</v>
      </c>
      <c r="D214" t="s">
        <v>2454</v>
      </c>
      <c r="E214">
        <v>1</v>
      </c>
    </row>
    <row r="215" spans="1:5" ht="15" customHeight="1" x14ac:dyDescent="0.25">
      <c r="A215" t="s">
        <v>1851</v>
      </c>
      <c r="B215" t="s">
        <v>1036</v>
      </c>
      <c r="C215" t="s">
        <v>1037</v>
      </c>
      <c r="D215" t="s">
        <v>2455</v>
      </c>
      <c r="E215">
        <v>1</v>
      </c>
    </row>
    <row r="216" spans="1:5" ht="15" customHeight="1" x14ac:dyDescent="0.25">
      <c r="A216" t="s">
        <v>1948</v>
      </c>
      <c r="B216" t="s">
        <v>1036</v>
      </c>
      <c r="C216" t="s">
        <v>1037</v>
      </c>
      <c r="D216" t="s">
        <v>2456</v>
      </c>
      <c r="E216">
        <v>1</v>
      </c>
    </row>
    <row r="217" spans="1:5" ht="15" customHeight="1" x14ac:dyDescent="0.25">
      <c r="A217" t="s">
        <v>1659</v>
      </c>
      <c r="B217" t="s">
        <v>1044</v>
      </c>
      <c r="C217" t="s">
        <v>14</v>
      </c>
      <c r="D217" t="s">
        <v>2457</v>
      </c>
      <c r="E217">
        <v>12</v>
      </c>
    </row>
    <row r="218" spans="1:5" ht="15" customHeight="1" x14ac:dyDescent="0.25">
      <c r="A218" t="s">
        <v>1673</v>
      </c>
      <c r="B218" t="s">
        <v>1044</v>
      </c>
      <c r="C218" t="s">
        <v>14</v>
      </c>
      <c r="D218" t="s">
        <v>2458</v>
      </c>
      <c r="E218">
        <v>7</v>
      </c>
    </row>
    <row r="219" spans="1:5" ht="15" customHeight="1" x14ac:dyDescent="0.25">
      <c r="A219" t="s">
        <v>1690</v>
      </c>
      <c r="B219" t="s">
        <v>1044</v>
      </c>
      <c r="C219" t="s">
        <v>14</v>
      </c>
      <c r="D219" t="s">
        <v>2459</v>
      </c>
      <c r="E219">
        <v>5</v>
      </c>
    </row>
    <row r="220" spans="1:5" ht="15" customHeight="1" x14ac:dyDescent="0.25">
      <c r="A220" t="s">
        <v>1755</v>
      </c>
      <c r="B220" t="s">
        <v>1044</v>
      </c>
      <c r="C220" t="s">
        <v>14</v>
      </c>
      <c r="D220" t="s">
        <v>2460</v>
      </c>
      <c r="E220">
        <v>2</v>
      </c>
    </row>
    <row r="221" spans="1:5" ht="15" customHeight="1" x14ac:dyDescent="0.25">
      <c r="A221" t="s">
        <v>1756</v>
      </c>
      <c r="B221" t="s">
        <v>1044</v>
      </c>
      <c r="C221" t="s">
        <v>14</v>
      </c>
      <c r="D221" t="s">
        <v>2461</v>
      </c>
      <c r="E221">
        <v>2</v>
      </c>
    </row>
    <row r="222" spans="1:5" ht="15" customHeight="1" x14ac:dyDescent="0.25">
      <c r="A222" t="s">
        <v>1759</v>
      </c>
      <c r="B222" t="s">
        <v>1044</v>
      </c>
      <c r="C222" t="s">
        <v>14</v>
      </c>
      <c r="D222" t="s">
        <v>2462</v>
      </c>
      <c r="E222">
        <v>2</v>
      </c>
    </row>
    <row r="223" spans="1:5" ht="15" customHeight="1" x14ac:dyDescent="0.25">
      <c r="A223" t="s">
        <v>1761</v>
      </c>
      <c r="B223" t="s">
        <v>1044</v>
      </c>
      <c r="C223" t="s">
        <v>14</v>
      </c>
      <c r="D223" t="s">
        <v>2463</v>
      </c>
      <c r="E223">
        <v>2</v>
      </c>
    </row>
    <row r="224" spans="1:5" ht="15" customHeight="1" x14ac:dyDescent="0.25">
      <c r="A224" t="s">
        <v>1816</v>
      </c>
      <c r="B224" t="s">
        <v>1044</v>
      </c>
      <c r="C224" t="s">
        <v>14</v>
      </c>
      <c r="D224" t="s">
        <v>2464</v>
      </c>
      <c r="E224">
        <v>1</v>
      </c>
    </row>
    <row r="225" spans="1:5" ht="15" customHeight="1" x14ac:dyDescent="0.25">
      <c r="A225" t="s">
        <v>1817</v>
      </c>
      <c r="B225" t="s">
        <v>1044</v>
      </c>
      <c r="C225" t="s">
        <v>14</v>
      </c>
      <c r="D225" t="s">
        <v>2465</v>
      </c>
      <c r="E225">
        <v>1</v>
      </c>
    </row>
    <row r="226" spans="1:5" ht="15" customHeight="1" x14ac:dyDescent="0.25">
      <c r="A226" t="s">
        <v>1819</v>
      </c>
      <c r="B226" t="s">
        <v>1044</v>
      </c>
      <c r="C226" t="s">
        <v>14</v>
      </c>
      <c r="D226" t="s">
        <v>2466</v>
      </c>
      <c r="E226">
        <v>1</v>
      </c>
    </row>
    <row r="227" spans="1:5" ht="15" customHeight="1" x14ac:dyDescent="0.25">
      <c r="A227" t="s">
        <v>1709</v>
      </c>
      <c r="B227" t="s">
        <v>1019</v>
      </c>
      <c r="C227" t="s">
        <v>1020</v>
      </c>
      <c r="D227" t="s">
        <v>2467</v>
      </c>
      <c r="E227">
        <v>4</v>
      </c>
    </row>
    <row r="228" spans="1:5" ht="15" customHeight="1" x14ac:dyDescent="0.25">
      <c r="A228" t="s">
        <v>1735</v>
      </c>
      <c r="B228" t="s">
        <v>1019</v>
      </c>
      <c r="C228" t="s">
        <v>1020</v>
      </c>
      <c r="D228" t="s">
        <v>2468</v>
      </c>
      <c r="E228">
        <v>3</v>
      </c>
    </row>
    <row r="229" spans="1:5" ht="15" customHeight="1" x14ac:dyDescent="0.25">
      <c r="A229" t="s">
        <v>1776</v>
      </c>
      <c r="B229" t="s">
        <v>1019</v>
      </c>
      <c r="C229" t="s">
        <v>1020</v>
      </c>
      <c r="D229" t="s">
        <v>2469</v>
      </c>
      <c r="E229">
        <v>2</v>
      </c>
    </row>
    <row r="230" spans="1:5" ht="15" customHeight="1" x14ac:dyDescent="0.25">
      <c r="A230" t="s">
        <v>1872</v>
      </c>
      <c r="B230" t="s">
        <v>1019</v>
      </c>
      <c r="C230" t="s">
        <v>1020</v>
      </c>
      <c r="D230" t="s">
        <v>2470</v>
      </c>
      <c r="E230">
        <v>1</v>
      </c>
    </row>
    <row r="231" spans="1:5" ht="15" customHeight="1" x14ac:dyDescent="0.25">
      <c r="A231" t="s">
        <v>1913</v>
      </c>
      <c r="B231" t="s">
        <v>1019</v>
      </c>
      <c r="C231" t="s">
        <v>1020</v>
      </c>
      <c r="D231" t="s">
        <v>2471</v>
      </c>
      <c r="E231">
        <v>1</v>
      </c>
    </row>
    <row r="232" spans="1:5" ht="15" customHeight="1" x14ac:dyDescent="0.25">
      <c r="A232" t="s">
        <v>1928</v>
      </c>
      <c r="B232" t="s">
        <v>1019</v>
      </c>
      <c r="C232" t="s">
        <v>1020</v>
      </c>
      <c r="D232" t="s">
        <v>2472</v>
      </c>
      <c r="E232">
        <v>1</v>
      </c>
    </row>
    <row r="233" spans="1:5" ht="15" customHeight="1" x14ac:dyDescent="0.25">
      <c r="A233" t="s">
        <v>1929</v>
      </c>
      <c r="B233" t="s">
        <v>1019</v>
      </c>
      <c r="C233" t="s">
        <v>1020</v>
      </c>
      <c r="D233" t="s">
        <v>2473</v>
      </c>
      <c r="E233">
        <v>1</v>
      </c>
    </row>
    <row r="234" spans="1:5" ht="15" customHeight="1" x14ac:dyDescent="0.25">
      <c r="A234" t="s">
        <v>1743</v>
      </c>
      <c r="B234" t="s">
        <v>1034</v>
      </c>
      <c r="C234" t="s">
        <v>40</v>
      </c>
      <c r="D234" t="s">
        <v>2474</v>
      </c>
      <c r="E234">
        <v>3</v>
      </c>
    </row>
    <row r="235" spans="1:5" ht="15" customHeight="1" x14ac:dyDescent="0.25">
      <c r="A235" t="s">
        <v>1653</v>
      </c>
      <c r="B235" t="s">
        <v>1013</v>
      </c>
      <c r="C235" t="s">
        <v>28</v>
      </c>
      <c r="D235" t="s">
        <v>2475</v>
      </c>
      <c r="E235">
        <v>17</v>
      </c>
    </row>
    <row r="236" spans="1:5" ht="15" customHeight="1" x14ac:dyDescent="0.25">
      <c r="A236" t="s">
        <v>1658</v>
      </c>
      <c r="B236" t="s">
        <v>1013</v>
      </c>
      <c r="C236" t="s">
        <v>28</v>
      </c>
      <c r="D236" t="s">
        <v>2476</v>
      </c>
      <c r="E236">
        <v>13</v>
      </c>
    </row>
    <row r="237" spans="1:5" ht="15" customHeight="1" x14ac:dyDescent="0.25">
      <c r="A237" t="s">
        <v>1660</v>
      </c>
      <c r="B237" t="s">
        <v>1013</v>
      </c>
      <c r="C237" t="s">
        <v>28</v>
      </c>
      <c r="D237" t="s">
        <v>2477</v>
      </c>
      <c r="E237">
        <v>12</v>
      </c>
    </row>
    <row r="238" spans="1:5" ht="15" customHeight="1" x14ac:dyDescent="0.25">
      <c r="A238" t="s">
        <v>1668</v>
      </c>
      <c r="B238" t="s">
        <v>1013</v>
      </c>
      <c r="C238" t="s">
        <v>28</v>
      </c>
      <c r="D238" t="s">
        <v>2478</v>
      </c>
      <c r="E238">
        <v>10</v>
      </c>
    </row>
    <row r="239" spans="1:5" ht="15" customHeight="1" x14ac:dyDescent="0.25">
      <c r="A239" t="s">
        <v>1699</v>
      </c>
      <c r="B239" t="s">
        <v>1013</v>
      </c>
      <c r="C239" t="s">
        <v>28</v>
      </c>
      <c r="D239" t="s">
        <v>2479</v>
      </c>
      <c r="E239">
        <v>5</v>
      </c>
    </row>
    <row r="240" spans="1:5" ht="15" customHeight="1" x14ac:dyDescent="0.25">
      <c r="A240" t="s">
        <v>1702</v>
      </c>
      <c r="B240" t="s">
        <v>1013</v>
      </c>
      <c r="C240" t="s">
        <v>28</v>
      </c>
      <c r="D240" t="s">
        <v>2480</v>
      </c>
      <c r="E240">
        <v>5</v>
      </c>
    </row>
    <row r="241" spans="1:5" ht="15" customHeight="1" x14ac:dyDescent="0.25">
      <c r="A241" t="s">
        <v>1721</v>
      </c>
      <c r="B241" t="s">
        <v>1013</v>
      </c>
      <c r="C241" t="s">
        <v>28</v>
      </c>
      <c r="D241" t="s">
        <v>2481</v>
      </c>
      <c r="E241">
        <v>4</v>
      </c>
    </row>
    <row r="242" spans="1:5" ht="15" customHeight="1" x14ac:dyDescent="0.25">
      <c r="A242" t="s">
        <v>1726</v>
      </c>
      <c r="B242" t="s">
        <v>1013</v>
      </c>
      <c r="C242" t="s">
        <v>28</v>
      </c>
      <c r="D242" t="s">
        <v>2482</v>
      </c>
      <c r="E242">
        <v>3</v>
      </c>
    </row>
    <row r="243" spans="1:5" ht="15" customHeight="1" x14ac:dyDescent="0.25">
      <c r="A243" t="s">
        <v>1772</v>
      </c>
      <c r="B243" t="s">
        <v>1013</v>
      </c>
      <c r="C243" t="s">
        <v>28</v>
      </c>
      <c r="D243" t="s">
        <v>2483</v>
      </c>
      <c r="E243">
        <v>2</v>
      </c>
    </row>
    <row r="244" spans="1:5" ht="15" customHeight="1" x14ac:dyDescent="0.25">
      <c r="A244" t="s">
        <v>1779</v>
      </c>
      <c r="B244" t="s">
        <v>1013</v>
      </c>
      <c r="C244" t="s">
        <v>28</v>
      </c>
      <c r="D244" t="s">
        <v>2484</v>
      </c>
      <c r="E244">
        <v>2</v>
      </c>
    </row>
    <row r="245" spans="1:5" ht="15" customHeight="1" x14ac:dyDescent="0.25">
      <c r="A245" t="s">
        <v>1790</v>
      </c>
      <c r="B245" t="s">
        <v>1013</v>
      </c>
      <c r="C245" t="s">
        <v>28</v>
      </c>
      <c r="D245" t="s">
        <v>2485</v>
      </c>
      <c r="E245">
        <v>2</v>
      </c>
    </row>
    <row r="246" spans="1:5" ht="15" customHeight="1" x14ac:dyDescent="0.25">
      <c r="A246" t="s">
        <v>1796</v>
      </c>
      <c r="B246" t="s">
        <v>1013</v>
      </c>
      <c r="C246" t="s">
        <v>28</v>
      </c>
      <c r="D246" t="s">
        <v>2486</v>
      </c>
      <c r="E246">
        <v>2</v>
      </c>
    </row>
    <row r="247" spans="1:5" ht="15" customHeight="1" x14ac:dyDescent="0.25">
      <c r="A247" t="s">
        <v>1808</v>
      </c>
      <c r="B247" t="s">
        <v>1013</v>
      </c>
      <c r="C247" t="s">
        <v>28</v>
      </c>
      <c r="D247" t="s">
        <v>2487</v>
      </c>
      <c r="E247">
        <v>2</v>
      </c>
    </row>
    <row r="248" spans="1:5" ht="15" customHeight="1" x14ac:dyDescent="0.25">
      <c r="A248" t="s">
        <v>1818</v>
      </c>
      <c r="B248" t="s">
        <v>1013</v>
      </c>
      <c r="C248" t="s">
        <v>28</v>
      </c>
      <c r="D248" t="s">
        <v>2488</v>
      </c>
      <c r="E248">
        <v>1</v>
      </c>
    </row>
    <row r="249" spans="1:5" ht="15" customHeight="1" x14ac:dyDescent="0.25">
      <c r="A249" t="s">
        <v>1835</v>
      </c>
      <c r="B249" t="s">
        <v>1013</v>
      </c>
      <c r="C249" t="s">
        <v>28</v>
      </c>
      <c r="D249" t="s">
        <v>2489</v>
      </c>
      <c r="E249">
        <v>1</v>
      </c>
    </row>
    <row r="250" spans="1:5" ht="15" customHeight="1" x14ac:dyDescent="0.25">
      <c r="A250" t="s">
        <v>1852</v>
      </c>
      <c r="B250" t="s">
        <v>1013</v>
      </c>
      <c r="C250" t="s">
        <v>28</v>
      </c>
      <c r="D250" t="s">
        <v>2490</v>
      </c>
      <c r="E250">
        <v>1</v>
      </c>
    </row>
    <row r="251" spans="1:5" ht="15" customHeight="1" x14ac:dyDescent="0.25">
      <c r="A251" t="s">
        <v>1884</v>
      </c>
      <c r="B251" t="s">
        <v>1030</v>
      </c>
      <c r="C251" t="s">
        <v>28</v>
      </c>
      <c r="D251" t="s">
        <v>2491</v>
      </c>
      <c r="E251">
        <v>1</v>
      </c>
    </row>
    <row r="252" spans="1:5" ht="15" customHeight="1" x14ac:dyDescent="0.25">
      <c r="A252" t="s">
        <v>1909</v>
      </c>
      <c r="B252" t="s">
        <v>1030</v>
      </c>
      <c r="C252" t="s">
        <v>28</v>
      </c>
      <c r="D252" t="s">
        <v>2492</v>
      </c>
      <c r="E252">
        <v>1</v>
      </c>
    </row>
    <row r="253" spans="1:5" ht="15" customHeight="1" x14ac:dyDescent="0.25">
      <c r="A253" t="s">
        <v>1914</v>
      </c>
      <c r="B253" t="s">
        <v>1013</v>
      </c>
      <c r="C253" t="s">
        <v>28</v>
      </c>
      <c r="D253" t="s">
        <v>2493</v>
      </c>
      <c r="E253">
        <v>1</v>
      </c>
    </row>
    <row r="254" spans="1:5" ht="15" customHeight="1" x14ac:dyDescent="0.25">
      <c r="A254" t="s">
        <v>1916</v>
      </c>
      <c r="B254" t="s">
        <v>1013</v>
      </c>
      <c r="C254" t="s">
        <v>28</v>
      </c>
      <c r="D254" t="s">
        <v>2494</v>
      </c>
      <c r="E254">
        <v>1</v>
      </c>
    </row>
    <row r="255" spans="1:5" ht="15" customHeight="1" x14ac:dyDescent="0.25">
      <c r="A255" t="s">
        <v>1753</v>
      </c>
      <c r="B255" t="s">
        <v>1027</v>
      </c>
      <c r="C255" t="s">
        <v>33</v>
      </c>
      <c r="D255" t="s">
        <v>2495</v>
      </c>
      <c r="E255">
        <v>3</v>
      </c>
    </row>
    <row r="256" spans="1:5" ht="15" customHeight="1" x14ac:dyDescent="0.25">
      <c r="A256" t="s">
        <v>1764</v>
      </c>
      <c r="B256" t="s">
        <v>1027</v>
      </c>
      <c r="C256" t="s">
        <v>33</v>
      </c>
      <c r="D256" t="s">
        <v>2497</v>
      </c>
      <c r="E256">
        <v>2</v>
      </c>
    </row>
    <row r="257" spans="1:5" ht="15" customHeight="1" x14ac:dyDescent="0.25">
      <c r="A257" t="s">
        <v>1788</v>
      </c>
      <c r="B257" t="s">
        <v>1027</v>
      </c>
      <c r="C257" t="s">
        <v>33</v>
      </c>
      <c r="D257" t="s">
        <v>2498</v>
      </c>
      <c r="E257">
        <v>2</v>
      </c>
    </row>
    <row r="258" spans="1:5" ht="15" customHeight="1" x14ac:dyDescent="0.25">
      <c r="A258" t="s">
        <v>1886</v>
      </c>
      <c r="B258" t="s">
        <v>1027</v>
      </c>
      <c r="C258" t="s">
        <v>33</v>
      </c>
      <c r="D258" t="s">
        <v>2499</v>
      </c>
      <c r="E258">
        <v>1</v>
      </c>
    </row>
    <row r="259" spans="1:5" ht="15" customHeight="1" x14ac:dyDescent="0.25">
      <c r="A259" t="s">
        <v>1930</v>
      </c>
      <c r="B259" t="s">
        <v>1027</v>
      </c>
      <c r="C259" t="s">
        <v>33</v>
      </c>
      <c r="D259" t="s">
        <v>2500</v>
      </c>
      <c r="E259">
        <v>1</v>
      </c>
    </row>
    <row r="260" spans="1:5" ht="15" customHeight="1" x14ac:dyDescent="0.25">
      <c r="A260" t="s">
        <v>1730</v>
      </c>
      <c r="B260" t="s">
        <v>1069</v>
      </c>
      <c r="C260" t="s">
        <v>17</v>
      </c>
      <c r="D260" t="s">
        <v>2496</v>
      </c>
      <c r="E260">
        <v>3</v>
      </c>
    </row>
    <row r="261" spans="1:5" ht="15" customHeight="1" x14ac:dyDescent="0.25">
      <c r="A261" t="s">
        <v>1774</v>
      </c>
      <c r="B261" t="s">
        <v>1069</v>
      </c>
      <c r="C261" t="s">
        <v>17</v>
      </c>
      <c r="D261" t="s">
        <v>2501</v>
      </c>
      <c r="E261">
        <v>2</v>
      </c>
    </row>
    <row r="262" spans="1:5" ht="15" customHeight="1" x14ac:dyDescent="0.25">
      <c r="A262" t="s">
        <v>1847</v>
      </c>
      <c r="B262" t="s">
        <v>1069</v>
      </c>
      <c r="C262" t="s">
        <v>17</v>
      </c>
      <c r="D262" t="s">
        <v>2502</v>
      </c>
      <c r="E262">
        <v>1</v>
      </c>
    </row>
    <row r="263" spans="1:5" ht="15" customHeight="1" x14ac:dyDescent="0.25">
      <c r="A263" t="s">
        <v>1853</v>
      </c>
      <c r="B263" t="s">
        <v>1069</v>
      </c>
      <c r="C263" t="s">
        <v>17</v>
      </c>
      <c r="D263" t="s">
        <v>2503</v>
      </c>
      <c r="E263">
        <v>1</v>
      </c>
    </row>
    <row r="264" spans="1:5" ht="15" customHeight="1" x14ac:dyDescent="0.25">
      <c r="A264" t="s">
        <v>1941</v>
      </c>
      <c r="B264" t="s">
        <v>1069</v>
      </c>
      <c r="C264" t="s">
        <v>17</v>
      </c>
      <c r="D264" t="s">
        <v>2504</v>
      </c>
      <c r="E264">
        <v>1</v>
      </c>
    </row>
    <row r="265" spans="1:5" ht="15" customHeight="1" x14ac:dyDescent="0.25">
      <c r="A265" t="s">
        <v>1692</v>
      </c>
      <c r="B265" t="s">
        <v>1031</v>
      </c>
      <c r="C265" t="s">
        <v>1032</v>
      </c>
      <c r="D265" t="s">
        <v>2505</v>
      </c>
      <c r="E265">
        <v>5</v>
      </c>
    </row>
    <row r="266" spans="1:5" ht="15" customHeight="1" x14ac:dyDescent="0.25">
      <c r="A266" t="s">
        <v>1708</v>
      </c>
      <c r="B266" t="s">
        <v>1031</v>
      </c>
      <c r="C266" t="s">
        <v>1032</v>
      </c>
      <c r="D266" t="s">
        <v>2506</v>
      </c>
      <c r="E266">
        <v>4</v>
      </c>
    </row>
    <row r="267" spans="1:5" ht="15" customHeight="1" x14ac:dyDescent="0.25">
      <c r="A267" t="s">
        <v>1778</v>
      </c>
      <c r="B267" t="s">
        <v>1031</v>
      </c>
      <c r="C267" t="s">
        <v>1032</v>
      </c>
      <c r="D267" t="s">
        <v>2507</v>
      </c>
      <c r="E267">
        <v>2</v>
      </c>
    </row>
    <row r="268" spans="1:5" ht="15" customHeight="1" x14ac:dyDescent="0.25">
      <c r="A268" t="s">
        <v>1782</v>
      </c>
      <c r="B268" t="s">
        <v>1031</v>
      </c>
      <c r="C268" t="s">
        <v>1032</v>
      </c>
      <c r="D268" t="s">
        <v>2508</v>
      </c>
      <c r="E268">
        <v>2</v>
      </c>
    </row>
    <row r="269" spans="1:5" ht="15" customHeight="1" x14ac:dyDescent="0.25">
      <c r="A269" t="s">
        <v>1806</v>
      </c>
      <c r="B269" t="s">
        <v>1031</v>
      </c>
      <c r="C269" t="s">
        <v>1032</v>
      </c>
      <c r="D269" t="s">
        <v>2509</v>
      </c>
      <c r="E269">
        <v>2</v>
      </c>
    </row>
    <row r="270" spans="1:5" ht="15" customHeight="1" x14ac:dyDescent="0.25">
      <c r="A270" t="s">
        <v>1814</v>
      </c>
      <c r="B270" t="s">
        <v>1031</v>
      </c>
      <c r="C270" t="s">
        <v>1032</v>
      </c>
      <c r="D270" t="s">
        <v>2510</v>
      </c>
      <c r="E270">
        <v>1</v>
      </c>
    </row>
    <row r="271" spans="1:5" ht="15" customHeight="1" x14ac:dyDescent="0.25">
      <c r="A271" t="s">
        <v>1822</v>
      </c>
      <c r="B271" t="s">
        <v>1031</v>
      </c>
      <c r="C271" t="s">
        <v>1032</v>
      </c>
      <c r="D271" t="s">
        <v>2511</v>
      </c>
      <c r="E271">
        <v>1</v>
      </c>
    </row>
    <row r="272" spans="1:5" ht="15" customHeight="1" x14ac:dyDescent="0.25">
      <c r="A272" t="s">
        <v>1860</v>
      </c>
      <c r="B272" t="s">
        <v>1031</v>
      </c>
      <c r="C272" t="s">
        <v>1032</v>
      </c>
      <c r="D272" t="s">
        <v>2512</v>
      </c>
      <c r="E272">
        <v>1</v>
      </c>
    </row>
    <row r="273" spans="1:5" ht="15" customHeight="1" x14ac:dyDescent="0.25">
      <c r="A273" t="s">
        <v>1868</v>
      </c>
      <c r="B273" t="s">
        <v>1031</v>
      </c>
      <c r="C273" t="s">
        <v>1032</v>
      </c>
      <c r="D273" t="s">
        <v>2513</v>
      </c>
      <c r="E273">
        <v>1</v>
      </c>
    </row>
    <row r="274" spans="1:5" ht="15" customHeight="1" x14ac:dyDescent="0.25">
      <c r="A274" t="s">
        <v>1880</v>
      </c>
      <c r="B274" t="s">
        <v>1031</v>
      </c>
      <c r="C274" t="s">
        <v>1032</v>
      </c>
      <c r="D274" t="s">
        <v>2514</v>
      </c>
      <c r="E274">
        <v>1</v>
      </c>
    </row>
    <row r="275" spans="1:5" ht="15" customHeight="1" x14ac:dyDescent="0.25">
      <c r="A275" t="s">
        <v>1922</v>
      </c>
      <c r="B275" t="s">
        <v>1052</v>
      </c>
      <c r="C275" t="s">
        <v>1053</v>
      </c>
      <c r="D275" t="s">
        <v>2515</v>
      </c>
      <c r="E275">
        <v>0</v>
      </c>
    </row>
    <row r="276" spans="1:5" ht="15" customHeight="1" x14ac:dyDescent="0.25">
      <c r="A276" t="s">
        <v>1740</v>
      </c>
      <c r="B276" t="s">
        <v>1071</v>
      </c>
      <c r="C276" t="s">
        <v>36</v>
      </c>
      <c r="D276" t="s">
        <v>2519</v>
      </c>
      <c r="E276">
        <v>3</v>
      </c>
    </row>
    <row r="277" spans="1:5" ht="15" customHeight="1" x14ac:dyDescent="0.25">
      <c r="A277" t="s">
        <v>1682</v>
      </c>
      <c r="B277" t="s">
        <v>1024</v>
      </c>
      <c r="C277" t="s">
        <v>10</v>
      </c>
      <c r="D277" t="s">
        <v>2520</v>
      </c>
      <c r="E277">
        <v>6</v>
      </c>
    </row>
    <row r="278" spans="1:5" ht="15" customHeight="1" x14ac:dyDescent="0.25">
      <c r="A278" t="s">
        <v>1693</v>
      </c>
      <c r="B278" t="s">
        <v>1024</v>
      </c>
      <c r="C278" t="s">
        <v>10</v>
      </c>
      <c r="D278" t="s">
        <v>2521</v>
      </c>
      <c r="E278">
        <v>5</v>
      </c>
    </row>
    <row r="279" spans="1:5" ht="15" customHeight="1" x14ac:dyDescent="0.25">
      <c r="A279" t="s">
        <v>1719</v>
      </c>
      <c r="B279" t="s">
        <v>1024</v>
      </c>
      <c r="C279" t="s">
        <v>10</v>
      </c>
      <c r="D279" t="s">
        <v>2522</v>
      </c>
      <c r="E279">
        <v>4</v>
      </c>
    </row>
    <row r="280" spans="1:5" ht="15" customHeight="1" x14ac:dyDescent="0.25">
      <c r="A280" t="s">
        <v>1748</v>
      </c>
      <c r="B280" t="s">
        <v>1024</v>
      </c>
      <c r="C280" t="s">
        <v>10</v>
      </c>
      <c r="D280" t="s">
        <v>2518</v>
      </c>
      <c r="E280">
        <v>3</v>
      </c>
    </row>
    <row r="281" spans="1:5" ht="15" customHeight="1" x14ac:dyDescent="0.25">
      <c r="A281" t="s">
        <v>1793</v>
      </c>
      <c r="B281" t="s">
        <v>1024</v>
      </c>
      <c r="C281" t="s">
        <v>10</v>
      </c>
      <c r="D281" t="s">
        <v>2517</v>
      </c>
      <c r="E281">
        <v>2</v>
      </c>
    </row>
    <row r="282" spans="1:5" ht="15" customHeight="1" x14ac:dyDescent="0.25">
      <c r="A282" t="s">
        <v>1826</v>
      </c>
      <c r="B282" t="s">
        <v>1024</v>
      </c>
      <c r="C282" t="s">
        <v>10</v>
      </c>
      <c r="D282" t="s">
        <v>2516</v>
      </c>
      <c r="E282">
        <v>1</v>
      </c>
    </row>
    <row r="283" spans="1:5" ht="15" customHeight="1" x14ac:dyDescent="0.25">
      <c r="A283" t="s">
        <v>1840</v>
      </c>
      <c r="B283" t="s">
        <v>1024</v>
      </c>
      <c r="C283" t="s">
        <v>10</v>
      </c>
      <c r="D283" t="s">
        <v>2523</v>
      </c>
      <c r="E283">
        <v>1</v>
      </c>
    </row>
    <row r="284" spans="1:5" ht="15" customHeight="1" x14ac:dyDescent="0.25">
      <c r="A284" t="s">
        <v>1842</v>
      </c>
      <c r="B284" t="s">
        <v>1024</v>
      </c>
      <c r="C284" t="s">
        <v>10</v>
      </c>
      <c r="D284" t="s">
        <v>2524</v>
      </c>
      <c r="E284">
        <v>1</v>
      </c>
    </row>
    <row r="285" spans="1:5" ht="15" customHeight="1" x14ac:dyDescent="0.25">
      <c r="A285" t="s">
        <v>1844</v>
      </c>
      <c r="B285" t="s">
        <v>1024</v>
      </c>
      <c r="C285" t="s">
        <v>10</v>
      </c>
      <c r="D285" t="s">
        <v>2525</v>
      </c>
      <c r="E285">
        <v>1</v>
      </c>
    </row>
    <row r="286" spans="1:5" ht="15" customHeight="1" x14ac:dyDescent="0.25">
      <c r="A286" t="s">
        <v>1856</v>
      </c>
      <c r="B286" t="s">
        <v>1024</v>
      </c>
      <c r="C286" t="s">
        <v>10</v>
      </c>
      <c r="D286" t="s">
        <v>2526</v>
      </c>
      <c r="E286">
        <v>1</v>
      </c>
    </row>
    <row r="287" spans="1:5" ht="15" customHeight="1" x14ac:dyDescent="0.25">
      <c r="A287" t="s">
        <v>1857</v>
      </c>
      <c r="B287" t="s">
        <v>1024</v>
      </c>
      <c r="C287" t="s">
        <v>10</v>
      </c>
      <c r="D287" t="s">
        <v>2527</v>
      </c>
      <c r="E287">
        <v>1</v>
      </c>
    </row>
    <row r="288" spans="1:5" ht="15" customHeight="1" x14ac:dyDescent="0.25">
      <c r="A288" t="s">
        <v>1873</v>
      </c>
      <c r="B288" t="s">
        <v>1024</v>
      </c>
      <c r="C288" t="s">
        <v>10</v>
      </c>
      <c r="D288" t="s">
        <v>2528</v>
      </c>
      <c r="E288">
        <v>1</v>
      </c>
    </row>
    <row r="289" spans="1:5" ht="15" customHeight="1" x14ac:dyDescent="0.25">
      <c r="A289" t="s">
        <v>1878</v>
      </c>
      <c r="B289" t="s">
        <v>1024</v>
      </c>
      <c r="C289" t="s">
        <v>10</v>
      </c>
      <c r="D289" t="s">
        <v>2529</v>
      </c>
      <c r="E289">
        <v>1</v>
      </c>
    </row>
    <row r="290" spans="1:5" ht="15" customHeight="1" x14ac:dyDescent="0.25">
      <c r="A290" t="s">
        <v>1881</v>
      </c>
      <c r="B290" t="s">
        <v>1024</v>
      </c>
      <c r="C290" t="s">
        <v>10</v>
      </c>
      <c r="D290" t="s">
        <v>2530</v>
      </c>
      <c r="E290">
        <v>1</v>
      </c>
    </row>
    <row r="291" spans="1:5" ht="15" customHeight="1" x14ac:dyDescent="0.25">
      <c r="A291" t="s">
        <v>1892</v>
      </c>
      <c r="B291" t="s">
        <v>1024</v>
      </c>
      <c r="C291" t="s">
        <v>10</v>
      </c>
      <c r="D291" t="s">
        <v>2531</v>
      </c>
      <c r="E291">
        <v>1</v>
      </c>
    </row>
    <row r="292" spans="1:5" ht="15" customHeight="1" x14ac:dyDescent="0.25">
      <c r="A292" t="s">
        <v>1896</v>
      </c>
      <c r="B292" t="s">
        <v>1024</v>
      </c>
      <c r="C292" t="s">
        <v>10</v>
      </c>
      <c r="D292" t="s">
        <v>2532</v>
      </c>
      <c r="E292">
        <v>1</v>
      </c>
    </row>
    <row r="293" spans="1:5" ht="15" customHeight="1" x14ac:dyDescent="0.25">
      <c r="A293" t="s">
        <v>1897</v>
      </c>
      <c r="B293" t="s">
        <v>1024</v>
      </c>
      <c r="C293" t="s">
        <v>10</v>
      </c>
      <c r="D293" t="s">
        <v>2533</v>
      </c>
      <c r="E293">
        <v>1</v>
      </c>
    </row>
    <row r="294" spans="1:5" ht="15" customHeight="1" x14ac:dyDescent="0.25">
      <c r="A294" t="s">
        <v>1901</v>
      </c>
      <c r="B294" t="s">
        <v>1024</v>
      </c>
      <c r="C294" t="s">
        <v>10</v>
      </c>
      <c r="D294" t="s">
        <v>2534</v>
      </c>
      <c r="E294">
        <v>1</v>
      </c>
    </row>
    <row r="295" spans="1:5" ht="15" customHeight="1" x14ac:dyDescent="0.25">
      <c r="A295" t="s">
        <v>1907</v>
      </c>
      <c r="B295" t="s">
        <v>1024</v>
      </c>
      <c r="C295" t="s">
        <v>10</v>
      </c>
      <c r="D295" t="s">
        <v>2535</v>
      </c>
      <c r="E295">
        <v>1</v>
      </c>
    </row>
    <row r="296" spans="1:5" ht="15" customHeight="1" x14ac:dyDescent="0.25">
      <c r="A296" t="s">
        <v>1915</v>
      </c>
      <c r="B296" t="s">
        <v>1024</v>
      </c>
      <c r="C296" t="s">
        <v>10</v>
      </c>
      <c r="D296" t="s">
        <v>2536</v>
      </c>
      <c r="E296">
        <v>1</v>
      </c>
    </row>
    <row r="297" spans="1:5" ht="15" customHeight="1" x14ac:dyDescent="0.25">
      <c r="A297" t="s">
        <v>1942</v>
      </c>
      <c r="B297" t="s">
        <v>1024</v>
      </c>
      <c r="C297" t="s">
        <v>10</v>
      </c>
      <c r="D297" t="s">
        <v>2537</v>
      </c>
      <c r="E297">
        <v>1</v>
      </c>
    </row>
    <row r="298" spans="1:5" ht="15" customHeight="1" x14ac:dyDescent="0.25">
      <c r="A298" s="31" t="s">
        <v>1083</v>
      </c>
      <c r="B298" s="31"/>
      <c r="C298" s="31"/>
      <c r="D298" s="31"/>
      <c r="E298" s="31">
        <f>SUBTOTAL(109,Clubs[Players Represented At World Cup])</f>
        <v>829</v>
      </c>
    </row>
    <row r="299" spans="1:5" ht="15" customHeight="1" x14ac:dyDescent="0.25"/>
    <row r="300" spans="1:5" ht="15" customHeight="1" x14ac:dyDescent="0.25"/>
    <row r="301" spans="1:5" ht="15" customHeight="1" x14ac:dyDescent="0.25"/>
    <row r="302" spans="1:5" ht="15" customHeight="1" x14ac:dyDescent="0.25"/>
    <row r="303" spans="1:5" ht="15" customHeight="1" x14ac:dyDescent="0.25"/>
    <row r="304" spans="1:5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</sheetData>
  <phoneticPr fontId="18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71F98A7-FB11-41CD-BA11-2F2A5501D2B3}">
          <x14:formula1>
            <xm:f>'Football Associations'!$B$2:$B$223</xm:f>
          </x14:formula1>
          <xm:sqref>C2:C297</xm:sqref>
        </x14:dataValidation>
        <x14:dataValidation type="list" allowBlank="1" showInputMessage="1" showErrorMessage="1" xr:uid="{B5B6EA2A-41C6-42A0-9680-515F91DC5619}">
          <x14:formula1>
            <xm:f>'Club Leagues of FA'!$A$2:$A$54</xm:f>
          </x14:formula1>
          <xm:sqref>B2:B297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62"/>
  <sheetViews>
    <sheetView topLeftCell="B1" workbookViewId="0">
      <selection activeCell="Q3" sqref="Q3"/>
    </sheetView>
  </sheetViews>
  <sheetFormatPr defaultRowHeight="15" x14ac:dyDescent="0.25"/>
  <cols>
    <col min="1" max="1" width="9.5703125" hidden="1" customWidth="1"/>
    <col min="2" max="2" width="12" bestFit="1" customWidth="1"/>
    <col min="3" max="3" width="11.7109375" bestFit="1" customWidth="1"/>
    <col min="4" max="4" width="11.140625" bestFit="1" customWidth="1"/>
    <col min="5" max="5" width="13.28515625" hidden="1" customWidth="1"/>
    <col min="6" max="6" width="10.85546875" hidden="1" customWidth="1"/>
    <col min="7" max="7" width="12.28515625" customWidth="1"/>
    <col min="8" max="8" width="10.42578125" hidden="1" customWidth="1"/>
    <col min="9" max="9" width="19.28515625" hidden="1" customWidth="1"/>
    <col min="10" max="10" width="15.42578125" bestFit="1" customWidth="1"/>
    <col min="11" max="11" width="23.5703125" hidden="1" customWidth="1"/>
    <col min="12" max="12" width="23.140625" hidden="1" customWidth="1"/>
    <col min="13" max="13" width="15" bestFit="1" customWidth="1"/>
    <col min="14" max="14" width="16.85546875" hidden="1" customWidth="1"/>
    <col min="15" max="15" width="16.42578125" hidden="1" customWidth="1"/>
    <col min="16" max="16" width="22.140625" hidden="1" customWidth="1"/>
    <col min="17" max="17" width="15.42578125" hidden="1" customWidth="1"/>
    <col min="18" max="18" width="10.28515625" customWidth="1"/>
  </cols>
  <sheetData>
    <row r="1" spans="1:18" x14ac:dyDescent="0.25">
      <c r="B1" s="106" t="s">
        <v>2</v>
      </c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</row>
    <row r="2" spans="1:18" ht="30" x14ac:dyDescent="0.25">
      <c r="B2" s="19" t="s">
        <v>48</v>
      </c>
      <c r="C2" s="20" t="s">
        <v>49</v>
      </c>
      <c r="D2" s="20" t="s">
        <v>55</v>
      </c>
      <c r="E2" s="20" t="s">
        <v>100</v>
      </c>
      <c r="F2" s="20" t="s">
        <v>101</v>
      </c>
      <c r="G2" s="20" t="s">
        <v>121</v>
      </c>
      <c r="H2" s="20" t="s">
        <v>123</v>
      </c>
      <c r="I2" s="20" t="s">
        <v>125</v>
      </c>
      <c r="J2" s="20" t="s">
        <v>132</v>
      </c>
      <c r="K2" s="20" t="s">
        <v>124</v>
      </c>
      <c r="L2" s="20" t="s">
        <v>126</v>
      </c>
      <c r="M2" s="20" t="s">
        <v>127</v>
      </c>
      <c r="N2" s="20" t="s">
        <v>99</v>
      </c>
      <c r="O2" s="20" t="s">
        <v>102</v>
      </c>
      <c r="P2" s="20" t="s">
        <v>128</v>
      </c>
      <c r="Q2" s="20" t="s">
        <v>129</v>
      </c>
      <c r="R2" s="21" t="s">
        <v>122</v>
      </c>
    </row>
    <row r="3" spans="1:18" x14ac:dyDescent="0.25">
      <c r="A3" t="s">
        <v>81</v>
      </c>
      <c r="B3" s="8" t="s">
        <v>4</v>
      </c>
      <c r="C3" s="9" t="s">
        <v>51</v>
      </c>
      <c r="D3" s="9" t="s">
        <v>2</v>
      </c>
      <c r="E3" s="6">
        <f>SUMIF('World Cup 2022 Matches'!$G$2:$G$49,GroupA[[#This Row],[Teams]],'World Cup 2022 Matches'!$T$2:$T$49)</f>
        <v>2</v>
      </c>
      <c r="F3" s="9">
        <f>SUMIF('World Cup 2022 Matches'!$J$2:$J$49,GroupA[[#This Row],[Teams]],'World Cup 2022 Matches'!$U$2:$U$49)</f>
        <v>1</v>
      </c>
      <c r="G3" s="9">
        <f>GroupA[[#This Row],[Home Games Played]]+GroupA[[#This Row],[Away Games Played]]</f>
        <v>3</v>
      </c>
      <c r="H3" s="9">
        <f>SUMIF('World Cup 2022 Matches'!$G$2:$G$49,GroupA[[#This Row],[Teams]],'World Cup 2022 Matches'!$H$2:$H$49)</f>
        <v>3</v>
      </c>
      <c r="I3" s="6">
        <f>SUMIF('World Cup 2022 Matches'!$J$2:$J$49,GroupA[[#This Row],[Teams]],'World Cup 2022 Matches'!$I$2:$I$49)</f>
        <v>2</v>
      </c>
      <c r="J3" s="9">
        <f>GroupA[[#This Row],[Goals For Home]]+GroupA[[#This Row],[Goals For Away]]</f>
        <v>5</v>
      </c>
      <c r="K3" s="9">
        <f>SUMIF('World Cup 2022 Matches'!$G$2:$G$49,GroupA[[#This Row],[Teams]],'World Cup 2022 Matches'!$I$2:$I$49)</f>
        <v>1</v>
      </c>
      <c r="L3" s="9">
        <f>SUMIF('World Cup 2022 Matches'!$J$2:$J$49,GroupA[[#This Row],[Teams]],'World Cup 2022 Matches'!$H$2:$H$49)</f>
        <v>0</v>
      </c>
      <c r="M3" s="9">
        <f>(GroupA[[#This Row],[Goals For Home]]+GroupA[[#This Row],[Goals For Away]])-(GroupA[[#This Row],[Goals Against Home]]+GroupA[[#This Row],[Goals Against Away]])</f>
        <v>4</v>
      </c>
      <c r="N3" s="9">
        <f>SUMIF('World Cup 2022 Matches'!$G$2:$G$49,GroupA[[#This Row],[Teams]],'World Cup 2022 Matches'!$V$2:$V$49)</f>
        <v>3</v>
      </c>
      <c r="O3" s="9">
        <f>SUMIF('World Cup 2022 Matches'!$J$2:$J$49,GroupA[[#This Row],[Teams]],'World Cup 2022 Matches'!$W$2:$W$49)</f>
        <v>3</v>
      </c>
      <c r="P3" s="9">
        <f>SUMIF('World Cup 2022 Matches'!$G$2:$G$49,GroupA[[#This Row],[Teams]],'World Cup 2022 Matches'!$X$2:$X$49)</f>
        <v>1</v>
      </c>
      <c r="Q3" s="9">
        <f>SUMIF('World Cup 2022 Matches'!$J$2:$J$49,GroupA[[#This Row],[Teams]],'World Cup 2022 Matches'!$Y$2:$Y$49)</f>
        <v>0</v>
      </c>
      <c r="R3" s="10">
        <f>GroupA[[#This Row],[Away Draw Points]]+GroupA[[#This Row],[Home Draw Points]]+GroupA[[#This Row],[Away Points]]+GroupA[[#This Row],[Home Points]]</f>
        <v>7</v>
      </c>
    </row>
    <row r="4" spans="1:18" x14ac:dyDescent="0.25">
      <c r="A4" t="s">
        <v>86</v>
      </c>
      <c r="B4" s="8" t="s">
        <v>3</v>
      </c>
      <c r="C4" s="9" t="s">
        <v>54</v>
      </c>
      <c r="D4" s="9" t="s">
        <v>2</v>
      </c>
      <c r="E4" s="6">
        <f>SUMIF('World Cup 2022 Matches'!$G$2:$G$49,GroupA[[#This Row],[Teams]],'World Cup 2022 Matches'!$T$2:$T$49)</f>
        <v>1</v>
      </c>
      <c r="F4" s="9">
        <f>SUMIF('World Cup 2022 Matches'!$J$2:$J$49,GroupA[[#This Row],[Teams]],'World Cup 2022 Matches'!$U$2:$U$49)</f>
        <v>2</v>
      </c>
      <c r="G4" s="9">
        <f>GroupA[[#This Row],[Home Games Played]]+GroupA[[#This Row],[Away Games Played]]</f>
        <v>3</v>
      </c>
      <c r="H4" s="9">
        <f>SUMIF('World Cup 2022 Matches'!$G$2:$G$49,GroupA[[#This Row],[Teams]],'World Cup 2022 Matches'!$H$2:$H$49)</f>
        <v>0</v>
      </c>
      <c r="I4" s="6">
        <f>SUMIF('World Cup 2022 Matches'!$J$2:$J$49,GroupA[[#This Row],[Teams]],'World Cup 2022 Matches'!$I$2:$I$49)</f>
        <v>5</v>
      </c>
      <c r="J4" s="9">
        <f>GroupA[[#This Row],[Goals For Home]]+GroupA[[#This Row],[Goals For Away]]</f>
        <v>5</v>
      </c>
      <c r="K4" s="9">
        <f>SUMIF('World Cup 2022 Matches'!$G$2:$G$49,GroupA[[#This Row],[Teams]],'World Cup 2022 Matches'!$I$2:$I$49)</f>
        <v>2</v>
      </c>
      <c r="L4" s="9">
        <f>SUMIF('World Cup 2022 Matches'!$J$2:$J$49,GroupA[[#This Row],[Teams]],'World Cup 2022 Matches'!$H$2:$H$49)</f>
        <v>2</v>
      </c>
      <c r="M4" s="9">
        <f>(GroupA[[#This Row],[Goals For Home]]+GroupA[[#This Row],[Goals For Away]])-(GroupA[[#This Row],[Goals Against Home]]+GroupA[[#This Row],[Goals Against Away]])</f>
        <v>1</v>
      </c>
      <c r="N4" s="9">
        <f>SUMIF('World Cup 2022 Matches'!$G$2:$G$49,GroupA[[#This Row],[Teams]],'World Cup 2022 Matches'!$V$2:$V$49)</f>
        <v>0</v>
      </c>
      <c r="O4" s="9">
        <f>SUMIF('World Cup 2022 Matches'!$J$2:$J$49,GroupA[[#This Row],[Teams]],'World Cup 2022 Matches'!$W$2:$W$49)</f>
        <v>6</v>
      </c>
      <c r="P4" s="9">
        <f>SUMIF('World Cup 2022 Matches'!$G$2:$G$49,GroupA[[#This Row],[Teams]],'World Cup 2022 Matches'!$X$2:$X$49)</f>
        <v>0</v>
      </c>
      <c r="Q4" s="9">
        <f>SUMIF('World Cup 2022 Matches'!$J$2:$J$49,GroupA[[#This Row],[Teams]],'World Cup 2022 Matches'!$Y$2:$Y$49)</f>
        <v>0</v>
      </c>
      <c r="R4" s="10">
        <f>GroupA[[#This Row],[Away Draw Points]]+GroupA[[#This Row],[Home Draw Points]]+GroupA[[#This Row],[Away Points]]+GroupA[[#This Row],[Home Points]]</f>
        <v>6</v>
      </c>
    </row>
    <row r="5" spans="1:18" x14ac:dyDescent="0.25">
      <c r="A5" t="s">
        <v>105</v>
      </c>
      <c r="B5" s="5" t="s">
        <v>9</v>
      </c>
      <c r="C5" s="6" t="s">
        <v>50</v>
      </c>
      <c r="D5" s="6" t="s">
        <v>2</v>
      </c>
      <c r="E5" s="6">
        <f>SUMIF('World Cup 2022 Matches'!$G$2:$G$49,GroupA[[#This Row],[Teams]],'World Cup 2022 Matches'!$T$2:$T$49)</f>
        <v>1</v>
      </c>
      <c r="F5" s="6">
        <f>SUMIF('World Cup 2022 Matches'!$J$2:$J$49,GroupA[[#This Row],[Teams]],'World Cup 2022 Matches'!$U$2:$U$49)</f>
        <v>2</v>
      </c>
      <c r="G5" s="6">
        <f>GroupA[[#This Row],[Home Games Played]]+GroupA[[#This Row],[Away Games Played]]</f>
        <v>3</v>
      </c>
      <c r="H5" s="6">
        <f>SUMIF('World Cup 2022 Matches'!$G$2:$G$49,GroupA[[#This Row],[Teams]],'World Cup 2022 Matches'!$H$2:$H$49)</f>
        <v>1</v>
      </c>
      <c r="I5" s="6">
        <f>SUMIF('World Cup 2022 Matches'!$J$2:$J$49,GroupA[[#This Row],[Teams]],'World Cup 2022 Matches'!$I$2:$I$49)</f>
        <v>3</v>
      </c>
      <c r="J5" s="6">
        <f>GroupA[[#This Row],[Goals For Home]]+GroupA[[#This Row],[Goals For Away]]</f>
        <v>4</v>
      </c>
      <c r="K5" s="6">
        <f>SUMIF('World Cup 2022 Matches'!$G$2:$G$49,GroupA[[#This Row],[Teams]],'World Cup 2022 Matches'!$I$2:$I$49)</f>
        <v>2</v>
      </c>
      <c r="L5" s="6">
        <f>SUMIF('World Cup 2022 Matches'!$J$2:$J$49,GroupA[[#This Row],[Teams]],'World Cup 2022 Matches'!$H$2:$H$49)</f>
        <v>1</v>
      </c>
      <c r="M5" s="6">
        <f>(GroupA[[#This Row],[Goals For Home]]+GroupA[[#This Row],[Goals For Away]])-(GroupA[[#This Row],[Goals Against Home]]+GroupA[[#This Row],[Goals Against Away]])</f>
        <v>1</v>
      </c>
      <c r="N5" s="6">
        <f>SUMIF('World Cup 2022 Matches'!$G$2:$G$49,GroupA[[#This Row],[Teams]],'World Cup 2022 Matches'!$V$2:$V$49)</f>
        <v>0</v>
      </c>
      <c r="O5" s="6">
        <f>SUMIF('World Cup 2022 Matches'!$J$2:$J$49,GroupA[[#This Row],[Teams]],'World Cup 2022 Matches'!$W$2:$W$49)</f>
        <v>3</v>
      </c>
      <c r="P5" s="6">
        <f>SUMIF('World Cup 2022 Matches'!$G$2:$G$49,GroupA[[#This Row],[Teams]],'World Cup 2022 Matches'!$X$2:$X$49)</f>
        <v>0</v>
      </c>
      <c r="Q5" s="6">
        <f>SUMIF('World Cup 2022 Matches'!$J$2:$J$49,GroupA[[#This Row],[Teams]],'World Cup 2022 Matches'!$Y$2:$Y$49)</f>
        <v>1</v>
      </c>
      <c r="R5" s="7">
        <f>GroupA[[#This Row],[Away Draw Points]]+GroupA[[#This Row],[Home Draw Points]]+GroupA[[#This Row],[Away Points]]+GroupA[[#This Row],[Home Points]]</f>
        <v>4</v>
      </c>
    </row>
    <row r="6" spans="1:18" x14ac:dyDescent="0.25">
      <c r="A6" t="s">
        <v>106</v>
      </c>
      <c r="B6" s="15" t="s">
        <v>8</v>
      </c>
      <c r="C6" s="13" t="s">
        <v>53</v>
      </c>
      <c r="D6" s="13" t="s">
        <v>2</v>
      </c>
      <c r="E6" s="13">
        <f>SUMIF('World Cup 2022 Matches'!$G$2:$G$49,GroupA[[#This Row],[Teams]],'World Cup 2022 Matches'!$T$2:$T$49)</f>
        <v>2</v>
      </c>
      <c r="F6" s="13">
        <f>SUMIF('World Cup 2022 Matches'!$J$2:$J$49,GroupA[[#This Row],[Teams]],'World Cup 2022 Matches'!$U$2:$U$49)</f>
        <v>1</v>
      </c>
      <c r="G6" s="13">
        <f>GroupA[[#This Row],[Home Games Played]]+GroupA[[#This Row],[Away Games Played]]</f>
        <v>3</v>
      </c>
      <c r="H6" s="13">
        <f>SUMIF('World Cup 2022 Matches'!$G$2:$G$49,GroupA[[#This Row],[Teams]],'World Cup 2022 Matches'!$H$2:$H$49)</f>
        <v>1</v>
      </c>
      <c r="I6" s="6">
        <f>SUMIF('World Cup 2022 Matches'!$J$2:$J$49,GroupA[[#This Row],[Teams]],'World Cup 2022 Matches'!$I$2:$I$49)</f>
        <v>0</v>
      </c>
      <c r="J6" s="13">
        <f>GroupA[[#This Row],[Goals For Home]]+GroupA[[#This Row],[Goals For Away]]</f>
        <v>1</v>
      </c>
      <c r="K6" s="13">
        <f>SUMIF('World Cup 2022 Matches'!$G$2:$G$49,GroupA[[#This Row],[Teams]],'World Cup 2022 Matches'!$I$2:$I$49)</f>
        <v>5</v>
      </c>
      <c r="L6" s="13">
        <f>SUMIF('World Cup 2022 Matches'!$J$2:$J$49,GroupA[[#This Row],[Teams]],'World Cup 2022 Matches'!$H$2:$H$49)</f>
        <v>2</v>
      </c>
      <c r="M6" s="13">
        <f>(GroupA[[#This Row],[Goals For Home]]+GroupA[[#This Row],[Goals For Away]])-(GroupA[[#This Row],[Goals Against Home]]+GroupA[[#This Row],[Goals Against Away]])</f>
        <v>-6</v>
      </c>
      <c r="N6" s="13">
        <f>SUMIF('World Cup 2022 Matches'!$G$2:$G$49,GroupA[[#This Row],[Teams]],'World Cup 2022 Matches'!$V$2:$V$49)</f>
        <v>0</v>
      </c>
      <c r="O6" s="13">
        <f>SUMIF('World Cup 2022 Matches'!$J$2:$J$49,GroupA[[#This Row],[Teams]],'World Cup 2022 Matches'!$W$2:$W$49)</f>
        <v>0</v>
      </c>
      <c r="P6" s="13">
        <f>SUMIF('World Cup 2022 Matches'!$G$2:$G$49,GroupA[[#This Row],[Teams]],'World Cup 2022 Matches'!$X$2:$X$49)</f>
        <v>0</v>
      </c>
      <c r="Q6" s="13">
        <f>SUMIF('World Cup 2022 Matches'!$J$2:$J$49,GroupA[[#This Row],[Teams]],'World Cup 2022 Matches'!$Y$2:$Y$49)</f>
        <v>0</v>
      </c>
      <c r="R6" s="16">
        <f>GroupA[[#This Row],[Away Draw Points]]+GroupA[[#This Row],[Home Draw Points]]+GroupA[[#This Row],[Away Points]]+GroupA[[#This Row],[Home Points]]</f>
        <v>0</v>
      </c>
    </row>
    <row r="9" spans="1:18" x14ac:dyDescent="0.25">
      <c r="B9" s="106" t="s">
        <v>5</v>
      </c>
      <c r="C9" s="106"/>
      <c r="D9" s="106"/>
      <c r="E9" s="106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</row>
    <row r="10" spans="1:18" ht="30" x14ac:dyDescent="0.25">
      <c r="B10" s="19" t="s">
        <v>48</v>
      </c>
      <c r="C10" s="20" t="s">
        <v>49</v>
      </c>
      <c r="D10" s="20" t="s">
        <v>55</v>
      </c>
      <c r="E10" s="20" t="s">
        <v>100</v>
      </c>
      <c r="F10" s="20" t="s">
        <v>101</v>
      </c>
      <c r="G10" s="20" t="s">
        <v>121</v>
      </c>
      <c r="H10" s="20" t="s">
        <v>123</v>
      </c>
      <c r="I10" s="20" t="s">
        <v>125</v>
      </c>
      <c r="J10" s="20" t="s">
        <v>132</v>
      </c>
      <c r="K10" s="20" t="s">
        <v>124</v>
      </c>
      <c r="L10" s="20" t="s">
        <v>126</v>
      </c>
      <c r="M10" s="20" t="s">
        <v>127</v>
      </c>
      <c r="N10" s="20" t="s">
        <v>99</v>
      </c>
      <c r="O10" s="20" t="s">
        <v>102</v>
      </c>
      <c r="P10" s="20" t="s">
        <v>128</v>
      </c>
      <c r="Q10" s="20" t="s">
        <v>129</v>
      </c>
      <c r="R10" s="21" t="s">
        <v>122</v>
      </c>
    </row>
    <row r="11" spans="1:18" x14ac:dyDescent="0.25">
      <c r="A11" t="s">
        <v>85</v>
      </c>
      <c r="B11" s="5" t="s">
        <v>6</v>
      </c>
      <c r="C11" s="6" t="s">
        <v>51</v>
      </c>
      <c r="D11" s="6" t="s">
        <v>5</v>
      </c>
      <c r="E11" s="9">
        <f>SUMIF('World Cup 2022 Matches'!$G$2:$G$49,GroupB[[#This Row],[Teams]],'World Cup 2022 Matches'!$T$2:$T$49)</f>
        <v>2</v>
      </c>
      <c r="F11" s="9">
        <f>SUMIF('World Cup 2022 Matches'!$J$2:$J$49,GroupB[[#This Row],[Teams]],'World Cup 2022 Matches'!$U$2:$U$49)</f>
        <v>1</v>
      </c>
      <c r="G11" s="9">
        <f>GroupB[[#This Row],[Home Games Played]]+GroupB[[#This Row],[Away Games Played]]</f>
        <v>3</v>
      </c>
      <c r="H11" s="9">
        <f>SUMIF('World Cup 2022 Matches'!$G$2:$G$49,GroupB[[#This Row],[Teams]],'World Cup 2022 Matches'!$H$2:$H$49)</f>
        <v>6</v>
      </c>
      <c r="I11" s="9">
        <f>SUMIF('World Cup 2022 Matches'!$J$2:$J$49,GroupB[[#This Row],[Teams]],'World Cup 2022 Matches'!$I$2:$I$49)</f>
        <v>3</v>
      </c>
      <c r="J11" s="9">
        <f>GroupB[[#This Row],[Goals For Home]]+GroupB[[#This Row],[Goals For Away]]</f>
        <v>9</v>
      </c>
      <c r="K11" s="9">
        <f>SUMIF('World Cup 2022 Matches'!$G$2:$G$49,GroupB[[#This Row],[Teams]],'World Cup 2022 Matches'!$I$2:$I$49)</f>
        <v>2</v>
      </c>
      <c r="L11" s="9">
        <f>SUMIF('World Cup 2022 Matches'!$J$2:$J$49,GroupB[[#This Row],[Teams]],'World Cup 2022 Matches'!$H$2:$H$49)</f>
        <v>0</v>
      </c>
      <c r="M11" s="9">
        <f>(GroupB[[#This Row],[Goals For Home]]+GroupB[[#This Row],[Goals For Away]])-(GroupB[[#This Row],[Goals Against Home]]+GroupB[[#This Row],[Goals Against Away]])</f>
        <v>7</v>
      </c>
      <c r="N11" s="9">
        <f>SUMIF('World Cup 2022 Matches'!$G$2:$G$49,GroupB[[#This Row],[Teams]],'World Cup 2022 Matches'!$V$2:$V$49)</f>
        <v>3</v>
      </c>
      <c r="O11" s="9">
        <f>SUMIF('World Cup 2022 Matches'!$J$2:$J$49,GroupB[[#This Row],[Teams]],'World Cup 2022 Matches'!$W$2:$W$49)</f>
        <v>3</v>
      </c>
      <c r="P11" s="9">
        <f>SUMIF('World Cup 2022 Matches'!$G$2:$G$49,GroupB[[#This Row],[Teams]],'World Cup 2022 Matches'!$X$2:$X$49)</f>
        <v>1</v>
      </c>
      <c r="Q11" s="9">
        <f>SUMIF('World Cup 2022 Matches'!$J$2:$J$49,GroupB[[#This Row],[Teams]],'World Cup 2022 Matches'!$Y$2:$Y$49)</f>
        <v>0</v>
      </c>
      <c r="R11" s="10">
        <f>GroupB[[#This Row],[Away Draw Points]]+GroupB[[#This Row],[Home Draw Points]]+GroupB[[#This Row],[Away Points]]+GroupB[[#This Row],[Home Points]]</f>
        <v>7</v>
      </c>
    </row>
    <row r="12" spans="1:18" x14ac:dyDescent="0.25">
      <c r="A12" t="s">
        <v>82</v>
      </c>
      <c r="B12" s="5" t="s">
        <v>10</v>
      </c>
      <c r="C12" s="6" t="s">
        <v>52</v>
      </c>
      <c r="D12" s="6" t="s">
        <v>5</v>
      </c>
      <c r="E12" s="9">
        <f>SUMIF('World Cup 2022 Matches'!$G$2:$G$49,GroupB[[#This Row],[Teams]],'World Cup 2022 Matches'!$T$2:$T$49)</f>
        <v>1</v>
      </c>
      <c r="F12" s="9">
        <f>SUMIF('World Cup 2022 Matches'!$J$2:$J$49,GroupB[[#This Row],[Teams]],'World Cup 2022 Matches'!$U$2:$U$49)</f>
        <v>2</v>
      </c>
      <c r="G12" s="9">
        <f>GroupB[[#This Row],[Home Games Played]]+GroupB[[#This Row],[Away Games Played]]</f>
        <v>3</v>
      </c>
      <c r="H12" s="9">
        <f>SUMIF('World Cup 2022 Matches'!$G$2:$G$49,GroupB[[#This Row],[Teams]],'World Cup 2022 Matches'!$H$2:$H$49)</f>
        <v>1</v>
      </c>
      <c r="I12" s="9">
        <f>SUMIF('World Cup 2022 Matches'!$J$2:$J$49,GroupB[[#This Row],[Teams]],'World Cup 2022 Matches'!$I$2:$I$49)</f>
        <v>1</v>
      </c>
      <c r="J12" s="9">
        <f>GroupB[[#This Row],[Goals For Home]]+GroupB[[#This Row],[Goals For Away]]</f>
        <v>2</v>
      </c>
      <c r="K12" s="9">
        <f>SUMIF('World Cup 2022 Matches'!$G$2:$G$49,GroupB[[#This Row],[Teams]],'World Cup 2022 Matches'!$I$2:$I$49)</f>
        <v>1</v>
      </c>
      <c r="L12" s="9">
        <f>SUMIF('World Cup 2022 Matches'!$J$2:$J$49,GroupB[[#This Row],[Teams]],'World Cup 2022 Matches'!$H$2:$H$49)</f>
        <v>0</v>
      </c>
      <c r="M12" s="9">
        <f>(GroupB[[#This Row],[Goals For Home]]+GroupB[[#This Row],[Goals For Away]])-(GroupB[[#This Row],[Goals Against Home]]+GroupB[[#This Row],[Goals Against Away]])</f>
        <v>1</v>
      </c>
      <c r="N12" s="9">
        <f>SUMIF('World Cup 2022 Matches'!$G$2:$G$49,GroupB[[#This Row],[Teams]],'World Cup 2022 Matches'!$V$2:$V$49)</f>
        <v>0</v>
      </c>
      <c r="O12" s="9">
        <f>SUMIF('World Cup 2022 Matches'!$J$2:$J$49,GroupB[[#This Row],[Teams]],'World Cup 2022 Matches'!$W$2:$W$49)</f>
        <v>3</v>
      </c>
      <c r="P12" s="9">
        <f>SUMIF('World Cup 2022 Matches'!$G$2:$G$49,GroupB[[#This Row],[Teams]],'World Cup 2022 Matches'!$X$2:$X$49)</f>
        <v>1</v>
      </c>
      <c r="Q12" s="9">
        <f>SUMIF('World Cup 2022 Matches'!$J$2:$J$49,GroupB[[#This Row],[Teams]],'World Cup 2022 Matches'!$Y$2:$Y$49)</f>
        <v>1</v>
      </c>
      <c r="R12" s="10">
        <f>GroupB[[#This Row],[Away Draw Points]]+GroupB[[#This Row],[Home Draw Points]]+GroupB[[#This Row],[Away Points]]+GroupB[[#This Row],[Home Points]]</f>
        <v>5</v>
      </c>
    </row>
    <row r="13" spans="1:18" x14ac:dyDescent="0.25">
      <c r="A13" t="s">
        <v>107</v>
      </c>
      <c r="B13" s="8" t="s">
        <v>7</v>
      </c>
      <c r="C13" s="9" t="s">
        <v>53</v>
      </c>
      <c r="D13" s="9" t="s">
        <v>5</v>
      </c>
      <c r="E13" s="9">
        <f>SUMIF('World Cup 2022 Matches'!$G$2:$G$49,GroupB[[#This Row],[Teams]],'World Cup 2022 Matches'!$T$2:$T$49)</f>
        <v>1</v>
      </c>
      <c r="F13" s="9">
        <f>SUMIF('World Cup 2022 Matches'!$J$2:$J$49,GroupB[[#This Row],[Teams]],'World Cup 2022 Matches'!$U$2:$U$49)</f>
        <v>2</v>
      </c>
      <c r="G13" s="9">
        <f>GroupB[[#This Row],[Home Games Played]]+GroupB[[#This Row],[Away Games Played]]</f>
        <v>3</v>
      </c>
      <c r="H13" s="9">
        <f>SUMIF('World Cup 2022 Matches'!$G$2:$G$49,GroupB[[#This Row],[Teams]],'World Cup 2022 Matches'!$H$2:$H$49)</f>
        <v>0</v>
      </c>
      <c r="I13" s="9">
        <f>SUMIF('World Cup 2022 Matches'!$J$2:$J$49,GroupB[[#This Row],[Teams]],'World Cup 2022 Matches'!$I$2:$I$49)</f>
        <v>4</v>
      </c>
      <c r="J13" s="9">
        <f>GroupB[[#This Row],[Goals For Home]]+GroupB[[#This Row],[Goals For Away]]</f>
        <v>4</v>
      </c>
      <c r="K13" s="9">
        <f>SUMIF('World Cup 2022 Matches'!$G$2:$G$49,GroupB[[#This Row],[Teams]],'World Cup 2022 Matches'!$I$2:$I$49)</f>
        <v>1</v>
      </c>
      <c r="L13" s="9">
        <f>SUMIF('World Cup 2022 Matches'!$J$2:$J$49,GroupB[[#This Row],[Teams]],'World Cup 2022 Matches'!$H$2:$H$49)</f>
        <v>6</v>
      </c>
      <c r="M13" s="9">
        <f>(GroupB[[#This Row],[Goals For Home]]+GroupB[[#This Row],[Goals For Away]])-(GroupB[[#This Row],[Goals Against Home]]+GroupB[[#This Row],[Goals Against Away]])</f>
        <v>-3</v>
      </c>
      <c r="N13" s="9">
        <f>SUMIF('World Cup 2022 Matches'!$G$2:$G$49,GroupB[[#This Row],[Teams]],'World Cup 2022 Matches'!$V$2:$V$49)</f>
        <v>0</v>
      </c>
      <c r="O13" s="9">
        <f>SUMIF('World Cup 2022 Matches'!$J$2:$J$49,GroupB[[#This Row],[Teams]],'World Cup 2022 Matches'!$W$2:$W$49)</f>
        <v>3</v>
      </c>
      <c r="P13" s="9">
        <f>SUMIF('World Cup 2022 Matches'!$G$2:$G$49,GroupB[[#This Row],[Teams]],'World Cup 2022 Matches'!$X$2:$X$49)</f>
        <v>0</v>
      </c>
      <c r="Q13" s="9">
        <f>SUMIF('World Cup 2022 Matches'!$J$2:$J$49,GroupB[[#This Row],[Teams]],'World Cup 2022 Matches'!$Y$2:$Y$49)</f>
        <v>0</v>
      </c>
      <c r="R13" s="10">
        <f>GroupB[[#This Row],[Away Draw Points]]+GroupB[[#This Row],[Home Draw Points]]+GroupB[[#This Row],[Away Points]]+GroupB[[#This Row],[Home Points]]</f>
        <v>3</v>
      </c>
    </row>
    <row r="14" spans="1:18" x14ac:dyDescent="0.25">
      <c r="A14" t="s">
        <v>108</v>
      </c>
      <c r="B14" s="11" t="s">
        <v>11</v>
      </c>
      <c r="C14" s="12" t="s">
        <v>51</v>
      </c>
      <c r="D14" s="12" t="s">
        <v>5</v>
      </c>
      <c r="E14" s="12">
        <f>SUMIF('World Cup 2022 Matches'!$G$2:$G$49,GroupB[[#This Row],[Teams]],'World Cup 2022 Matches'!$T$2:$T$49)</f>
        <v>2</v>
      </c>
      <c r="F14" s="12">
        <f>SUMIF('World Cup 2022 Matches'!$J$2:$J$49,GroupB[[#This Row],[Teams]],'World Cup 2022 Matches'!$U$2:$U$49)</f>
        <v>1</v>
      </c>
      <c r="G14" s="12">
        <f>GroupB[[#This Row],[Home Games Played]]+GroupB[[#This Row],[Away Games Played]]</f>
        <v>3</v>
      </c>
      <c r="H14" s="12">
        <f>SUMIF('World Cup 2022 Matches'!$G$2:$G$49,GroupB[[#This Row],[Teams]],'World Cup 2022 Matches'!$H$2:$H$49)</f>
        <v>0</v>
      </c>
      <c r="I14" s="12">
        <f>SUMIF('World Cup 2022 Matches'!$J$2:$J$49,GroupB[[#This Row],[Teams]],'World Cup 2022 Matches'!$I$2:$I$49)</f>
        <v>1</v>
      </c>
      <c r="J14" s="12">
        <f>GroupB[[#This Row],[Goals For Home]]+GroupB[[#This Row],[Goals For Away]]</f>
        <v>1</v>
      </c>
      <c r="K14" s="12">
        <f>SUMIF('World Cup 2022 Matches'!$G$2:$G$49,GroupB[[#This Row],[Teams]],'World Cup 2022 Matches'!$I$2:$I$49)</f>
        <v>5</v>
      </c>
      <c r="L14" s="12">
        <f>SUMIF('World Cup 2022 Matches'!$J$2:$J$49,GroupB[[#This Row],[Teams]],'World Cup 2022 Matches'!$H$2:$H$49)</f>
        <v>1</v>
      </c>
      <c r="M14" s="12">
        <f>(GroupB[[#This Row],[Goals For Home]]+GroupB[[#This Row],[Goals For Away]])-(GroupB[[#This Row],[Goals Against Home]]+GroupB[[#This Row],[Goals Against Away]])</f>
        <v>-5</v>
      </c>
      <c r="N14" s="12">
        <f>SUMIF('World Cup 2022 Matches'!$G$2:$G$49,GroupB[[#This Row],[Teams]],'World Cup 2022 Matches'!$V$2:$V$49)</f>
        <v>0</v>
      </c>
      <c r="O14" s="12">
        <f>SUMIF('World Cup 2022 Matches'!$J$2:$J$49,GroupB[[#This Row],[Teams]],'World Cup 2022 Matches'!$W$2:$W$49)</f>
        <v>0</v>
      </c>
      <c r="P14" s="12">
        <f>SUMIF('World Cup 2022 Matches'!$G$2:$G$49,GroupB[[#This Row],[Teams]],'World Cup 2022 Matches'!$X$2:$X$49)</f>
        <v>0</v>
      </c>
      <c r="Q14" s="12">
        <f>SUMIF('World Cup 2022 Matches'!$J$2:$J$49,GroupB[[#This Row],[Teams]],'World Cup 2022 Matches'!$Y$2:$Y$49)</f>
        <v>1</v>
      </c>
      <c r="R14" s="14">
        <f>GroupB[[#This Row],[Away Draw Points]]+GroupB[[#This Row],[Home Draw Points]]+GroupB[[#This Row],[Away Points]]+GroupB[[#This Row],[Home Points]]</f>
        <v>1</v>
      </c>
    </row>
    <row r="17" spans="1:18" x14ac:dyDescent="0.25">
      <c r="B17" s="106" t="s">
        <v>12</v>
      </c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</row>
    <row r="18" spans="1:18" ht="30" x14ac:dyDescent="0.25">
      <c r="B18" s="19" t="s">
        <v>48</v>
      </c>
      <c r="C18" s="20" t="s">
        <v>49</v>
      </c>
      <c r="D18" s="20" t="s">
        <v>55</v>
      </c>
      <c r="E18" s="20" t="s">
        <v>100</v>
      </c>
      <c r="F18" s="20" t="s">
        <v>101</v>
      </c>
      <c r="G18" s="20" t="s">
        <v>121</v>
      </c>
      <c r="H18" s="20" t="s">
        <v>123</v>
      </c>
      <c r="I18" s="20" t="s">
        <v>125</v>
      </c>
      <c r="J18" s="20" t="s">
        <v>132</v>
      </c>
      <c r="K18" s="20" t="s">
        <v>124</v>
      </c>
      <c r="L18" s="20" t="s">
        <v>126</v>
      </c>
      <c r="M18" s="20" t="s">
        <v>127</v>
      </c>
      <c r="N18" s="20" t="s">
        <v>99</v>
      </c>
      <c r="O18" s="20" t="s">
        <v>102</v>
      </c>
      <c r="P18" s="20" t="s">
        <v>128</v>
      </c>
      <c r="Q18" s="20" t="s">
        <v>129</v>
      </c>
      <c r="R18" s="21" t="s">
        <v>122</v>
      </c>
    </row>
    <row r="19" spans="1:18" x14ac:dyDescent="0.25">
      <c r="A19" t="s">
        <v>83</v>
      </c>
      <c r="B19" s="5" t="s">
        <v>13</v>
      </c>
      <c r="C19" s="6" t="s">
        <v>50</v>
      </c>
      <c r="D19" s="6" t="s">
        <v>12</v>
      </c>
      <c r="E19" s="9">
        <f>SUMIF('World Cup 2022 Matches'!$G$2:$G$49,GroupC[[#This Row],[Teams]],'World Cup 2022 Matches'!$T$2:$T$49)</f>
        <v>2</v>
      </c>
      <c r="F19" s="9">
        <f>SUMIF('World Cup 2022 Matches'!$J$2:$J$49,GroupC[[#This Row],[Teams]],'World Cup 2022 Matches'!$U$2:$U$49)</f>
        <v>1</v>
      </c>
      <c r="G19" s="9">
        <f>GroupC[[#This Row],[Home Games Played]]+GroupC[[#This Row],[Away Games Played]]</f>
        <v>3</v>
      </c>
      <c r="H19" s="9">
        <f>SUMIF('World Cup 2022 Matches'!$G$2:$G$49,GroupC[[#This Row],[Teams]],'World Cup 2022 Matches'!$H$2:$H$49)</f>
        <v>3</v>
      </c>
      <c r="I19" s="9">
        <f>SUMIF('World Cup 2022 Matches'!$J$2:$J$49,GroupC[[#This Row],[Teams]],'World Cup 2022 Matches'!$I$2:$I$49)</f>
        <v>2</v>
      </c>
      <c r="J19" s="9">
        <f>GroupC[[#This Row],[Goals For Home]]+GroupC[[#This Row],[Goals For Away]]</f>
        <v>5</v>
      </c>
      <c r="K19" s="9">
        <f>SUMIF('World Cup 2022 Matches'!$G$2:$G$49,GroupC[[#This Row],[Teams]],'World Cup 2022 Matches'!$I$2:$I$49)</f>
        <v>2</v>
      </c>
      <c r="L19" s="9">
        <f>SUMIF('World Cup 2022 Matches'!$J$2:$J$49,GroupC[[#This Row],[Teams]],'World Cup 2022 Matches'!$H$2:$H$49)</f>
        <v>0</v>
      </c>
      <c r="M19" s="9">
        <f>(GroupC[[#This Row],[Goals For Home]]+GroupC[[#This Row],[Goals For Away]])-(GroupC[[#This Row],[Goals Against Home]]+GroupC[[#This Row],[Goals Against Away]])</f>
        <v>3</v>
      </c>
      <c r="N19" s="9">
        <f>SUMIF('World Cup 2022 Matches'!$G$2:$G$49,GroupC[[#This Row],[Teams]],'World Cup 2022 Matches'!$V$2:$V$49)</f>
        <v>3</v>
      </c>
      <c r="O19" s="9">
        <f>SUMIF('World Cup 2022 Matches'!$J$2:$J$49,GroupC[[#This Row],[Teams]],'World Cup 2022 Matches'!$W$2:$W$49)</f>
        <v>3</v>
      </c>
      <c r="P19" s="9">
        <f>SUMIF('World Cup 2022 Matches'!$G$2:$G$49,GroupC[[#This Row],[Teams]],'World Cup 2022 Matches'!$X$2:$X$49)</f>
        <v>0</v>
      </c>
      <c r="Q19" s="9">
        <f>SUMIF('World Cup 2022 Matches'!$J$2:$J$49,GroupC[[#This Row],[Teams]],'World Cup 2022 Matches'!$Y$2:$Y$49)</f>
        <v>0</v>
      </c>
      <c r="R19" s="10">
        <f>GroupC[[#This Row],[Away Draw Points]]+GroupC[[#This Row],[Home Draw Points]]+GroupC[[#This Row],[Away Points]]+GroupC[[#This Row],[Home Points]]</f>
        <v>6</v>
      </c>
    </row>
    <row r="20" spans="1:18" x14ac:dyDescent="0.25">
      <c r="A20" t="s">
        <v>88</v>
      </c>
      <c r="B20" s="5" t="s">
        <v>19</v>
      </c>
      <c r="C20" s="6" t="s">
        <v>51</v>
      </c>
      <c r="D20" s="6" t="s">
        <v>12</v>
      </c>
      <c r="E20" s="9">
        <f>SUMIF('World Cup 2022 Matches'!$G$2:$G$49,GroupC[[#This Row],[Teams]],'World Cup 2022 Matches'!$T$2:$T$49)</f>
        <v>2</v>
      </c>
      <c r="F20" s="9">
        <f>SUMIF('World Cup 2022 Matches'!$J$2:$J$49,GroupC[[#This Row],[Teams]],'World Cup 2022 Matches'!$U$2:$U$49)</f>
        <v>1</v>
      </c>
      <c r="G20" s="9">
        <f>GroupC[[#This Row],[Home Games Played]]+GroupC[[#This Row],[Away Games Played]]</f>
        <v>3</v>
      </c>
      <c r="H20" s="9">
        <f>SUMIF('World Cup 2022 Matches'!$G$2:$G$49,GroupC[[#This Row],[Teams]],'World Cup 2022 Matches'!$H$2:$H$49)</f>
        <v>2</v>
      </c>
      <c r="I20" s="9">
        <f>SUMIF('World Cup 2022 Matches'!$J$2:$J$49,GroupC[[#This Row],[Teams]],'World Cup 2022 Matches'!$I$2:$I$49)</f>
        <v>0</v>
      </c>
      <c r="J20" s="9">
        <f>GroupC[[#This Row],[Goals For Home]]+GroupC[[#This Row],[Goals For Away]]</f>
        <v>2</v>
      </c>
      <c r="K20" s="9">
        <f>SUMIF('World Cup 2022 Matches'!$G$2:$G$49,GroupC[[#This Row],[Teams]],'World Cup 2022 Matches'!$I$2:$I$49)</f>
        <v>2</v>
      </c>
      <c r="L20" s="9">
        <f>SUMIF('World Cup 2022 Matches'!$J$2:$J$49,GroupC[[#This Row],[Teams]],'World Cup 2022 Matches'!$H$2:$H$49)</f>
        <v>0</v>
      </c>
      <c r="M20" s="9">
        <f>(GroupC[[#This Row],[Goals For Home]]+GroupC[[#This Row],[Goals For Away]])-(GroupC[[#This Row],[Goals Against Home]]+GroupC[[#This Row],[Goals Against Away]])</f>
        <v>0</v>
      </c>
      <c r="N20" s="9">
        <f>SUMIF('World Cup 2022 Matches'!$G$2:$G$49,GroupC[[#This Row],[Teams]],'World Cup 2022 Matches'!$V$2:$V$49)</f>
        <v>3</v>
      </c>
      <c r="O20" s="9">
        <f>SUMIF('World Cup 2022 Matches'!$J$2:$J$49,GroupC[[#This Row],[Teams]],'World Cup 2022 Matches'!$W$2:$W$49)</f>
        <v>0</v>
      </c>
      <c r="P20" s="9">
        <f>SUMIF('World Cup 2022 Matches'!$G$2:$G$49,GroupC[[#This Row],[Teams]],'World Cup 2022 Matches'!$X$2:$X$49)</f>
        <v>0</v>
      </c>
      <c r="Q20" s="9">
        <f>SUMIF('World Cup 2022 Matches'!$J$2:$J$49,GroupC[[#This Row],[Teams]],'World Cup 2022 Matches'!$Y$2:$Y$49)</f>
        <v>1</v>
      </c>
      <c r="R20" s="10">
        <f>GroupC[[#This Row],[Away Draw Points]]+GroupC[[#This Row],[Home Draw Points]]+GroupC[[#This Row],[Away Points]]+GroupC[[#This Row],[Home Points]]</f>
        <v>4</v>
      </c>
    </row>
    <row r="21" spans="1:18" x14ac:dyDescent="0.25">
      <c r="A21" t="s">
        <v>109</v>
      </c>
      <c r="B21" s="8" t="s">
        <v>18</v>
      </c>
      <c r="C21" s="9" t="s">
        <v>52</v>
      </c>
      <c r="D21" s="9" t="s">
        <v>12</v>
      </c>
      <c r="E21" s="9">
        <f>SUMIF('World Cup 2022 Matches'!$G$2:$G$49,GroupC[[#This Row],[Teams]],'World Cup 2022 Matches'!$T$2:$T$49)</f>
        <v>1</v>
      </c>
      <c r="F21" s="9">
        <f>SUMIF('World Cup 2022 Matches'!$J$2:$J$49,GroupC[[#This Row],[Teams]],'World Cup 2022 Matches'!$U$2:$U$49)</f>
        <v>2</v>
      </c>
      <c r="G21" s="9">
        <f>GroupC[[#This Row],[Home Games Played]]+GroupC[[#This Row],[Away Games Played]]</f>
        <v>3</v>
      </c>
      <c r="H21" s="9">
        <f>SUMIF('World Cup 2022 Matches'!$G$2:$G$49,GroupC[[#This Row],[Teams]],'World Cup 2022 Matches'!$H$2:$H$49)</f>
        <v>0</v>
      </c>
      <c r="I21" s="9">
        <f>SUMIF('World Cup 2022 Matches'!$J$2:$J$49,GroupC[[#This Row],[Teams]],'World Cup 2022 Matches'!$I$2:$I$49)</f>
        <v>2</v>
      </c>
      <c r="J21" s="9">
        <f>GroupC[[#This Row],[Goals For Home]]+GroupC[[#This Row],[Goals For Away]]</f>
        <v>2</v>
      </c>
      <c r="K21" s="9">
        <f>SUMIF('World Cup 2022 Matches'!$G$2:$G$49,GroupC[[#This Row],[Teams]],'World Cup 2022 Matches'!$I$2:$I$49)</f>
        <v>0</v>
      </c>
      <c r="L21" s="9">
        <f>SUMIF('World Cup 2022 Matches'!$J$2:$J$49,GroupC[[#This Row],[Teams]],'World Cup 2022 Matches'!$H$2:$H$49)</f>
        <v>3</v>
      </c>
      <c r="M21" s="9">
        <f>(GroupC[[#This Row],[Goals For Home]]+GroupC[[#This Row],[Goals For Away]])-(GroupC[[#This Row],[Goals Against Home]]+GroupC[[#This Row],[Goals Against Away]])</f>
        <v>-1</v>
      </c>
      <c r="N21" s="9">
        <f>SUMIF('World Cup 2022 Matches'!$G$2:$G$49,GroupC[[#This Row],[Teams]],'World Cup 2022 Matches'!$V$2:$V$49)</f>
        <v>0</v>
      </c>
      <c r="O21" s="9">
        <f>SUMIF('World Cup 2022 Matches'!$J$2:$J$49,GroupC[[#This Row],[Teams]],'World Cup 2022 Matches'!$W$2:$W$49)</f>
        <v>3</v>
      </c>
      <c r="P21" s="9">
        <f>SUMIF('World Cup 2022 Matches'!$G$2:$G$49,GroupC[[#This Row],[Teams]],'World Cup 2022 Matches'!$X$2:$X$49)</f>
        <v>1</v>
      </c>
      <c r="Q21" s="9">
        <f>SUMIF('World Cup 2022 Matches'!$J$2:$J$49,GroupC[[#This Row],[Teams]],'World Cup 2022 Matches'!$Y$2:$Y$49)</f>
        <v>0</v>
      </c>
      <c r="R21" s="10">
        <f>GroupC[[#This Row],[Away Draw Points]]+GroupC[[#This Row],[Home Draw Points]]+GroupC[[#This Row],[Away Points]]+GroupC[[#This Row],[Home Points]]</f>
        <v>4</v>
      </c>
    </row>
    <row r="22" spans="1:18" x14ac:dyDescent="0.25">
      <c r="A22" t="s">
        <v>110</v>
      </c>
      <c r="B22" s="11" t="s">
        <v>14</v>
      </c>
      <c r="C22" s="12" t="s">
        <v>53</v>
      </c>
      <c r="D22" s="12" t="s">
        <v>12</v>
      </c>
      <c r="E22" s="12">
        <f>SUMIF('World Cup 2022 Matches'!$G$2:$G$49,GroupC[[#This Row],[Teams]],'World Cup 2022 Matches'!$T$2:$T$49)</f>
        <v>1</v>
      </c>
      <c r="F22" s="12">
        <f>SUMIF('World Cup 2022 Matches'!$J$2:$J$49,GroupC[[#This Row],[Teams]],'World Cup 2022 Matches'!$U$2:$U$49)</f>
        <v>2</v>
      </c>
      <c r="G22" s="12">
        <f>GroupC[[#This Row],[Home Games Played]]+GroupC[[#This Row],[Away Games Played]]</f>
        <v>3</v>
      </c>
      <c r="H22" s="12">
        <f>SUMIF('World Cup 2022 Matches'!$G$2:$G$49,GroupC[[#This Row],[Teams]],'World Cup 2022 Matches'!$H$2:$H$49)</f>
        <v>1</v>
      </c>
      <c r="I22" s="12">
        <f>SUMIF('World Cup 2022 Matches'!$J$2:$J$49,GroupC[[#This Row],[Teams]],'World Cup 2022 Matches'!$I$2:$I$49)</f>
        <v>2</v>
      </c>
      <c r="J22" s="12">
        <f>GroupC[[#This Row],[Goals For Home]]+GroupC[[#This Row],[Goals For Away]]</f>
        <v>3</v>
      </c>
      <c r="K22" s="12">
        <f>SUMIF('World Cup 2022 Matches'!$G$2:$G$49,GroupC[[#This Row],[Teams]],'World Cup 2022 Matches'!$I$2:$I$49)</f>
        <v>2</v>
      </c>
      <c r="L22" s="12">
        <f>SUMIF('World Cup 2022 Matches'!$J$2:$J$49,GroupC[[#This Row],[Teams]],'World Cup 2022 Matches'!$H$2:$H$49)</f>
        <v>3</v>
      </c>
      <c r="M22" s="12">
        <f>(GroupC[[#This Row],[Goals For Home]]+GroupC[[#This Row],[Goals For Away]])-(GroupC[[#This Row],[Goals Against Home]]+GroupC[[#This Row],[Goals Against Away]])</f>
        <v>-2</v>
      </c>
      <c r="N22" s="12">
        <f>SUMIF('World Cup 2022 Matches'!$G$2:$G$49,GroupC[[#This Row],[Teams]],'World Cup 2022 Matches'!$V$2:$V$49)</f>
        <v>0</v>
      </c>
      <c r="O22" s="12">
        <f>SUMIF('World Cup 2022 Matches'!$J$2:$J$49,GroupC[[#This Row],[Teams]],'World Cup 2022 Matches'!$W$2:$W$49)</f>
        <v>3</v>
      </c>
      <c r="P22" s="12">
        <f>SUMIF('World Cup 2022 Matches'!$G$2:$G$49,GroupC[[#This Row],[Teams]],'World Cup 2022 Matches'!$X$2:$X$49)</f>
        <v>0</v>
      </c>
      <c r="Q22" s="12">
        <f>SUMIF('World Cup 2022 Matches'!$J$2:$J$49,GroupC[[#This Row],[Teams]],'World Cup 2022 Matches'!$Y$2:$Y$49)</f>
        <v>0</v>
      </c>
      <c r="R22" s="14">
        <f>GroupC[[#This Row],[Away Draw Points]]+GroupC[[#This Row],[Home Draw Points]]+GroupC[[#This Row],[Away Points]]+GroupC[[#This Row],[Home Points]]</f>
        <v>3</v>
      </c>
    </row>
    <row r="25" spans="1:18" x14ac:dyDescent="0.25">
      <c r="B25" s="106" t="s">
        <v>15</v>
      </c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</row>
    <row r="26" spans="1:18" ht="30" x14ac:dyDescent="0.25">
      <c r="B26" s="19" t="s">
        <v>48</v>
      </c>
      <c r="C26" s="20" t="s">
        <v>49</v>
      </c>
      <c r="D26" s="20" t="s">
        <v>55</v>
      </c>
      <c r="E26" s="20" t="s">
        <v>100</v>
      </c>
      <c r="F26" s="20" t="s">
        <v>101</v>
      </c>
      <c r="G26" s="20" t="s">
        <v>121</v>
      </c>
      <c r="H26" s="20" t="s">
        <v>123</v>
      </c>
      <c r="I26" s="20" t="s">
        <v>125</v>
      </c>
      <c r="J26" s="20" t="s">
        <v>132</v>
      </c>
      <c r="K26" s="20" t="s">
        <v>124</v>
      </c>
      <c r="L26" s="20" t="s">
        <v>126</v>
      </c>
      <c r="M26" s="20" t="s">
        <v>127</v>
      </c>
      <c r="N26" s="20" t="s">
        <v>99</v>
      </c>
      <c r="O26" s="20" t="s">
        <v>102</v>
      </c>
      <c r="P26" s="20" t="s">
        <v>128</v>
      </c>
      <c r="Q26" s="20" t="s">
        <v>129</v>
      </c>
      <c r="R26" s="21" t="s">
        <v>122</v>
      </c>
    </row>
    <row r="27" spans="1:18" x14ac:dyDescent="0.25">
      <c r="A27" t="s">
        <v>87</v>
      </c>
      <c r="B27" s="5" t="s">
        <v>20</v>
      </c>
      <c r="C27" s="6" t="s">
        <v>51</v>
      </c>
      <c r="D27" s="6" t="s">
        <v>15</v>
      </c>
      <c r="E27" s="9">
        <f>SUMIF('World Cup 2022 Matches'!$G$2:$G$49,GroupD[[#This Row],[Teams]],'World Cup 2022 Matches'!$T$2:$T$49)</f>
        <v>2</v>
      </c>
      <c r="F27" s="9">
        <f>SUMIF('World Cup 2022 Matches'!$J$2:$J$49,GroupD[[#This Row],[Teams]],'World Cup 2022 Matches'!$U$2:$U$49)</f>
        <v>1</v>
      </c>
      <c r="G27" s="9">
        <f>GroupD[[#This Row],[Home Games Played]]+GroupD[[#This Row],[Away Games Played]]</f>
        <v>3</v>
      </c>
      <c r="H27" s="9">
        <f>SUMIF('World Cup 2022 Matches'!$G$2:$G$49,GroupD[[#This Row],[Teams]],'World Cup 2022 Matches'!$H$2:$H$49)</f>
        <v>6</v>
      </c>
      <c r="I27" s="9">
        <f>SUMIF('World Cup 2022 Matches'!$J$2:$J$49,GroupD[[#This Row],[Teams]],'World Cup 2022 Matches'!$I$2:$I$49)</f>
        <v>0</v>
      </c>
      <c r="J27" s="9">
        <f>GroupD[[#This Row],[Goals For Home]]+GroupD[[#This Row],[Goals For Away]]</f>
        <v>6</v>
      </c>
      <c r="K27" s="9">
        <f>SUMIF('World Cup 2022 Matches'!$G$2:$G$49,GroupD[[#This Row],[Teams]],'World Cup 2022 Matches'!$I$2:$I$49)</f>
        <v>2</v>
      </c>
      <c r="L27" s="9">
        <f>SUMIF('World Cup 2022 Matches'!$J$2:$J$49,GroupD[[#This Row],[Teams]],'World Cup 2022 Matches'!$H$2:$H$49)</f>
        <v>1</v>
      </c>
      <c r="M27" s="9">
        <f>(GroupD[[#This Row],[Goals For Home]]+GroupD[[#This Row],[Goals For Away]])-(GroupD[[#This Row],[Goals Against Home]]+GroupD[[#This Row],[Goals Against Away]])</f>
        <v>3</v>
      </c>
      <c r="N27" s="9">
        <f>SUMIF('World Cup 2022 Matches'!$G$2:$G$49,GroupD[[#This Row],[Teams]],'World Cup 2022 Matches'!$V$2:$V$49)</f>
        <v>6</v>
      </c>
      <c r="O27" s="9">
        <f>SUMIF('World Cup 2022 Matches'!$J$2:$J$49,GroupD[[#This Row],[Teams]],'World Cup 2022 Matches'!$W$2:$W$49)</f>
        <v>0</v>
      </c>
      <c r="P27" s="9">
        <f>SUMIF('World Cup 2022 Matches'!$G$2:$G$49,GroupD[[#This Row],[Teams]],'World Cup 2022 Matches'!$X$2:$X$49)</f>
        <v>0</v>
      </c>
      <c r="Q27" s="9">
        <f>SUMIF('World Cup 2022 Matches'!$J$2:$J$49,GroupD[[#This Row],[Teams]],'World Cup 2022 Matches'!$Y$2:$Y$49)</f>
        <v>0</v>
      </c>
      <c r="R27" s="10">
        <f>GroupD[[#This Row],[Away Draw Points]]+GroupD[[#This Row],[Home Draw Points]]+GroupD[[#This Row],[Away Points]]+GroupD[[#This Row],[Home Points]]</f>
        <v>6</v>
      </c>
    </row>
    <row r="28" spans="1:18" x14ac:dyDescent="0.25">
      <c r="A28" t="s">
        <v>84</v>
      </c>
      <c r="B28" s="5" t="s">
        <v>21</v>
      </c>
      <c r="C28" s="6" t="s">
        <v>53</v>
      </c>
      <c r="D28" s="6" t="s">
        <v>15</v>
      </c>
      <c r="E28" s="9">
        <f>SUMIF('World Cup 2022 Matches'!$G$2:$G$49,GroupD[[#This Row],[Teams]],'World Cup 2022 Matches'!$T$2:$T$49)</f>
        <v>1</v>
      </c>
      <c r="F28" s="9">
        <f>SUMIF('World Cup 2022 Matches'!$J$2:$J$49,GroupD[[#This Row],[Teams]],'World Cup 2022 Matches'!$U$2:$U$49)</f>
        <v>2</v>
      </c>
      <c r="G28" s="9">
        <f>GroupD[[#This Row],[Home Games Played]]+GroupD[[#This Row],[Away Games Played]]</f>
        <v>3</v>
      </c>
      <c r="H28" s="9">
        <f>SUMIF('World Cup 2022 Matches'!$G$2:$G$49,GroupD[[#This Row],[Teams]],'World Cup 2022 Matches'!$H$2:$H$49)</f>
        <v>1</v>
      </c>
      <c r="I28" s="9">
        <f>SUMIF('World Cup 2022 Matches'!$J$2:$J$49,GroupD[[#This Row],[Teams]],'World Cup 2022 Matches'!$I$2:$I$49)</f>
        <v>2</v>
      </c>
      <c r="J28" s="9">
        <f>GroupD[[#This Row],[Goals For Home]]+GroupD[[#This Row],[Goals For Away]]</f>
        <v>3</v>
      </c>
      <c r="K28" s="9">
        <f>SUMIF('World Cup 2022 Matches'!$G$2:$G$49,GroupD[[#This Row],[Teams]],'World Cup 2022 Matches'!$I$2:$I$49)</f>
        <v>0</v>
      </c>
      <c r="L28" s="9">
        <f>SUMIF('World Cup 2022 Matches'!$J$2:$J$49,GroupD[[#This Row],[Teams]],'World Cup 2022 Matches'!$H$2:$H$49)</f>
        <v>4</v>
      </c>
      <c r="M28" s="9">
        <f>(GroupD[[#This Row],[Goals For Home]]+GroupD[[#This Row],[Goals For Away]])-(GroupD[[#This Row],[Goals Against Home]]+GroupD[[#This Row],[Goals Against Away]])</f>
        <v>-1</v>
      </c>
      <c r="N28" s="9">
        <f>SUMIF('World Cup 2022 Matches'!$G$2:$G$49,GroupD[[#This Row],[Teams]],'World Cup 2022 Matches'!$V$2:$V$49)</f>
        <v>3</v>
      </c>
      <c r="O28" s="9">
        <f>SUMIF('World Cup 2022 Matches'!$J$2:$J$49,GroupD[[#This Row],[Teams]],'World Cup 2022 Matches'!$W$2:$W$49)</f>
        <v>3</v>
      </c>
      <c r="P28" s="9">
        <f>SUMIF('World Cup 2022 Matches'!$G$2:$G$49,GroupD[[#This Row],[Teams]],'World Cup 2022 Matches'!$X$2:$X$49)</f>
        <v>0</v>
      </c>
      <c r="Q28" s="9">
        <f>SUMIF('World Cup 2022 Matches'!$J$2:$J$49,GroupD[[#This Row],[Teams]],'World Cup 2022 Matches'!$Y$2:$Y$49)</f>
        <v>0</v>
      </c>
      <c r="R28" s="10">
        <f>GroupD[[#This Row],[Away Draw Points]]+GroupD[[#This Row],[Home Draw Points]]+GroupD[[#This Row],[Away Points]]+GroupD[[#This Row],[Home Points]]</f>
        <v>6</v>
      </c>
    </row>
    <row r="29" spans="1:18" x14ac:dyDescent="0.25">
      <c r="A29" t="s">
        <v>111</v>
      </c>
      <c r="B29" s="8" t="s">
        <v>17</v>
      </c>
      <c r="C29" s="9" t="s">
        <v>54</v>
      </c>
      <c r="D29" s="9" t="s">
        <v>15</v>
      </c>
      <c r="E29" s="9">
        <f>SUMIF('World Cup 2022 Matches'!$G$2:$G$49,GroupD[[#This Row],[Teams]],'World Cup 2022 Matches'!$T$2:$T$49)</f>
        <v>2</v>
      </c>
      <c r="F29" s="9">
        <f>SUMIF('World Cup 2022 Matches'!$J$2:$J$49,GroupD[[#This Row],[Teams]],'World Cup 2022 Matches'!$U$2:$U$49)</f>
        <v>1</v>
      </c>
      <c r="G29" s="9">
        <f>GroupD[[#This Row],[Home Games Played]]+GroupD[[#This Row],[Away Games Played]]</f>
        <v>3</v>
      </c>
      <c r="H29" s="9">
        <f>SUMIF('World Cup 2022 Matches'!$G$2:$G$49,GroupD[[#This Row],[Teams]],'World Cup 2022 Matches'!$H$2:$H$49)</f>
        <v>1</v>
      </c>
      <c r="I29" s="9">
        <f>SUMIF('World Cup 2022 Matches'!$J$2:$J$49,GroupD[[#This Row],[Teams]],'World Cup 2022 Matches'!$I$2:$I$49)</f>
        <v>0</v>
      </c>
      <c r="J29" s="9">
        <f>GroupD[[#This Row],[Goals For Home]]+GroupD[[#This Row],[Goals For Away]]</f>
        <v>1</v>
      </c>
      <c r="K29" s="9">
        <f>SUMIF('World Cup 2022 Matches'!$G$2:$G$49,GroupD[[#This Row],[Teams]],'World Cup 2022 Matches'!$I$2:$I$49)</f>
        <v>1</v>
      </c>
      <c r="L29" s="9">
        <f>SUMIF('World Cup 2022 Matches'!$J$2:$J$49,GroupD[[#This Row],[Teams]],'World Cup 2022 Matches'!$H$2:$H$49)</f>
        <v>0</v>
      </c>
      <c r="M29" s="9">
        <f>(GroupD[[#This Row],[Goals For Home]]+GroupD[[#This Row],[Goals For Away]])-(GroupD[[#This Row],[Goals Against Home]]+GroupD[[#This Row],[Goals Against Away]])</f>
        <v>0</v>
      </c>
      <c r="N29" s="9">
        <f>SUMIF('World Cup 2022 Matches'!$G$2:$G$49,GroupD[[#This Row],[Teams]],'World Cup 2022 Matches'!$V$2:$V$49)</f>
        <v>3</v>
      </c>
      <c r="O29" s="9">
        <f>SUMIF('World Cup 2022 Matches'!$J$2:$J$49,GroupD[[#This Row],[Teams]],'World Cup 2022 Matches'!$W$2:$W$49)</f>
        <v>0</v>
      </c>
      <c r="P29" s="9">
        <f>SUMIF('World Cup 2022 Matches'!$G$2:$G$49,GroupD[[#This Row],[Teams]],'World Cup 2022 Matches'!$X$2:$X$49)</f>
        <v>0</v>
      </c>
      <c r="Q29" s="9">
        <f>SUMIF('World Cup 2022 Matches'!$J$2:$J$49,GroupD[[#This Row],[Teams]],'World Cup 2022 Matches'!$Y$2:$Y$49)</f>
        <v>1</v>
      </c>
      <c r="R29" s="10">
        <f>GroupD[[#This Row],[Away Draw Points]]+GroupD[[#This Row],[Home Draw Points]]+GroupD[[#This Row],[Away Points]]+GroupD[[#This Row],[Home Points]]</f>
        <v>4</v>
      </c>
    </row>
    <row r="30" spans="1:18" x14ac:dyDescent="0.25">
      <c r="A30" t="s">
        <v>112</v>
      </c>
      <c r="B30" s="11" t="s">
        <v>16</v>
      </c>
      <c r="C30" s="12" t="s">
        <v>51</v>
      </c>
      <c r="D30" s="12" t="s">
        <v>15</v>
      </c>
      <c r="E30" s="12">
        <f>SUMIF('World Cup 2022 Matches'!$G$2:$G$49,GroupD[[#This Row],[Teams]],'World Cup 2022 Matches'!$T$2:$T$49)</f>
        <v>1</v>
      </c>
      <c r="F30" s="12">
        <f>SUMIF('World Cup 2022 Matches'!$J$2:$J$49,GroupD[[#This Row],[Teams]],'World Cup 2022 Matches'!$U$2:$U$49)</f>
        <v>2</v>
      </c>
      <c r="G30" s="12">
        <f>GroupD[[#This Row],[Home Games Played]]+GroupD[[#This Row],[Away Games Played]]</f>
        <v>3</v>
      </c>
      <c r="H30" s="12">
        <f>SUMIF('World Cup 2022 Matches'!$G$2:$G$49,GroupD[[#This Row],[Teams]],'World Cup 2022 Matches'!$H$2:$H$49)</f>
        <v>0</v>
      </c>
      <c r="I30" s="12">
        <f>SUMIF('World Cup 2022 Matches'!$J$2:$J$49,GroupD[[#This Row],[Teams]],'World Cup 2022 Matches'!$I$2:$I$49)</f>
        <v>1</v>
      </c>
      <c r="J30" s="12">
        <f>GroupD[[#This Row],[Goals For Home]]+GroupD[[#This Row],[Goals For Away]]</f>
        <v>1</v>
      </c>
      <c r="K30" s="12">
        <f>SUMIF('World Cup 2022 Matches'!$G$2:$G$49,GroupD[[#This Row],[Teams]],'World Cup 2022 Matches'!$I$2:$I$49)</f>
        <v>0</v>
      </c>
      <c r="L30" s="12">
        <f>SUMIF('World Cup 2022 Matches'!$J$2:$J$49,GroupD[[#This Row],[Teams]],'World Cup 2022 Matches'!$H$2:$H$49)</f>
        <v>3</v>
      </c>
      <c r="M30" s="12">
        <f>(GroupD[[#This Row],[Goals For Home]]+GroupD[[#This Row],[Goals For Away]])-(GroupD[[#This Row],[Goals Against Home]]+GroupD[[#This Row],[Goals Against Away]])</f>
        <v>-2</v>
      </c>
      <c r="N30" s="12">
        <f>SUMIF('World Cup 2022 Matches'!$G$2:$G$49,GroupD[[#This Row],[Teams]],'World Cup 2022 Matches'!$V$2:$V$49)</f>
        <v>0</v>
      </c>
      <c r="O30" s="12">
        <f>SUMIF('World Cup 2022 Matches'!$J$2:$J$49,GroupD[[#This Row],[Teams]],'World Cup 2022 Matches'!$W$2:$W$49)</f>
        <v>0</v>
      </c>
      <c r="P30" s="12">
        <f>SUMIF('World Cup 2022 Matches'!$G$2:$G$49,GroupD[[#This Row],[Teams]],'World Cup 2022 Matches'!$X$2:$X$49)</f>
        <v>1</v>
      </c>
      <c r="Q30" s="12">
        <f>SUMIF('World Cup 2022 Matches'!$J$2:$J$49,GroupD[[#This Row],[Teams]],'World Cup 2022 Matches'!$Y$2:$Y$49)</f>
        <v>0</v>
      </c>
      <c r="R30" s="14">
        <f>GroupD[[#This Row],[Away Draw Points]]+GroupD[[#This Row],[Home Draw Points]]+GroupD[[#This Row],[Away Points]]+GroupD[[#This Row],[Home Points]]</f>
        <v>1</v>
      </c>
    </row>
    <row r="33" spans="1:18" x14ac:dyDescent="0.25">
      <c r="B33" s="106" t="s">
        <v>25</v>
      </c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</row>
    <row r="34" spans="1:18" ht="30" x14ac:dyDescent="0.25">
      <c r="B34" s="19" t="s">
        <v>48</v>
      </c>
      <c r="C34" s="20" t="s">
        <v>49</v>
      </c>
      <c r="D34" s="20" t="s">
        <v>55</v>
      </c>
      <c r="E34" s="20" t="s">
        <v>100</v>
      </c>
      <c r="F34" s="20" t="s">
        <v>101</v>
      </c>
      <c r="G34" s="20" t="s">
        <v>121</v>
      </c>
      <c r="H34" s="20" t="s">
        <v>123</v>
      </c>
      <c r="I34" s="20" t="s">
        <v>125</v>
      </c>
      <c r="J34" s="20" t="s">
        <v>132</v>
      </c>
      <c r="K34" s="20" t="s">
        <v>124</v>
      </c>
      <c r="L34" s="20" t="s">
        <v>126</v>
      </c>
      <c r="M34" s="20" t="s">
        <v>127</v>
      </c>
      <c r="N34" s="20" t="s">
        <v>99</v>
      </c>
      <c r="O34" s="20" t="s">
        <v>102</v>
      </c>
      <c r="P34" s="20" t="s">
        <v>128</v>
      </c>
      <c r="Q34" s="20" t="s">
        <v>129</v>
      </c>
      <c r="R34" s="21" t="s">
        <v>122</v>
      </c>
    </row>
    <row r="35" spans="1:18" x14ac:dyDescent="0.25">
      <c r="A35" t="s">
        <v>89</v>
      </c>
      <c r="B35" s="5" t="s">
        <v>27</v>
      </c>
      <c r="C35" s="6" t="s">
        <v>53</v>
      </c>
      <c r="D35" s="6" t="s">
        <v>25</v>
      </c>
      <c r="E35" s="9">
        <f>SUMIF('World Cup 2022 Matches'!$G$2:$G$49,GroupE[[#This Row],[Teams]],'World Cup 2022 Matches'!$T$2:$T$49)</f>
        <v>2</v>
      </c>
      <c r="F35" s="9">
        <f>SUMIF('World Cup 2022 Matches'!$J$2:$J$49,GroupE[[#This Row],[Teams]],'World Cup 2022 Matches'!$U$2:$U$49)</f>
        <v>1</v>
      </c>
      <c r="G35" s="9">
        <f>GroupE[[#This Row],[Home Games Played]]+GroupE[[#This Row],[Away Games Played]]</f>
        <v>3</v>
      </c>
      <c r="H35" s="9">
        <f>SUMIF('World Cup 2022 Matches'!$G$2:$G$49,GroupE[[#This Row],[Teams]],'World Cup 2022 Matches'!$H$2:$H$49)</f>
        <v>2</v>
      </c>
      <c r="I35" s="9">
        <f>SUMIF('World Cup 2022 Matches'!$J$2:$J$49,GroupE[[#This Row],[Teams]],'World Cup 2022 Matches'!$I$2:$I$49)</f>
        <v>2</v>
      </c>
      <c r="J35" s="9">
        <f>GroupE[[#This Row],[Goals For Home]]+GroupE[[#This Row],[Goals For Away]]</f>
        <v>4</v>
      </c>
      <c r="K35" s="9">
        <f>SUMIF('World Cup 2022 Matches'!$G$2:$G$49,GroupE[[#This Row],[Teams]],'World Cup 2022 Matches'!$I$2:$I$49)</f>
        <v>2</v>
      </c>
      <c r="L35" s="9">
        <f>SUMIF('World Cup 2022 Matches'!$J$2:$J$49,GroupE[[#This Row],[Teams]],'World Cup 2022 Matches'!$H$2:$H$49)</f>
        <v>1</v>
      </c>
      <c r="M35" s="9">
        <f>(GroupE[[#This Row],[Goals For Home]]+GroupE[[#This Row],[Goals For Away]])-(GroupE[[#This Row],[Goals Against Home]]+GroupE[[#This Row],[Goals Against Away]])</f>
        <v>1</v>
      </c>
      <c r="N35" s="9">
        <f>SUMIF('World Cup 2022 Matches'!$G$2:$G$49,GroupE[[#This Row],[Teams]],'World Cup 2022 Matches'!$V$2:$V$49)</f>
        <v>3</v>
      </c>
      <c r="O35" s="9">
        <f>SUMIF('World Cup 2022 Matches'!$J$2:$J$49,GroupE[[#This Row],[Teams]],'World Cup 2022 Matches'!$W$2:$W$49)</f>
        <v>3</v>
      </c>
      <c r="P35" s="9">
        <f>SUMIF('World Cup 2022 Matches'!$G$2:$G$49,GroupE[[#This Row],[Teams]],'World Cup 2022 Matches'!$X$2:$X$49)</f>
        <v>0</v>
      </c>
      <c r="Q35" s="9">
        <f>SUMIF('World Cup 2022 Matches'!$J$2:$J$49,GroupE[[#This Row],[Teams]],'World Cup 2022 Matches'!$Y$2:$Y$49)</f>
        <v>0</v>
      </c>
      <c r="R35" s="10">
        <f>GroupE[[#This Row],[Away Draw Points]]+GroupE[[#This Row],[Home Draw Points]]+GroupE[[#This Row],[Away Points]]+GroupE[[#This Row],[Home Points]]</f>
        <v>6</v>
      </c>
    </row>
    <row r="36" spans="1:18" x14ac:dyDescent="0.25">
      <c r="A36" t="s">
        <v>94</v>
      </c>
      <c r="B36" s="8" t="s">
        <v>28</v>
      </c>
      <c r="C36" s="9" t="s">
        <v>51</v>
      </c>
      <c r="D36" s="9" t="s">
        <v>25</v>
      </c>
      <c r="E36" s="9">
        <f>SUMIF('World Cup 2022 Matches'!$G$2:$G$49,GroupE[[#This Row],[Teams]],'World Cup 2022 Matches'!$T$2:$T$49)</f>
        <v>2</v>
      </c>
      <c r="F36" s="9">
        <f>SUMIF('World Cup 2022 Matches'!$J$2:$J$49,GroupE[[#This Row],[Teams]],'World Cup 2022 Matches'!$U$2:$U$49)</f>
        <v>1</v>
      </c>
      <c r="G36" s="9">
        <f>GroupE[[#This Row],[Home Games Played]]+GroupE[[#This Row],[Away Games Played]]</f>
        <v>3</v>
      </c>
      <c r="H36" s="9">
        <f>SUMIF('World Cup 2022 Matches'!$G$2:$G$49,GroupE[[#This Row],[Teams]],'World Cup 2022 Matches'!$H$2:$H$49)</f>
        <v>8</v>
      </c>
      <c r="I36" s="9">
        <f>SUMIF('World Cup 2022 Matches'!$J$2:$J$49,GroupE[[#This Row],[Teams]],'World Cup 2022 Matches'!$I$2:$I$49)</f>
        <v>1</v>
      </c>
      <c r="J36" s="9">
        <f>GroupE[[#This Row],[Goals For Home]]+GroupE[[#This Row],[Goals For Away]]</f>
        <v>9</v>
      </c>
      <c r="K36" s="9">
        <f>SUMIF('World Cup 2022 Matches'!$G$2:$G$49,GroupE[[#This Row],[Teams]],'World Cup 2022 Matches'!$I$2:$I$49)</f>
        <v>1</v>
      </c>
      <c r="L36" s="9">
        <f>SUMIF('World Cup 2022 Matches'!$J$2:$J$49,GroupE[[#This Row],[Teams]],'World Cup 2022 Matches'!$H$2:$H$49)</f>
        <v>2</v>
      </c>
      <c r="M36" s="9">
        <f>(GroupE[[#This Row],[Goals For Home]]+GroupE[[#This Row],[Goals For Away]])-(GroupE[[#This Row],[Goals Against Home]]+GroupE[[#This Row],[Goals Against Away]])</f>
        <v>6</v>
      </c>
      <c r="N36" s="9">
        <f>SUMIF('World Cup 2022 Matches'!$G$2:$G$49,GroupE[[#This Row],[Teams]],'World Cup 2022 Matches'!$V$2:$V$49)</f>
        <v>3</v>
      </c>
      <c r="O36" s="9">
        <f>SUMIF('World Cup 2022 Matches'!$J$2:$J$49,GroupE[[#This Row],[Teams]],'World Cup 2022 Matches'!$W$2:$W$49)</f>
        <v>0</v>
      </c>
      <c r="P36" s="9">
        <f>SUMIF('World Cup 2022 Matches'!$G$2:$G$49,GroupE[[#This Row],[Teams]],'World Cup 2022 Matches'!$X$2:$X$49)</f>
        <v>1</v>
      </c>
      <c r="Q36" s="9">
        <f>SUMIF('World Cup 2022 Matches'!$J$2:$J$49,GroupE[[#This Row],[Teams]],'World Cup 2022 Matches'!$Y$2:$Y$49)</f>
        <v>0</v>
      </c>
      <c r="R36" s="10">
        <f>GroupE[[#This Row],[Away Draw Points]]+GroupE[[#This Row],[Home Draw Points]]+GroupE[[#This Row],[Away Points]]+GroupE[[#This Row],[Home Points]]</f>
        <v>4</v>
      </c>
    </row>
    <row r="37" spans="1:18" x14ac:dyDescent="0.25">
      <c r="A37" t="s">
        <v>113</v>
      </c>
      <c r="B37" s="8" t="s">
        <v>26</v>
      </c>
      <c r="C37" s="9" t="s">
        <v>51</v>
      </c>
      <c r="D37" s="9" t="s">
        <v>25</v>
      </c>
      <c r="E37" s="9">
        <f>SUMIF('World Cup 2022 Matches'!$G$2:$G$49,GroupE[[#This Row],[Teams]],'World Cup 2022 Matches'!$T$2:$T$49)</f>
        <v>1</v>
      </c>
      <c r="F37" s="9">
        <f>SUMIF('World Cup 2022 Matches'!$J$2:$J$49,GroupE[[#This Row],[Teams]],'World Cup 2022 Matches'!$U$2:$U$49)</f>
        <v>2</v>
      </c>
      <c r="G37" s="9">
        <f>GroupE[[#This Row],[Home Games Played]]+GroupE[[#This Row],[Away Games Played]]</f>
        <v>3</v>
      </c>
      <c r="H37" s="9">
        <f>SUMIF('World Cup 2022 Matches'!$G$2:$G$49,GroupE[[#This Row],[Teams]],'World Cup 2022 Matches'!$H$2:$H$49)</f>
        <v>1</v>
      </c>
      <c r="I37" s="9">
        <f>SUMIF('World Cup 2022 Matches'!$J$2:$J$49,GroupE[[#This Row],[Teams]],'World Cup 2022 Matches'!$I$2:$I$49)</f>
        <v>5</v>
      </c>
      <c r="J37" s="9">
        <f>GroupE[[#This Row],[Goals For Home]]+GroupE[[#This Row],[Goals For Away]]</f>
        <v>6</v>
      </c>
      <c r="K37" s="9">
        <f>SUMIF('World Cup 2022 Matches'!$G$2:$G$49,GroupE[[#This Row],[Teams]],'World Cup 2022 Matches'!$I$2:$I$49)</f>
        <v>2</v>
      </c>
      <c r="L37" s="9">
        <f>SUMIF('World Cup 2022 Matches'!$J$2:$J$49,GroupE[[#This Row],[Teams]],'World Cup 2022 Matches'!$H$2:$H$49)</f>
        <v>3</v>
      </c>
      <c r="M37" s="9">
        <f>(GroupE[[#This Row],[Goals For Home]]+GroupE[[#This Row],[Goals For Away]])-(GroupE[[#This Row],[Goals Against Home]]+GroupE[[#This Row],[Goals Against Away]])</f>
        <v>1</v>
      </c>
      <c r="N37" s="9">
        <f>SUMIF('World Cup 2022 Matches'!$G$2:$G$49,GroupE[[#This Row],[Teams]],'World Cup 2022 Matches'!$V$2:$V$49)</f>
        <v>0</v>
      </c>
      <c r="O37" s="9">
        <f>SUMIF('World Cup 2022 Matches'!$J$2:$J$49,GroupE[[#This Row],[Teams]],'World Cup 2022 Matches'!$W$2:$W$49)</f>
        <v>3</v>
      </c>
      <c r="P37" s="9">
        <f>SUMIF('World Cup 2022 Matches'!$G$2:$G$49,GroupE[[#This Row],[Teams]],'World Cup 2022 Matches'!$X$2:$X$49)</f>
        <v>0</v>
      </c>
      <c r="Q37" s="9">
        <f>SUMIF('World Cup 2022 Matches'!$J$2:$J$49,GroupE[[#This Row],[Teams]],'World Cup 2022 Matches'!$Y$2:$Y$49)</f>
        <v>1</v>
      </c>
      <c r="R37" s="10">
        <f>GroupE[[#This Row],[Away Draw Points]]+GroupE[[#This Row],[Home Draw Points]]+GroupE[[#This Row],[Away Points]]+GroupE[[#This Row],[Home Points]]</f>
        <v>4</v>
      </c>
    </row>
    <row r="38" spans="1:18" x14ac:dyDescent="0.25">
      <c r="A38" t="s">
        <v>114</v>
      </c>
      <c r="B38" s="15" t="s">
        <v>29</v>
      </c>
      <c r="C38" s="13" t="s">
        <v>52</v>
      </c>
      <c r="D38" s="13" t="s">
        <v>25</v>
      </c>
      <c r="E38" s="12">
        <f>SUMIF('World Cup 2022 Matches'!$G$2:$G$49,GroupE[[#This Row],[Teams]],'World Cup 2022 Matches'!$T$2:$T$49)</f>
        <v>1</v>
      </c>
      <c r="F38" s="12">
        <f>SUMIF('World Cup 2022 Matches'!$J$2:$J$49,GroupE[[#This Row],[Teams]],'World Cup 2022 Matches'!$U$2:$U$49)</f>
        <v>2</v>
      </c>
      <c r="G38" s="12">
        <f>GroupE[[#This Row],[Home Games Played]]+GroupE[[#This Row],[Away Games Played]]</f>
        <v>3</v>
      </c>
      <c r="H38" s="12">
        <f>SUMIF('World Cup 2022 Matches'!$G$2:$G$49,GroupE[[#This Row],[Teams]],'World Cup 2022 Matches'!$H$2:$H$49)</f>
        <v>2</v>
      </c>
      <c r="I38" s="12">
        <f>SUMIF('World Cup 2022 Matches'!$J$2:$J$49,GroupE[[#This Row],[Teams]],'World Cup 2022 Matches'!$I$2:$I$49)</f>
        <v>1</v>
      </c>
      <c r="J38" s="12">
        <f>GroupE[[#This Row],[Goals For Home]]+GroupE[[#This Row],[Goals For Away]]</f>
        <v>3</v>
      </c>
      <c r="K38" s="12">
        <f>SUMIF('World Cup 2022 Matches'!$G$2:$G$49,GroupE[[#This Row],[Teams]],'World Cup 2022 Matches'!$I$2:$I$49)</f>
        <v>4</v>
      </c>
      <c r="L38" s="12">
        <f>SUMIF('World Cup 2022 Matches'!$J$2:$J$49,GroupE[[#This Row],[Teams]],'World Cup 2022 Matches'!$H$2:$H$49)</f>
        <v>7</v>
      </c>
      <c r="M38" s="12">
        <f>(GroupE[[#This Row],[Goals For Home]]+GroupE[[#This Row],[Goals For Away]])-(GroupE[[#This Row],[Goals Against Home]]+GroupE[[#This Row],[Goals Against Away]])</f>
        <v>-8</v>
      </c>
      <c r="N38" s="12">
        <f>SUMIF('World Cup 2022 Matches'!$G$2:$G$49,GroupE[[#This Row],[Teams]],'World Cup 2022 Matches'!$V$2:$V$49)</f>
        <v>0</v>
      </c>
      <c r="O38" s="12">
        <f>SUMIF('World Cup 2022 Matches'!$J$2:$J$49,GroupE[[#This Row],[Teams]],'World Cup 2022 Matches'!$W$2:$W$49)</f>
        <v>3</v>
      </c>
      <c r="P38" s="12">
        <f>SUMIF('World Cup 2022 Matches'!$G$2:$G$49,GroupE[[#This Row],[Teams]],'World Cup 2022 Matches'!$X$2:$X$49)</f>
        <v>0</v>
      </c>
      <c r="Q38" s="12">
        <f>SUMIF('World Cup 2022 Matches'!$J$2:$J$49,GroupE[[#This Row],[Teams]],'World Cup 2022 Matches'!$Y$2:$Y$49)</f>
        <v>0</v>
      </c>
      <c r="R38" s="14">
        <f>GroupE[[#This Row],[Away Draw Points]]+GroupE[[#This Row],[Home Draw Points]]+GroupE[[#This Row],[Away Points]]+GroupE[[#This Row],[Home Points]]</f>
        <v>3</v>
      </c>
    </row>
    <row r="41" spans="1:18" x14ac:dyDescent="0.25">
      <c r="B41" s="107" t="s">
        <v>22</v>
      </c>
      <c r="C41" s="108"/>
      <c r="D41" s="108"/>
      <c r="E41" s="108"/>
      <c r="F41" s="108"/>
      <c r="G41" s="108"/>
      <c r="H41" s="108"/>
      <c r="I41" s="108"/>
      <c r="J41" s="108"/>
      <c r="K41" s="108"/>
      <c r="L41" s="108"/>
      <c r="M41" s="108"/>
      <c r="N41" s="108"/>
      <c r="O41" s="108"/>
      <c r="P41" s="108"/>
      <c r="Q41" s="108"/>
      <c r="R41" s="109"/>
    </row>
    <row r="42" spans="1:18" ht="45" x14ac:dyDescent="0.25">
      <c r="B42" s="19" t="s">
        <v>48</v>
      </c>
      <c r="C42" s="20" t="s">
        <v>49</v>
      </c>
      <c r="D42" s="20" t="s">
        <v>55</v>
      </c>
      <c r="E42" s="20" t="s">
        <v>100</v>
      </c>
      <c r="F42" s="20" t="s">
        <v>101</v>
      </c>
      <c r="G42" s="20" t="s">
        <v>121</v>
      </c>
      <c r="H42" s="20" t="s">
        <v>123</v>
      </c>
      <c r="I42" s="20" t="s">
        <v>125</v>
      </c>
      <c r="J42" s="20" t="s">
        <v>132</v>
      </c>
      <c r="K42" s="20" t="s">
        <v>124</v>
      </c>
      <c r="L42" s="20" t="s">
        <v>126</v>
      </c>
      <c r="M42" s="20" t="s">
        <v>127</v>
      </c>
      <c r="N42" s="20" t="s">
        <v>99</v>
      </c>
      <c r="O42" s="20" t="s">
        <v>102</v>
      </c>
      <c r="P42" s="20" t="s">
        <v>128</v>
      </c>
      <c r="Q42" s="20" t="s">
        <v>129</v>
      </c>
      <c r="R42" s="21" t="s">
        <v>122</v>
      </c>
    </row>
    <row r="43" spans="1:18" x14ac:dyDescent="0.25">
      <c r="A43" t="s">
        <v>93</v>
      </c>
      <c r="B43" s="5" t="s">
        <v>23</v>
      </c>
      <c r="C43" s="6" t="s">
        <v>54</v>
      </c>
      <c r="D43" s="6" t="s">
        <v>22</v>
      </c>
      <c r="E43" s="6">
        <f>SUMIF('World Cup 2022 Matches'!$G$2:$G$49,GroupF[[#This Row],[Teams]],'World Cup 2022 Matches'!$T$2:$T$49)</f>
        <v>1</v>
      </c>
      <c r="F43" s="6">
        <f>SUMIF('World Cup 2022 Matches'!$J$2:$J$49,GroupF[[#This Row],[Teams]],'World Cup 2022 Matches'!$U$2:$U$49)</f>
        <v>2</v>
      </c>
      <c r="G43" s="6">
        <f>GroupF[[#This Row],[Home Games Played]]+GroupF[[#This Row],[Away Games Played]]</f>
        <v>3</v>
      </c>
      <c r="H43" s="6">
        <f>SUMIF('World Cup 2022 Matches'!$G$2:$G$49,GroupF[[#This Row],[Teams]],'World Cup 2022 Matches'!$H$2:$H$49)</f>
        <v>0</v>
      </c>
      <c r="I43" s="6">
        <f>SUMIF('World Cup 2022 Matches'!$J$2:$J$49,GroupF[[#This Row],[Teams]],'World Cup 2022 Matches'!$I$2:$I$49)</f>
        <v>4</v>
      </c>
      <c r="J43" s="6">
        <f>GroupF[[#This Row],[Goals For Home]]+GroupF[[#This Row],[Goals For Away]]</f>
        <v>4</v>
      </c>
      <c r="K43" s="6">
        <f>SUMIF('World Cup 2022 Matches'!$G$2:$G$49,GroupF[[#This Row],[Teams]],'World Cup 2022 Matches'!$I$2:$I$49)</f>
        <v>0</v>
      </c>
      <c r="L43" s="6">
        <f>SUMIF('World Cup 2022 Matches'!$J$2:$J$49,GroupF[[#This Row],[Teams]],'World Cup 2022 Matches'!$H$2:$H$49)</f>
        <v>1</v>
      </c>
      <c r="M43" s="6">
        <f>(GroupF[[#This Row],[Goals For Home]]+GroupF[[#This Row],[Goals For Away]])-(GroupF[[#This Row],[Goals Against Home]]+GroupF[[#This Row],[Goals Against Away]])</f>
        <v>3</v>
      </c>
      <c r="N43" s="6">
        <f>SUMIF('World Cup 2022 Matches'!$G$2:$G$49,GroupF[[#This Row],[Teams]],'World Cup 2022 Matches'!$V$2:$V$49)</f>
        <v>0</v>
      </c>
      <c r="O43" s="6">
        <f>SUMIF('World Cup 2022 Matches'!$J$2:$J$49,GroupF[[#This Row],[Teams]],'World Cup 2022 Matches'!$W$2:$W$49)</f>
        <v>6</v>
      </c>
      <c r="P43" s="6">
        <f>SUMIF('World Cup 2022 Matches'!$G$2:$G$49,GroupF[[#This Row],[Teams]],'World Cup 2022 Matches'!$X$2:$X$49)</f>
        <v>1</v>
      </c>
      <c r="Q43" s="6">
        <f>SUMIF('World Cup 2022 Matches'!$J$2:$J$49,GroupF[[#This Row],[Teams]],'World Cup 2022 Matches'!$Y$2:$Y$49)</f>
        <v>0</v>
      </c>
      <c r="R43" s="7">
        <f>GroupF[[#This Row],[Away Draw Points]]+GroupF[[#This Row],[Home Draw Points]]+GroupF[[#This Row],[Away Points]]+GroupF[[#This Row],[Home Points]]</f>
        <v>7</v>
      </c>
    </row>
    <row r="44" spans="1:18" x14ac:dyDescent="0.25">
      <c r="A44" t="s">
        <v>90</v>
      </c>
      <c r="B44" s="5" t="s">
        <v>24</v>
      </c>
      <c r="C44" s="6" t="s">
        <v>51</v>
      </c>
      <c r="D44" s="6" t="s">
        <v>22</v>
      </c>
      <c r="E44" s="6">
        <f>SUMIF('World Cup 2022 Matches'!$G$2:$G$49,GroupF[[#This Row],[Teams]],'World Cup 2022 Matches'!$T$2:$T$49)</f>
        <v>2</v>
      </c>
      <c r="F44" s="6">
        <f>SUMIF('World Cup 2022 Matches'!$J$2:$J$49,GroupF[[#This Row],[Teams]],'World Cup 2022 Matches'!$U$2:$U$49)</f>
        <v>1</v>
      </c>
      <c r="G44" s="6">
        <f>GroupF[[#This Row],[Home Games Played]]+GroupF[[#This Row],[Away Games Played]]</f>
        <v>3</v>
      </c>
      <c r="H44" s="6">
        <f>SUMIF('World Cup 2022 Matches'!$G$2:$G$49,GroupF[[#This Row],[Teams]],'World Cup 2022 Matches'!$H$2:$H$49)</f>
        <v>4</v>
      </c>
      <c r="I44" s="6">
        <f>SUMIF('World Cup 2022 Matches'!$J$2:$J$49,GroupF[[#This Row],[Teams]],'World Cup 2022 Matches'!$I$2:$I$49)</f>
        <v>0</v>
      </c>
      <c r="J44" s="6">
        <f>GroupF[[#This Row],[Goals For Home]]+GroupF[[#This Row],[Goals For Away]]</f>
        <v>4</v>
      </c>
      <c r="K44" s="6">
        <f>SUMIF('World Cup 2022 Matches'!$G$2:$G$49,GroupF[[#This Row],[Teams]],'World Cup 2022 Matches'!$I$2:$I$49)</f>
        <v>1</v>
      </c>
      <c r="L44" s="6">
        <f>SUMIF('World Cup 2022 Matches'!$J$2:$J$49,GroupF[[#This Row],[Teams]],'World Cup 2022 Matches'!$H$2:$H$49)</f>
        <v>0</v>
      </c>
      <c r="M44" s="6">
        <f>(GroupF[[#This Row],[Goals For Home]]+GroupF[[#This Row],[Goals For Away]])-(GroupF[[#This Row],[Goals Against Home]]+GroupF[[#This Row],[Goals Against Away]])</f>
        <v>3</v>
      </c>
      <c r="N44" s="6">
        <f>SUMIF('World Cup 2022 Matches'!$G$2:$G$49,GroupF[[#This Row],[Teams]],'World Cup 2022 Matches'!$V$2:$V$49)</f>
        <v>3</v>
      </c>
      <c r="O44" s="6">
        <f>SUMIF('World Cup 2022 Matches'!$J$2:$J$49,GroupF[[#This Row],[Teams]],'World Cup 2022 Matches'!$W$2:$W$49)</f>
        <v>0</v>
      </c>
      <c r="P44" s="6">
        <f>SUMIF('World Cup 2022 Matches'!$G$2:$G$49,GroupF[[#This Row],[Teams]],'World Cup 2022 Matches'!$X$2:$X$49)</f>
        <v>1</v>
      </c>
      <c r="Q44" s="6">
        <f>SUMIF('World Cup 2022 Matches'!$J$2:$J$49,GroupF[[#This Row],[Teams]],'World Cup 2022 Matches'!$Y$2:$Y$49)</f>
        <v>1</v>
      </c>
      <c r="R44" s="7">
        <f>GroupF[[#This Row],[Away Draw Points]]+GroupF[[#This Row],[Home Draw Points]]+GroupF[[#This Row],[Away Points]]+GroupF[[#This Row],[Home Points]]</f>
        <v>5</v>
      </c>
    </row>
    <row r="45" spans="1:18" x14ac:dyDescent="0.25">
      <c r="A45" t="s">
        <v>115</v>
      </c>
      <c r="B45" s="5" t="s">
        <v>30</v>
      </c>
      <c r="C45" s="6" t="s">
        <v>51</v>
      </c>
      <c r="D45" s="6" t="s">
        <v>22</v>
      </c>
      <c r="E45" s="6">
        <f>SUMIF('World Cup 2022 Matches'!$G$2:$G$49,GroupF[[#This Row],[Teams]],'World Cup 2022 Matches'!$T$2:$T$49)</f>
        <v>2</v>
      </c>
      <c r="F45" s="6">
        <f>SUMIF('World Cup 2022 Matches'!$J$2:$J$49,GroupF[[#This Row],[Teams]],'World Cup 2022 Matches'!$U$2:$U$49)</f>
        <v>1</v>
      </c>
      <c r="G45" s="6">
        <f>GroupF[[#This Row],[Home Games Played]]+GroupF[[#This Row],[Away Games Played]]</f>
        <v>3</v>
      </c>
      <c r="H45" s="6">
        <f>SUMIF('World Cup 2022 Matches'!$G$2:$G$49,GroupF[[#This Row],[Teams]],'World Cup 2022 Matches'!$H$2:$H$49)</f>
        <v>1</v>
      </c>
      <c r="I45" s="6">
        <f>SUMIF('World Cup 2022 Matches'!$J$2:$J$49,GroupF[[#This Row],[Teams]],'World Cup 2022 Matches'!$I$2:$I$49)</f>
        <v>0</v>
      </c>
      <c r="J45" s="6">
        <f>GroupF[[#This Row],[Goals For Home]]+GroupF[[#This Row],[Goals For Away]]</f>
        <v>1</v>
      </c>
      <c r="K45" s="6">
        <f>SUMIF('World Cup 2022 Matches'!$G$2:$G$49,GroupF[[#This Row],[Teams]],'World Cup 2022 Matches'!$I$2:$I$49)</f>
        <v>2</v>
      </c>
      <c r="L45" s="6">
        <f>SUMIF('World Cup 2022 Matches'!$J$2:$J$49,GroupF[[#This Row],[Teams]],'World Cup 2022 Matches'!$H$2:$H$49)</f>
        <v>0</v>
      </c>
      <c r="M45" s="6">
        <f>(GroupF[[#This Row],[Goals For Home]]+GroupF[[#This Row],[Goals For Away]])-(GroupF[[#This Row],[Goals Against Home]]+GroupF[[#This Row],[Goals Against Away]])</f>
        <v>-1</v>
      </c>
      <c r="N45" s="6">
        <f>SUMIF('World Cup 2022 Matches'!$G$2:$G$49,GroupF[[#This Row],[Teams]],'World Cup 2022 Matches'!$V$2:$V$49)</f>
        <v>3</v>
      </c>
      <c r="O45" s="6">
        <f>SUMIF('World Cup 2022 Matches'!$J$2:$J$49,GroupF[[#This Row],[Teams]],'World Cup 2022 Matches'!$W$2:$W$49)</f>
        <v>0</v>
      </c>
      <c r="P45" s="6">
        <f>SUMIF('World Cup 2022 Matches'!$G$2:$G$49,GroupF[[#This Row],[Teams]],'World Cup 2022 Matches'!$X$2:$X$49)</f>
        <v>0</v>
      </c>
      <c r="Q45" s="6">
        <f>SUMIF('World Cup 2022 Matches'!$J$2:$J$49,GroupF[[#This Row],[Teams]],'World Cup 2022 Matches'!$Y$2:$Y$49)</f>
        <v>1</v>
      </c>
      <c r="R45" s="7">
        <f>GroupF[[#This Row],[Away Draw Points]]+GroupF[[#This Row],[Home Draw Points]]+GroupF[[#This Row],[Away Points]]+GroupF[[#This Row],[Home Points]]</f>
        <v>4</v>
      </c>
    </row>
    <row r="46" spans="1:18" x14ac:dyDescent="0.25">
      <c r="A46" t="s">
        <v>116</v>
      </c>
      <c r="B46" s="15" t="s">
        <v>31</v>
      </c>
      <c r="C46" s="13" t="s">
        <v>52</v>
      </c>
      <c r="D46" s="13" t="s">
        <v>22</v>
      </c>
      <c r="E46" s="13">
        <f>SUMIF('World Cup 2022 Matches'!$G$2:$G$49,GroupF[[#This Row],[Teams]],'World Cup 2022 Matches'!$T$2:$T$49)</f>
        <v>1</v>
      </c>
      <c r="F46" s="13">
        <f>SUMIF('World Cup 2022 Matches'!$J$2:$J$49,GroupF[[#This Row],[Teams]],'World Cup 2022 Matches'!$U$2:$U$49)</f>
        <v>2</v>
      </c>
      <c r="G46" s="13">
        <f>GroupF[[#This Row],[Home Games Played]]+GroupF[[#This Row],[Away Games Played]]</f>
        <v>3</v>
      </c>
      <c r="H46" s="13">
        <f>SUMIF('World Cup 2022 Matches'!$G$2:$G$49,GroupF[[#This Row],[Teams]],'World Cup 2022 Matches'!$H$2:$H$49)</f>
        <v>1</v>
      </c>
      <c r="I46" s="13">
        <f>SUMIF('World Cup 2022 Matches'!$J$2:$J$49,GroupF[[#This Row],[Teams]],'World Cup 2022 Matches'!$I$2:$I$49)</f>
        <v>1</v>
      </c>
      <c r="J46" s="13">
        <f>GroupF[[#This Row],[Goals For Home]]+GroupF[[#This Row],[Goals For Away]]</f>
        <v>2</v>
      </c>
      <c r="K46" s="13">
        <f>SUMIF('World Cup 2022 Matches'!$G$2:$G$49,GroupF[[#This Row],[Teams]],'World Cup 2022 Matches'!$I$2:$I$49)</f>
        <v>2</v>
      </c>
      <c r="L46" s="13">
        <f>SUMIF('World Cup 2022 Matches'!$J$2:$J$49,GroupF[[#This Row],[Teams]],'World Cup 2022 Matches'!$H$2:$H$49)</f>
        <v>5</v>
      </c>
      <c r="M46" s="13">
        <f>(GroupF[[#This Row],[Goals For Home]]+GroupF[[#This Row],[Goals For Away]])-(GroupF[[#This Row],[Goals Against Home]]+GroupF[[#This Row],[Goals Against Away]])</f>
        <v>-5</v>
      </c>
      <c r="N46" s="13">
        <f>SUMIF('World Cup 2022 Matches'!$G$2:$G$49,GroupF[[#This Row],[Teams]],'World Cup 2022 Matches'!$V$2:$V$49)</f>
        <v>0</v>
      </c>
      <c r="O46" s="13">
        <f>SUMIF('World Cup 2022 Matches'!$J$2:$J$49,GroupF[[#This Row],[Teams]],'World Cup 2022 Matches'!$W$2:$W$49)</f>
        <v>0</v>
      </c>
      <c r="P46" s="13">
        <f>SUMIF('World Cup 2022 Matches'!$G$2:$G$49,GroupF[[#This Row],[Teams]],'World Cup 2022 Matches'!$X$2:$X$49)</f>
        <v>0</v>
      </c>
      <c r="Q46" s="13">
        <f>SUMIF('World Cup 2022 Matches'!$J$2:$J$49,GroupF[[#This Row],[Teams]],'World Cup 2022 Matches'!$Y$2:$Y$49)</f>
        <v>0</v>
      </c>
      <c r="R46" s="16">
        <f>GroupF[[#This Row],[Away Draw Points]]+GroupF[[#This Row],[Home Draw Points]]+GroupF[[#This Row],[Away Points]]+GroupF[[#This Row],[Home Points]]</f>
        <v>0</v>
      </c>
    </row>
    <row r="49" spans="1:18" x14ac:dyDescent="0.25">
      <c r="B49" s="106" t="s">
        <v>32</v>
      </c>
      <c r="C49" s="106"/>
      <c r="D49" s="106"/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06"/>
      <c r="P49" s="106"/>
      <c r="Q49" s="106"/>
      <c r="R49" s="106"/>
    </row>
    <row r="50" spans="1:18" ht="45" x14ac:dyDescent="0.25">
      <c r="B50" s="19" t="s">
        <v>48</v>
      </c>
      <c r="C50" s="20" t="s">
        <v>49</v>
      </c>
      <c r="D50" s="20" t="s">
        <v>55</v>
      </c>
      <c r="E50" s="20" t="s">
        <v>100</v>
      </c>
      <c r="F50" s="20" t="s">
        <v>101</v>
      </c>
      <c r="G50" s="20" t="s">
        <v>121</v>
      </c>
      <c r="H50" s="20" t="s">
        <v>123</v>
      </c>
      <c r="I50" s="20" t="s">
        <v>125</v>
      </c>
      <c r="J50" s="20" t="s">
        <v>132</v>
      </c>
      <c r="K50" s="20" t="s">
        <v>124</v>
      </c>
      <c r="L50" s="20" t="s">
        <v>126</v>
      </c>
      <c r="M50" s="20" t="s">
        <v>127</v>
      </c>
      <c r="N50" s="20" t="s">
        <v>99</v>
      </c>
      <c r="O50" s="20" t="s">
        <v>102</v>
      </c>
      <c r="P50" s="20" t="s">
        <v>128</v>
      </c>
      <c r="Q50" s="20" t="s">
        <v>129</v>
      </c>
      <c r="R50" s="21" t="s">
        <v>122</v>
      </c>
    </row>
    <row r="51" spans="1:18" x14ac:dyDescent="0.25">
      <c r="A51" t="s">
        <v>91</v>
      </c>
      <c r="B51" s="5" t="s">
        <v>1059</v>
      </c>
      <c r="C51" s="6" t="s">
        <v>50</v>
      </c>
      <c r="D51" s="6" t="s">
        <v>32</v>
      </c>
      <c r="E51" s="9">
        <f>SUMIF('World Cup 2022 Matches'!$G$2:$G$49,GroupG[[#This Row],[Teams]],'World Cup 2022 Matches'!$T$2:$T$49)</f>
        <v>2</v>
      </c>
      <c r="F51" s="9">
        <f>SUMIF('World Cup 2022 Matches'!$J$2:$J$49,GroupG[[#This Row],[Teams]],'World Cup 2022 Matches'!$U$2:$U$49)</f>
        <v>1</v>
      </c>
      <c r="G51" s="9">
        <f>GroupG[[#This Row],[Home Games Played]]+GroupG[[#This Row],[Away Games Played]]</f>
        <v>3</v>
      </c>
      <c r="H51" s="9">
        <f>SUMIF('World Cup 2022 Matches'!$G$2:$G$49,GroupG[[#This Row],[Teams]],'World Cup 2022 Matches'!$H$2:$H$49)</f>
        <v>3</v>
      </c>
      <c r="I51" s="9">
        <f>SUMIF('World Cup 2022 Matches'!$J$2:$J$49,GroupG[[#This Row],[Teams]],'World Cup 2022 Matches'!$I$2:$I$49)</f>
        <v>0</v>
      </c>
      <c r="J51" s="9">
        <f>GroupG[[#This Row],[Goals For Home]]+GroupG[[#This Row],[Goals For Away]]</f>
        <v>3</v>
      </c>
      <c r="K51" s="9">
        <f>SUMIF('World Cup 2022 Matches'!$G$2:$G$49,GroupG[[#This Row],[Teams]],'World Cup 2022 Matches'!$I$2:$I$49)</f>
        <v>0</v>
      </c>
      <c r="L51" s="9">
        <f>SUMIF('World Cup 2022 Matches'!$J$2:$J$49,GroupG[[#This Row],[Teams]],'World Cup 2022 Matches'!$H$2:$H$49)</f>
        <v>1</v>
      </c>
      <c r="M51" s="9">
        <f>(GroupG[[#This Row],[Goals For Home]]+GroupG[[#This Row],[Goals For Away]])-(GroupG[[#This Row],[Goals Against Home]]+GroupG[[#This Row],[Goals Against Away]])</f>
        <v>2</v>
      </c>
      <c r="N51" s="9">
        <f>SUMIF('World Cup 2022 Matches'!$G$2:$G$49,GroupG[[#This Row],[Teams]],'World Cup 2022 Matches'!$V$2:$V$49)</f>
        <v>6</v>
      </c>
      <c r="O51" s="9">
        <f>SUMIF('World Cup 2022 Matches'!$J$2:$J$49,GroupG[[#This Row],[Teams]],'World Cup 2022 Matches'!$W$2:$W$49)</f>
        <v>0</v>
      </c>
      <c r="P51" s="9">
        <f>SUMIF('World Cup 2022 Matches'!$G$2:$G$49,GroupG[[#This Row],[Teams]],'World Cup 2022 Matches'!$X$2:$X$49)</f>
        <v>0</v>
      </c>
      <c r="Q51" s="9">
        <f>SUMIF('World Cup 2022 Matches'!$J$2:$J$49,GroupG[[#This Row],[Teams]],'World Cup 2022 Matches'!$Y$2:$Y$49)</f>
        <v>0</v>
      </c>
      <c r="R51" s="10">
        <f>GroupG[[#This Row],[Away Draw Points]]+GroupG[[#This Row],[Home Draw Points]]+GroupG[[#This Row],[Away Points]]+GroupG[[#This Row],[Home Points]]</f>
        <v>6</v>
      </c>
    </row>
    <row r="52" spans="1:18" x14ac:dyDescent="0.25">
      <c r="A52" t="s">
        <v>96</v>
      </c>
      <c r="B52" s="8" t="s">
        <v>33</v>
      </c>
      <c r="C52" s="9" t="s">
        <v>51</v>
      </c>
      <c r="D52" s="9" t="s">
        <v>32</v>
      </c>
      <c r="E52" s="9">
        <f>SUMIF('World Cup 2022 Matches'!$G$2:$G$49,GroupG[[#This Row],[Teams]],'World Cup 2022 Matches'!$T$2:$T$49)</f>
        <v>1</v>
      </c>
      <c r="F52" s="9">
        <f>SUMIF('World Cup 2022 Matches'!$J$2:$J$49,GroupG[[#This Row],[Teams]],'World Cup 2022 Matches'!$U$2:$U$49)</f>
        <v>2</v>
      </c>
      <c r="G52" s="9">
        <f>GroupG[[#This Row],[Home Games Played]]+GroupG[[#This Row],[Away Games Played]]</f>
        <v>3</v>
      </c>
      <c r="H52" s="9">
        <f>SUMIF('World Cup 2022 Matches'!$G$2:$G$49,GroupG[[#This Row],[Teams]],'World Cup 2022 Matches'!$H$2:$H$49)</f>
        <v>1</v>
      </c>
      <c r="I52" s="9">
        <f>SUMIF('World Cup 2022 Matches'!$J$2:$J$49,GroupG[[#This Row],[Teams]],'World Cup 2022 Matches'!$I$2:$I$49)</f>
        <v>3</v>
      </c>
      <c r="J52" s="9">
        <f>GroupG[[#This Row],[Goals For Home]]+GroupG[[#This Row],[Goals For Away]]</f>
        <v>4</v>
      </c>
      <c r="K52" s="9">
        <f>SUMIF('World Cup 2022 Matches'!$G$2:$G$49,GroupG[[#This Row],[Teams]],'World Cup 2022 Matches'!$I$2:$I$49)</f>
        <v>0</v>
      </c>
      <c r="L52" s="9">
        <f>SUMIF('World Cup 2022 Matches'!$J$2:$J$49,GroupG[[#This Row],[Teams]],'World Cup 2022 Matches'!$H$2:$H$49)</f>
        <v>3</v>
      </c>
      <c r="M52" s="9">
        <f>(GroupG[[#This Row],[Goals For Home]]+GroupG[[#This Row],[Goals For Away]])-(GroupG[[#This Row],[Goals Against Home]]+GroupG[[#This Row],[Goals Against Away]])</f>
        <v>1</v>
      </c>
      <c r="N52" s="9">
        <f>SUMIF('World Cup 2022 Matches'!$G$2:$G$49,GroupG[[#This Row],[Teams]],'World Cup 2022 Matches'!$V$2:$V$49)</f>
        <v>3</v>
      </c>
      <c r="O52" s="9">
        <f>SUMIF('World Cup 2022 Matches'!$J$2:$J$49,GroupG[[#This Row],[Teams]],'World Cup 2022 Matches'!$W$2:$W$49)</f>
        <v>3</v>
      </c>
      <c r="P52" s="9">
        <f>SUMIF('World Cup 2022 Matches'!$G$2:$G$49,GroupG[[#This Row],[Teams]],'World Cup 2022 Matches'!$X$2:$X$49)</f>
        <v>0</v>
      </c>
      <c r="Q52" s="9">
        <f>SUMIF('World Cup 2022 Matches'!$J$2:$J$49,GroupG[[#This Row],[Teams]],'World Cup 2022 Matches'!$Y$2:$Y$49)</f>
        <v>0</v>
      </c>
      <c r="R52" s="10">
        <f>GroupG[[#This Row],[Away Draw Points]]+GroupG[[#This Row],[Home Draw Points]]+GroupG[[#This Row],[Away Points]]+GroupG[[#This Row],[Home Points]]</f>
        <v>6</v>
      </c>
    </row>
    <row r="53" spans="1:18" x14ac:dyDescent="0.25">
      <c r="A53" t="s">
        <v>117</v>
      </c>
      <c r="B53" s="8" t="s">
        <v>34</v>
      </c>
      <c r="C53" s="9" t="s">
        <v>54</v>
      </c>
      <c r="D53" s="9" t="s">
        <v>32</v>
      </c>
      <c r="E53" s="9">
        <f>SUMIF('World Cup 2022 Matches'!$G$2:$G$49,GroupG[[#This Row],[Teams]],'World Cup 2022 Matches'!$T$2:$T$49)</f>
        <v>2</v>
      </c>
      <c r="F53" s="9">
        <f>SUMIF('World Cup 2022 Matches'!$J$2:$J$49,GroupG[[#This Row],[Teams]],'World Cup 2022 Matches'!$U$2:$U$49)</f>
        <v>1</v>
      </c>
      <c r="G53" s="9">
        <f>GroupG[[#This Row],[Home Games Played]]+GroupG[[#This Row],[Away Games Played]]</f>
        <v>3</v>
      </c>
      <c r="H53" s="9">
        <f>SUMIF('World Cup 2022 Matches'!$G$2:$G$49,GroupG[[#This Row],[Teams]],'World Cup 2022 Matches'!$H$2:$H$49)</f>
        <v>4</v>
      </c>
      <c r="I53" s="9">
        <f>SUMIF('World Cup 2022 Matches'!$J$2:$J$49,GroupG[[#This Row],[Teams]],'World Cup 2022 Matches'!$I$2:$I$49)</f>
        <v>0</v>
      </c>
      <c r="J53" s="9">
        <f>GroupG[[#This Row],[Goals For Home]]+GroupG[[#This Row],[Goals For Away]]</f>
        <v>4</v>
      </c>
      <c r="K53" s="9">
        <f>SUMIF('World Cup 2022 Matches'!$G$2:$G$49,GroupG[[#This Row],[Teams]],'World Cup 2022 Matches'!$I$2:$I$49)</f>
        <v>3</v>
      </c>
      <c r="L53" s="9">
        <f>SUMIF('World Cup 2022 Matches'!$J$2:$J$49,GroupG[[#This Row],[Teams]],'World Cup 2022 Matches'!$H$2:$H$49)</f>
        <v>1</v>
      </c>
      <c r="M53" s="9">
        <f>(GroupG[[#This Row],[Goals For Home]]+GroupG[[#This Row],[Goals For Away]])-(GroupG[[#This Row],[Goals Against Home]]+GroupG[[#This Row],[Goals Against Away]])</f>
        <v>0</v>
      </c>
      <c r="N53" s="9">
        <f>SUMIF('World Cup 2022 Matches'!$G$2:$G$49,GroupG[[#This Row],[Teams]],'World Cup 2022 Matches'!$V$2:$V$49)</f>
        <v>3</v>
      </c>
      <c r="O53" s="9">
        <f>SUMIF('World Cup 2022 Matches'!$J$2:$J$49,GroupG[[#This Row],[Teams]],'World Cup 2022 Matches'!$W$2:$W$49)</f>
        <v>0</v>
      </c>
      <c r="P53" s="9">
        <f>SUMIF('World Cup 2022 Matches'!$G$2:$G$49,GroupG[[#This Row],[Teams]],'World Cup 2022 Matches'!$X$2:$X$49)</f>
        <v>1</v>
      </c>
      <c r="Q53" s="9">
        <f>SUMIF('World Cup 2022 Matches'!$J$2:$J$49,GroupG[[#This Row],[Teams]],'World Cup 2022 Matches'!$Y$2:$Y$49)</f>
        <v>0</v>
      </c>
      <c r="R53" s="10">
        <f>GroupG[[#This Row],[Away Draw Points]]+GroupG[[#This Row],[Home Draw Points]]+GroupG[[#This Row],[Away Points]]+GroupG[[#This Row],[Home Points]]</f>
        <v>4</v>
      </c>
    </row>
    <row r="54" spans="1:18" x14ac:dyDescent="0.25">
      <c r="A54" t="s">
        <v>118</v>
      </c>
      <c r="B54" s="15" t="s">
        <v>40</v>
      </c>
      <c r="C54" s="13" t="s">
        <v>51</v>
      </c>
      <c r="D54" s="13" t="s">
        <v>32</v>
      </c>
      <c r="E54" s="12">
        <f>SUMIF('World Cup 2022 Matches'!$G$2:$G$49,GroupG[[#This Row],[Teams]],'World Cup 2022 Matches'!$T$2:$T$49)</f>
        <v>1</v>
      </c>
      <c r="F54" s="12">
        <f>SUMIF('World Cup 2022 Matches'!$J$2:$J$49,GroupG[[#This Row],[Teams]],'World Cup 2022 Matches'!$U$2:$U$49)</f>
        <v>2</v>
      </c>
      <c r="G54" s="12">
        <f>GroupG[[#This Row],[Home Games Played]]+GroupG[[#This Row],[Away Games Played]]</f>
        <v>3</v>
      </c>
      <c r="H54" s="12">
        <f>SUMIF('World Cup 2022 Matches'!$G$2:$G$49,GroupG[[#This Row],[Teams]],'World Cup 2022 Matches'!$H$2:$H$49)</f>
        <v>2</v>
      </c>
      <c r="I54" s="12">
        <f>SUMIF('World Cup 2022 Matches'!$J$2:$J$49,GroupG[[#This Row],[Teams]],'World Cup 2022 Matches'!$I$2:$I$49)</f>
        <v>3</v>
      </c>
      <c r="J54" s="12">
        <f>GroupG[[#This Row],[Goals For Home]]+GroupG[[#This Row],[Goals For Away]]</f>
        <v>5</v>
      </c>
      <c r="K54" s="12">
        <f>SUMIF('World Cup 2022 Matches'!$G$2:$G$49,GroupG[[#This Row],[Teams]],'World Cup 2022 Matches'!$I$2:$I$49)</f>
        <v>3</v>
      </c>
      <c r="L54" s="12">
        <f>SUMIF('World Cup 2022 Matches'!$J$2:$J$49,GroupG[[#This Row],[Teams]],'World Cup 2022 Matches'!$H$2:$H$49)</f>
        <v>5</v>
      </c>
      <c r="M54" s="12">
        <f>(GroupG[[#This Row],[Goals For Home]]+GroupG[[#This Row],[Goals For Away]])-(GroupG[[#This Row],[Goals Against Home]]+GroupG[[#This Row],[Goals Against Away]])</f>
        <v>-3</v>
      </c>
      <c r="N54" s="12">
        <f>SUMIF('World Cup 2022 Matches'!$G$2:$G$49,GroupG[[#This Row],[Teams]],'World Cup 2022 Matches'!$V$2:$V$49)</f>
        <v>0</v>
      </c>
      <c r="O54" s="12">
        <f>SUMIF('World Cup 2022 Matches'!$J$2:$J$49,GroupG[[#This Row],[Teams]],'World Cup 2022 Matches'!$W$2:$W$49)</f>
        <v>0</v>
      </c>
      <c r="P54" s="12">
        <f>SUMIF('World Cup 2022 Matches'!$G$2:$G$49,GroupG[[#This Row],[Teams]],'World Cup 2022 Matches'!$X$2:$X$49)</f>
        <v>0</v>
      </c>
      <c r="Q54" s="12">
        <f>SUMIF('World Cup 2022 Matches'!$J$2:$J$49,GroupG[[#This Row],[Teams]],'World Cup 2022 Matches'!$Y$2:$Y$49)</f>
        <v>1</v>
      </c>
      <c r="R54" s="14">
        <f>GroupG[[#This Row],[Away Draw Points]]+GroupG[[#This Row],[Home Draw Points]]+GroupG[[#This Row],[Away Points]]+GroupG[[#This Row],[Home Points]]</f>
        <v>1</v>
      </c>
    </row>
    <row r="57" spans="1:18" x14ac:dyDescent="0.25">
      <c r="B57" s="106" t="s">
        <v>35</v>
      </c>
      <c r="C57" s="106"/>
      <c r="D57" s="106"/>
      <c r="E57" s="106"/>
      <c r="F57" s="106"/>
      <c r="G57" s="106"/>
      <c r="H57" s="106"/>
      <c r="I57" s="106"/>
      <c r="J57" s="106"/>
      <c r="K57" s="106"/>
      <c r="L57" s="106"/>
      <c r="M57" s="106"/>
      <c r="N57" s="106"/>
      <c r="O57" s="106"/>
      <c r="P57" s="106"/>
      <c r="Q57" s="106"/>
      <c r="R57" s="106"/>
    </row>
    <row r="58" spans="1:18" ht="45" x14ac:dyDescent="0.25">
      <c r="B58" s="19" t="s">
        <v>48</v>
      </c>
      <c r="C58" s="20" t="s">
        <v>49</v>
      </c>
      <c r="D58" s="20" t="s">
        <v>55</v>
      </c>
      <c r="E58" s="20" t="s">
        <v>100</v>
      </c>
      <c r="F58" s="20" t="s">
        <v>101</v>
      </c>
      <c r="G58" s="20" t="s">
        <v>121</v>
      </c>
      <c r="H58" s="20" t="s">
        <v>123</v>
      </c>
      <c r="I58" s="20" t="s">
        <v>125</v>
      </c>
      <c r="J58" s="20" t="s">
        <v>132</v>
      </c>
      <c r="K58" s="20" t="s">
        <v>124</v>
      </c>
      <c r="L58" s="20" t="s">
        <v>126</v>
      </c>
      <c r="M58" s="20" t="s">
        <v>127</v>
      </c>
      <c r="N58" s="20" t="s">
        <v>99</v>
      </c>
      <c r="O58" s="20" t="s">
        <v>102</v>
      </c>
      <c r="P58" s="20" t="s">
        <v>128</v>
      </c>
      <c r="Q58" s="20" t="s">
        <v>129</v>
      </c>
      <c r="R58" s="21" t="s">
        <v>122</v>
      </c>
    </row>
    <row r="59" spans="1:18" x14ac:dyDescent="0.25">
      <c r="A59" t="s">
        <v>95</v>
      </c>
      <c r="B59" s="5" t="s">
        <v>38</v>
      </c>
      <c r="C59" s="6" t="s">
        <v>51</v>
      </c>
      <c r="D59" s="6" t="s">
        <v>35</v>
      </c>
      <c r="E59" s="9">
        <f>SUMIF('World Cup 2022 Matches'!$G$2:$G$49,GroupH[[#This Row],[Teams]],'World Cup 2022 Matches'!$T$2:$T$49)</f>
        <v>2</v>
      </c>
      <c r="F59" s="9">
        <f>SUMIF('World Cup 2022 Matches'!$J$2:$J$49,GroupH[[#This Row],[Teams]],'World Cup 2022 Matches'!$U$2:$U$49)</f>
        <v>1</v>
      </c>
      <c r="G59" s="9">
        <f>GroupH[[#This Row],[Home Games Played]]+GroupH[[#This Row],[Away Games Played]]</f>
        <v>3</v>
      </c>
      <c r="H59" s="9">
        <f>SUMIF('World Cup 2022 Matches'!$G$2:$G$49,GroupH[[#This Row],[Teams]],'World Cup 2022 Matches'!$H$2:$H$49)</f>
        <v>5</v>
      </c>
      <c r="I59" s="9">
        <f>SUMIF('World Cup 2022 Matches'!$J$2:$J$49,GroupH[[#This Row],[Teams]],'World Cup 2022 Matches'!$I$2:$I$49)</f>
        <v>1</v>
      </c>
      <c r="J59" s="9">
        <f>GroupH[[#This Row],[Goals For Home]]+GroupH[[#This Row],[Goals For Away]]</f>
        <v>6</v>
      </c>
      <c r="K59" s="9">
        <f>SUMIF('World Cup 2022 Matches'!$G$2:$G$49,GroupH[[#This Row],[Teams]],'World Cup 2022 Matches'!$I$2:$I$49)</f>
        <v>2</v>
      </c>
      <c r="L59" s="9">
        <f>SUMIF('World Cup 2022 Matches'!$J$2:$J$49,GroupH[[#This Row],[Teams]],'World Cup 2022 Matches'!$H$2:$H$49)</f>
        <v>2</v>
      </c>
      <c r="M59" s="9">
        <f>(GroupH[[#This Row],[Goals For Home]]+GroupH[[#This Row],[Goals For Away]])-(GroupH[[#This Row],[Goals Against Home]]+GroupH[[#This Row],[Goals Against Away]])</f>
        <v>2</v>
      </c>
      <c r="N59" s="9">
        <f>SUMIF('World Cup 2022 Matches'!$G$2:$G$49,GroupH[[#This Row],[Teams]],'World Cup 2022 Matches'!$V$2:$V$49)</f>
        <v>6</v>
      </c>
      <c r="O59" s="9">
        <f>SUMIF('World Cup 2022 Matches'!$J$2:$J$49,GroupH[[#This Row],[Teams]],'World Cup 2022 Matches'!$W$2:$W$49)</f>
        <v>0</v>
      </c>
      <c r="P59" s="9">
        <f>SUMIF('World Cup 2022 Matches'!$G$2:$G$49,GroupH[[#This Row],[Teams]],'World Cup 2022 Matches'!$X$2:$X$49)</f>
        <v>0</v>
      </c>
      <c r="Q59" s="9">
        <f>SUMIF('World Cup 2022 Matches'!$J$2:$J$49,GroupH[[#This Row],[Teams]],'World Cup 2022 Matches'!$Y$2:$Y$49)</f>
        <v>0</v>
      </c>
      <c r="R59" s="10">
        <f>GroupH[[#This Row],[Away Draw Points]]+GroupH[[#This Row],[Home Draw Points]]+GroupH[[#This Row],[Away Points]]+GroupH[[#This Row],[Home Points]]</f>
        <v>6</v>
      </c>
    </row>
    <row r="60" spans="1:18" x14ac:dyDescent="0.25">
      <c r="A60" t="s">
        <v>92</v>
      </c>
      <c r="B60" s="8" t="s">
        <v>37</v>
      </c>
      <c r="C60" s="9" t="s">
        <v>53</v>
      </c>
      <c r="D60" s="9" t="s">
        <v>35</v>
      </c>
      <c r="E60" s="9">
        <f>SUMIF('World Cup 2022 Matches'!$G$2:$G$49,GroupH[[#This Row],[Teams]],'World Cup 2022 Matches'!$T$2:$T$49)</f>
        <v>2</v>
      </c>
      <c r="F60" s="9">
        <f>SUMIF('World Cup 2022 Matches'!$J$2:$J$49,GroupH[[#This Row],[Teams]],'World Cup 2022 Matches'!$U$2:$U$49)</f>
        <v>1</v>
      </c>
      <c r="G60" s="9">
        <f>GroupH[[#This Row],[Home Games Played]]+GroupH[[#This Row],[Away Games Played]]</f>
        <v>3</v>
      </c>
      <c r="H60" s="9">
        <f>SUMIF('World Cup 2022 Matches'!$G$2:$G$49,GroupH[[#This Row],[Teams]],'World Cup 2022 Matches'!$H$2:$H$49)</f>
        <v>4</v>
      </c>
      <c r="I60" s="9">
        <f>SUMIF('World Cup 2022 Matches'!$J$2:$J$49,GroupH[[#This Row],[Teams]],'World Cup 2022 Matches'!$I$2:$I$49)</f>
        <v>0</v>
      </c>
      <c r="J60" s="9">
        <f>GroupH[[#This Row],[Goals For Home]]+GroupH[[#This Row],[Goals For Away]]</f>
        <v>4</v>
      </c>
      <c r="K60" s="9">
        <f>SUMIF('World Cup 2022 Matches'!$G$2:$G$49,GroupH[[#This Row],[Teams]],'World Cup 2022 Matches'!$I$2:$I$49)</f>
        <v>4</v>
      </c>
      <c r="L60" s="9">
        <f>SUMIF('World Cup 2022 Matches'!$J$2:$J$49,GroupH[[#This Row],[Teams]],'World Cup 2022 Matches'!$H$2:$H$49)</f>
        <v>0</v>
      </c>
      <c r="M60" s="9">
        <f>(GroupH[[#This Row],[Goals For Home]]+GroupH[[#This Row],[Goals For Away]])-(GroupH[[#This Row],[Goals Against Home]]+GroupH[[#This Row],[Goals Against Away]])</f>
        <v>0</v>
      </c>
      <c r="N60" s="9">
        <f>SUMIF('World Cup 2022 Matches'!$G$2:$G$49,GroupH[[#This Row],[Teams]],'World Cup 2022 Matches'!$V$2:$V$49)</f>
        <v>3</v>
      </c>
      <c r="O60" s="9">
        <f>SUMIF('World Cup 2022 Matches'!$J$2:$J$49,GroupH[[#This Row],[Teams]],'World Cup 2022 Matches'!$W$2:$W$49)</f>
        <v>0</v>
      </c>
      <c r="P60" s="9">
        <f>SUMIF('World Cup 2022 Matches'!$G$2:$G$49,GroupH[[#This Row],[Teams]],'World Cup 2022 Matches'!$X$2:$X$49)</f>
        <v>0</v>
      </c>
      <c r="Q60" s="9">
        <f>SUMIF('World Cup 2022 Matches'!$J$2:$J$49,GroupH[[#This Row],[Teams]],'World Cup 2022 Matches'!$Y$2:$Y$49)</f>
        <v>1</v>
      </c>
      <c r="R60" s="10">
        <f>GroupH[[#This Row],[Away Draw Points]]+GroupH[[#This Row],[Home Draw Points]]+GroupH[[#This Row],[Away Points]]+GroupH[[#This Row],[Home Points]]</f>
        <v>4</v>
      </c>
    </row>
    <row r="61" spans="1:18" x14ac:dyDescent="0.25">
      <c r="A61" t="s">
        <v>119</v>
      </c>
      <c r="B61" s="8" t="s">
        <v>36</v>
      </c>
      <c r="C61" s="9" t="s">
        <v>50</v>
      </c>
      <c r="D61" s="9" t="s">
        <v>35</v>
      </c>
      <c r="E61" s="9">
        <f>SUMIF('World Cup 2022 Matches'!$G$2:$G$49,GroupH[[#This Row],[Teams]],'World Cup 2022 Matches'!$T$2:$T$49)</f>
        <v>1</v>
      </c>
      <c r="F61" s="9">
        <f>SUMIF('World Cup 2022 Matches'!$J$2:$J$49,GroupH[[#This Row],[Teams]],'World Cup 2022 Matches'!$U$2:$U$49)</f>
        <v>2</v>
      </c>
      <c r="G61" s="9">
        <f>GroupH[[#This Row],[Home Games Played]]+GroupH[[#This Row],[Away Games Played]]</f>
        <v>3</v>
      </c>
      <c r="H61" s="9">
        <f>SUMIF('World Cup 2022 Matches'!$G$2:$G$49,GroupH[[#This Row],[Teams]],'World Cup 2022 Matches'!$H$2:$H$49)</f>
        <v>0</v>
      </c>
      <c r="I61" s="9">
        <f>SUMIF('World Cup 2022 Matches'!$J$2:$J$49,GroupH[[#This Row],[Teams]],'World Cup 2022 Matches'!$I$2:$I$49)</f>
        <v>2</v>
      </c>
      <c r="J61" s="9">
        <f>GroupH[[#This Row],[Goals For Home]]+GroupH[[#This Row],[Goals For Away]]</f>
        <v>2</v>
      </c>
      <c r="K61" s="9">
        <f>SUMIF('World Cup 2022 Matches'!$G$2:$G$49,GroupH[[#This Row],[Teams]],'World Cup 2022 Matches'!$I$2:$I$49)</f>
        <v>0</v>
      </c>
      <c r="L61" s="9">
        <f>SUMIF('World Cup 2022 Matches'!$J$2:$J$49,GroupH[[#This Row],[Teams]],'World Cup 2022 Matches'!$H$2:$H$49)</f>
        <v>2</v>
      </c>
      <c r="M61" s="9">
        <f>(GroupH[[#This Row],[Goals For Home]]+GroupH[[#This Row],[Goals For Away]])-(GroupH[[#This Row],[Goals Against Home]]+GroupH[[#This Row],[Goals Against Away]])</f>
        <v>0</v>
      </c>
      <c r="N61" s="9">
        <f>SUMIF('World Cup 2022 Matches'!$G$2:$G$49,GroupH[[#This Row],[Teams]],'World Cup 2022 Matches'!$V$2:$V$49)</f>
        <v>0</v>
      </c>
      <c r="O61" s="9">
        <f>SUMIF('World Cup 2022 Matches'!$J$2:$J$49,GroupH[[#This Row],[Teams]],'World Cup 2022 Matches'!$W$2:$W$49)</f>
        <v>3</v>
      </c>
      <c r="P61" s="9">
        <f>SUMIF('World Cup 2022 Matches'!$G$2:$G$49,GroupH[[#This Row],[Teams]],'World Cup 2022 Matches'!$X$2:$X$49)</f>
        <v>1</v>
      </c>
      <c r="Q61" s="9">
        <f>SUMIF('World Cup 2022 Matches'!$J$2:$J$49,GroupH[[#This Row],[Teams]],'World Cup 2022 Matches'!$Y$2:$Y$49)</f>
        <v>0</v>
      </c>
      <c r="R61" s="10">
        <f>GroupH[[#This Row],[Away Draw Points]]+GroupH[[#This Row],[Home Draw Points]]+GroupH[[#This Row],[Away Points]]+GroupH[[#This Row],[Home Points]]</f>
        <v>4</v>
      </c>
    </row>
    <row r="62" spans="1:18" x14ac:dyDescent="0.25">
      <c r="A62" t="s">
        <v>120</v>
      </c>
      <c r="B62" s="15" t="s">
        <v>39</v>
      </c>
      <c r="C62" s="13" t="s">
        <v>54</v>
      </c>
      <c r="D62" s="13" t="s">
        <v>35</v>
      </c>
      <c r="E62" s="12">
        <f>SUMIF('World Cup 2022 Matches'!$G$2:$G$49,GroupH[[#This Row],[Teams]],'World Cup 2022 Matches'!$T$2:$T$49)</f>
        <v>1</v>
      </c>
      <c r="F62" s="12">
        <f>SUMIF('World Cup 2022 Matches'!$J$2:$J$49,GroupH[[#This Row],[Teams]],'World Cup 2022 Matches'!$U$2:$U$49)</f>
        <v>2</v>
      </c>
      <c r="G62" s="12">
        <f>GroupH[[#This Row],[Home Games Played]]+GroupH[[#This Row],[Away Games Played]]</f>
        <v>3</v>
      </c>
      <c r="H62" s="12">
        <f>SUMIF('World Cup 2022 Matches'!$G$2:$G$49,GroupH[[#This Row],[Teams]],'World Cup 2022 Matches'!$H$2:$H$49)</f>
        <v>0</v>
      </c>
      <c r="I62" s="12">
        <f>SUMIF('World Cup 2022 Matches'!$J$2:$J$49,GroupH[[#This Row],[Teams]],'World Cup 2022 Matches'!$I$2:$I$49)</f>
        <v>5</v>
      </c>
      <c r="J62" s="12">
        <f>GroupH[[#This Row],[Goals For Home]]+GroupH[[#This Row],[Goals For Away]]</f>
        <v>5</v>
      </c>
      <c r="K62" s="12">
        <f>SUMIF('World Cup 2022 Matches'!$G$2:$G$49,GroupH[[#This Row],[Teams]],'World Cup 2022 Matches'!$I$2:$I$49)</f>
        <v>2</v>
      </c>
      <c r="L62" s="12">
        <f>SUMIF('World Cup 2022 Matches'!$J$2:$J$49,GroupH[[#This Row],[Teams]],'World Cup 2022 Matches'!$H$2:$H$49)</f>
        <v>5</v>
      </c>
      <c r="M62" s="12">
        <f>(GroupH[[#This Row],[Goals For Home]]+GroupH[[#This Row],[Goals For Away]])-(GroupH[[#This Row],[Goals Against Home]]+GroupH[[#This Row],[Goals Against Away]])</f>
        <v>-2</v>
      </c>
      <c r="N62" s="12">
        <f>SUMIF('World Cup 2022 Matches'!$G$2:$G$49,GroupH[[#This Row],[Teams]],'World Cup 2022 Matches'!$V$2:$V$49)</f>
        <v>0</v>
      </c>
      <c r="O62" s="12">
        <f>SUMIF('World Cup 2022 Matches'!$J$2:$J$49,GroupH[[#This Row],[Teams]],'World Cup 2022 Matches'!$W$2:$W$49)</f>
        <v>3</v>
      </c>
      <c r="P62" s="12">
        <f>SUMIF('World Cup 2022 Matches'!$G$2:$G$49,GroupH[[#This Row],[Teams]],'World Cup 2022 Matches'!$X$2:$X$49)</f>
        <v>0</v>
      </c>
      <c r="Q62" s="12">
        <f>SUMIF('World Cup 2022 Matches'!$J$2:$J$49,GroupH[[#This Row],[Teams]],'World Cup 2022 Matches'!$Y$2:$Y$49)</f>
        <v>0</v>
      </c>
      <c r="R62" s="14">
        <f>GroupH[[#This Row],[Away Draw Points]]+GroupH[[#This Row],[Home Draw Points]]+GroupH[[#This Row],[Away Points]]+GroupH[[#This Row],[Home Points]]</f>
        <v>3</v>
      </c>
    </row>
  </sheetData>
  <mergeCells count="8">
    <mergeCell ref="B49:R49"/>
    <mergeCell ref="B57:R57"/>
    <mergeCell ref="B1:R1"/>
    <mergeCell ref="B9:R9"/>
    <mergeCell ref="B17:R17"/>
    <mergeCell ref="B25:R25"/>
    <mergeCell ref="B33:R33"/>
    <mergeCell ref="B41:R41"/>
  </mergeCells>
  <phoneticPr fontId="18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ort_All_Tables">
                <anchor moveWithCells="1" sizeWithCells="1">
                  <from>
                    <xdr:col>19</xdr:col>
                    <xdr:colOff>9525</xdr:colOff>
                    <xdr:row>1</xdr:row>
                    <xdr:rowOff>0</xdr:rowOff>
                  </from>
                  <to>
                    <xdr:col>21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8"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0BC82F-DE42-4096-8886-184688B32599}">
          <x14:formula1>
            <xm:f>'Football Associations'!$B$2:$B$223</xm:f>
          </x14:formula1>
          <xm:sqref>B3:B6 B11:B14 B19:B22 B27:B30 B35:B38 B43:B46 B51:B54 B59:B62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4DF0F-BEF2-4715-9326-878C64B5894C}">
  <sheetPr codeName="Sheet13"/>
  <dimension ref="A1:L67"/>
  <sheetViews>
    <sheetView topLeftCell="A31" workbookViewId="0">
      <selection activeCell="L2" sqref="L2"/>
    </sheetView>
  </sheetViews>
  <sheetFormatPr defaultRowHeight="15" x14ac:dyDescent="0.25"/>
  <cols>
    <col min="1" max="1" width="12.7109375" customWidth="1"/>
    <col min="2" max="2" width="15.140625" customWidth="1"/>
    <col min="3" max="3" width="7.28515625" customWidth="1"/>
    <col min="4" max="4" width="10.42578125" bestFit="1" customWidth="1"/>
    <col min="5" max="5" width="8.5703125" bestFit="1" customWidth="1"/>
    <col min="6" max="6" width="21.85546875" bestFit="1" customWidth="1"/>
    <col min="7" max="7" width="10.42578125" customWidth="1"/>
    <col min="8" max="8" width="8.42578125" customWidth="1"/>
    <col min="9" max="9" width="12" bestFit="1" customWidth="1"/>
    <col min="10" max="10" width="27.42578125" bestFit="1" customWidth="1"/>
    <col min="11" max="11" width="15.85546875" bestFit="1" customWidth="1"/>
    <col min="12" max="12" width="10.28515625" customWidth="1"/>
  </cols>
  <sheetData>
    <row r="1" spans="1:12" ht="48" customHeight="1" x14ac:dyDescent="0.25">
      <c r="A1" s="4" t="s">
        <v>1074</v>
      </c>
      <c r="B1" s="4" t="s">
        <v>0</v>
      </c>
      <c r="C1" s="4" t="s">
        <v>104</v>
      </c>
      <c r="D1" s="4" t="s">
        <v>1</v>
      </c>
      <c r="E1" s="4" t="s">
        <v>79</v>
      </c>
      <c r="F1" s="4" t="s">
        <v>46</v>
      </c>
      <c r="G1" s="4" t="s">
        <v>56</v>
      </c>
      <c r="H1" s="4" t="s">
        <v>57</v>
      </c>
      <c r="I1" s="4" t="s">
        <v>47</v>
      </c>
      <c r="J1" s="4" t="s">
        <v>66</v>
      </c>
      <c r="K1" s="4" t="s">
        <v>78</v>
      </c>
      <c r="L1" s="4" t="s">
        <v>58</v>
      </c>
    </row>
    <row r="2" spans="1:12" x14ac:dyDescent="0.25">
      <c r="A2" t="s">
        <v>2</v>
      </c>
      <c r="B2" s="2" t="s">
        <v>1086</v>
      </c>
      <c r="C2" s="17">
        <v>1</v>
      </c>
      <c r="D2" s="76">
        <v>44885</v>
      </c>
      <c r="E2" s="1">
        <v>0.66666666666666663</v>
      </c>
      <c r="F2" t="s">
        <v>8</v>
      </c>
      <c r="G2" s="68">
        <v>0</v>
      </c>
      <c r="H2" s="68">
        <v>2</v>
      </c>
      <c r="I2" t="s">
        <v>9</v>
      </c>
      <c r="J2" t="s">
        <v>68</v>
      </c>
      <c r="K2" s="41">
        <v>67372</v>
      </c>
      <c r="L2">
        <f>All_Results[[#This Row],[Home Score]]+All_Results[[#This Row],[Away Score]]</f>
        <v>2</v>
      </c>
    </row>
    <row r="3" spans="1:12" x14ac:dyDescent="0.25">
      <c r="A3" t="s">
        <v>2</v>
      </c>
      <c r="B3" s="2" t="s">
        <v>1086</v>
      </c>
      <c r="C3" s="17">
        <v>2</v>
      </c>
      <c r="D3" s="76">
        <v>44886</v>
      </c>
      <c r="E3" s="1">
        <v>0.66666666666666663</v>
      </c>
      <c r="F3" t="s">
        <v>3</v>
      </c>
      <c r="G3" s="68">
        <v>0</v>
      </c>
      <c r="H3" s="68">
        <v>2</v>
      </c>
      <c r="I3" t="s">
        <v>4</v>
      </c>
      <c r="J3" t="s">
        <v>74</v>
      </c>
      <c r="K3" s="41">
        <v>41721</v>
      </c>
      <c r="L3">
        <f>All_Results[[#This Row],[Home Score]]+All_Results[[#This Row],[Away Score]]</f>
        <v>2</v>
      </c>
    </row>
    <row r="4" spans="1:12" x14ac:dyDescent="0.25">
      <c r="A4" t="s">
        <v>5</v>
      </c>
      <c r="B4" s="2" t="s">
        <v>1086</v>
      </c>
      <c r="C4" s="17">
        <v>3</v>
      </c>
      <c r="D4" s="76">
        <v>44886</v>
      </c>
      <c r="E4" s="1">
        <v>0.54166666666666663</v>
      </c>
      <c r="F4" t="s">
        <v>6</v>
      </c>
      <c r="G4" s="68">
        <v>6</v>
      </c>
      <c r="H4" s="68">
        <v>2</v>
      </c>
      <c r="I4" t="s">
        <v>7</v>
      </c>
      <c r="J4" t="s">
        <v>72</v>
      </c>
      <c r="K4" s="41">
        <v>45334</v>
      </c>
      <c r="L4">
        <f>All_Results[[#This Row],[Home Score]]+All_Results[[#This Row],[Away Score]]</f>
        <v>8</v>
      </c>
    </row>
    <row r="5" spans="1:12" x14ac:dyDescent="0.25">
      <c r="A5" t="s">
        <v>5</v>
      </c>
      <c r="B5" s="2" t="s">
        <v>1086</v>
      </c>
      <c r="C5" s="17">
        <v>4</v>
      </c>
      <c r="D5" s="76">
        <v>44886</v>
      </c>
      <c r="E5" s="1">
        <v>0.79166666666666663</v>
      </c>
      <c r="F5" t="s">
        <v>10</v>
      </c>
      <c r="G5" s="68">
        <v>1</v>
      </c>
      <c r="H5" s="68">
        <v>1</v>
      </c>
      <c r="I5" t="s">
        <v>11</v>
      </c>
      <c r="J5" t="s">
        <v>77</v>
      </c>
      <c r="K5" s="41">
        <v>43418</v>
      </c>
      <c r="L5">
        <f>All_Results[[#This Row],[Home Score]]+All_Results[[#This Row],[Away Score]]</f>
        <v>2</v>
      </c>
    </row>
    <row r="6" spans="1:12" x14ac:dyDescent="0.25">
      <c r="A6" t="s">
        <v>12</v>
      </c>
      <c r="B6" s="2" t="s">
        <v>1086</v>
      </c>
      <c r="C6" s="17">
        <v>5</v>
      </c>
      <c r="D6" s="76">
        <v>44887</v>
      </c>
      <c r="E6" s="1">
        <v>0.41666666666666669</v>
      </c>
      <c r="F6" t="s">
        <v>13</v>
      </c>
      <c r="G6" s="68">
        <v>1</v>
      </c>
      <c r="H6" s="68">
        <v>2</v>
      </c>
      <c r="I6" t="s">
        <v>14</v>
      </c>
      <c r="J6" t="s">
        <v>64</v>
      </c>
      <c r="K6" s="41">
        <v>88012</v>
      </c>
      <c r="L6">
        <f>All_Results[[#This Row],[Home Score]]+All_Results[[#This Row],[Away Score]]</f>
        <v>3</v>
      </c>
    </row>
    <row r="7" spans="1:12" x14ac:dyDescent="0.25">
      <c r="A7" t="s">
        <v>15</v>
      </c>
      <c r="B7" s="2" t="s">
        <v>1086</v>
      </c>
      <c r="C7" s="17">
        <v>6</v>
      </c>
      <c r="D7" s="76">
        <v>44887</v>
      </c>
      <c r="E7" s="1">
        <v>0.54166666666666663</v>
      </c>
      <c r="F7" t="s">
        <v>16</v>
      </c>
      <c r="G7" s="68">
        <v>0</v>
      </c>
      <c r="H7" s="68">
        <v>0</v>
      </c>
      <c r="I7" t="s">
        <v>17</v>
      </c>
      <c r="J7" t="s">
        <v>71</v>
      </c>
      <c r="K7" s="41">
        <v>42925</v>
      </c>
      <c r="L7">
        <f>All_Results[[#This Row],[Home Score]]+All_Results[[#This Row],[Away Score]]</f>
        <v>0</v>
      </c>
    </row>
    <row r="8" spans="1:12" x14ac:dyDescent="0.25">
      <c r="A8" t="s">
        <v>12</v>
      </c>
      <c r="B8" s="2" t="s">
        <v>1086</v>
      </c>
      <c r="C8" s="17">
        <v>7</v>
      </c>
      <c r="D8" s="76">
        <v>44887</v>
      </c>
      <c r="E8" s="1">
        <v>0.66666666666666663</v>
      </c>
      <c r="F8" t="s">
        <v>18</v>
      </c>
      <c r="G8" s="68">
        <v>0</v>
      </c>
      <c r="H8" s="68">
        <v>0</v>
      </c>
      <c r="I8" t="s">
        <v>19</v>
      </c>
      <c r="J8" t="s">
        <v>80</v>
      </c>
      <c r="K8" s="41">
        <v>39369</v>
      </c>
      <c r="L8">
        <f>All_Results[[#This Row],[Home Score]]+All_Results[[#This Row],[Away Score]]</f>
        <v>0</v>
      </c>
    </row>
    <row r="9" spans="1:12" x14ac:dyDescent="0.25">
      <c r="A9" t="s">
        <v>15</v>
      </c>
      <c r="B9" s="2" t="s">
        <v>1086</v>
      </c>
      <c r="C9" s="17">
        <v>8</v>
      </c>
      <c r="D9" s="76">
        <v>44887</v>
      </c>
      <c r="E9" s="1">
        <v>0.79166666666666663</v>
      </c>
      <c r="F9" t="s">
        <v>20</v>
      </c>
      <c r="G9" s="68">
        <v>4</v>
      </c>
      <c r="H9" s="68">
        <v>1</v>
      </c>
      <c r="I9" t="s">
        <v>21</v>
      </c>
      <c r="J9" t="s">
        <v>75</v>
      </c>
      <c r="K9" s="41">
        <v>40875</v>
      </c>
      <c r="L9">
        <f>All_Results[[#This Row],[Home Score]]+All_Results[[#This Row],[Away Score]]</f>
        <v>5</v>
      </c>
    </row>
    <row r="10" spans="1:12" x14ac:dyDescent="0.25">
      <c r="A10" t="s">
        <v>22</v>
      </c>
      <c r="B10" s="2" t="s">
        <v>1086</v>
      </c>
      <c r="C10" s="17">
        <v>9</v>
      </c>
      <c r="D10" s="76">
        <v>44888</v>
      </c>
      <c r="E10" s="1">
        <v>0.41666666666666669</v>
      </c>
      <c r="F10" t="s">
        <v>23</v>
      </c>
      <c r="G10" s="68">
        <v>0</v>
      </c>
      <c r="H10" s="68">
        <v>0</v>
      </c>
      <c r="I10" t="s">
        <v>24</v>
      </c>
      <c r="J10" t="s">
        <v>68</v>
      </c>
      <c r="K10" s="41">
        <v>59407</v>
      </c>
      <c r="L10">
        <f>All_Results[[#This Row],[Home Score]]+All_Results[[#This Row],[Away Score]]</f>
        <v>0</v>
      </c>
    </row>
    <row r="11" spans="1:12" x14ac:dyDescent="0.25">
      <c r="A11" t="s">
        <v>25</v>
      </c>
      <c r="B11" s="2" t="s">
        <v>1086</v>
      </c>
      <c r="C11" s="17">
        <v>10</v>
      </c>
      <c r="D11" s="76">
        <v>44888</v>
      </c>
      <c r="E11" s="1">
        <v>0.54166666666666663</v>
      </c>
      <c r="F11" t="s">
        <v>26</v>
      </c>
      <c r="G11" s="68">
        <v>1</v>
      </c>
      <c r="H11" s="68">
        <v>2</v>
      </c>
      <c r="I11" t="s">
        <v>27</v>
      </c>
      <c r="J11" t="s">
        <v>72</v>
      </c>
      <c r="K11" s="41">
        <v>42608</v>
      </c>
      <c r="L11">
        <f>All_Results[[#This Row],[Home Score]]+All_Results[[#This Row],[Away Score]]</f>
        <v>3</v>
      </c>
    </row>
    <row r="12" spans="1:12" x14ac:dyDescent="0.25">
      <c r="A12" t="s">
        <v>25</v>
      </c>
      <c r="B12" s="2" t="s">
        <v>1086</v>
      </c>
      <c r="C12" s="17">
        <v>11</v>
      </c>
      <c r="D12" s="76">
        <v>44888</v>
      </c>
      <c r="E12" s="1">
        <v>0.66666666666666663</v>
      </c>
      <c r="F12" t="s">
        <v>28</v>
      </c>
      <c r="G12" s="68">
        <v>7</v>
      </c>
      <c r="H12" s="68">
        <v>0</v>
      </c>
      <c r="I12" t="s">
        <v>29</v>
      </c>
      <c r="J12" t="s">
        <v>74</v>
      </c>
      <c r="K12" s="41">
        <v>40013</v>
      </c>
      <c r="L12">
        <f>All_Results[[#This Row],[Home Score]]+All_Results[[#This Row],[Away Score]]</f>
        <v>7</v>
      </c>
    </row>
    <row r="13" spans="1:12" x14ac:dyDescent="0.25">
      <c r="A13" t="s">
        <v>22</v>
      </c>
      <c r="B13" s="2" t="s">
        <v>1086</v>
      </c>
      <c r="C13" s="17">
        <v>12</v>
      </c>
      <c r="D13" s="76">
        <v>44888</v>
      </c>
      <c r="E13" s="1">
        <v>0.79166666666666663</v>
      </c>
      <c r="F13" t="s">
        <v>30</v>
      </c>
      <c r="G13" s="68">
        <v>1</v>
      </c>
      <c r="H13" s="68">
        <v>0</v>
      </c>
      <c r="I13" t="s">
        <v>31</v>
      </c>
      <c r="J13" t="s">
        <v>77</v>
      </c>
      <c r="K13" s="41">
        <v>40432</v>
      </c>
      <c r="L13">
        <f>All_Results[[#This Row],[Home Score]]+All_Results[[#This Row],[Away Score]]</f>
        <v>1</v>
      </c>
    </row>
    <row r="14" spans="1:12" x14ac:dyDescent="0.25">
      <c r="A14" t="s">
        <v>32</v>
      </c>
      <c r="B14" s="2" t="s">
        <v>1086</v>
      </c>
      <c r="C14" s="17">
        <v>13</v>
      </c>
      <c r="D14" s="76">
        <v>44889</v>
      </c>
      <c r="E14" s="1">
        <v>0.41666666666666669</v>
      </c>
      <c r="F14" t="s">
        <v>33</v>
      </c>
      <c r="G14" s="68">
        <v>1</v>
      </c>
      <c r="H14" s="68">
        <v>0</v>
      </c>
      <c r="I14" t="s">
        <v>34</v>
      </c>
      <c r="J14" t="s">
        <v>75</v>
      </c>
      <c r="K14" s="41">
        <v>39089</v>
      </c>
      <c r="L14">
        <f>All_Results[[#This Row],[Home Score]]+All_Results[[#This Row],[Away Score]]</f>
        <v>1</v>
      </c>
    </row>
    <row r="15" spans="1:12" x14ac:dyDescent="0.25">
      <c r="A15" t="s">
        <v>35</v>
      </c>
      <c r="B15" s="2" t="s">
        <v>1086</v>
      </c>
      <c r="C15" s="17">
        <v>14</v>
      </c>
      <c r="D15" s="76">
        <v>44889</v>
      </c>
      <c r="E15" s="1">
        <v>0.54166666666666663</v>
      </c>
      <c r="F15" t="s">
        <v>36</v>
      </c>
      <c r="G15" s="68">
        <v>0</v>
      </c>
      <c r="H15" s="68">
        <v>0</v>
      </c>
      <c r="I15" t="s">
        <v>37</v>
      </c>
      <c r="J15" t="s">
        <v>71</v>
      </c>
      <c r="K15" s="41">
        <v>41663</v>
      </c>
      <c r="L15">
        <f>All_Results[[#This Row],[Home Score]]+All_Results[[#This Row],[Away Score]]</f>
        <v>0</v>
      </c>
    </row>
    <row r="16" spans="1:12" x14ac:dyDescent="0.25">
      <c r="A16" t="s">
        <v>35</v>
      </c>
      <c r="B16" s="2" t="s">
        <v>1086</v>
      </c>
      <c r="C16" s="17">
        <v>15</v>
      </c>
      <c r="D16" s="76">
        <v>44889</v>
      </c>
      <c r="E16" s="1">
        <v>0.66666666666666663</v>
      </c>
      <c r="F16" t="s">
        <v>38</v>
      </c>
      <c r="G16" s="68">
        <v>3</v>
      </c>
      <c r="H16" s="68">
        <v>2</v>
      </c>
      <c r="I16" t="s">
        <v>39</v>
      </c>
      <c r="J16" t="s">
        <v>80</v>
      </c>
      <c r="K16" s="41">
        <v>42662</v>
      </c>
      <c r="L16">
        <f>All_Results[[#This Row],[Home Score]]+All_Results[[#This Row],[Away Score]]</f>
        <v>5</v>
      </c>
    </row>
    <row r="17" spans="1:12" x14ac:dyDescent="0.25">
      <c r="A17" t="s">
        <v>32</v>
      </c>
      <c r="B17" s="2" t="s">
        <v>1086</v>
      </c>
      <c r="C17" s="17">
        <v>16</v>
      </c>
      <c r="D17" s="76">
        <v>44889</v>
      </c>
      <c r="E17" s="1">
        <v>0.79166666666666663</v>
      </c>
      <c r="F17" t="s">
        <v>1059</v>
      </c>
      <c r="G17" s="68">
        <v>2</v>
      </c>
      <c r="H17" s="68">
        <v>0</v>
      </c>
      <c r="I17" t="s">
        <v>40</v>
      </c>
      <c r="J17" t="s">
        <v>64</v>
      </c>
      <c r="K17" s="41">
        <v>88103</v>
      </c>
      <c r="L17">
        <f>All_Results[[#This Row],[Home Score]]+All_Results[[#This Row],[Away Score]]</f>
        <v>2</v>
      </c>
    </row>
    <row r="18" spans="1:12" x14ac:dyDescent="0.25">
      <c r="A18" t="s">
        <v>5</v>
      </c>
      <c r="B18" s="2" t="s">
        <v>1087</v>
      </c>
      <c r="C18" s="17">
        <v>17</v>
      </c>
      <c r="D18" s="76">
        <v>44890</v>
      </c>
      <c r="E18" s="1">
        <v>0.41666666666666669</v>
      </c>
      <c r="F18" t="s">
        <v>11</v>
      </c>
      <c r="G18" s="68">
        <v>0</v>
      </c>
      <c r="H18" s="68">
        <v>2</v>
      </c>
      <c r="I18" t="s">
        <v>7</v>
      </c>
      <c r="J18" t="s">
        <v>77</v>
      </c>
      <c r="K18" s="41">
        <v>40875</v>
      </c>
      <c r="L18">
        <f>All_Results[[#This Row],[Home Score]]+All_Results[[#This Row],[Away Score]]</f>
        <v>2</v>
      </c>
    </row>
    <row r="19" spans="1:12" x14ac:dyDescent="0.25">
      <c r="A19" t="s">
        <v>2</v>
      </c>
      <c r="B19" s="2" t="s">
        <v>1087</v>
      </c>
      <c r="C19" s="17">
        <v>18</v>
      </c>
      <c r="D19" s="76">
        <v>44890</v>
      </c>
      <c r="E19" s="1">
        <v>0.54166666666666663</v>
      </c>
      <c r="F19" t="s">
        <v>8</v>
      </c>
      <c r="G19" s="68">
        <v>1</v>
      </c>
      <c r="H19" s="68">
        <v>3</v>
      </c>
      <c r="I19" t="s">
        <v>3</v>
      </c>
      <c r="J19" t="s">
        <v>74</v>
      </c>
      <c r="K19" s="41">
        <v>41797</v>
      </c>
      <c r="L19">
        <f>All_Results[[#This Row],[Home Score]]+All_Results[[#This Row],[Away Score]]</f>
        <v>4</v>
      </c>
    </row>
    <row r="20" spans="1:12" x14ac:dyDescent="0.25">
      <c r="A20" t="s">
        <v>2</v>
      </c>
      <c r="B20" s="2" t="s">
        <v>1087</v>
      </c>
      <c r="C20" s="17">
        <v>19</v>
      </c>
      <c r="D20" s="76">
        <v>44890</v>
      </c>
      <c r="E20" s="1">
        <v>0.66666666666666663</v>
      </c>
      <c r="F20" t="s">
        <v>4</v>
      </c>
      <c r="G20" s="68">
        <v>1</v>
      </c>
      <c r="H20" s="68">
        <v>1</v>
      </c>
      <c r="I20" t="s">
        <v>9</v>
      </c>
      <c r="J20" t="s">
        <v>72</v>
      </c>
      <c r="K20" s="41">
        <v>44833</v>
      </c>
      <c r="L20">
        <f>All_Results[[#This Row],[Home Score]]+All_Results[[#This Row],[Away Score]]</f>
        <v>2</v>
      </c>
    </row>
    <row r="21" spans="1:12" x14ac:dyDescent="0.25">
      <c r="A21" t="s">
        <v>5</v>
      </c>
      <c r="B21" s="2" t="s">
        <v>1087</v>
      </c>
      <c r="C21" s="17">
        <v>20</v>
      </c>
      <c r="D21" s="76">
        <v>44890</v>
      </c>
      <c r="E21" s="1">
        <v>0.79166666666666663</v>
      </c>
      <c r="F21" t="s">
        <v>6</v>
      </c>
      <c r="G21" s="68">
        <v>0</v>
      </c>
      <c r="H21" s="68">
        <v>0</v>
      </c>
      <c r="I21" t="s">
        <v>10</v>
      </c>
      <c r="J21" t="s">
        <v>68</v>
      </c>
      <c r="K21" s="41">
        <v>68463</v>
      </c>
      <c r="L21">
        <f>All_Results[[#This Row],[Home Score]]+All_Results[[#This Row],[Away Score]]</f>
        <v>0</v>
      </c>
    </row>
    <row r="22" spans="1:12" x14ac:dyDescent="0.25">
      <c r="A22" t="s">
        <v>15</v>
      </c>
      <c r="B22" s="2" t="s">
        <v>1087</v>
      </c>
      <c r="C22" s="17">
        <v>21</v>
      </c>
      <c r="D22" s="76">
        <v>44891</v>
      </c>
      <c r="E22" s="1">
        <v>0.41666666666666669</v>
      </c>
      <c r="F22" t="s">
        <v>17</v>
      </c>
      <c r="G22" s="68">
        <v>0</v>
      </c>
      <c r="H22" s="68">
        <v>1</v>
      </c>
      <c r="I22" t="s">
        <v>21</v>
      </c>
      <c r="J22" t="s">
        <v>75</v>
      </c>
      <c r="K22" s="41">
        <v>41823</v>
      </c>
      <c r="L22">
        <f>All_Results[[#This Row],[Home Score]]+All_Results[[#This Row],[Away Score]]</f>
        <v>1</v>
      </c>
    </row>
    <row r="23" spans="1:12" x14ac:dyDescent="0.25">
      <c r="A23" t="s">
        <v>12</v>
      </c>
      <c r="B23" s="2" t="s">
        <v>1087</v>
      </c>
      <c r="C23" s="17">
        <v>22</v>
      </c>
      <c r="D23" s="76">
        <v>44891</v>
      </c>
      <c r="E23" s="1">
        <v>0.54166666666666663</v>
      </c>
      <c r="F23" t="s">
        <v>19</v>
      </c>
      <c r="G23" s="68">
        <v>2</v>
      </c>
      <c r="H23" s="68">
        <v>0</v>
      </c>
      <c r="I23" t="s">
        <v>14</v>
      </c>
      <c r="J23" t="s">
        <v>71</v>
      </c>
      <c r="K23" s="41">
        <v>44259</v>
      </c>
      <c r="L23">
        <f>All_Results[[#This Row],[Home Score]]+All_Results[[#This Row],[Away Score]]</f>
        <v>2</v>
      </c>
    </row>
    <row r="24" spans="1:12" x14ac:dyDescent="0.25">
      <c r="A24" t="s">
        <v>15</v>
      </c>
      <c r="B24" s="2" t="s">
        <v>1087</v>
      </c>
      <c r="C24" s="17">
        <v>23</v>
      </c>
      <c r="D24" s="76">
        <v>44891</v>
      </c>
      <c r="E24" s="1">
        <v>0.66666666666666663</v>
      </c>
      <c r="F24" t="s">
        <v>20</v>
      </c>
      <c r="G24" s="68">
        <v>2</v>
      </c>
      <c r="H24" s="68">
        <v>1</v>
      </c>
      <c r="I24" t="s">
        <v>16</v>
      </c>
      <c r="J24" t="s">
        <v>80</v>
      </c>
      <c r="K24" s="41">
        <v>42860</v>
      </c>
      <c r="L24">
        <f>All_Results[[#This Row],[Home Score]]+All_Results[[#This Row],[Away Score]]</f>
        <v>3</v>
      </c>
    </row>
    <row r="25" spans="1:12" x14ac:dyDescent="0.25">
      <c r="A25" t="s">
        <v>12</v>
      </c>
      <c r="B25" s="2" t="s">
        <v>1087</v>
      </c>
      <c r="C25" s="17">
        <v>24</v>
      </c>
      <c r="D25" s="76">
        <v>44891</v>
      </c>
      <c r="E25" s="1">
        <v>0.79166666666666663</v>
      </c>
      <c r="F25" t="s">
        <v>13</v>
      </c>
      <c r="G25" s="68">
        <v>2</v>
      </c>
      <c r="H25" s="68">
        <v>0</v>
      </c>
      <c r="I25" t="s">
        <v>18</v>
      </c>
      <c r="J25" t="s">
        <v>64</v>
      </c>
      <c r="K25" s="41">
        <v>88966</v>
      </c>
      <c r="L25">
        <f>All_Results[[#This Row],[Home Score]]+All_Results[[#This Row],[Away Score]]</f>
        <v>2</v>
      </c>
    </row>
    <row r="26" spans="1:12" x14ac:dyDescent="0.25">
      <c r="A26" t="s">
        <v>25</v>
      </c>
      <c r="B26" s="2" t="s">
        <v>1087</v>
      </c>
      <c r="C26" s="17">
        <v>25</v>
      </c>
      <c r="D26" s="76">
        <v>44892</v>
      </c>
      <c r="E26" s="1">
        <v>0.41666666666666669</v>
      </c>
      <c r="F26" t="s">
        <v>27</v>
      </c>
      <c r="G26" s="68">
        <v>0</v>
      </c>
      <c r="H26" s="68">
        <v>1</v>
      </c>
      <c r="I26" t="s">
        <v>29</v>
      </c>
      <c r="J26" t="s">
        <v>77</v>
      </c>
      <c r="K26" s="41">
        <v>41479</v>
      </c>
      <c r="L26">
        <f>All_Results[[#This Row],[Home Score]]+All_Results[[#This Row],[Away Score]]</f>
        <v>1</v>
      </c>
    </row>
    <row r="27" spans="1:12" x14ac:dyDescent="0.25">
      <c r="A27" t="s">
        <v>22</v>
      </c>
      <c r="B27" s="2" t="s">
        <v>1087</v>
      </c>
      <c r="C27" s="17">
        <v>26</v>
      </c>
      <c r="D27" s="76">
        <v>44892</v>
      </c>
      <c r="E27" s="1">
        <v>0.54166666666666663</v>
      </c>
      <c r="F27" t="s">
        <v>30</v>
      </c>
      <c r="G27" s="68">
        <v>0</v>
      </c>
      <c r="H27" s="68">
        <v>2</v>
      </c>
      <c r="I27" t="s">
        <v>23</v>
      </c>
      <c r="J27" t="s">
        <v>74</v>
      </c>
      <c r="K27" s="41">
        <v>43738</v>
      </c>
      <c r="L27">
        <f>All_Results[[#This Row],[Home Score]]+All_Results[[#This Row],[Away Score]]</f>
        <v>2</v>
      </c>
    </row>
    <row r="28" spans="1:12" x14ac:dyDescent="0.25">
      <c r="A28" t="s">
        <v>22</v>
      </c>
      <c r="B28" s="2" t="s">
        <v>1087</v>
      </c>
      <c r="C28" s="17">
        <v>27</v>
      </c>
      <c r="D28" s="76">
        <v>44892</v>
      </c>
      <c r="E28" s="1">
        <v>0.66666666666666663</v>
      </c>
      <c r="F28" t="s">
        <v>24</v>
      </c>
      <c r="G28" s="68">
        <v>4</v>
      </c>
      <c r="H28" s="68">
        <v>1</v>
      </c>
      <c r="I28" t="s">
        <v>31</v>
      </c>
      <c r="J28" t="s">
        <v>72</v>
      </c>
      <c r="K28" s="41">
        <v>44374</v>
      </c>
      <c r="L28">
        <f>All_Results[[#This Row],[Home Score]]+All_Results[[#This Row],[Away Score]]</f>
        <v>5</v>
      </c>
    </row>
    <row r="29" spans="1:12" x14ac:dyDescent="0.25">
      <c r="A29" t="s">
        <v>25</v>
      </c>
      <c r="B29" s="2" t="s">
        <v>1087</v>
      </c>
      <c r="C29" s="17">
        <v>28</v>
      </c>
      <c r="D29" s="76">
        <v>44892</v>
      </c>
      <c r="E29" s="1">
        <v>0.79166666666666663</v>
      </c>
      <c r="F29" t="s">
        <v>28</v>
      </c>
      <c r="G29" s="68">
        <v>1</v>
      </c>
      <c r="H29" s="68">
        <v>1</v>
      </c>
      <c r="I29" t="s">
        <v>26</v>
      </c>
      <c r="J29" t="s">
        <v>68</v>
      </c>
      <c r="K29" s="41">
        <v>68895</v>
      </c>
      <c r="L29">
        <f>All_Results[[#This Row],[Home Score]]+All_Results[[#This Row],[Away Score]]</f>
        <v>2</v>
      </c>
    </row>
    <row r="30" spans="1:12" x14ac:dyDescent="0.25">
      <c r="A30" t="s">
        <v>32</v>
      </c>
      <c r="B30" s="2" t="s">
        <v>1087</v>
      </c>
      <c r="C30" s="17">
        <v>29</v>
      </c>
      <c r="D30" s="76">
        <v>44893</v>
      </c>
      <c r="E30" s="1">
        <v>0.41666666666666669</v>
      </c>
      <c r="F30" t="s">
        <v>34</v>
      </c>
      <c r="G30" s="68">
        <v>3</v>
      </c>
      <c r="H30" s="68">
        <v>3</v>
      </c>
      <c r="I30" t="s">
        <v>40</v>
      </c>
      <c r="J30" t="s">
        <v>75</v>
      </c>
      <c r="K30" s="41">
        <v>39789</v>
      </c>
      <c r="L30">
        <f>All_Results[[#This Row],[Home Score]]+All_Results[[#This Row],[Away Score]]</f>
        <v>6</v>
      </c>
    </row>
    <row r="31" spans="1:12" x14ac:dyDescent="0.25">
      <c r="A31" t="s">
        <v>35</v>
      </c>
      <c r="B31" s="2" t="s">
        <v>1087</v>
      </c>
      <c r="C31" s="17">
        <v>30</v>
      </c>
      <c r="D31" s="76">
        <v>44893</v>
      </c>
      <c r="E31" s="1">
        <v>0.54166666666666663</v>
      </c>
      <c r="F31" t="s">
        <v>37</v>
      </c>
      <c r="G31" s="68">
        <v>2</v>
      </c>
      <c r="H31" s="68">
        <v>3</v>
      </c>
      <c r="I31" t="s">
        <v>39</v>
      </c>
      <c r="J31" t="s">
        <v>71</v>
      </c>
      <c r="K31" s="41">
        <v>43983</v>
      </c>
      <c r="L31">
        <f>All_Results[[#This Row],[Home Score]]+All_Results[[#This Row],[Away Score]]</f>
        <v>5</v>
      </c>
    </row>
    <row r="32" spans="1:12" x14ac:dyDescent="0.25">
      <c r="A32" t="s">
        <v>32</v>
      </c>
      <c r="B32" s="2" t="s">
        <v>1087</v>
      </c>
      <c r="C32" s="17">
        <v>31</v>
      </c>
      <c r="D32" s="76">
        <v>44893</v>
      </c>
      <c r="E32" s="1">
        <v>0.66666666666666663</v>
      </c>
      <c r="F32" t="s">
        <v>1059</v>
      </c>
      <c r="G32" s="68">
        <v>1</v>
      </c>
      <c r="H32" s="68">
        <v>0</v>
      </c>
      <c r="I32" t="s">
        <v>33</v>
      </c>
      <c r="J32" t="s">
        <v>80</v>
      </c>
      <c r="K32" s="41">
        <v>43649</v>
      </c>
      <c r="L32">
        <f>All_Results[[#This Row],[Home Score]]+All_Results[[#This Row],[Away Score]]</f>
        <v>1</v>
      </c>
    </row>
    <row r="33" spans="1:12" x14ac:dyDescent="0.25">
      <c r="A33" t="s">
        <v>35</v>
      </c>
      <c r="B33" s="2" t="s">
        <v>1087</v>
      </c>
      <c r="C33" s="17">
        <v>32</v>
      </c>
      <c r="D33" s="76">
        <v>44893</v>
      </c>
      <c r="E33" s="1">
        <v>0.79166666666666663</v>
      </c>
      <c r="F33" t="s">
        <v>38</v>
      </c>
      <c r="G33" s="68">
        <v>2</v>
      </c>
      <c r="H33" s="68">
        <v>0</v>
      </c>
      <c r="I33" t="s">
        <v>36</v>
      </c>
      <c r="J33" t="s">
        <v>64</v>
      </c>
      <c r="K33" s="41">
        <v>88668</v>
      </c>
      <c r="L33">
        <f>All_Results[[#This Row],[Home Score]]+All_Results[[#This Row],[Away Score]]</f>
        <v>2</v>
      </c>
    </row>
    <row r="34" spans="1:12" x14ac:dyDescent="0.25">
      <c r="A34" t="s">
        <v>2</v>
      </c>
      <c r="B34" s="2" t="s">
        <v>1088</v>
      </c>
      <c r="C34" s="17">
        <v>33</v>
      </c>
      <c r="D34" s="76">
        <v>44894</v>
      </c>
      <c r="E34" s="1">
        <v>0.625</v>
      </c>
      <c r="F34" t="s">
        <v>9</v>
      </c>
      <c r="G34" s="68">
        <v>1</v>
      </c>
      <c r="H34" s="68">
        <v>2</v>
      </c>
      <c r="I34" t="s">
        <v>3</v>
      </c>
      <c r="J34" t="s">
        <v>72</v>
      </c>
      <c r="K34" s="41">
        <v>44569</v>
      </c>
      <c r="L34">
        <f>All_Results[[#This Row],[Home Score]]+All_Results[[#This Row],[Away Score]]</f>
        <v>3</v>
      </c>
    </row>
    <row r="35" spans="1:12" x14ac:dyDescent="0.25">
      <c r="A35" t="s">
        <v>2</v>
      </c>
      <c r="B35" s="2" t="s">
        <v>1088</v>
      </c>
      <c r="C35" s="17">
        <v>34</v>
      </c>
      <c r="D35" s="76">
        <v>44894</v>
      </c>
      <c r="E35" s="1">
        <v>0.625</v>
      </c>
      <c r="F35" t="s">
        <v>4</v>
      </c>
      <c r="G35" s="68">
        <v>2</v>
      </c>
      <c r="H35" s="68">
        <v>0</v>
      </c>
      <c r="I35" t="s">
        <v>8</v>
      </c>
      <c r="J35" t="s">
        <v>68</v>
      </c>
      <c r="K35" s="41">
        <v>66784</v>
      </c>
      <c r="L35">
        <f>All_Results[[#This Row],[Home Score]]+All_Results[[#This Row],[Away Score]]</f>
        <v>2</v>
      </c>
    </row>
    <row r="36" spans="1:12" x14ac:dyDescent="0.25">
      <c r="A36" t="s">
        <v>5</v>
      </c>
      <c r="B36" s="2" t="s">
        <v>1088</v>
      </c>
      <c r="C36" s="17">
        <v>35</v>
      </c>
      <c r="D36" s="76">
        <v>44894</v>
      </c>
      <c r="E36" s="1">
        <v>0.79166666666666663</v>
      </c>
      <c r="F36" t="s">
        <v>7</v>
      </c>
      <c r="G36" s="68">
        <v>0</v>
      </c>
      <c r="H36" s="68">
        <v>1</v>
      </c>
      <c r="I36" t="s">
        <v>10</v>
      </c>
      <c r="J36" t="s">
        <v>74</v>
      </c>
      <c r="K36" s="41">
        <v>42127</v>
      </c>
      <c r="L36">
        <f>All_Results[[#This Row],[Home Score]]+All_Results[[#This Row],[Away Score]]</f>
        <v>1</v>
      </c>
    </row>
    <row r="37" spans="1:12" x14ac:dyDescent="0.25">
      <c r="A37" t="s">
        <v>5</v>
      </c>
      <c r="B37" s="2" t="s">
        <v>1088</v>
      </c>
      <c r="C37" s="17">
        <v>36</v>
      </c>
      <c r="D37" s="76">
        <v>44894</v>
      </c>
      <c r="E37" s="1">
        <v>0.79166666666666663</v>
      </c>
      <c r="F37" t="s">
        <v>11</v>
      </c>
      <c r="G37" s="68">
        <v>0</v>
      </c>
      <c r="H37" s="68">
        <v>3</v>
      </c>
      <c r="I37" t="s">
        <v>6</v>
      </c>
      <c r="J37" t="s">
        <v>77</v>
      </c>
      <c r="K37" s="41">
        <v>44297</v>
      </c>
      <c r="L37">
        <f>All_Results[[#This Row],[Home Score]]+All_Results[[#This Row],[Away Score]]</f>
        <v>3</v>
      </c>
    </row>
    <row r="38" spans="1:12" x14ac:dyDescent="0.25">
      <c r="A38" t="s">
        <v>15</v>
      </c>
      <c r="B38" s="2" t="s">
        <v>1088</v>
      </c>
      <c r="C38" s="17">
        <v>37</v>
      </c>
      <c r="D38" s="76">
        <v>44895</v>
      </c>
      <c r="E38" s="1">
        <v>0.625</v>
      </c>
      <c r="F38" t="s">
        <v>21</v>
      </c>
      <c r="G38" s="68">
        <v>1</v>
      </c>
      <c r="H38" s="68">
        <v>0</v>
      </c>
      <c r="I38" t="s">
        <v>16</v>
      </c>
      <c r="J38" t="s">
        <v>75</v>
      </c>
      <c r="K38" s="41">
        <v>41232</v>
      </c>
      <c r="L38">
        <f>All_Results[[#This Row],[Home Score]]+All_Results[[#This Row],[Away Score]]</f>
        <v>1</v>
      </c>
    </row>
    <row r="39" spans="1:12" x14ac:dyDescent="0.25">
      <c r="A39" t="s">
        <v>15</v>
      </c>
      <c r="B39" s="2" t="s">
        <v>1088</v>
      </c>
      <c r="C39" s="17">
        <v>38</v>
      </c>
      <c r="D39" s="76">
        <v>44895</v>
      </c>
      <c r="E39" s="1">
        <v>0.625</v>
      </c>
      <c r="F39" t="s">
        <v>17</v>
      </c>
      <c r="G39" s="68">
        <v>1</v>
      </c>
      <c r="H39" s="68">
        <v>0</v>
      </c>
      <c r="I39" t="s">
        <v>20</v>
      </c>
      <c r="J39" t="s">
        <v>71</v>
      </c>
      <c r="K39" s="41">
        <v>43627</v>
      </c>
      <c r="L39">
        <f>All_Results[[#This Row],[Home Score]]+All_Results[[#This Row],[Away Score]]</f>
        <v>1</v>
      </c>
    </row>
    <row r="40" spans="1:12" x14ac:dyDescent="0.25">
      <c r="A40" t="s">
        <v>12</v>
      </c>
      <c r="B40" s="2" t="s">
        <v>1088</v>
      </c>
      <c r="C40" s="17">
        <v>39</v>
      </c>
      <c r="D40" s="76">
        <v>44895</v>
      </c>
      <c r="E40" s="1">
        <v>0.79166666666666663</v>
      </c>
      <c r="F40" t="s">
        <v>19</v>
      </c>
      <c r="G40" s="68">
        <v>0</v>
      </c>
      <c r="H40" s="68">
        <v>2</v>
      </c>
      <c r="I40" t="s">
        <v>13</v>
      </c>
      <c r="J40" t="s">
        <v>80</v>
      </c>
      <c r="K40" s="41">
        <v>44089</v>
      </c>
      <c r="L40">
        <f>All_Results[[#This Row],[Home Score]]+All_Results[[#This Row],[Away Score]]</f>
        <v>2</v>
      </c>
    </row>
    <row r="41" spans="1:12" x14ac:dyDescent="0.25">
      <c r="A41" t="s">
        <v>12</v>
      </c>
      <c r="B41" s="2" t="s">
        <v>1088</v>
      </c>
      <c r="C41" s="17">
        <v>40</v>
      </c>
      <c r="D41" s="76">
        <v>44895</v>
      </c>
      <c r="E41" s="1">
        <v>0.79166666666666663</v>
      </c>
      <c r="F41" t="s">
        <v>14</v>
      </c>
      <c r="G41" s="68">
        <v>1</v>
      </c>
      <c r="H41" s="68">
        <v>2</v>
      </c>
      <c r="I41" t="s">
        <v>18</v>
      </c>
      <c r="J41" t="s">
        <v>64</v>
      </c>
      <c r="K41" s="41">
        <v>84985</v>
      </c>
      <c r="L41">
        <f>All_Results[[#This Row],[Home Score]]+All_Results[[#This Row],[Away Score]]</f>
        <v>3</v>
      </c>
    </row>
    <row r="42" spans="1:12" x14ac:dyDescent="0.25">
      <c r="A42" t="s">
        <v>22</v>
      </c>
      <c r="B42" s="2" t="s">
        <v>1088</v>
      </c>
      <c r="C42" s="17">
        <v>41</v>
      </c>
      <c r="D42" s="76">
        <v>44896</v>
      </c>
      <c r="E42" s="1">
        <v>0.625</v>
      </c>
      <c r="F42" t="s">
        <v>31</v>
      </c>
      <c r="G42" s="68">
        <v>1</v>
      </c>
      <c r="H42" s="68">
        <v>2</v>
      </c>
      <c r="I42" t="s">
        <v>23</v>
      </c>
      <c r="J42" t="s">
        <v>74</v>
      </c>
      <c r="K42" s="41">
        <v>43102</v>
      </c>
      <c r="L42">
        <f>All_Results[[#This Row],[Home Score]]+All_Results[[#This Row],[Away Score]]</f>
        <v>3</v>
      </c>
    </row>
    <row r="43" spans="1:12" x14ac:dyDescent="0.25">
      <c r="A43" t="s">
        <v>22</v>
      </c>
      <c r="B43" s="2" t="s">
        <v>1088</v>
      </c>
      <c r="C43" s="17">
        <v>42</v>
      </c>
      <c r="D43" s="76">
        <v>44896</v>
      </c>
      <c r="E43" s="1">
        <v>0.625</v>
      </c>
      <c r="F43" t="s">
        <v>24</v>
      </c>
      <c r="G43" s="68">
        <v>0</v>
      </c>
      <c r="H43" s="68">
        <v>0</v>
      </c>
      <c r="I43" t="s">
        <v>30</v>
      </c>
      <c r="J43" t="s">
        <v>77</v>
      </c>
      <c r="K43" s="41">
        <v>43984</v>
      </c>
      <c r="L43">
        <f>All_Results[[#This Row],[Home Score]]+All_Results[[#This Row],[Away Score]]</f>
        <v>0</v>
      </c>
    </row>
    <row r="44" spans="1:12" x14ac:dyDescent="0.25">
      <c r="A44" t="s">
        <v>25</v>
      </c>
      <c r="B44" s="2" t="s">
        <v>1088</v>
      </c>
      <c r="C44" s="17">
        <v>43</v>
      </c>
      <c r="D44" s="76">
        <v>44896</v>
      </c>
      <c r="E44" s="1">
        <v>0.79166666666666663</v>
      </c>
      <c r="F44" t="s">
        <v>29</v>
      </c>
      <c r="G44" s="68">
        <v>2</v>
      </c>
      <c r="H44" s="68">
        <v>4</v>
      </c>
      <c r="I44" t="s">
        <v>26</v>
      </c>
      <c r="J44" t="s">
        <v>68</v>
      </c>
      <c r="K44" s="41">
        <v>67054</v>
      </c>
      <c r="L44">
        <f>All_Results[[#This Row],[Home Score]]+All_Results[[#This Row],[Away Score]]</f>
        <v>6</v>
      </c>
    </row>
    <row r="45" spans="1:12" x14ac:dyDescent="0.25">
      <c r="A45" t="s">
        <v>25</v>
      </c>
      <c r="B45" s="2" t="s">
        <v>1088</v>
      </c>
      <c r="C45" s="17">
        <v>44</v>
      </c>
      <c r="D45" s="76">
        <v>44896</v>
      </c>
      <c r="E45" s="1">
        <v>0.79166666666666663</v>
      </c>
      <c r="F45" t="s">
        <v>27</v>
      </c>
      <c r="G45" s="68">
        <v>2</v>
      </c>
      <c r="H45" s="68">
        <v>1</v>
      </c>
      <c r="I45" t="s">
        <v>28</v>
      </c>
      <c r="J45" t="s">
        <v>72</v>
      </c>
      <c r="K45" s="41">
        <v>44851</v>
      </c>
      <c r="L45">
        <f>All_Results[[#This Row],[Home Score]]+All_Results[[#This Row],[Away Score]]</f>
        <v>3</v>
      </c>
    </row>
    <row r="46" spans="1:12" x14ac:dyDescent="0.25">
      <c r="A46" t="s">
        <v>35</v>
      </c>
      <c r="B46" s="2" t="s">
        <v>1088</v>
      </c>
      <c r="C46" s="17">
        <v>45</v>
      </c>
      <c r="D46" s="76">
        <v>44897</v>
      </c>
      <c r="E46" s="1">
        <v>0.625</v>
      </c>
      <c r="F46" t="s">
        <v>39</v>
      </c>
      <c r="G46" s="68">
        <v>0</v>
      </c>
      <c r="H46" s="68">
        <v>2</v>
      </c>
      <c r="I46" t="s">
        <v>36</v>
      </c>
      <c r="J46" t="s">
        <v>75</v>
      </c>
      <c r="K46" s="41">
        <v>43443</v>
      </c>
      <c r="L46">
        <f>All_Results[[#This Row],[Home Score]]+All_Results[[#This Row],[Away Score]]</f>
        <v>2</v>
      </c>
    </row>
    <row r="47" spans="1:12" x14ac:dyDescent="0.25">
      <c r="A47" t="s">
        <v>35</v>
      </c>
      <c r="B47" s="2" t="s">
        <v>1088</v>
      </c>
      <c r="C47" s="17">
        <v>46</v>
      </c>
      <c r="D47" s="76">
        <v>44897</v>
      </c>
      <c r="E47" s="1">
        <v>0.625</v>
      </c>
      <c r="F47" t="s">
        <v>37</v>
      </c>
      <c r="G47" s="68">
        <v>2</v>
      </c>
      <c r="H47" s="68">
        <v>1</v>
      </c>
      <c r="I47" t="s">
        <v>38</v>
      </c>
      <c r="J47" t="s">
        <v>71</v>
      </c>
      <c r="K47" s="41">
        <v>44097</v>
      </c>
      <c r="L47">
        <f>All_Results[[#This Row],[Home Score]]+All_Results[[#This Row],[Away Score]]</f>
        <v>3</v>
      </c>
    </row>
    <row r="48" spans="1:12" x14ac:dyDescent="0.25">
      <c r="A48" t="s">
        <v>32</v>
      </c>
      <c r="B48" s="2" t="s">
        <v>1088</v>
      </c>
      <c r="C48" s="17">
        <v>47</v>
      </c>
      <c r="D48" s="76">
        <v>44897</v>
      </c>
      <c r="E48" s="1">
        <v>0.79166666666666663</v>
      </c>
      <c r="F48" t="s">
        <v>34</v>
      </c>
      <c r="G48" s="68">
        <v>1</v>
      </c>
      <c r="H48" s="68">
        <v>0</v>
      </c>
      <c r="I48" t="s">
        <v>1059</v>
      </c>
      <c r="J48" t="s">
        <v>64</v>
      </c>
      <c r="K48" s="41">
        <v>85986</v>
      </c>
      <c r="L48">
        <f>All_Results[[#This Row],[Home Score]]+All_Results[[#This Row],[Away Score]]</f>
        <v>1</v>
      </c>
    </row>
    <row r="49" spans="1:12" x14ac:dyDescent="0.25">
      <c r="A49" t="s">
        <v>32</v>
      </c>
      <c r="B49" s="2" t="s">
        <v>1088</v>
      </c>
      <c r="C49" s="17">
        <v>48</v>
      </c>
      <c r="D49" s="76">
        <v>44897</v>
      </c>
      <c r="E49" s="1">
        <v>0.79166666666666663</v>
      </c>
      <c r="F49" t="s">
        <v>40</v>
      </c>
      <c r="G49" s="68">
        <v>2</v>
      </c>
      <c r="H49" s="68">
        <v>3</v>
      </c>
      <c r="I49" t="s">
        <v>33</v>
      </c>
      <c r="J49" t="s">
        <v>80</v>
      </c>
      <c r="K49" s="41">
        <v>41378</v>
      </c>
      <c r="L49">
        <f>All_Results[[#This Row],[Home Score]]+All_Results[[#This Row],[Away Score]]</f>
        <v>5</v>
      </c>
    </row>
    <row r="50" spans="1:12" x14ac:dyDescent="0.25">
      <c r="A50" t="s">
        <v>41</v>
      </c>
      <c r="B50" s="2" t="s">
        <v>42</v>
      </c>
      <c r="C50" s="17">
        <v>49</v>
      </c>
      <c r="D50" s="76">
        <v>44898</v>
      </c>
      <c r="E50" s="1">
        <v>0.625</v>
      </c>
      <c r="F50" t="s">
        <v>4</v>
      </c>
      <c r="G50" s="68">
        <v>3</v>
      </c>
      <c r="H50" s="68">
        <v>1</v>
      </c>
      <c r="I50" t="s">
        <v>10</v>
      </c>
      <c r="J50" t="s">
        <v>72</v>
      </c>
      <c r="K50" s="41">
        <v>44846</v>
      </c>
      <c r="L50">
        <f>All_Results[[#This Row],[Home Score]]+All_Results[[#This Row],[Away Score]]</f>
        <v>4</v>
      </c>
    </row>
    <row r="51" spans="1:12" x14ac:dyDescent="0.25">
      <c r="A51" t="s">
        <v>41</v>
      </c>
      <c r="B51" s="2" t="s">
        <v>42</v>
      </c>
      <c r="C51" s="17">
        <v>50</v>
      </c>
      <c r="D51" s="76">
        <v>44898</v>
      </c>
      <c r="E51" s="1">
        <v>0.79166666666666663</v>
      </c>
      <c r="F51" t="s">
        <v>13</v>
      </c>
      <c r="G51" s="68">
        <v>2</v>
      </c>
      <c r="H51" s="68">
        <v>1</v>
      </c>
      <c r="I51" t="s">
        <v>21</v>
      </c>
      <c r="J51" t="s">
        <v>77</v>
      </c>
      <c r="K51" s="41">
        <v>45032</v>
      </c>
      <c r="L51">
        <f>All_Results[[#This Row],[Home Score]]+All_Results[[#This Row],[Away Score]]</f>
        <v>3</v>
      </c>
    </row>
    <row r="52" spans="1:12" x14ac:dyDescent="0.25">
      <c r="A52" t="s">
        <v>41</v>
      </c>
      <c r="B52" s="2" t="s">
        <v>42</v>
      </c>
      <c r="C52" s="17">
        <v>51</v>
      </c>
      <c r="D52" s="76">
        <v>44899</v>
      </c>
      <c r="E52" s="1">
        <v>0.625</v>
      </c>
      <c r="F52" t="s">
        <v>20</v>
      </c>
      <c r="G52" s="68">
        <v>3</v>
      </c>
      <c r="H52" s="68">
        <v>1</v>
      </c>
      <c r="I52" t="s">
        <v>19</v>
      </c>
      <c r="J52" t="s">
        <v>74</v>
      </c>
      <c r="K52" s="41">
        <v>40989</v>
      </c>
      <c r="L52">
        <f>All_Results[[#This Row],[Home Score]]+All_Results[[#This Row],[Away Score]]</f>
        <v>4</v>
      </c>
    </row>
    <row r="53" spans="1:12" x14ac:dyDescent="0.25">
      <c r="A53" t="s">
        <v>41</v>
      </c>
      <c r="B53" s="2" t="s">
        <v>42</v>
      </c>
      <c r="C53" s="17">
        <v>52</v>
      </c>
      <c r="D53" s="76">
        <v>44899</v>
      </c>
      <c r="E53" s="1">
        <v>0.79166666666666663</v>
      </c>
      <c r="F53" t="s">
        <v>6</v>
      </c>
      <c r="G53" s="68">
        <v>3</v>
      </c>
      <c r="H53" s="68">
        <v>0</v>
      </c>
      <c r="I53" t="s">
        <v>3</v>
      </c>
      <c r="J53" t="s">
        <v>68</v>
      </c>
      <c r="K53" s="41">
        <v>65985</v>
      </c>
      <c r="L53">
        <f>All_Results[[#This Row],[Home Score]]+All_Results[[#This Row],[Away Score]]</f>
        <v>3</v>
      </c>
    </row>
    <row r="54" spans="1:12" x14ac:dyDescent="0.25">
      <c r="A54" t="s">
        <v>41</v>
      </c>
      <c r="B54" s="2" t="s">
        <v>42</v>
      </c>
      <c r="C54" s="17">
        <v>53</v>
      </c>
      <c r="D54" s="76">
        <v>44900</v>
      </c>
      <c r="E54" s="1">
        <v>0.625</v>
      </c>
      <c r="F54" t="s">
        <v>27</v>
      </c>
      <c r="G54" s="68">
        <v>1</v>
      </c>
      <c r="H54" s="68">
        <v>1</v>
      </c>
      <c r="I54" t="s">
        <v>24</v>
      </c>
      <c r="J54" t="s">
        <v>75</v>
      </c>
      <c r="K54" s="41">
        <v>42523</v>
      </c>
      <c r="L54">
        <f>All_Results[[#This Row],[Home Score]]+All_Results[[#This Row],[Away Score]]</f>
        <v>2</v>
      </c>
    </row>
    <row r="55" spans="1:12" x14ac:dyDescent="0.25">
      <c r="A55" t="s">
        <v>41</v>
      </c>
      <c r="B55" s="2" t="s">
        <v>42</v>
      </c>
      <c r="C55" s="17">
        <v>54</v>
      </c>
      <c r="D55" s="76">
        <v>44900</v>
      </c>
      <c r="E55" s="1">
        <v>0.79166666666666663</v>
      </c>
      <c r="F55" t="s">
        <v>1059</v>
      </c>
      <c r="G55" s="68">
        <v>4</v>
      </c>
      <c r="H55" s="68">
        <v>1</v>
      </c>
      <c r="I55" t="s">
        <v>37</v>
      </c>
      <c r="J55" t="s">
        <v>80</v>
      </c>
      <c r="K55" s="41">
        <v>43847</v>
      </c>
      <c r="L55">
        <f>All_Results[[#This Row],[Home Score]]+All_Results[[#This Row],[Away Score]]</f>
        <v>5</v>
      </c>
    </row>
    <row r="56" spans="1:12" x14ac:dyDescent="0.25">
      <c r="A56" t="s">
        <v>41</v>
      </c>
      <c r="B56" s="2" t="s">
        <v>42</v>
      </c>
      <c r="C56" s="17">
        <v>55</v>
      </c>
      <c r="D56" s="76">
        <v>44901</v>
      </c>
      <c r="E56" s="1">
        <v>0.625</v>
      </c>
      <c r="F56" t="s">
        <v>23</v>
      </c>
      <c r="G56" s="68">
        <v>0</v>
      </c>
      <c r="H56" s="68">
        <v>0</v>
      </c>
      <c r="I56" t="s">
        <v>28</v>
      </c>
      <c r="J56" t="s">
        <v>71</v>
      </c>
      <c r="K56" s="41">
        <v>44667</v>
      </c>
      <c r="L56">
        <f>All_Results[[#This Row],[Home Score]]+All_Results[[#This Row],[Away Score]]</f>
        <v>0</v>
      </c>
    </row>
    <row r="57" spans="1:12" x14ac:dyDescent="0.25">
      <c r="A57" t="s">
        <v>41</v>
      </c>
      <c r="B57" s="2" t="s">
        <v>42</v>
      </c>
      <c r="C57" s="17">
        <v>56</v>
      </c>
      <c r="D57" s="76">
        <v>44901</v>
      </c>
      <c r="E57" s="1">
        <v>0.79166666666666663</v>
      </c>
      <c r="F57" t="s">
        <v>38</v>
      </c>
      <c r="G57" s="68">
        <v>6</v>
      </c>
      <c r="H57" s="68">
        <v>1</v>
      </c>
      <c r="I57" t="s">
        <v>33</v>
      </c>
      <c r="J57" t="s">
        <v>64</v>
      </c>
      <c r="K57" s="41">
        <v>83720</v>
      </c>
      <c r="L57">
        <f>All_Results[[#This Row],[Home Score]]+All_Results[[#This Row],[Away Score]]</f>
        <v>7</v>
      </c>
    </row>
    <row r="58" spans="1:12" x14ac:dyDescent="0.25">
      <c r="A58" t="s">
        <v>41</v>
      </c>
      <c r="B58" s="2" t="s">
        <v>43</v>
      </c>
      <c r="C58" s="17">
        <v>57</v>
      </c>
      <c r="D58" s="76">
        <v>44904</v>
      </c>
      <c r="E58" s="1">
        <v>0.625</v>
      </c>
      <c r="F58" t="s">
        <v>24</v>
      </c>
      <c r="G58" s="68">
        <v>1</v>
      </c>
      <c r="H58" s="68">
        <v>1</v>
      </c>
      <c r="I58" t="s">
        <v>1059</v>
      </c>
      <c r="J58" t="s">
        <v>71</v>
      </c>
      <c r="K58" s="41">
        <v>43893</v>
      </c>
      <c r="L58">
        <f>All_Results[[#This Row],[Home Score]]+All_Results[[#This Row],[Away Score]]</f>
        <v>2</v>
      </c>
    </row>
    <row r="59" spans="1:12" x14ac:dyDescent="0.25">
      <c r="A59" t="s">
        <v>41</v>
      </c>
      <c r="B59" s="2" t="s">
        <v>43</v>
      </c>
      <c r="C59" s="17">
        <v>58</v>
      </c>
      <c r="D59" s="76">
        <v>44904</v>
      </c>
      <c r="E59" s="1">
        <v>0.79166666666666663</v>
      </c>
      <c r="F59" t="s">
        <v>4</v>
      </c>
      <c r="G59" s="68">
        <v>2</v>
      </c>
      <c r="H59" s="68">
        <v>2</v>
      </c>
      <c r="I59" t="s">
        <v>13</v>
      </c>
      <c r="J59" t="s">
        <v>64</v>
      </c>
      <c r="K59" s="41">
        <v>88235</v>
      </c>
      <c r="L59">
        <f>All_Results[[#This Row],[Home Score]]+All_Results[[#This Row],[Away Score]]</f>
        <v>4</v>
      </c>
    </row>
    <row r="60" spans="1:12" x14ac:dyDescent="0.25">
      <c r="A60" t="s">
        <v>41</v>
      </c>
      <c r="B60" s="2" t="s">
        <v>43</v>
      </c>
      <c r="C60" s="17">
        <v>59</v>
      </c>
      <c r="D60" s="76">
        <v>44905</v>
      </c>
      <c r="E60" s="1">
        <v>0.625</v>
      </c>
      <c r="F60" t="s">
        <v>23</v>
      </c>
      <c r="G60" s="68">
        <v>1</v>
      </c>
      <c r="H60" s="68">
        <v>0</v>
      </c>
      <c r="I60" t="s">
        <v>38</v>
      </c>
      <c r="J60" t="s">
        <v>74</v>
      </c>
      <c r="K60" s="41">
        <v>44198</v>
      </c>
      <c r="L60">
        <f>All_Results[[#This Row],[Home Score]]+All_Results[[#This Row],[Away Score]]</f>
        <v>1</v>
      </c>
    </row>
    <row r="61" spans="1:12" x14ac:dyDescent="0.25">
      <c r="A61" t="s">
        <v>41</v>
      </c>
      <c r="B61" s="2" t="s">
        <v>43</v>
      </c>
      <c r="C61" s="17">
        <v>60</v>
      </c>
      <c r="D61" s="76">
        <v>44905</v>
      </c>
      <c r="E61" s="1">
        <v>0.79166666666666663</v>
      </c>
      <c r="F61" t="s">
        <v>20</v>
      </c>
      <c r="G61" s="68">
        <v>2</v>
      </c>
      <c r="H61" s="68">
        <v>1</v>
      </c>
      <c r="I61" t="s">
        <v>6</v>
      </c>
      <c r="J61" t="s">
        <v>68</v>
      </c>
      <c r="K61" s="41">
        <v>68895</v>
      </c>
      <c r="L61">
        <f>All_Results[[#This Row],[Home Score]]+All_Results[[#This Row],[Away Score]]</f>
        <v>3</v>
      </c>
    </row>
    <row r="62" spans="1:12" x14ac:dyDescent="0.25">
      <c r="A62" t="s">
        <v>41</v>
      </c>
      <c r="B62" s="2" t="s">
        <v>44</v>
      </c>
      <c r="C62" s="17">
        <v>61</v>
      </c>
      <c r="D62" s="76">
        <v>44908</v>
      </c>
      <c r="E62" s="1">
        <v>0.79166666666666663</v>
      </c>
      <c r="F62" t="s">
        <v>24</v>
      </c>
      <c r="G62" s="68">
        <v>0</v>
      </c>
      <c r="H62" s="68">
        <v>3</v>
      </c>
      <c r="I62" t="s">
        <v>13</v>
      </c>
      <c r="J62" t="s">
        <v>64</v>
      </c>
      <c r="K62" s="41">
        <v>88966</v>
      </c>
      <c r="L62">
        <f>All_Results[[#This Row],[Home Score]]+All_Results[[#This Row],[Away Score]]</f>
        <v>3</v>
      </c>
    </row>
    <row r="63" spans="1:12" x14ac:dyDescent="0.25">
      <c r="A63" t="s">
        <v>41</v>
      </c>
      <c r="B63" s="2" t="s">
        <v>44</v>
      </c>
      <c r="C63" s="17">
        <v>62</v>
      </c>
      <c r="D63" s="76">
        <v>44909</v>
      </c>
      <c r="E63" s="1">
        <v>0.79166666666666663</v>
      </c>
      <c r="F63" t="s">
        <v>23</v>
      </c>
      <c r="G63" s="68">
        <v>0</v>
      </c>
      <c r="H63" s="68">
        <v>2</v>
      </c>
      <c r="I63" t="s">
        <v>20</v>
      </c>
      <c r="J63" t="s">
        <v>68</v>
      </c>
      <c r="K63" s="41">
        <v>68294</v>
      </c>
      <c r="L63">
        <f>All_Results[[#This Row],[Home Score]]+All_Results[[#This Row],[Away Score]]</f>
        <v>2</v>
      </c>
    </row>
    <row r="64" spans="1:12" x14ac:dyDescent="0.25">
      <c r="A64" t="s">
        <v>41</v>
      </c>
      <c r="B64" s="2" t="s">
        <v>45</v>
      </c>
      <c r="C64" s="17">
        <v>63</v>
      </c>
      <c r="D64" s="76">
        <v>44912</v>
      </c>
      <c r="E64" s="1">
        <v>0.625</v>
      </c>
      <c r="F64" t="s">
        <v>24</v>
      </c>
      <c r="G64" s="68">
        <v>2</v>
      </c>
      <c r="H64" s="68">
        <v>1</v>
      </c>
      <c r="I64" t="s">
        <v>23</v>
      </c>
      <c r="J64" t="s">
        <v>72</v>
      </c>
      <c r="K64" s="41">
        <v>44137</v>
      </c>
      <c r="L64">
        <f>All_Results[[#This Row],[Home Score]]+All_Results[[#This Row],[Away Score]]</f>
        <v>3</v>
      </c>
    </row>
    <row r="65" spans="1:12" x14ac:dyDescent="0.25">
      <c r="A65" t="s">
        <v>41</v>
      </c>
      <c r="B65" s="2" t="s">
        <v>97</v>
      </c>
      <c r="C65" s="17">
        <v>64</v>
      </c>
      <c r="D65" s="76">
        <v>44913</v>
      </c>
      <c r="E65" s="1">
        <v>0.625</v>
      </c>
      <c r="F65" t="s">
        <v>13</v>
      </c>
      <c r="G65" s="68">
        <v>3</v>
      </c>
      <c r="H65" s="68">
        <v>3</v>
      </c>
      <c r="I65" t="s">
        <v>20</v>
      </c>
      <c r="J65" t="s">
        <v>64</v>
      </c>
      <c r="K65" s="41">
        <v>88966</v>
      </c>
      <c r="L65">
        <f>All_Results[[#This Row],[Home Score]]+All_Results[[#This Row],[Away Score]]</f>
        <v>6</v>
      </c>
    </row>
    <row r="66" spans="1:12" x14ac:dyDescent="0.25">
      <c r="A66" t="s">
        <v>1083</v>
      </c>
      <c r="B66" s="2"/>
      <c r="K66" s="41">
        <f>SUBTOTAL(101,All_Results[Attendance])</f>
        <v>53191.4375</v>
      </c>
    </row>
    <row r="67" spans="1:12" x14ac:dyDescent="0.25">
      <c r="K67" s="4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98FF6BD-036A-4E1E-A9CA-006C4990B2B4}">
          <x14:formula1>
            <xm:f>'Football Associations'!$B$2:$B$223</xm:f>
          </x14:formula1>
          <xm:sqref>I50:I65 F50:F65</xm:sqref>
        </x14:dataValidation>
        <x14:dataValidation type="list" allowBlank="1" showInputMessage="1" showErrorMessage="1" xr:uid="{8579B57F-F06B-4973-AEE0-4DE99CC5FD6F}">
          <x14:formula1>
            <xm:f>Stadiums!$B$2:$B$9</xm:f>
          </x14:formula1>
          <xm:sqref>J2:J65</xm:sqref>
        </x14:dataValidation>
        <x14:dataValidation type="list" allowBlank="1" showInputMessage="1" showErrorMessage="1" xr:uid="{7F9DFC65-F59B-4A5D-A5FA-0BD616F76B34}">
          <x14:formula1>
            <xm:f>'World Cup Groups'!$A$2:$A$9</xm:f>
          </x14:formula1>
          <xm:sqref>A2:A49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51"/>
  <sheetViews>
    <sheetView topLeftCell="C1" workbookViewId="0">
      <selection activeCell="W20" sqref="W20"/>
    </sheetView>
  </sheetViews>
  <sheetFormatPr defaultRowHeight="15" x14ac:dyDescent="0.25"/>
  <cols>
    <col min="1" max="1" width="12.7109375" customWidth="1"/>
    <col min="2" max="2" width="15.140625" customWidth="1"/>
    <col min="3" max="3" width="7.28515625" customWidth="1"/>
    <col min="4" max="4" width="23.5703125" bestFit="1" customWidth="1"/>
    <col min="5" max="5" width="8.5703125" bestFit="1" customWidth="1"/>
    <col min="6" max="6" width="21.85546875" hidden="1" customWidth="1"/>
    <col min="7" max="7" width="13.28515625" customWidth="1"/>
    <col min="8" max="8" width="8.42578125" customWidth="1"/>
    <col min="9" max="9" width="10.7109375" customWidth="1"/>
    <col min="10" max="10" width="16.7109375" customWidth="1"/>
    <col min="11" max="11" width="11.140625" hidden="1" customWidth="1"/>
    <col min="12" max="12" width="28.28515625" customWidth="1"/>
    <col min="13" max="13" width="12.7109375" customWidth="1"/>
    <col min="14" max="14" width="14.7109375" customWidth="1"/>
    <col min="15" max="15" width="14.5703125" hidden="1" customWidth="1"/>
    <col min="16" max="16" width="14.5703125" bestFit="1" customWidth="1"/>
    <col min="17" max="17" width="10.5703125" bestFit="1" customWidth="1"/>
    <col min="18" max="18" width="19.140625" bestFit="1" customWidth="1"/>
    <col min="19" max="19" width="10.5703125" customWidth="1"/>
    <col min="20" max="20" width="9.85546875" customWidth="1"/>
    <col min="21" max="21" width="8" customWidth="1"/>
    <col min="22" max="22" width="11.140625" bestFit="1" customWidth="1"/>
    <col min="23" max="23" width="10" customWidth="1"/>
    <col min="24" max="24" width="9" customWidth="1"/>
  </cols>
  <sheetData>
    <row r="1" spans="1:25" ht="48" customHeight="1" x14ac:dyDescent="0.25">
      <c r="A1" s="4" t="s">
        <v>1074</v>
      </c>
      <c r="B1" s="4" t="s">
        <v>0</v>
      </c>
      <c r="C1" s="4" t="s">
        <v>104</v>
      </c>
      <c r="D1" s="4" t="s">
        <v>1</v>
      </c>
      <c r="E1" s="4" t="s">
        <v>79</v>
      </c>
      <c r="F1" s="4" t="s">
        <v>130</v>
      </c>
      <c r="G1" s="4" t="s">
        <v>46</v>
      </c>
      <c r="H1" s="4" t="s">
        <v>56</v>
      </c>
      <c r="I1" s="4" t="s">
        <v>57</v>
      </c>
      <c r="J1" s="4" t="s">
        <v>47</v>
      </c>
      <c r="K1" s="4" t="s">
        <v>131</v>
      </c>
      <c r="L1" s="4" t="s">
        <v>66</v>
      </c>
      <c r="M1" s="4" t="s">
        <v>78</v>
      </c>
      <c r="N1" s="4" t="s">
        <v>60</v>
      </c>
      <c r="O1" s="4" t="s">
        <v>1537</v>
      </c>
      <c r="P1" s="4" t="s">
        <v>98</v>
      </c>
      <c r="Q1" s="4" t="s">
        <v>58</v>
      </c>
      <c r="R1" s="4" t="s">
        <v>103</v>
      </c>
      <c r="S1" s="4" t="s">
        <v>59</v>
      </c>
      <c r="T1" s="4" t="s">
        <v>100</v>
      </c>
      <c r="U1" s="4" t="s">
        <v>101</v>
      </c>
      <c r="V1" s="3" t="s">
        <v>99</v>
      </c>
      <c r="W1" s="3" t="s">
        <v>102</v>
      </c>
      <c r="X1" s="3" t="s">
        <v>128</v>
      </c>
      <c r="Y1" s="4" t="s">
        <v>129</v>
      </c>
    </row>
    <row r="2" spans="1:25" x14ac:dyDescent="0.25">
      <c r="A2" t="s">
        <v>2</v>
      </c>
      <c r="B2" s="2" t="s">
        <v>1086</v>
      </c>
      <c r="C2" s="17">
        <v>1</v>
      </c>
      <c r="D2" s="76">
        <v>44885</v>
      </c>
      <c r="E2" s="1">
        <v>0.66666666666666663</v>
      </c>
      <c r="F2" s="1"/>
      <c r="G2" t="s">
        <v>8</v>
      </c>
      <c r="H2">
        <v>0</v>
      </c>
      <c r="I2">
        <v>2</v>
      </c>
      <c r="J2" t="s">
        <v>9</v>
      </c>
      <c r="L2" t="s">
        <v>68</v>
      </c>
      <c r="M2" s="41">
        <v>67372</v>
      </c>
      <c r="N2" t="s">
        <v>62</v>
      </c>
      <c r="O2" s="1"/>
      <c r="Q2">
        <f>Fixtures[[#This Row],[Home Score]]+Fixtures[[#This Row],[Away Score]]</f>
        <v>2</v>
      </c>
      <c r="R2" t="str">
        <f>IF(Fixtures[[#This Row],[Home Score]]&gt;Fixtures[[#This Row],[Away Score]],"Home Win",IF(Fixtures[[#This Row],[Home Score]]&lt;Fixtures[[#This Row],[Away Score]],"Away Win","Draw"))</f>
        <v>Away Win</v>
      </c>
      <c r="S2" t="str">
        <f>IF(Fixtures[[#This Row],[Outcome]]="Completed",Fixtures[[#This Row],[Forecast Result]],"Awaiting Result")</f>
        <v>Away Win</v>
      </c>
      <c r="T2">
        <f>IF(Fixtures[[#This Row],[Outcome]]="Completed",1,0)</f>
        <v>1</v>
      </c>
      <c r="U2">
        <f>IF(Fixtures[[#This Row],[Outcome]]="Completed",1,0)</f>
        <v>1</v>
      </c>
      <c r="V2">
        <f>IF(AND(Fixtures[[#This Row],[Result]]="Home Win",Fixtures[[#This Row],[Outcome]]="Completed"),3,0)</f>
        <v>0</v>
      </c>
      <c r="W2">
        <f>IF(AND(Fixtures[[#This Row],[Result]]="Away Win",Fixtures[[#This Row],[Outcome]]="Completed"),3,0)</f>
        <v>3</v>
      </c>
      <c r="X2">
        <f>IF(AND(Fixtures[[#This Row],[Result]]="Draw",Fixtures[[#This Row],[Outcome]]="Completed"),1,0)</f>
        <v>0</v>
      </c>
      <c r="Y2">
        <f>IF(Fixtures[[#This Row],[Home Draw Points]]=1,1,0)</f>
        <v>0</v>
      </c>
    </row>
    <row r="3" spans="1:25" x14ac:dyDescent="0.25">
      <c r="A3" t="s">
        <v>2</v>
      </c>
      <c r="B3" s="2" t="s">
        <v>1086</v>
      </c>
      <c r="C3" s="17">
        <v>2</v>
      </c>
      <c r="D3" s="76">
        <v>44886</v>
      </c>
      <c r="E3" s="1">
        <v>0.66666666666666663</v>
      </c>
      <c r="F3" s="1"/>
      <c r="G3" t="s">
        <v>3</v>
      </c>
      <c r="H3">
        <v>0</v>
      </c>
      <c r="I3">
        <v>2</v>
      </c>
      <c r="J3" t="s">
        <v>4</v>
      </c>
      <c r="L3" t="s">
        <v>74</v>
      </c>
      <c r="M3" s="41">
        <v>41721</v>
      </c>
      <c r="N3" t="s">
        <v>62</v>
      </c>
      <c r="O3" s="1"/>
      <c r="Q3">
        <f>Fixtures[[#This Row],[Home Score]]+Fixtures[[#This Row],[Away Score]]</f>
        <v>2</v>
      </c>
      <c r="R3" t="str">
        <f>IF(Fixtures[[#This Row],[Home Score]]&gt;Fixtures[[#This Row],[Away Score]],"Home Win",IF(Fixtures[[#This Row],[Home Score]]&lt;Fixtures[[#This Row],[Away Score]],"Away Win","Draw"))</f>
        <v>Away Win</v>
      </c>
      <c r="S3" t="str">
        <f>IF(Fixtures[[#This Row],[Outcome]]="Completed",Fixtures[[#This Row],[Forecast Result]],"Awaiting Result")</f>
        <v>Away Win</v>
      </c>
      <c r="T3">
        <f>IF(Fixtures[[#This Row],[Outcome]]="Completed",1,0)</f>
        <v>1</v>
      </c>
      <c r="U3">
        <f>IF(Fixtures[[#This Row],[Outcome]]="Completed",1,0)</f>
        <v>1</v>
      </c>
      <c r="V3">
        <f>IF(AND(Fixtures[[#This Row],[Result]]="Home Win",Fixtures[[#This Row],[Outcome]]="Completed"),3,0)</f>
        <v>0</v>
      </c>
      <c r="W3">
        <f>IF(AND(Fixtures[[#This Row],[Result]]="Away Win",Fixtures[[#This Row],[Outcome]]="Completed"),3,0)</f>
        <v>3</v>
      </c>
      <c r="X3">
        <f>IF(AND(Fixtures[[#This Row],[Result]]="Draw",Fixtures[[#This Row],[Outcome]]="Completed"),1,0)</f>
        <v>0</v>
      </c>
      <c r="Y3">
        <f>IF(Fixtures[[#This Row],[Home Draw Points]]=1,1,0)</f>
        <v>0</v>
      </c>
    </row>
    <row r="4" spans="1:25" x14ac:dyDescent="0.25">
      <c r="A4" t="s">
        <v>5</v>
      </c>
      <c r="B4" s="2" t="s">
        <v>1086</v>
      </c>
      <c r="C4" s="17">
        <v>3</v>
      </c>
      <c r="D4" s="76">
        <v>44886</v>
      </c>
      <c r="E4" s="1">
        <v>0.54166666666666663</v>
      </c>
      <c r="F4" s="1"/>
      <c r="G4" t="s">
        <v>6</v>
      </c>
      <c r="H4">
        <v>6</v>
      </c>
      <c r="I4">
        <v>2</v>
      </c>
      <c r="J4" t="s">
        <v>7</v>
      </c>
      <c r="L4" t="s">
        <v>72</v>
      </c>
      <c r="M4" s="41">
        <v>45334</v>
      </c>
      <c r="N4" t="s">
        <v>62</v>
      </c>
      <c r="O4" s="1"/>
      <c r="Q4">
        <f>Fixtures[[#This Row],[Home Score]]+Fixtures[[#This Row],[Away Score]]</f>
        <v>8</v>
      </c>
      <c r="R4" t="str">
        <f>IF(Fixtures[[#This Row],[Home Score]]&gt;Fixtures[[#This Row],[Away Score]],"Home Win",IF(Fixtures[[#This Row],[Home Score]]&lt;Fixtures[[#This Row],[Away Score]],"Away Win","Draw"))</f>
        <v>Home Win</v>
      </c>
      <c r="S4" t="str">
        <f>IF(Fixtures[[#This Row],[Outcome]]="Completed",Fixtures[[#This Row],[Forecast Result]],"Awaiting Result")</f>
        <v>Home Win</v>
      </c>
      <c r="T4">
        <f>IF(Fixtures[[#This Row],[Outcome]]="Completed",1,0)</f>
        <v>1</v>
      </c>
      <c r="U4">
        <f>IF(Fixtures[[#This Row],[Outcome]]="Completed",1,0)</f>
        <v>1</v>
      </c>
      <c r="V4">
        <f>IF(AND(Fixtures[[#This Row],[Result]]="Home Win",Fixtures[[#This Row],[Outcome]]="Completed"),3,0)</f>
        <v>3</v>
      </c>
      <c r="W4">
        <f>IF(AND(Fixtures[[#This Row],[Result]]="Away Win",Fixtures[[#This Row],[Outcome]]="Completed"),3,0)</f>
        <v>0</v>
      </c>
      <c r="X4">
        <f>IF(AND(Fixtures[[#This Row],[Result]]="Draw",Fixtures[[#This Row],[Outcome]]="Completed"),1,0)</f>
        <v>0</v>
      </c>
      <c r="Y4">
        <f>IF(Fixtures[[#This Row],[Home Draw Points]]=1,1,0)</f>
        <v>0</v>
      </c>
    </row>
    <row r="5" spans="1:25" x14ac:dyDescent="0.25">
      <c r="A5" t="s">
        <v>5</v>
      </c>
      <c r="B5" s="2" t="s">
        <v>1086</v>
      </c>
      <c r="C5" s="17">
        <v>4</v>
      </c>
      <c r="D5" s="76">
        <v>44886</v>
      </c>
      <c r="E5" s="1">
        <v>0.79166666666666663</v>
      </c>
      <c r="F5" s="1"/>
      <c r="G5" t="s">
        <v>10</v>
      </c>
      <c r="H5">
        <v>1</v>
      </c>
      <c r="I5">
        <v>1</v>
      </c>
      <c r="J5" t="s">
        <v>11</v>
      </c>
      <c r="L5" t="s">
        <v>77</v>
      </c>
      <c r="M5" s="41">
        <v>43418</v>
      </c>
      <c r="N5" t="s">
        <v>62</v>
      </c>
      <c r="O5" s="1"/>
      <c r="Q5">
        <f>Fixtures[[#This Row],[Home Score]]+Fixtures[[#This Row],[Away Score]]</f>
        <v>2</v>
      </c>
      <c r="R5" t="str">
        <f>IF(Fixtures[[#This Row],[Home Score]]&gt;Fixtures[[#This Row],[Away Score]],"Home Win",IF(Fixtures[[#This Row],[Home Score]]&lt;Fixtures[[#This Row],[Away Score]],"Away Win","Draw"))</f>
        <v>Draw</v>
      </c>
      <c r="S5" t="str">
        <f>IF(Fixtures[[#This Row],[Outcome]]="Completed",Fixtures[[#This Row],[Forecast Result]],"Awaiting Result")</f>
        <v>Draw</v>
      </c>
      <c r="T5">
        <f>IF(Fixtures[[#This Row],[Outcome]]="Completed",1,0)</f>
        <v>1</v>
      </c>
      <c r="U5">
        <f>IF(Fixtures[[#This Row],[Outcome]]="Completed",1,0)</f>
        <v>1</v>
      </c>
      <c r="V5">
        <f>IF(AND(Fixtures[[#This Row],[Result]]="Home Win",Fixtures[[#This Row],[Outcome]]="Completed"),3,0)</f>
        <v>0</v>
      </c>
      <c r="W5">
        <f>IF(AND(Fixtures[[#This Row],[Result]]="Away Win",Fixtures[[#This Row],[Outcome]]="Completed"),3,0)</f>
        <v>0</v>
      </c>
      <c r="X5">
        <f>IF(AND(Fixtures[[#This Row],[Result]]="Draw",Fixtures[[#This Row],[Outcome]]="Completed"),1,0)</f>
        <v>1</v>
      </c>
      <c r="Y5">
        <f>IF(Fixtures[[#This Row],[Home Draw Points]]=1,1,0)</f>
        <v>1</v>
      </c>
    </row>
    <row r="6" spans="1:25" x14ac:dyDescent="0.25">
      <c r="A6" t="s">
        <v>12</v>
      </c>
      <c r="B6" s="2" t="s">
        <v>1086</v>
      </c>
      <c r="C6" s="17">
        <v>5</v>
      </c>
      <c r="D6" s="76">
        <v>44887</v>
      </c>
      <c r="E6" s="1">
        <v>0.41666666666666669</v>
      </c>
      <c r="F6" s="1"/>
      <c r="G6" t="s">
        <v>13</v>
      </c>
      <c r="H6">
        <v>1</v>
      </c>
      <c r="I6">
        <v>2</v>
      </c>
      <c r="J6" t="s">
        <v>14</v>
      </c>
      <c r="L6" t="s">
        <v>64</v>
      </c>
      <c r="M6" s="41">
        <v>88012</v>
      </c>
      <c r="N6" t="s">
        <v>62</v>
      </c>
      <c r="O6" s="1"/>
      <c r="Q6">
        <f>Fixtures[[#This Row],[Home Score]]+Fixtures[[#This Row],[Away Score]]</f>
        <v>3</v>
      </c>
      <c r="R6" t="str">
        <f>IF(Fixtures[[#This Row],[Home Score]]&gt;Fixtures[[#This Row],[Away Score]],"Home Win",IF(Fixtures[[#This Row],[Home Score]]&lt;Fixtures[[#This Row],[Away Score]],"Away Win","Draw"))</f>
        <v>Away Win</v>
      </c>
      <c r="S6" t="str">
        <f>IF(Fixtures[[#This Row],[Outcome]]="Completed",Fixtures[[#This Row],[Forecast Result]],"Awaiting Result")</f>
        <v>Away Win</v>
      </c>
      <c r="T6">
        <f>IF(Fixtures[[#This Row],[Outcome]]="Completed",1,0)</f>
        <v>1</v>
      </c>
      <c r="U6">
        <f>IF(Fixtures[[#This Row],[Outcome]]="Completed",1,0)</f>
        <v>1</v>
      </c>
      <c r="V6">
        <f>IF(AND(Fixtures[[#This Row],[Result]]="Home Win",Fixtures[[#This Row],[Outcome]]="Completed"),3,0)</f>
        <v>0</v>
      </c>
      <c r="W6">
        <f>IF(AND(Fixtures[[#This Row],[Result]]="Away Win",Fixtures[[#This Row],[Outcome]]="Completed"),3,0)</f>
        <v>3</v>
      </c>
      <c r="X6">
        <f>IF(AND(Fixtures[[#This Row],[Result]]="Draw",Fixtures[[#This Row],[Outcome]]="Completed"),1,0)</f>
        <v>0</v>
      </c>
      <c r="Y6">
        <f>IF(Fixtures[[#This Row],[Home Draw Points]]=1,1,0)</f>
        <v>0</v>
      </c>
    </row>
    <row r="7" spans="1:25" x14ac:dyDescent="0.25">
      <c r="A7" t="s">
        <v>15</v>
      </c>
      <c r="B7" s="2" t="s">
        <v>1086</v>
      </c>
      <c r="C7" s="17">
        <v>6</v>
      </c>
      <c r="D7" s="76">
        <v>44887</v>
      </c>
      <c r="E7" s="1">
        <v>0.54166666666666663</v>
      </c>
      <c r="F7" s="1"/>
      <c r="G7" t="s">
        <v>16</v>
      </c>
      <c r="H7">
        <v>0</v>
      </c>
      <c r="I7">
        <v>0</v>
      </c>
      <c r="J7" t="s">
        <v>17</v>
      </c>
      <c r="L7" t="s">
        <v>71</v>
      </c>
      <c r="M7" s="41">
        <v>42925</v>
      </c>
      <c r="N7" t="s">
        <v>62</v>
      </c>
      <c r="O7" s="1"/>
      <c r="Q7">
        <f>Fixtures[[#This Row],[Home Score]]+Fixtures[[#This Row],[Away Score]]</f>
        <v>0</v>
      </c>
      <c r="R7" t="str">
        <f>IF(Fixtures[[#This Row],[Home Score]]&gt;Fixtures[[#This Row],[Away Score]],"Home Win",IF(Fixtures[[#This Row],[Home Score]]&lt;Fixtures[[#This Row],[Away Score]],"Away Win","Draw"))</f>
        <v>Draw</v>
      </c>
      <c r="S7" t="str">
        <f>IF(Fixtures[[#This Row],[Outcome]]="Completed",Fixtures[[#This Row],[Forecast Result]],"Awaiting Result")</f>
        <v>Draw</v>
      </c>
      <c r="T7">
        <f>IF(Fixtures[[#This Row],[Outcome]]="Completed",1,0)</f>
        <v>1</v>
      </c>
      <c r="U7">
        <f>IF(Fixtures[[#This Row],[Outcome]]="Completed",1,0)</f>
        <v>1</v>
      </c>
      <c r="V7">
        <f>IF(AND(Fixtures[[#This Row],[Result]]="Home Win",Fixtures[[#This Row],[Outcome]]="Completed"),3,0)</f>
        <v>0</v>
      </c>
      <c r="W7">
        <f>IF(AND(Fixtures[[#This Row],[Result]]="Away Win",Fixtures[[#This Row],[Outcome]]="Completed"),3,0)</f>
        <v>0</v>
      </c>
      <c r="X7">
        <f>IF(AND(Fixtures[[#This Row],[Result]]="Draw",Fixtures[[#This Row],[Outcome]]="Completed"),1,0)</f>
        <v>1</v>
      </c>
      <c r="Y7">
        <f>IF(Fixtures[[#This Row],[Home Draw Points]]=1,1,0)</f>
        <v>1</v>
      </c>
    </row>
    <row r="8" spans="1:25" x14ac:dyDescent="0.25">
      <c r="A8" t="s">
        <v>12</v>
      </c>
      <c r="B8" s="2" t="s">
        <v>1086</v>
      </c>
      <c r="C8" s="17">
        <v>7</v>
      </c>
      <c r="D8" s="76">
        <v>44887</v>
      </c>
      <c r="E8" s="1">
        <v>0.66666666666666663</v>
      </c>
      <c r="F8" s="1"/>
      <c r="G8" t="s">
        <v>18</v>
      </c>
      <c r="H8">
        <v>0</v>
      </c>
      <c r="I8">
        <v>0</v>
      </c>
      <c r="J8" t="s">
        <v>19</v>
      </c>
      <c r="L8" t="s">
        <v>80</v>
      </c>
      <c r="M8" s="41">
        <v>39369</v>
      </c>
      <c r="N8" t="s">
        <v>62</v>
      </c>
      <c r="O8" s="1"/>
      <c r="Q8">
        <f>Fixtures[[#This Row],[Home Score]]+Fixtures[[#This Row],[Away Score]]</f>
        <v>0</v>
      </c>
      <c r="R8" t="str">
        <f>IF(Fixtures[[#This Row],[Home Score]]&gt;Fixtures[[#This Row],[Away Score]],"Home Win",IF(Fixtures[[#This Row],[Home Score]]&lt;Fixtures[[#This Row],[Away Score]],"Away Win","Draw"))</f>
        <v>Draw</v>
      </c>
      <c r="S8" t="str">
        <f>IF(Fixtures[[#This Row],[Outcome]]="Completed",Fixtures[[#This Row],[Forecast Result]],"Awaiting Result")</f>
        <v>Draw</v>
      </c>
      <c r="T8">
        <f>IF(Fixtures[[#This Row],[Outcome]]="Completed",1,0)</f>
        <v>1</v>
      </c>
      <c r="U8">
        <f>IF(Fixtures[[#This Row],[Outcome]]="Completed",1,0)</f>
        <v>1</v>
      </c>
      <c r="V8">
        <f>IF(AND(Fixtures[[#This Row],[Result]]="Home Win",Fixtures[[#This Row],[Outcome]]="Completed"),3,0)</f>
        <v>0</v>
      </c>
      <c r="W8">
        <f>IF(AND(Fixtures[[#This Row],[Result]]="Away Win",Fixtures[[#This Row],[Outcome]]="Completed"),3,0)</f>
        <v>0</v>
      </c>
      <c r="X8">
        <f>IF(AND(Fixtures[[#This Row],[Result]]="Draw",Fixtures[[#This Row],[Outcome]]="Completed"),1,0)</f>
        <v>1</v>
      </c>
      <c r="Y8">
        <f>IF(Fixtures[[#This Row],[Home Draw Points]]=1,1,0)</f>
        <v>1</v>
      </c>
    </row>
    <row r="9" spans="1:25" x14ac:dyDescent="0.25">
      <c r="A9" t="s">
        <v>15</v>
      </c>
      <c r="B9" s="2" t="s">
        <v>1086</v>
      </c>
      <c r="C9" s="17">
        <v>8</v>
      </c>
      <c r="D9" s="76">
        <v>44887</v>
      </c>
      <c r="E9" s="1">
        <v>0.79166666666666663</v>
      </c>
      <c r="F9" s="1"/>
      <c r="G9" t="s">
        <v>20</v>
      </c>
      <c r="H9">
        <v>4</v>
      </c>
      <c r="I9">
        <v>1</v>
      </c>
      <c r="J9" t="s">
        <v>21</v>
      </c>
      <c r="L9" t="s">
        <v>75</v>
      </c>
      <c r="M9" s="41">
        <v>40875</v>
      </c>
      <c r="N9" t="s">
        <v>62</v>
      </c>
      <c r="O9" s="1"/>
      <c r="Q9">
        <f>Fixtures[[#This Row],[Home Score]]+Fixtures[[#This Row],[Away Score]]</f>
        <v>5</v>
      </c>
      <c r="R9" t="str">
        <f>IF(Fixtures[[#This Row],[Home Score]]&gt;Fixtures[[#This Row],[Away Score]],"Home Win",IF(Fixtures[[#This Row],[Home Score]]&lt;Fixtures[[#This Row],[Away Score]],"Away Win","Draw"))</f>
        <v>Home Win</v>
      </c>
      <c r="S9" t="str">
        <f>IF(Fixtures[[#This Row],[Outcome]]="Completed",Fixtures[[#This Row],[Forecast Result]],"Awaiting Result")</f>
        <v>Home Win</v>
      </c>
      <c r="T9">
        <f>IF(Fixtures[[#This Row],[Outcome]]="Completed",1,0)</f>
        <v>1</v>
      </c>
      <c r="U9">
        <f>IF(Fixtures[[#This Row],[Outcome]]="Completed",1,0)</f>
        <v>1</v>
      </c>
      <c r="V9">
        <f>IF(AND(Fixtures[[#This Row],[Result]]="Home Win",Fixtures[[#This Row],[Outcome]]="Completed"),3,0)</f>
        <v>3</v>
      </c>
      <c r="W9">
        <f>IF(AND(Fixtures[[#This Row],[Result]]="Away Win",Fixtures[[#This Row],[Outcome]]="Completed"),3,0)</f>
        <v>0</v>
      </c>
      <c r="X9">
        <f>IF(AND(Fixtures[[#This Row],[Result]]="Draw",Fixtures[[#This Row],[Outcome]]="Completed"),1,0)</f>
        <v>0</v>
      </c>
      <c r="Y9">
        <f>IF(Fixtures[[#This Row],[Home Draw Points]]=1,1,0)</f>
        <v>0</v>
      </c>
    </row>
    <row r="10" spans="1:25" x14ac:dyDescent="0.25">
      <c r="A10" t="s">
        <v>22</v>
      </c>
      <c r="B10" s="2" t="s">
        <v>1086</v>
      </c>
      <c r="C10" s="17">
        <v>9</v>
      </c>
      <c r="D10" s="76">
        <v>44888</v>
      </c>
      <c r="E10" s="1">
        <v>0.41666666666666669</v>
      </c>
      <c r="F10" s="1"/>
      <c r="G10" t="s">
        <v>23</v>
      </c>
      <c r="H10">
        <v>0</v>
      </c>
      <c r="I10">
        <v>0</v>
      </c>
      <c r="J10" t="s">
        <v>24</v>
      </c>
      <c r="L10" t="s">
        <v>68</v>
      </c>
      <c r="M10" s="41">
        <v>59407</v>
      </c>
      <c r="N10" t="s">
        <v>62</v>
      </c>
      <c r="O10" s="1"/>
      <c r="Q10">
        <f>Fixtures[[#This Row],[Home Score]]+Fixtures[[#This Row],[Away Score]]</f>
        <v>0</v>
      </c>
      <c r="R10" t="str">
        <f>IF(Fixtures[[#This Row],[Home Score]]&gt;Fixtures[[#This Row],[Away Score]],"Home Win",IF(Fixtures[[#This Row],[Home Score]]&lt;Fixtures[[#This Row],[Away Score]],"Away Win","Draw"))</f>
        <v>Draw</v>
      </c>
      <c r="S10" t="str">
        <f>IF(Fixtures[[#This Row],[Outcome]]="Completed",Fixtures[[#This Row],[Forecast Result]],"Awaiting Result")</f>
        <v>Draw</v>
      </c>
      <c r="T10">
        <f>IF(Fixtures[[#This Row],[Outcome]]="Completed",1,0)</f>
        <v>1</v>
      </c>
      <c r="U10">
        <f>IF(Fixtures[[#This Row],[Outcome]]="Completed",1,0)</f>
        <v>1</v>
      </c>
      <c r="V10">
        <f>IF(AND(Fixtures[[#This Row],[Result]]="Home Win",Fixtures[[#This Row],[Outcome]]="Completed"),3,0)</f>
        <v>0</v>
      </c>
      <c r="W10">
        <f>IF(AND(Fixtures[[#This Row],[Result]]="Away Win",Fixtures[[#This Row],[Outcome]]="Completed"),3,0)</f>
        <v>0</v>
      </c>
      <c r="X10">
        <f>IF(AND(Fixtures[[#This Row],[Result]]="Draw",Fixtures[[#This Row],[Outcome]]="Completed"),1,0)</f>
        <v>1</v>
      </c>
      <c r="Y10">
        <f>IF(Fixtures[[#This Row],[Home Draw Points]]=1,1,0)</f>
        <v>1</v>
      </c>
    </row>
    <row r="11" spans="1:25" x14ac:dyDescent="0.25">
      <c r="A11" t="s">
        <v>25</v>
      </c>
      <c r="B11" s="2" t="s">
        <v>1086</v>
      </c>
      <c r="C11" s="17">
        <v>10</v>
      </c>
      <c r="D11" s="76">
        <v>44888</v>
      </c>
      <c r="E11" s="1">
        <v>0.54166666666666663</v>
      </c>
      <c r="F11" s="1"/>
      <c r="G11" t="s">
        <v>26</v>
      </c>
      <c r="H11">
        <v>1</v>
      </c>
      <c r="I11">
        <v>2</v>
      </c>
      <c r="J11" t="s">
        <v>27</v>
      </c>
      <c r="L11" t="s">
        <v>72</v>
      </c>
      <c r="M11" s="41">
        <v>42608</v>
      </c>
      <c r="N11" t="s">
        <v>62</v>
      </c>
      <c r="O11" s="1"/>
      <c r="Q11">
        <f>Fixtures[[#This Row],[Home Score]]+Fixtures[[#This Row],[Away Score]]</f>
        <v>3</v>
      </c>
      <c r="R11" t="str">
        <f>IF(Fixtures[[#This Row],[Home Score]]&gt;Fixtures[[#This Row],[Away Score]],"Home Win",IF(Fixtures[[#This Row],[Home Score]]&lt;Fixtures[[#This Row],[Away Score]],"Away Win","Draw"))</f>
        <v>Away Win</v>
      </c>
      <c r="S11" t="str">
        <f>IF(Fixtures[[#This Row],[Outcome]]="Completed",Fixtures[[#This Row],[Forecast Result]],"Awaiting Result")</f>
        <v>Away Win</v>
      </c>
      <c r="T11">
        <f>IF(Fixtures[[#This Row],[Outcome]]="Completed",1,0)</f>
        <v>1</v>
      </c>
      <c r="U11">
        <f>IF(Fixtures[[#This Row],[Outcome]]="Completed",1,0)</f>
        <v>1</v>
      </c>
      <c r="V11">
        <f>IF(AND(Fixtures[[#This Row],[Result]]="Home Win",Fixtures[[#This Row],[Outcome]]="Completed"),3,0)</f>
        <v>0</v>
      </c>
      <c r="W11">
        <f>IF(AND(Fixtures[[#This Row],[Result]]="Away Win",Fixtures[[#This Row],[Outcome]]="Completed"),3,0)</f>
        <v>3</v>
      </c>
      <c r="X11">
        <f>IF(AND(Fixtures[[#This Row],[Result]]="Draw",Fixtures[[#This Row],[Outcome]]="Completed"),1,0)</f>
        <v>0</v>
      </c>
      <c r="Y11">
        <f>IF(Fixtures[[#This Row],[Home Draw Points]]=1,1,0)</f>
        <v>0</v>
      </c>
    </row>
    <row r="12" spans="1:25" x14ac:dyDescent="0.25">
      <c r="A12" t="s">
        <v>25</v>
      </c>
      <c r="B12" s="2" t="s">
        <v>1086</v>
      </c>
      <c r="C12" s="17">
        <v>11</v>
      </c>
      <c r="D12" s="76">
        <v>44888</v>
      </c>
      <c r="E12" s="1">
        <v>0.66666666666666663</v>
      </c>
      <c r="F12" s="1"/>
      <c r="G12" t="s">
        <v>28</v>
      </c>
      <c r="H12">
        <v>7</v>
      </c>
      <c r="I12">
        <v>0</v>
      </c>
      <c r="J12" t="s">
        <v>29</v>
      </c>
      <c r="L12" t="s">
        <v>74</v>
      </c>
      <c r="M12" s="41">
        <v>40013</v>
      </c>
      <c r="N12" t="s">
        <v>62</v>
      </c>
      <c r="O12" s="1"/>
      <c r="Q12">
        <f>Fixtures[[#This Row],[Home Score]]+Fixtures[[#This Row],[Away Score]]</f>
        <v>7</v>
      </c>
      <c r="R12" t="str">
        <f>IF(Fixtures[[#This Row],[Home Score]]&gt;Fixtures[[#This Row],[Away Score]],"Home Win",IF(Fixtures[[#This Row],[Home Score]]&lt;Fixtures[[#This Row],[Away Score]],"Away Win","Draw"))</f>
        <v>Home Win</v>
      </c>
      <c r="S12" t="str">
        <f>IF(Fixtures[[#This Row],[Outcome]]="Completed",Fixtures[[#This Row],[Forecast Result]],"Awaiting Result")</f>
        <v>Home Win</v>
      </c>
      <c r="T12">
        <f>IF(Fixtures[[#This Row],[Outcome]]="Completed",1,0)</f>
        <v>1</v>
      </c>
      <c r="U12">
        <f>IF(Fixtures[[#This Row],[Outcome]]="Completed",1,0)</f>
        <v>1</v>
      </c>
      <c r="V12">
        <f>IF(AND(Fixtures[[#This Row],[Result]]="Home Win",Fixtures[[#This Row],[Outcome]]="Completed"),3,0)</f>
        <v>3</v>
      </c>
      <c r="W12">
        <f>IF(AND(Fixtures[[#This Row],[Result]]="Away Win",Fixtures[[#This Row],[Outcome]]="Completed"),3,0)</f>
        <v>0</v>
      </c>
      <c r="X12">
        <f>IF(AND(Fixtures[[#This Row],[Result]]="Draw",Fixtures[[#This Row],[Outcome]]="Completed"),1,0)</f>
        <v>0</v>
      </c>
      <c r="Y12">
        <f>IF(Fixtures[[#This Row],[Home Draw Points]]=1,1,0)</f>
        <v>0</v>
      </c>
    </row>
    <row r="13" spans="1:25" x14ac:dyDescent="0.25">
      <c r="A13" t="s">
        <v>22</v>
      </c>
      <c r="B13" s="2" t="s">
        <v>1086</v>
      </c>
      <c r="C13" s="17">
        <v>12</v>
      </c>
      <c r="D13" s="76">
        <v>44888</v>
      </c>
      <c r="E13" s="1">
        <v>0.79166666666666663</v>
      </c>
      <c r="F13" s="1"/>
      <c r="G13" t="s">
        <v>30</v>
      </c>
      <c r="H13">
        <v>1</v>
      </c>
      <c r="I13">
        <v>0</v>
      </c>
      <c r="J13" t="s">
        <v>31</v>
      </c>
      <c r="L13" t="s">
        <v>77</v>
      </c>
      <c r="M13" s="41">
        <v>40432</v>
      </c>
      <c r="N13" t="s">
        <v>62</v>
      </c>
      <c r="O13" s="1"/>
      <c r="Q13">
        <f>Fixtures[[#This Row],[Home Score]]+Fixtures[[#This Row],[Away Score]]</f>
        <v>1</v>
      </c>
      <c r="R13" t="str">
        <f>IF(Fixtures[[#This Row],[Home Score]]&gt;Fixtures[[#This Row],[Away Score]],"Home Win",IF(Fixtures[[#This Row],[Home Score]]&lt;Fixtures[[#This Row],[Away Score]],"Away Win","Draw"))</f>
        <v>Home Win</v>
      </c>
      <c r="S13" t="str">
        <f>IF(Fixtures[[#This Row],[Outcome]]="Completed",Fixtures[[#This Row],[Forecast Result]],"Awaiting Result")</f>
        <v>Home Win</v>
      </c>
      <c r="T13">
        <f>IF(Fixtures[[#This Row],[Outcome]]="Completed",1,0)</f>
        <v>1</v>
      </c>
      <c r="U13">
        <f>IF(Fixtures[[#This Row],[Outcome]]="Completed",1,0)</f>
        <v>1</v>
      </c>
      <c r="V13">
        <f>IF(AND(Fixtures[[#This Row],[Result]]="Home Win",Fixtures[[#This Row],[Outcome]]="Completed"),3,0)</f>
        <v>3</v>
      </c>
      <c r="W13">
        <f>IF(AND(Fixtures[[#This Row],[Result]]="Away Win",Fixtures[[#This Row],[Outcome]]="Completed"),3,0)</f>
        <v>0</v>
      </c>
      <c r="X13">
        <f>IF(AND(Fixtures[[#This Row],[Result]]="Draw",Fixtures[[#This Row],[Outcome]]="Completed"),1,0)</f>
        <v>0</v>
      </c>
      <c r="Y13">
        <f>IF(Fixtures[[#This Row],[Home Draw Points]]=1,1,0)</f>
        <v>0</v>
      </c>
    </row>
    <row r="14" spans="1:25" x14ac:dyDescent="0.25">
      <c r="A14" t="s">
        <v>32</v>
      </c>
      <c r="B14" s="2" t="s">
        <v>1086</v>
      </c>
      <c r="C14" s="17">
        <v>13</v>
      </c>
      <c r="D14" s="76">
        <v>44889</v>
      </c>
      <c r="E14" s="1">
        <v>0.41666666666666669</v>
      </c>
      <c r="F14" s="1"/>
      <c r="G14" t="s">
        <v>33</v>
      </c>
      <c r="H14">
        <v>1</v>
      </c>
      <c r="I14">
        <v>0</v>
      </c>
      <c r="J14" t="s">
        <v>34</v>
      </c>
      <c r="L14" t="s">
        <v>75</v>
      </c>
      <c r="M14" s="41">
        <v>39089</v>
      </c>
      <c r="N14" t="s">
        <v>62</v>
      </c>
      <c r="O14" s="1"/>
      <c r="Q14">
        <f>Fixtures[[#This Row],[Home Score]]+Fixtures[[#This Row],[Away Score]]</f>
        <v>1</v>
      </c>
      <c r="R14" t="str">
        <f>IF(Fixtures[[#This Row],[Home Score]]&gt;Fixtures[[#This Row],[Away Score]],"Home Win",IF(Fixtures[[#This Row],[Home Score]]&lt;Fixtures[[#This Row],[Away Score]],"Away Win","Draw"))</f>
        <v>Home Win</v>
      </c>
      <c r="S14" t="str">
        <f>IF(Fixtures[[#This Row],[Outcome]]="Completed",Fixtures[[#This Row],[Forecast Result]],"Awaiting Result")</f>
        <v>Home Win</v>
      </c>
      <c r="T14">
        <f>IF(Fixtures[[#This Row],[Outcome]]="Completed",1,0)</f>
        <v>1</v>
      </c>
      <c r="U14">
        <f>IF(Fixtures[[#This Row],[Outcome]]="Completed",1,0)</f>
        <v>1</v>
      </c>
      <c r="V14">
        <f>IF(AND(Fixtures[[#This Row],[Result]]="Home Win",Fixtures[[#This Row],[Outcome]]="Completed"),3,0)</f>
        <v>3</v>
      </c>
      <c r="W14">
        <f>IF(AND(Fixtures[[#This Row],[Result]]="Away Win",Fixtures[[#This Row],[Outcome]]="Completed"),3,0)</f>
        <v>0</v>
      </c>
      <c r="X14">
        <f>IF(AND(Fixtures[[#This Row],[Result]]="Draw",Fixtures[[#This Row],[Outcome]]="Completed"),1,0)</f>
        <v>0</v>
      </c>
      <c r="Y14">
        <f>IF(Fixtures[[#This Row],[Home Draw Points]]=1,1,0)</f>
        <v>0</v>
      </c>
    </row>
    <row r="15" spans="1:25" x14ac:dyDescent="0.25">
      <c r="A15" t="s">
        <v>35</v>
      </c>
      <c r="B15" s="2" t="s">
        <v>1086</v>
      </c>
      <c r="C15" s="17">
        <v>14</v>
      </c>
      <c r="D15" s="76">
        <v>44889</v>
      </c>
      <c r="E15" s="1">
        <v>0.54166666666666663</v>
      </c>
      <c r="F15" s="1"/>
      <c r="G15" t="s">
        <v>36</v>
      </c>
      <c r="H15">
        <v>0</v>
      </c>
      <c r="I15">
        <v>0</v>
      </c>
      <c r="J15" t="s">
        <v>37</v>
      </c>
      <c r="L15" t="s">
        <v>71</v>
      </c>
      <c r="M15" s="41">
        <v>41663</v>
      </c>
      <c r="N15" t="s">
        <v>62</v>
      </c>
      <c r="O15" s="1"/>
      <c r="Q15">
        <f>Fixtures[[#This Row],[Home Score]]+Fixtures[[#This Row],[Away Score]]</f>
        <v>0</v>
      </c>
      <c r="R15" t="str">
        <f>IF(Fixtures[[#This Row],[Home Score]]&gt;Fixtures[[#This Row],[Away Score]],"Home Win",IF(Fixtures[[#This Row],[Home Score]]&lt;Fixtures[[#This Row],[Away Score]],"Away Win","Draw"))</f>
        <v>Draw</v>
      </c>
      <c r="S15" t="str">
        <f>IF(Fixtures[[#This Row],[Outcome]]="Completed",Fixtures[[#This Row],[Forecast Result]],"Awaiting Result")</f>
        <v>Draw</v>
      </c>
      <c r="T15">
        <f>IF(Fixtures[[#This Row],[Outcome]]="Completed",1,0)</f>
        <v>1</v>
      </c>
      <c r="U15">
        <f>IF(Fixtures[[#This Row],[Outcome]]="Completed",1,0)</f>
        <v>1</v>
      </c>
      <c r="V15">
        <f>IF(AND(Fixtures[[#This Row],[Result]]="Home Win",Fixtures[[#This Row],[Outcome]]="Completed"),3,0)</f>
        <v>0</v>
      </c>
      <c r="W15">
        <f>IF(AND(Fixtures[[#This Row],[Result]]="Away Win",Fixtures[[#This Row],[Outcome]]="Completed"),3,0)</f>
        <v>0</v>
      </c>
      <c r="X15">
        <f>IF(AND(Fixtures[[#This Row],[Result]]="Draw",Fixtures[[#This Row],[Outcome]]="Completed"),1,0)</f>
        <v>1</v>
      </c>
      <c r="Y15">
        <f>IF(Fixtures[[#This Row],[Home Draw Points]]=1,1,0)</f>
        <v>1</v>
      </c>
    </row>
    <row r="16" spans="1:25" x14ac:dyDescent="0.25">
      <c r="A16" t="s">
        <v>35</v>
      </c>
      <c r="B16" s="2" t="s">
        <v>1086</v>
      </c>
      <c r="C16" s="17">
        <v>15</v>
      </c>
      <c r="D16" s="76">
        <v>44889</v>
      </c>
      <c r="E16" s="1">
        <v>0.66666666666666663</v>
      </c>
      <c r="F16" s="1"/>
      <c r="G16" t="s">
        <v>38</v>
      </c>
      <c r="H16">
        <v>3</v>
      </c>
      <c r="I16">
        <v>2</v>
      </c>
      <c r="J16" t="s">
        <v>39</v>
      </c>
      <c r="L16" t="s">
        <v>80</v>
      </c>
      <c r="M16" s="41">
        <v>42662</v>
      </c>
      <c r="N16" t="s">
        <v>62</v>
      </c>
      <c r="O16" s="1"/>
      <c r="Q16">
        <f>Fixtures[[#This Row],[Home Score]]+Fixtures[[#This Row],[Away Score]]</f>
        <v>5</v>
      </c>
      <c r="R16" t="str">
        <f>IF(Fixtures[[#This Row],[Home Score]]&gt;Fixtures[[#This Row],[Away Score]],"Home Win",IF(Fixtures[[#This Row],[Home Score]]&lt;Fixtures[[#This Row],[Away Score]],"Away Win","Draw"))</f>
        <v>Home Win</v>
      </c>
      <c r="S16" t="str">
        <f>IF(Fixtures[[#This Row],[Outcome]]="Completed",Fixtures[[#This Row],[Forecast Result]],"Awaiting Result")</f>
        <v>Home Win</v>
      </c>
      <c r="T16">
        <f>IF(Fixtures[[#This Row],[Outcome]]="Completed",1,0)</f>
        <v>1</v>
      </c>
      <c r="U16">
        <f>IF(Fixtures[[#This Row],[Outcome]]="Completed",1,0)</f>
        <v>1</v>
      </c>
      <c r="V16">
        <f>IF(AND(Fixtures[[#This Row],[Result]]="Home Win",Fixtures[[#This Row],[Outcome]]="Completed"),3,0)</f>
        <v>3</v>
      </c>
      <c r="W16">
        <f>IF(AND(Fixtures[[#This Row],[Result]]="Away Win",Fixtures[[#This Row],[Outcome]]="Completed"),3,0)</f>
        <v>0</v>
      </c>
      <c r="X16">
        <f>IF(AND(Fixtures[[#This Row],[Result]]="Draw",Fixtures[[#This Row],[Outcome]]="Completed"),1,0)</f>
        <v>0</v>
      </c>
      <c r="Y16">
        <f>IF(Fixtures[[#This Row],[Home Draw Points]]=1,1,0)</f>
        <v>0</v>
      </c>
    </row>
    <row r="17" spans="1:25" x14ac:dyDescent="0.25">
      <c r="A17" t="s">
        <v>32</v>
      </c>
      <c r="B17" s="2" t="s">
        <v>1086</v>
      </c>
      <c r="C17" s="17">
        <v>16</v>
      </c>
      <c r="D17" s="76">
        <v>44889</v>
      </c>
      <c r="E17" s="1">
        <v>0.79166666666666663</v>
      </c>
      <c r="F17" s="1"/>
      <c r="G17" t="s">
        <v>1059</v>
      </c>
      <c r="H17">
        <v>2</v>
      </c>
      <c r="I17">
        <v>0</v>
      </c>
      <c r="J17" t="s">
        <v>40</v>
      </c>
      <c r="L17" t="s">
        <v>64</v>
      </c>
      <c r="M17" s="41">
        <v>88103</v>
      </c>
      <c r="N17" t="s">
        <v>62</v>
      </c>
      <c r="O17" s="1"/>
      <c r="Q17">
        <f>Fixtures[[#This Row],[Home Score]]+Fixtures[[#This Row],[Away Score]]</f>
        <v>2</v>
      </c>
      <c r="R17" t="str">
        <f>IF(Fixtures[[#This Row],[Home Score]]&gt;Fixtures[[#This Row],[Away Score]],"Home Win",IF(Fixtures[[#This Row],[Home Score]]&lt;Fixtures[[#This Row],[Away Score]],"Away Win","Draw"))</f>
        <v>Home Win</v>
      </c>
      <c r="S17" t="str">
        <f>IF(Fixtures[[#This Row],[Outcome]]="Completed",Fixtures[[#This Row],[Forecast Result]],"Awaiting Result")</f>
        <v>Home Win</v>
      </c>
      <c r="T17">
        <f>IF(Fixtures[[#This Row],[Outcome]]="Completed",1,0)</f>
        <v>1</v>
      </c>
      <c r="U17">
        <f>IF(Fixtures[[#This Row],[Outcome]]="Completed",1,0)</f>
        <v>1</v>
      </c>
      <c r="V17">
        <f>IF(AND(Fixtures[[#This Row],[Result]]="Home Win",Fixtures[[#This Row],[Outcome]]="Completed"),3,0)</f>
        <v>3</v>
      </c>
      <c r="W17">
        <f>IF(AND(Fixtures[[#This Row],[Result]]="Away Win",Fixtures[[#This Row],[Outcome]]="Completed"),3,0)</f>
        <v>0</v>
      </c>
      <c r="X17">
        <f>IF(AND(Fixtures[[#This Row],[Result]]="Draw",Fixtures[[#This Row],[Outcome]]="Completed"),1,0)</f>
        <v>0</v>
      </c>
      <c r="Y17">
        <f>IF(Fixtures[[#This Row],[Home Draw Points]]=1,1,0)</f>
        <v>0</v>
      </c>
    </row>
    <row r="18" spans="1:25" x14ac:dyDescent="0.25">
      <c r="A18" t="s">
        <v>5</v>
      </c>
      <c r="B18" s="2" t="s">
        <v>1087</v>
      </c>
      <c r="C18" s="17">
        <v>17</v>
      </c>
      <c r="D18" s="76">
        <v>44890</v>
      </c>
      <c r="E18" s="1">
        <v>0.41666666666666669</v>
      </c>
      <c r="F18" s="1"/>
      <c r="G18" t="s">
        <v>11</v>
      </c>
      <c r="H18">
        <v>0</v>
      </c>
      <c r="I18">
        <v>2</v>
      </c>
      <c r="J18" t="s">
        <v>7</v>
      </c>
      <c r="L18" t="s">
        <v>77</v>
      </c>
      <c r="M18" s="41">
        <v>40875</v>
      </c>
      <c r="N18" t="s">
        <v>62</v>
      </c>
      <c r="O18" s="1"/>
      <c r="Q18">
        <f>Fixtures[[#This Row],[Home Score]]+Fixtures[[#This Row],[Away Score]]</f>
        <v>2</v>
      </c>
      <c r="R18" t="str">
        <f>IF(Fixtures[[#This Row],[Home Score]]&gt;Fixtures[[#This Row],[Away Score]],"Home Win",IF(Fixtures[[#This Row],[Home Score]]&lt;Fixtures[[#This Row],[Away Score]],"Away Win","Draw"))</f>
        <v>Away Win</v>
      </c>
      <c r="S18" t="str">
        <f>IF(Fixtures[[#This Row],[Outcome]]="Completed",Fixtures[[#This Row],[Forecast Result]],"Awaiting Result")</f>
        <v>Away Win</v>
      </c>
      <c r="T18">
        <f>IF(Fixtures[[#This Row],[Outcome]]="Completed",1,0)</f>
        <v>1</v>
      </c>
      <c r="U18">
        <f>IF(Fixtures[[#This Row],[Outcome]]="Completed",1,0)</f>
        <v>1</v>
      </c>
      <c r="V18">
        <f>IF(AND(Fixtures[[#This Row],[Result]]="Home Win",Fixtures[[#This Row],[Outcome]]="Completed"),3,0)</f>
        <v>0</v>
      </c>
      <c r="W18">
        <f>IF(AND(Fixtures[[#This Row],[Result]]="Away Win",Fixtures[[#This Row],[Outcome]]="Completed"),3,0)</f>
        <v>3</v>
      </c>
      <c r="X18">
        <f>IF(AND(Fixtures[[#This Row],[Result]]="Draw",Fixtures[[#This Row],[Outcome]]="Completed"),1,0)</f>
        <v>0</v>
      </c>
      <c r="Y18">
        <f>IF(Fixtures[[#This Row],[Home Draw Points]]=1,1,0)</f>
        <v>0</v>
      </c>
    </row>
    <row r="19" spans="1:25" x14ac:dyDescent="0.25">
      <c r="A19" t="s">
        <v>2</v>
      </c>
      <c r="B19" s="2" t="s">
        <v>1087</v>
      </c>
      <c r="C19" s="17">
        <v>18</v>
      </c>
      <c r="D19" s="76">
        <v>44890</v>
      </c>
      <c r="E19" s="1">
        <v>0.54166666666666663</v>
      </c>
      <c r="F19" s="1"/>
      <c r="G19" t="s">
        <v>8</v>
      </c>
      <c r="H19">
        <v>1</v>
      </c>
      <c r="I19">
        <v>3</v>
      </c>
      <c r="J19" t="s">
        <v>3</v>
      </c>
      <c r="L19" t="s">
        <v>74</v>
      </c>
      <c r="M19" s="41">
        <v>41797</v>
      </c>
      <c r="N19" t="s">
        <v>62</v>
      </c>
      <c r="O19" s="1"/>
      <c r="Q19">
        <f>Fixtures[[#This Row],[Home Score]]+Fixtures[[#This Row],[Away Score]]</f>
        <v>4</v>
      </c>
      <c r="R19" t="str">
        <f>IF(Fixtures[[#This Row],[Home Score]]&gt;Fixtures[[#This Row],[Away Score]],"Home Win",IF(Fixtures[[#This Row],[Home Score]]&lt;Fixtures[[#This Row],[Away Score]],"Away Win","Draw"))</f>
        <v>Away Win</v>
      </c>
      <c r="S19" t="str">
        <f>IF(Fixtures[[#This Row],[Outcome]]="Completed",Fixtures[[#This Row],[Forecast Result]],"Awaiting Result")</f>
        <v>Away Win</v>
      </c>
      <c r="T19">
        <f>IF(Fixtures[[#This Row],[Outcome]]="Completed",1,0)</f>
        <v>1</v>
      </c>
      <c r="U19">
        <f>IF(Fixtures[[#This Row],[Outcome]]="Completed",1,0)</f>
        <v>1</v>
      </c>
      <c r="V19">
        <f>IF(AND(Fixtures[[#This Row],[Result]]="Home Win",Fixtures[[#This Row],[Outcome]]="Completed"),3,0)</f>
        <v>0</v>
      </c>
      <c r="W19">
        <f>IF(AND(Fixtures[[#This Row],[Result]]="Away Win",Fixtures[[#This Row],[Outcome]]="Completed"),3,0)</f>
        <v>3</v>
      </c>
      <c r="X19">
        <f>IF(AND(Fixtures[[#This Row],[Result]]="Draw",Fixtures[[#This Row],[Outcome]]="Completed"),1,0)</f>
        <v>0</v>
      </c>
      <c r="Y19">
        <f>IF(Fixtures[[#This Row],[Home Draw Points]]=1,1,0)</f>
        <v>0</v>
      </c>
    </row>
    <row r="20" spans="1:25" x14ac:dyDescent="0.25">
      <c r="A20" t="s">
        <v>2</v>
      </c>
      <c r="B20" s="2" t="s">
        <v>1087</v>
      </c>
      <c r="C20" s="17">
        <v>19</v>
      </c>
      <c r="D20" s="76">
        <v>44890</v>
      </c>
      <c r="E20" s="1">
        <v>0.66666666666666663</v>
      </c>
      <c r="F20" s="1"/>
      <c r="G20" t="s">
        <v>4</v>
      </c>
      <c r="H20">
        <v>1</v>
      </c>
      <c r="I20">
        <v>1</v>
      </c>
      <c r="J20" t="s">
        <v>9</v>
      </c>
      <c r="L20" t="s">
        <v>72</v>
      </c>
      <c r="M20" s="41">
        <v>44833</v>
      </c>
      <c r="N20" t="s">
        <v>62</v>
      </c>
      <c r="O20" s="1"/>
      <c r="Q20">
        <f>Fixtures[[#This Row],[Home Score]]+Fixtures[[#This Row],[Away Score]]</f>
        <v>2</v>
      </c>
      <c r="R20" t="str">
        <f>IF(Fixtures[[#This Row],[Home Score]]&gt;Fixtures[[#This Row],[Away Score]],"Home Win",IF(Fixtures[[#This Row],[Home Score]]&lt;Fixtures[[#This Row],[Away Score]],"Away Win","Draw"))</f>
        <v>Draw</v>
      </c>
      <c r="S20" t="str">
        <f>IF(Fixtures[[#This Row],[Outcome]]="Completed",Fixtures[[#This Row],[Forecast Result]],"Awaiting Result")</f>
        <v>Draw</v>
      </c>
      <c r="T20">
        <f>IF(Fixtures[[#This Row],[Outcome]]="Completed",1,0)</f>
        <v>1</v>
      </c>
      <c r="U20">
        <f>IF(Fixtures[[#This Row],[Outcome]]="Completed",1,0)</f>
        <v>1</v>
      </c>
      <c r="V20">
        <f>IF(AND(Fixtures[[#This Row],[Result]]="Home Win",Fixtures[[#This Row],[Outcome]]="Completed"),3,0)</f>
        <v>0</v>
      </c>
      <c r="W20">
        <f>IF(AND(Fixtures[[#This Row],[Result]]="Away Win",Fixtures[[#This Row],[Outcome]]="Completed"),3,0)</f>
        <v>0</v>
      </c>
      <c r="X20">
        <f>IF(AND(Fixtures[[#This Row],[Result]]="Draw",Fixtures[[#This Row],[Outcome]]="Completed"),1,0)</f>
        <v>1</v>
      </c>
      <c r="Y20">
        <f>IF(Fixtures[[#This Row],[Home Draw Points]]=1,1,0)</f>
        <v>1</v>
      </c>
    </row>
    <row r="21" spans="1:25" x14ac:dyDescent="0.25">
      <c r="A21" t="s">
        <v>5</v>
      </c>
      <c r="B21" s="2" t="s">
        <v>1087</v>
      </c>
      <c r="C21" s="17">
        <v>20</v>
      </c>
      <c r="D21" s="76">
        <v>44890</v>
      </c>
      <c r="E21" s="1">
        <v>0.79166666666666663</v>
      </c>
      <c r="F21" s="1"/>
      <c r="G21" t="s">
        <v>6</v>
      </c>
      <c r="H21">
        <v>0</v>
      </c>
      <c r="I21">
        <v>0</v>
      </c>
      <c r="J21" t="s">
        <v>10</v>
      </c>
      <c r="L21" t="s">
        <v>68</v>
      </c>
      <c r="M21" s="41">
        <v>68463</v>
      </c>
      <c r="N21" t="s">
        <v>62</v>
      </c>
      <c r="O21" s="1"/>
      <c r="Q21">
        <f>Fixtures[[#This Row],[Home Score]]+Fixtures[[#This Row],[Away Score]]</f>
        <v>0</v>
      </c>
      <c r="R21" t="str">
        <f>IF(Fixtures[[#This Row],[Home Score]]&gt;Fixtures[[#This Row],[Away Score]],"Home Win",IF(Fixtures[[#This Row],[Home Score]]&lt;Fixtures[[#This Row],[Away Score]],"Away Win","Draw"))</f>
        <v>Draw</v>
      </c>
      <c r="S21" t="str">
        <f>IF(Fixtures[[#This Row],[Outcome]]="Completed",Fixtures[[#This Row],[Forecast Result]],"Awaiting Result")</f>
        <v>Draw</v>
      </c>
      <c r="T21">
        <f>IF(Fixtures[[#This Row],[Outcome]]="Completed",1,0)</f>
        <v>1</v>
      </c>
      <c r="U21">
        <f>IF(Fixtures[[#This Row],[Outcome]]="Completed",1,0)</f>
        <v>1</v>
      </c>
      <c r="V21">
        <f>IF(AND(Fixtures[[#This Row],[Result]]="Home Win",Fixtures[[#This Row],[Outcome]]="Completed"),3,0)</f>
        <v>0</v>
      </c>
      <c r="W21">
        <f>IF(AND(Fixtures[[#This Row],[Result]]="Away Win",Fixtures[[#This Row],[Outcome]]="Completed"),3,0)</f>
        <v>0</v>
      </c>
      <c r="X21">
        <f>IF(AND(Fixtures[[#This Row],[Result]]="Draw",Fixtures[[#This Row],[Outcome]]="Completed"),1,0)</f>
        <v>1</v>
      </c>
      <c r="Y21">
        <f>IF(Fixtures[[#This Row],[Home Draw Points]]=1,1,0)</f>
        <v>1</v>
      </c>
    </row>
    <row r="22" spans="1:25" x14ac:dyDescent="0.25">
      <c r="A22" t="s">
        <v>15</v>
      </c>
      <c r="B22" s="2" t="s">
        <v>1087</v>
      </c>
      <c r="C22" s="17">
        <v>21</v>
      </c>
      <c r="D22" s="76">
        <v>44891</v>
      </c>
      <c r="E22" s="1">
        <v>0.41666666666666669</v>
      </c>
      <c r="F22" s="1"/>
      <c r="G22" t="s">
        <v>17</v>
      </c>
      <c r="H22">
        <v>0</v>
      </c>
      <c r="I22">
        <v>1</v>
      </c>
      <c r="J22" t="s">
        <v>21</v>
      </c>
      <c r="L22" t="s">
        <v>75</v>
      </c>
      <c r="M22" s="41">
        <v>41823</v>
      </c>
      <c r="N22" t="s">
        <v>62</v>
      </c>
      <c r="O22" s="1"/>
      <c r="Q22">
        <f>Fixtures[[#This Row],[Home Score]]+Fixtures[[#This Row],[Away Score]]</f>
        <v>1</v>
      </c>
      <c r="R22" t="str">
        <f>IF(Fixtures[[#This Row],[Home Score]]&gt;Fixtures[[#This Row],[Away Score]],"Home Win",IF(Fixtures[[#This Row],[Home Score]]&lt;Fixtures[[#This Row],[Away Score]],"Away Win","Draw"))</f>
        <v>Away Win</v>
      </c>
      <c r="S22" t="str">
        <f>IF(Fixtures[[#This Row],[Outcome]]="Completed",Fixtures[[#This Row],[Forecast Result]],"Awaiting Result")</f>
        <v>Away Win</v>
      </c>
      <c r="T22">
        <f>IF(Fixtures[[#This Row],[Outcome]]="Completed",1,0)</f>
        <v>1</v>
      </c>
      <c r="U22">
        <f>IF(Fixtures[[#This Row],[Outcome]]="Completed",1,0)</f>
        <v>1</v>
      </c>
      <c r="V22">
        <f>IF(AND(Fixtures[[#This Row],[Result]]="Home Win",Fixtures[[#This Row],[Outcome]]="Completed"),3,0)</f>
        <v>0</v>
      </c>
      <c r="W22">
        <f>IF(AND(Fixtures[[#This Row],[Result]]="Away Win",Fixtures[[#This Row],[Outcome]]="Completed"),3,0)</f>
        <v>3</v>
      </c>
      <c r="X22">
        <f>IF(AND(Fixtures[[#This Row],[Result]]="Draw",Fixtures[[#This Row],[Outcome]]="Completed"),1,0)</f>
        <v>0</v>
      </c>
      <c r="Y22">
        <f>IF(Fixtures[[#This Row],[Home Draw Points]]=1,1,0)</f>
        <v>0</v>
      </c>
    </row>
    <row r="23" spans="1:25" x14ac:dyDescent="0.25">
      <c r="A23" t="s">
        <v>12</v>
      </c>
      <c r="B23" s="2" t="s">
        <v>1087</v>
      </c>
      <c r="C23" s="17">
        <v>22</v>
      </c>
      <c r="D23" s="76">
        <v>44891</v>
      </c>
      <c r="E23" s="1">
        <v>0.54166666666666663</v>
      </c>
      <c r="F23" s="1"/>
      <c r="G23" t="s">
        <v>19</v>
      </c>
      <c r="H23">
        <v>2</v>
      </c>
      <c r="I23">
        <v>0</v>
      </c>
      <c r="J23" t="s">
        <v>14</v>
      </c>
      <c r="L23" t="s">
        <v>71</v>
      </c>
      <c r="M23" s="41">
        <v>44259</v>
      </c>
      <c r="N23" t="s">
        <v>62</v>
      </c>
      <c r="O23" s="1"/>
      <c r="Q23">
        <f>Fixtures[[#This Row],[Home Score]]+Fixtures[[#This Row],[Away Score]]</f>
        <v>2</v>
      </c>
      <c r="R23" t="str">
        <f>IF(Fixtures[[#This Row],[Home Score]]&gt;Fixtures[[#This Row],[Away Score]],"Home Win",IF(Fixtures[[#This Row],[Home Score]]&lt;Fixtures[[#This Row],[Away Score]],"Away Win","Draw"))</f>
        <v>Home Win</v>
      </c>
      <c r="S23" t="str">
        <f>IF(Fixtures[[#This Row],[Outcome]]="Completed",Fixtures[[#This Row],[Forecast Result]],"Awaiting Result")</f>
        <v>Home Win</v>
      </c>
      <c r="T23">
        <f>IF(Fixtures[[#This Row],[Outcome]]="Completed",1,0)</f>
        <v>1</v>
      </c>
      <c r="U23">
        <f>IF(Fixtures[[#This Row],[Outcome]]="Completed",1,0)</f>
        <v>1</v>
      </c>
      <c r="V23">
        <f>IF(AND(Fixtures[[#This Row],[Result]]="Home Win",Fixtures[[#This Row],[Outcome]]="Completed"),3,0)</f>
        <v>3</v>
      </c>
      <c r="W23">
        <f>IF(AND(Fixtures[[#This Row],[Result]]="Away Win",Fixtures[[#This Row],[Outcome]]="Completed"),3,0)</f>
        <v>0</v>
      </c>
      <c r="X23">
        <f>IF(AND(Fixtures[[#This Row],[Result]]="Draw",Fixtures[[#This Row],[Outcome]]="Completed"),1,0)</f>
        <v>0</v>
      </c>
      <c r="Y23">
        <f>IF(Fixtures[[#This Row],[Home Draw Points]]=1,1,0)</f>
        <v>0</v>
      </c>
    </row>
    <row r="24" spans="1:25" x14ac:dyDescent="0.25">
      <c r="A24" t="s">
        <v>15</v>
      </c>
      <c r="B24" s="2" t="s">
        <v>1087</v>
      </c>
      <c r="C24" s="17">
        <v>23</v>
      </c>
      <c r="D24" s="76">
        <v>44891</v>
      </c>
      <c r="E24" s="1">
        <v>0.66666666666666663</v>
      </c>
      <c r="F24" s="1"/>
      <c r="G24" t="s">
        <v>20</v>
      </c>
      <c r="H24">
        <v>2</v>
      </c>
      <c r="I24">
        <v>1</v>
      </c>
      <c r="J24" t="s">
        <v>16</v>
      </c>
      <c r="L24" t="s">
        <v>80</v>
      </c>
      <c r="M24" s="41">
        <v>42860</v>
      </c>
      <c r="N24" t="s">
        <v>62</v>
      </c>
      <c r="O24" s="1"/>
      <c r="Q24">
        <f>Fixtures[[#This Row],[Home Score]]+Fixtures[[#This Row],[Away Score]]</f>
        <v>3</v>
      </c>
      <c r="R24" t="str">
        <f>IF(Fixtures[[#This Row],[Home Score]]&gt;Fixtures[[#This Row],[Away Score]],"Home Win",IF(Fixtures[[#This Row],[Home Score]]&lt;Fixtures[[#This Row],[Away Score]],"Away Win","Draw"))</f>
        <v>Home Win</v>
      </c>
      <c r="S24" t="str">
        <f>IF(Fixtures[[#This Row],[Outcome]]="Completed",Fixtures[[#This Row],[Forecast Result]],"Awaiting Result")</f>
        <v>Home Win</v>
      </c>
      <c r="T24">
        <f>IF(Fixtures[[#This Row],[Outcome]]="Completed",1,0)</f>
        <v>1</v>
      </c>
      <c r="U24">
        <f>IF(Fixtures[[#This Row],[Outcome]]="Completed",1,0)</f>
        <v>1</v>
      </c>
      <c r="V24">
        <f>IF(AND(Fixtures[[#This Row],[Result]]="Home Win",Fixtures[[#This Row],[Outcome]]="Completed"),3,0)</f>
        <v>3</v>
      </c>
      <c r="W24">
        <f>IF(AND(Fixtures[[#This Row],[Result]]="Away Win",Fixtures[[#This Row],[Outcome]]="Completed"),3,0)</f>
        <v>0</v>
      </c>
      <c r="X24">
        <f>IF(AND(Fixtures[[#This Row],[Result]]="Draw",Fixtures[[#This Row],[Outcome]]="Completed"),1,0)</f>
        <v>0</v>
      </c>
      <c r="Y24">
        <f>IF(Fixtures[[#This Row],[Home Draw Points]]=1,1,0)</f>
        <v>0</v>
      </c>
    </row>
    <row r="25" spans="1:25" x14ac:dyDescent="0.25">
      <c r="A25" t="s">
        <v>12</v>
      </c>
      <c r="B25" s="2" t="s">
        <v>1087</v>
      </c>
      <c r="C25" s="17">
        <v>24</v>
      </c>
      <c r="D25" s="76">
        <v>44891</v>
      </c>
      <c r="E25" s="1">
        <v>0.79166666666666663</v>
      </c>
      <c r="F25" s="1"/>
      <c r="G25" t="s">
        <v>13</v>
      </c>
      <c r="H25">
        <v>2</v>
      </c>
      <c r="I25">
        <v>0</v>
      </c>
      <c r="J25" t="s">
        <v>18</v>
      </c>
      <c r="L25" t="s">
        <v>64</v>
      </c>
      <c r="M25" s="41">
        <v>88966</v>
      </c>
      <c r="N25" t="s">
        <v>62</v>
      </c>
      <c r="O25" s="1"/>
      <c r="Q25">
        <f>Fixtures[[#This Row],[Home Score]]+Fixtures[[#This Row],[Away Score]]</f>
        <v>2</v>
      </c>
      <c r="R25" t="str">
        <f>IF(Fixtures[[#This Row],[Home Score]]&gt;Fixtures[[#This Row],[Away Score]],"Home Win",IF(Fixtures[[#This Row],[Home Score]]&lt;Fixtures[[#This Row],[Away Score]],"Away Win","Draw"))</f>
        <v>Home Win</v>
      </c>
      <c r="S25" t="str">
        <f>IF(Fixtures[[#This Row],[Outcome]]="Completed",Fixtures[[#This Row],[Forecast Result]],"Awaiting Result")</f>
        <v>Home Win</v>
      </c>
      <c r="T25">
        <f>IF(Fixtures[[#This Row],[Outcome]]="Completed",1,0)</f>
        <v>1</v>
      </c>
      <c r="U25">
        <f>IF(Fixtures[[#This Row],[Outcome]]="Completed",1,0)</f>
        <v>1</v>
      </c>
      <c r="V25">
        <f>IF(AND(Fixtures[[#This Row],[Result]]="Home Win",Fixtures[[#This Row],[Outcome]]="Completed"),3,0)</f>
        <v>3</v>
      </c>
      <c r="W25">
        <f>IF(AND(Fixtures[[#This Row],[Result]]="Away Win",Fixtures[[#This Row],[Outcome]]="Completed"),3,0)</f>
        <v>0</v>
      </c>
      <c r="X25">
        <f>IF(AND(Fixtures[[#This Row],[Result]]="Draw",Fixtures[[#This Row],[Outcome]]="Completed"),1,0)</f>
        <v>0</v>
      </c>
      <c r="Y25">
        <f>IF(Fixtures[[#This Row],[Home Draw Points]]=1,1,0)</f>
        <v>0</v>
      </c>
    </row>
    <row r="26" spans="1:25" x14ac:dyDescent="0.25">
      <c r="A26" t="s">
        <v>25</v>
      </c>
      <c r="B26" s="2" t="s">
        <v>1087</v>
      </c>
      <c r="C26" s="17">
        <v>25</v>
      </c>
      <c r="D26" s="76">
        <v>44892</v>
      </c>
      <c r="E26" s="1">
        <v>0.41666666666666669</v>
      </c>
      <c r="F26" s="1"/>
      <c r="G26" t="s">
        <v>27</v>
      </c>
      <c r="H26">
        <v>0</v>
      </c>
      <c r="I26">
        <v>1</v>
      </c>
      <c r="J26" t="s">
        <v>29</v>
      </c>
      <c r="L26" t="s">
        <v>77</v>
      </c>
      <c r="M26" s="41">
        <v>41479</v>
      </c>
      <c r="N26" t="s">
        <v>62</v>
      </c>
      <c r="O26" s="1"/>
      <c r="Q26">
        <f>Fixtures[[#This Row],[Home Score]]+Fixtures[[#This Row],[Away Score]]</f>
        <v>1</v>
      </c>
      <c r="R26" t="str">
        <f>IF(Fixtures[[#This Row],[Home Score]]&gt;Fixtures[[#This Row],[Away Score]],"Home Win",IF(Fixtures[[#This Row],[Home Score]]&lt;Fixtures[[#This Row],[Away Score]],"Away Win","Draw"))</f>
        <v>Away Win</v>
      </c>
      <c r="S26" t="str">
        <f>IF(Fixtures[[#This Row],[Outcome]]="Completed",Fixtures[[#This Row],[Forecast Result]],"Awaiting Result")</f>
        <v>Away Win</v>
      </c>
      <c r="T26">
        <f>IF(Fixtures[[#This Row],[Outcome]]="Completed",1,0)</f>
        <v>1</v>
      </c>
      <c r="U26">
        <f>IF(Fixtures[[#This Row],[Outcome]]="Completed",1,0)</f>
        <v>1</v>
      </c>
      <c r="V26">
        <f>IF(AND(Fixtures[[#This Row],[Result]]="Home Win",Fixtures[[#This Row],[Outcome]]="Completed"),3,0)</f>
        <v>0</v>
      </c>
      <c r="W26">
        <f>IF(AND(Fixtures[[#This Row],[Result]]="Away Win",Fixtures[[#This Row],[Outcome]]="Completed"),3,0)</f>
        <v>3</v>
      </c>
      <c r="X26">
        <f>IF(AND(Fixtures[[#This Row],[Result]]="Draw",Fixtures[[#This Row],[Outcome]]="Completed"),1,0)</f>
        <v>0</v>
      </c>
      <c r="Y26">
        <f>IF(Fixtures[[#This Row],[Home Draw Points]]=1,1,0)</f>
        <v>0</v>
      </c>
    </row>
    <row r="27" spans="1:25" x14ac:dyDescent="0.25">
      <c r="A27" t="s">
        <v>22</v>
      </c>
      <c r="B27" s="2" t="s">
        <v>1087</v>
      </c>
      <c r="C27" s="17">
        <v>26</v>
      </c>
      <c r="D27" s="76">
        <v>44892</v>
      </c>
      <c r="E27" s="1">
        <v>0.54166666666666663</v>
      </c>
      <c r="F27" s="1"/>
      <c r="G27" t="s">
        <v>30</v>
      </c>
      <c r="H27">
        <v>0</v>
      </c>
      <c r="I27">
        <v>2</v>
      </c>
      <c r="J27" t="s">
        <v>23</v>
      </c>
      <c r="L27" t="s">
        <v>74</v>
      </c>
      <c r="M27" s="41">
        <v>43738</v>
      </c>
      <c r="N27" t="s">
        <v>62</v>
      </c>
      <c r="O27" s="1"/>
      <c r="Q27">
        <f>Fixtures[[#This Row],[Home Score]]+Fixtures[[#This Row],[Away Score]]</f>
        <v>2</v>
      </c>
      <c r="R27" t="str">
        <f>IF(Fixtures[[#This Row],[Home Score]]&gt;Fixtures[[#This Row],[Away Score]],"Home Win",IF(Fixtures[[#This Row],[Home Score]]&lt;Fixtures[[#This Row],[Away Score]],"Away Win","Draw"))</f>
        <v>Away Win</v>
      </c>
      <c r="S27" t="str">
        <f>IF(Fixtures[[#This Row],[Outcome]]="Completed",Fixtures[[#This Row],[Forecast Result]],"Awaiting Result")</f>
        <v>Away Win</v>
      </c>
      <c r="T27">
        <f>IF(Fixtures[[#This Row],[Outcome]]="Completed",1,0)</f>
        <v>1</v>
      </c>
      <c r="U27">
        <f>IF(Fixtures[[#This Row],[Outcome]]="Completed",1,0)</f>
        <v>1</v>
      </c>
      <c r="V27">
        <f>IF(AND(Fixtures[[#This Row],[Result]]="Home Win",Fixtures[[#This Row],[Outcome]]="Completed"),3,0)</f>
        <v>0</v>
      </c>
      <c r="W27">
        <f>IF(AND(Fixtures[[#This Row],[Result]]="Away Win",Fixtures[[#This Row],[Outcome]]="Completed"),3,0)</f>
        <v>3</v>
      </c>
      <c r="X27">
        <f>IF(AND(Fixtures[[#This Row],[Result]]="Draw",Fixtures[[#This Row],[Outcome]]="Completed"),1,0)</f>
        <v>0</v>
      </c>
      <c r="Y27">
        <f>IF(Fixtures[[#This Row],[Home Draw Points]]=1,1,0)</f>
        <v>0</v>
      </c>
    </row>
    <row r="28" spans="1:25" x14ac:dyDescent="0.25">
      <c r="A28" t="s">
        <v>22</v>
      </c>
      <c r="B28" s="2" t="s">
        <v>1087</v>
      </c>
      <c r="C28" s="17">
        <v>27</v>
      </c>
      <c r="D28" s="76">
        <v>44892</v>
      </c>
      <c r="E28" s="1">
        <v>0.66666666666666663</v>
      </c>
      <c r="F28" s="1"/>
      <c r="G28" t="s">
        <v>24</v>
      </c>
      <c r="H28">
        <v>4</v>
      </c>
      <c r="I28">
        <v>1</v>
      </c>
      <c r="J28" t="s">
        <v>31</v>
      </c>
      <c r="L28" t="s">
        <v>72</v>
      </c>
      <c r="M28" s="41">
        <v>44374</v>
      </c>
      <c r="N28" t="s">
        <v>62</v>
      </c>
      <c r="O28" s="1"/>
      <c r="Q28">
        <f>Fixtures[[#This Row],[Home Score]]+Fixtures[[#This Row],[Away Score]]</f>
        <v>5</v>
      </c>
      <c r="R28" t="str">
        <f>IF(Fixtures[[#This Row],[Home Score]]&gt;Fixtures[[#This Row],[Away Score]],"Home Win",IF(Fixtures[[#This Row],[Home Score]]&lt;Fixtures[[#This Row],[Away Score]],"Away Win","Draw"))</f>
        <v>Home Win</v>
      </c>
      <c r="S28" t="str">
        <f>IF(Fixtures[[#This Row],[Outcome]]="Completed",Fixtures[[#This Row],[Forecast Result]],"Awaiting Result")</f>
        <v>Home Win</v>
      </c>
      <c r="T28">
        <f>IF(Fixtures[[#This Row],[Outcome]]="Completed",1,0)</f>
        <v>1</v>
      </c>
      <c r="U28">
        <f>IF(Fixtures[[#This Row],[Outcome]]="Completed",1,0)</f>
        <v>1</v>
      </c>
      <c r="V28">
        <f>IF(AND(Fixtures[[#This Row],[Result]]="Home Win",Fixtures[[#This Row],[Outcome]]="Completed"),3,0)</f>
        <v>3</v>
      </c>
      <c r="W28">
        <f>IF(AND(Fixtures[[#This Row],[Result]]="Away Win",Fixtures[[#This Row],[Outcome]]="Completed"),3,0)</f>
        <v>0</v>
      </c>
      <c r="X28">
        <f>IF(AND(Fixtures[[#This Row],[Result]]="Draw",Fixtures[[#This Row],[Outcome]]="Completed"),1,0)</f>
        <v>0</v>
      </c>
      <c r="Y28">
        <f>IF(Fixtures[[#This Row],[Home Draw Points]]=1,1,0)</f>
        <v>0</v>
      </c>
    </row>
    <row r="29" spans="1:25" x14ac:dyDescent="0.25">
      <c r="A29" t="s">
        <v>25</v>
      </c>
      <c r="B29" s="2" t="s">
        <v>1087</v>
      </c>
      <c r="C29" s="17">
        <v>28</v>
      </c>
      <c r="D29" s="76">
        <v>44892</v>
      </c>
      <c r="E29" s="1">
        <v>0.79166666666666663</v>
      </c>
      <c r="F29" s="1"/>
      <c r="G29" t="s">
        <v>28</v>
      </c>
      <c r="H29">
        <v>1</v>
      </c>
      <c r="I29">
        <v>1</v>
      </c>
      <c r="J29" t="s">
        <v>26</v>
      </c>
      <c r="L29" t="s">
        <v>68</v>
      </c>
      <c r="M29" s="41">
        <v>68895</v>
      </c>
      <c r="N29" t="s">
        <v>62</v>
      </c>
      <c r="O29" s="1"/>
      <c r="Q29">
        <f>Fixtures[[#This Row],[Home Score]]+Fixtures[[#This Row],[Away Score]]</f>
        <v>2</v>
      </c>
      <c r="R29" t="str">
        <f>IF(Fixtures[[#This Row],[Home Score]]&gt;Fixtures[[#This Row],[Away Score]],"Home Win",IF(Fixtures[[#This Row],[Home Score]]&lt;Fixtures[[#This Row],[Away Score]],"Away Win","Draw"))</f>
        <v>Draw</v>
      </c>
      <c r="S29" t="str">
        <f>IF(Fixtures[[#This Row],[Outcome]]="Completed",Fixtures[[#This Row],[Forecast Result]],"Awaiting Result")</f>
        <v>Draw</v>
      </c>
      <c r="T29">
        <f>IF(Fixtures[[#This Row],[Outcome]]="Completed",1,0)</f>
        <v>1</v>
      </c>
      <c r="U29">
        <f>IF(Fixtures[[#This Row],[Outcome]]="Completed",1,0)</f>
        <v>1</v>
      </c>
      <c r="V29">
        <f>IF(AND(Fixtures[[#This Row],[Result]]="Home Win",Fixtures[[#This Row],[Outcome]]="Completed"),3,0)</f>
        <v>0</v>
      </c>
      <c r="W29">
        <f>IF(AND(Fixtures[[#This Row],[Result]]="Away Win",Fixtures[[#This Row],[Outcome]]="Completed"),3,0)</f>
        <v>0</v>
      </c>
      <c r="X29">
        <f>IF(AND(Fixtures[[#This Row],[Result]]="Draw",Fixtures[[#This Row],[Outcome]]="Completed"),1,0)</f>
        <v>1</v>
      </c>
      <c r="Y29">
        <f>IF(Fixtures[[#This Row],[Home Draw Points]]=1,1,0)</f>
        <v>1</v>
      </c>
    </row>
    <row r="30" spans="1:25" x14ac:dyDescent="0.25">
      <c r="A30" t="s">
        <v>32</v>
      </c>
      <c r="B30" s="2" t="s">
        <v>1087</v>
      </c>
      <c r="C30" s="17">
        <v>29</v>
      </c>
      <c r="D30" s="76">
        <v>44893</v>
      </c>
      <c r="E30" s="1">
        <v>0.41666666666666669</v>
      </c>
      <c r="F30" s="1"/>
      <c r="G30" t="s">
        <v>34</v>
      </c>
      <c r="H30">
        <v>3</v>
      </c>
      <c r="I30">
        <v>3</v>
      </c>
      <c r="J30" t="s">
        <v>40</v>
      </c>
      <c r="L30" t="s">
        <v>75</v>
      </c>
      <c r="M30" s="41">
        <v>39789</v>
      </c>
      <c r="N30" t="s">
        <v>62</v>
      </c>
      <c r="O30" s="1"/>
      <c r="Q30">
        <f>Fixtures[[#This Row],[Home Score]]+Fixtures[[#This Row],[Away Score]]</f>
        <v>6</v>
      </c>
      <c r="R30" t="str">
        <f>IF(Fixtures[[#This Row],[Home Score]]&gt;Fixtures[[#This Row],[Away Score]],"Home Win",IF(Fixtures[[#This Row],[Home Score]]&lt;Fixtures[[#This Row],[Away Score]],"Away Win","Draw"))</f>
        <v>Draw</v>
      </c>
      <c r="S30" t="str">
        <f>IF(Fixtures[[#This Row],[Outcome]]="Completed",Fixtures[[#This Row],[Forecast Result]],"Awaiting Result")</f>
        <v>Draw</v>
      </c>
      <c r="T30">
        <f>IF(Fixtures[[#This Row],[Outcome]]="Completed",1,0)</f>
        <v>1</v>
      </c>
      <c r="U30">
        <f>IF(Fixtures[[#This Row],[Outcome]]="Completed",1,0)</f>
        <v>1</v>
      </c>
      <c r="V30">
        <f>IF(AND(Fixtures[[#This Row],[Result]]="Home Win",Fixtures[[#This Row],[Outcome]]="Completed"),3,0)</f>
        <v>0</v>
      </c>
      <c r="W30">
        <f>IF(AND(Fixtures[[#This Row],[Result]]="Away Win",Fixtures[[#This Row],[Outcome]]="Completed"),3,0)</f>
        <v>0</v>
      </c>
      <c r="X30">
        <f>IF(AND(Fixtures[[#This Row],[Result]]="Draw",Fixtures[[#This Row],[Outcome]]="Completed"),1,0)</f>
        <v>1</v>
      </c>
      <c r="Y30">
        <f>IF(Fixtures[[#This Row],[Home Draw Points]]=1,1,0)</f>
        <v>1</v>
      </c>
    </row>
    <row r="31" spans="1:25" x14ac:dyDescent="0.25">
      <c r="A31" t="s">
        <v>35</v>
      </c>
      <c r="B31" s="2" t="s">
        <v>1087</v>
      </c>
      <c r="C31" s="17">
        <v>30</v>
      </c>
      <c r="D31" s="76">
        <v>44893</v>
      </c>
      <c r="E31" s="1">
        <v>0.54166666666666663</v>
      </c>
      <c r="F31" s="1"/>
      <c r="G31" t="s">
        <v>37</v>
      </c>
      <c r="H31">
        <v>2</v>
      </c>
      <c r="I31">
        <v>3</v>
      </c>
      <c r="J31" t="s">
        <v>39</v>
      </c>
      <c r="L31" t="s">
        <v>71</v>
      </c>
      <c r="M31" s="41">
        <v>43983</v>
      </c>
      <c r="N31" t="s">
        <v>62</v>
      </c>
      <c r="O31" s="1"/>
      <c r="Q31">
        <f>Fixtures[[#This Row],[Home Score]]+Fixtures[[#This Row],[Away Score]]</f>
        <v>5</v>
      </c>
      <c r="R31" t="str">
        <f>IF(Fixtures[[#This Row],[Home Score]]&gt;Fixtures[[#This Row],[Away Score]],"Home Win",IF(Fixtures[[#This Row],[Home Score]]&lt;Fixtures[[#This Row],[Away Score]],"Away Win","Draw"))</f>
        <v>Away Win</v>
      </c>
      <c r="S31" t="str">
        <f>IF(Fixtures[[#This Row],[Outcome]]="Completed",Fixtures[[#This Row],[Forecast Result]],"Awaiting Result")</f>
        <v>Away Win</v>
      </c>
      <c r="T31">
        <f>IF(Fixtures[[#This Row],[Outcome]]="Completed",1,0)</f>
        <v>1</v>
      </c>
      <c r="U31">
        <f>IF(Fixtures[[#This Row],[Outcome]]="Completed",1,0)</f>
        <v>1</v>
      </c>
      <c r="V31">
        <f>IF(AND(Fixtures[[#This Row],[Result]]="Home Win",Fixtures[[#This Row],[Outcome]]="Completed"),3,0)</f>
        <v>0</v>
      </c>
      <c r="W31">
        <f>IF(AND(Fixtures[[#This Row],[Result]]="Away Win",Fixtures[[#This Row],[Outcome]]="Completed"),3,0)</f>
        <v>3</v>
      </c>
      <c r="X31">
        <f>IF(AND(Fixtures[[#This Row],[Result]]="Draw",Fixtures[[#This Row],[Outcome]]="Completed"),1,0)</f>
        <v>0</v>
      </c>
      <c r="Y31">
        <f>IF(Fixtures[[#This Row],[Home Draw Points]]=1,1,0)</f>
        <v>0</v>
      </c>
    </row>
    <row r="32" spans="1:25" x14ac:dyDescent="0.25">
      <c r="A32" t="s">
        <v>32</v>
      </c>
      <c r="B32" s="2" t="s">
        <v>1087</v>
      </c>
      <c r="C32" s="17">
        <v>31</v>
      </c>
      <c r="D32" s="76">
        <v>44893</v>
      </c>
      <c r="E32" s="1">
        <v>0.66666666666666663</v>
      </c>
      <c r="F32" s="1"/>
      <c r="G32" t="s">
        <v>1059</v>
      </c>
      <c r="H32">
        <v>1</v>
      </c>
      <c r="I32">
        <v>0</v>
      </c>
      <c r="J32" t="s">
        <v>33</v>
      </c>
      <c r="L32" t="s">
        <v>80</v>
      </c>
      <c r="M32" s="41">
        <v>43649</v>
      </c>
      <c r="N32" t="s">
        <v>62</v>
      </c>
      <c r="O32" s="1"/>
      <c r="Q32">
        <f>Fixtures[[#This Row],[Home Score]]+Fixtures[[#This Row],[Away Score]]</f>
        <v>1</v>
      </c>
      <c r="R32" t="str">
        <f>IF(Fixtures[[#This Row],[Home Score]]&gt;Fixtures[[#This Row],[Away Score]],"Home Win",IF(Fixtures[[#This Row],[Home Score]]&lt;Fixtures[[#This Row],[Away Score]],"Away Win","Draw"))</f>
        <v>Home Win</v>
      </c>
      <c r="S32" t="str">
        <f>IF(Fixtures[[#This Row],[Outcome]]="Completed",Fixtures[[#This Row],[Forecast Result]],"Awaiting Result")</f>
        <v>Home Win</v>
      </c>
      <c r="T32">
        <f>IF(Fixtures[[#This Row],[Outcome]]="Completed",1,0)</f>
        <v>1</v>
      </c>
      <c r="U32">
        <f>IF(Fixtures[[#This Row],[Outcome]]="Completed",1,0)</f>
        <v>1</v>
      </c>
      <c r="V32">
        <f>IF(AND(Fixtures[[#This Row],[Result]]="Home Win",Fixtures[[#This Row],[Outcome]]="Completed"),3,0)</f>
        <v>3</v>
      </c>
      <c r="W32">
        <f>IF(AND(Fixtures[[#This Row],[Result]]="Away Win",Fixtures[[#This Row],[Outcome]]="Completed"),3,0)</f>
        <v>0</v>
      </c>
      <c r="X32">
        <f>IF(AND(Fixtures[[#This Row],[Result]]="Draw",Fixtures[[#This Row],[Outcome]]="Completed"),1,0)</f>
        <v>0</v>
      </c>
      <c r="Y32">
        <f>IF(Fixtures[[#This Row],[Home Draw Points]]=1,1,0)</f>
        <v>0</v>
      </c>
    </row>
    <row r="33" spans="1:25" x14ac:dyDescent="0.25">
      <c r="A33" t="s">
        <v>35</v>
      </c>
      <c r="B33" s="2" t="s">
        <v>1087</v>
      </c>
      <c r="C33" s="17">
        <v>32</v>
      </c>
      <c r="D33" s="76">
        <v>44893</v>
      </c>
      <c r="E33" s="1">
        <v>0.79166666666666663</v>
      </c>
      <c r="F33" s="1"/>
      <c r="G33" t="s">
        <v>38</v>
      </c>
      <c r="H33">
        <v>2</v>
      </c>
      <c r="I33">
        <v>0</v>
      </c>
      <c r="J33" t="s">
        <v>36</v>
      </c>
      <c r="L33" t="s">
        <v>64</v>
      </c>
      <c r="M33" s="41">
        <v>88668</v>
      </c>
      <c r="N33" t="s">
        <v>62</v>
      </c>
      <c r="O33" s="1"/>
      <c r="Q33">
        <f>Fixtures[[#This Row],[Home Score]]+Fixtures[[#This Row],[Away Score]]</f>
        <v>2</v>
      </c>
      <c r="R33" t="str">
        <f>IF(Fixtures[[#This Row],[Home Score]]&gt;Fixtures[[#This Row],[Away Score]],"Home Win",IF(Fixtures[[#This Row],[Home Score]]&lt;Fixtures[[#This Row],[Away Score]],"Away Win","Draw"))</f>
        <v>Home Win</v>
      </c>
      <c r="S33" t="str">
        <f>IF(Fixtures[[#This Row],[Outcome]]="Completed",Fixtures[[#This Row],[Forecast Result]],"Awaiting Result")</f>
        <v>Home Win</v>
      </c>
      <c r="T33">
        <f>IF(Fixtures[[#This Row],[Outcome]]="Completed",1,0)</f>
        <v>1</v>
      </c>
      <c r="U33">
        <f>IF(Fixtures[[#This Row],[Outcome]]="Completed",1,0)</f>
        <v>1</v>
      </c>
      <c r="V33">
        <f>IF(AND(Fixtures[[#This Row],[Result]]="Home Win",Fixtures[[#This Row],[Outcome]]="Completed"),3,0)</f>
        <v>3</v>
      </c>
      <c r="W33">
        <f>IF(AND(Fixtures[[#This Row],[Result]]="Away Win",Fixtures[[#This Row],[Outcome]]="Completed"),3,0)</f>
        <v>0</v>
      </c>
      <c r="X33">
        <f>IF(AND(Fixtures[[#This Row],[Result]]="Draw",Fixtures[[#This Row],[Outcome]]="Completed"),1,0)</f>
        <v>0</v>
      </c>
      <c r="Y33">
        <f>IF(Fixtures[[#This Row],[Home Draw Points]]=1,1,0)</f>
        <v>0</v>
      </c>
    </row>
    <row r="34" spans="1:25" x14ac:dyDescent="0.25">
      <c r="A34" t="s">
        <v>2</v>
      </c>
      <c r="B34" s="2" t="s">
        <v>1088</v>
      </c>
      <c r="C34" s="17">
        <v>33</v>
      </c>
      <c r="D34" s="76">
        <v>44894</v>
      </c>
      <c r="E34" s="1">
        <v>0.625</v>
      </c>
      <c r="F34" s="1"/>
      <c r="G34" t="s">
        <v>9</v>
      </c>
      <c r="H34">
        <v>1</v>
      </c>
      <c r="I34">
        <v>2</v>
      </c>
      <c r="J34" t="s">
        <v>3</v>
      </c>
      <c r="L34" t="s">
        <v>72</v>
      </c>
      <c r="M34" s="41">
        <v>44569</v>
      </c>
      <c r="N34" t="s">
        <v>62</v>
      </c>
      <c r="O34" s="1"/>
      <c r="Q34">
        <f>Fixtures[[#This Row],[Home Score]]+Fixtures[[#This Row],[Away Score]]</f>
        <v>3</v>
      </c>
      <c r="R34" t="str">
        <f>IF(Fixtures[[#This Row],[Home Score]]&gt;Fixtures[[#This Row],[Away Score]],"Home Win",IF(Fixtures[[#This Row],[Home Score]]&lt;Fixtures[[#This Row],[Away Score]],"Away Win","Draw"))</f>
        <v>Away Win</v>
      </c>
      <c r="S34" t="str">
        <f>IF(Fixtures[[#This Row],[Outcome]]="Completed",Fixtures[[#This Row],[Forecast Result]],"Awaiting Result")</f>
        <v>Away Win</v>
      </c>
      <c r="T34">
        <f>IF(Fixtures[[#This Row],[Outcome]]="Completed",1,0)</f>
        <v>1</v>
      </c>
      <c r="U34">
        <f>IF(Fixtures[[#This Row],[Outcome]]="Completed",1,0)</f>
        <v>1</v>
      </c>
      <c r="V34">
        <f>IF(AND(Fixtures[[#This Row],[Result]]="Home Win",Fixtures[[#This Row],[Outcome]]="Completed"),3,0)</f>
        <v>0</v>
      </c>
      <c r="W34">
        <f>IF(AND(Fixtures[[#This Row],[Result]]="Away Win",Fixtures[[#This Row],[Outcome]]="Completed"),3,0)</f>
        <v>3</v>
      </c>
      <c r="X34">
        <f>IF(AND(Fixtures[[#This Row],[Result]]="Draw",Fixtures[[#This Row],[Outcome]]="Completed"),1,0)</f>
        <v>0</v>
      </c>
      <c r="Y34">
        <f>IF(Fixtures[[#This Row],[Home Draw Points]]=1,1,0)</f>
        <v>0</v>
      </c>
    </row>
    <row r="35" spans="1:25" x14ac:dyDescent="0.25">
      <c r="A35" t="s">
        <v>2</v>
      </c>
      <c r="B35" s="2" t="s">
        <v>1088</v>
      </c>
      <c r="C35" s="17">
        <v>34</v>
      </c>
      <c r="D35" s="76">
        <v>44894</v>
      </c>
      <c r="E35" s="1">
        <v>0.625</v>
      </c>
      <c r="F35" s="1"/>
      <c r="G35" t="s">
        <v>4</v>
      </c>
      <c r="H35">
        <v>2</v>
      </c>
      <c r="I35">
        <v>0</v>
      </c>
      <c r="J35" t="s">
        <v>8</v>
      </c>
      <c r="L35" t="s">
        <v>68</v>
      </c>
      <c r="M35" s="41">
        <v>66784</v>
      </c>
      <c r="N35" t="s">
        <v>62</v>
      </c>
      <c r="O35" s="1"/>
      <c r="Q35">
        <f>Fixtures[[#This Row],[Home Score]]+Fixtures[[#This Row],[Away Score]]</f>
        <v>2</v>
      </c>
      <c r="R35" t="str">
        <f>IF(Fixtures[[#This Row],[Home Score]]&gt;Fixtures[[#This Row],[Away Score]],"Home Win",IF(Fixtures[[#This Row],[Home Score]]&lt;Fixtures[[#This Row],[Away Score]],"Away Win","Draw"))</f>
        <v>Home Win</v>
      </c>
      <c r="S35" t="str">
        <f>IF(Fixtures[[#This Row],[Outcome]]="Completed",Fixtures[[#This Row],[Forecast Result]],"Awaiting Result")</f>
        <v>Home Win</v>
      </c>
      <c r="T35">
        <f>IF(Fixtures[[#This Row],[Outcome]]="Completed",1,0)</f>
        <v>1</v>
      </c>
      <c r="U35">
        <f>IF(Fixtures[[#This Row],[Outcome]]="Completed",1,0)</f>
        <v>1</v>
      </c>
      <c r="V35">
        <f>IF(AND(Fixtures[[#This Row],[Result]]="Home Win",Fixtures[[#This Row],[Outcome]]="Completed"),3,0)</f>
        <v>3</v>
      </c>
      <c r="W35">
        <f>IF(AND(Fixtures[[#This Row],[Result]]="Away Win",Fixtures[[#This Row],[Outcome]]="Completed"),3,0)</f>
        <v>0</v>
      </c>
      <c r="X35">
        <f>IF(AND(Fixtures[[#This Row],[Result]]="Draw",Fixtures[[#This Row],[Outcome]]="Completed"),1,0)</f>
        <v>0</v>
      </c>
      <c r="Y35">
        <f>IF(Fixtures[[#This Row],[Home Draw Points]]=1,1,0)</f>
        <v>0</v>
      </c>
    </row>
    <row r="36" spans="1:25" x14ac:dyDescent="0.25">
      <c r="A36" t="s">
        <v>5</v>
      </c>
      <c r="B36" s="2" t="s">
        <v>1088</v>
      </c>
      <c r="C36" s="17">
        <v>35</v>
      </c>
      <c r="D36" s="76">
        <v>44894</v>
      </c>
      <c r="E36" s="1">
        <v>0.79166666666666663</v>
      </c>
      <c r="F36" s="1"/>
      <c r="G36" t="s">
        <v>7</v>
      </c>
      <c r="H36">
        <v>0</v>
      </c>
      <c r="I36">
        <v>1</v>
      </c>
      <c r="J36" t="s">
        <v>10</v>
      </c>
      <c r="L36" t="s">
        <v>74</v>
      </c>
      <c r="M36" s="41">
        <v>42127</v>
      </c>
      <c r="N36" t="s">
        <v>62</v>
      </c>
      <c r="O36" s="1"/>
      <c r="Q36">
        <f>Fixtures[[#This Row],[Home Score]]+Fixtures[[#This Row],[Away Score]]</f>
        <v>1</v>
      </c>
      <c r="R36" t="str">
        <f>IF(Fixtures[[#This Row],[Home Score]]&gt;Fixtures[[#This Row],[Away Score]],"Home Win",IF(Fixtures[[#This Row],[Home Score]]&lt;Fixtures[[#This Row],[Away Score]],"Away Win","Draw"))</f>
        <v>Away Win</v>
      </c>
      <c r="S36" t="str">
        <f>IF(Fixtures[[#This Row],[Outcome]]="Completed",Fixtures[[#This Row],[Forecast Result]],"Awaiting Result")</f>
        <v>Away Win</v>
      </c>
      <c r="T36">
        <f>IF(Fixtures[[#This Row],[Outcome]]="Completed",1,0)</f>
        <v>1</v>
      </c>
      <c r="U36">
        <f>IF(Fixtures[[#This Row],[Outcome]]="Completed",1,0)</f>
        <v>1</v>
      </c>
      <c r="V36">
        <f>IF(AND(Fixtures[[#This Row],[Result]]="Home Win",Fixtures[[#This Row],[Outcome]]="Completed"),3,0)</f>
        <v>0</v>
      </c>
      <c r="W36">
        <f>IF(AND(Fixtures[[#This Row],[Result]]="Away Win",Fixtures[[#This Row],[Outcome]]="Completed"),3,0)</f>
        <v>3</v>
      </c>
      <c r="X36">
        <f>IF(AND(Fixtures[[#This Row],[Result]]="Draw",Fixtures[[#This Row],[Outcome]]="Completed"),1,0)</f>
        <v>0</v>
      </c>
      <c r="Y36">
        <f>IF(Fixtures[[#This Row],[Home Draw Points]]=1,1,0)</f>
        <v>0</v>
      </c>
    </row>
    <row r="37" spans="1:25" x14ac:dyDescent="0.25">
      <c r="A37" t="s">
        <v>5</v>
      </c>
      <c r="B37" s="2" t="s">
        <v>1088</v>
      </c>
      <c r="C37" s="17">
        <v>36</v>
      </c>
      <c r="D37" s="76">
        <v>44894</v>
      </c>
      <c r="E37" s="1">
        <v>0.79166666666666663</v>
      </c>
      <c r="F37" s="1"/>
      <c r="G37" t="s">
        <v>11</v>
      </c>
      <c r="H37">
        <v>0</v>
      </c>
      <c r="I37">
        <v>3</v>
      </c>
      <c r="J37" t="s">
        <v>6</v>
      </c>
      <c r="L37" t="s">
        <v>77</v>
      </c>
      <c r="M37" s="41">
        <v>44297</v>
      </c>
      <c r="N37" t="s">
        <v>62</v>
      </c>
      <c r="O37" s="1"/>
      <c r="Q37">
        <f>Fixtures[[#This Row],[Home Score]]+Fixtures[[#This Row],[Away Score]]</f>
        <v>3</v>
      </c>
      <c r="R37" t="str">
        <f>IF(Fixtures[[#This Row],[Home Score]]&gt;Fixtures[[#This Row],[Away Score]],"Home Win",IF(Fixtures[[#This Row],[Home Score]]&lt;Fixtures[[#This Row],[Away Score]],"Away Win","Draw"))</f>
        <v>Away Win</v>
      </c>
      <c r="S37" t="str">
        <f>IF(Fixtures[[#This Row],[Outcome]]="Completed",Fixtures[[#This Row],[Forecast Result]],"Awaiting Result")</f>
        <v>Away Win</v>
      </c>
      <c r="T37">
        <f>IF(Fixtures[[#This Row],[Outcome]]="Completed",1,0)</f>
        <v>1</v>
      </c>
      <c r="U37">
        <f>IF(Fixtures[[#This Row],[Outcome]]="Completed",1,0)</f>
        <v>1</v>
      </c>
      <c r="V37">
        <f>IF(AND(Fixtures[[#This Row],[Result]]="Home Win",Fixtures[[#This Row],[Outcome]]="Completed"),3,0)</f>
        <v>0</v>
      </c>
      <c r="W37">
        <f>IF(AND(Fixtures[[#This Row],[Result]]="Away Win",Fixtures[[#This Row],[Outcome]]="Completed"),3,0)</f>
        <v>3</v>
      </c>
      <c r="X37">
        <f>IF(AND(Fixtures[[#This Row],[Result]]="Draw",Fixtures[[#This Row],[Outcome]]="Completed"),1,0)</f>
        <v>0</v>
      </c>
      <c r="Y37">
        <f>IF(Fixtures[[#This Row],[Home Draw Points]]=1,1,0)</f>
        <v>0</v>
      </c>
    </row>
    <row r="38" spans="1:25" x14ac:dyDescent="0.25">
      <c r="A38" t="s">
        <v>15</v>
      </c>
      <c r="B38" s="2" t="s">
        <v>1088</v>
      </c>
      <c r="C38" s="17">
        <v>37</v>
      </c>
      <c r="D38" s="76">
        <v>44895</v>
      </c>
      <c r="E38" s="1">
        <v>0.625</v>
      </c>
      <c r="F38" s="1"/>
      <c r="G38" t="s">
        <v>21</v>
      </c>
      <c r="H38">
        <v>1</v>
      </c>
      <c r="I38">
        <v>0</v>
      </c>
      <c r="J38" t="s">
        <v>16</v>
      </c>
      <c r="L38" t="s">
        <v>75</v>
      </c>
      <c r="M38" s="41">
        <v>41232</v>
      </c>
      <c r="N38" t="s">
        <v>62</v>
      </c>
      <c r="O38" s="1"/>
      <c r="Q38">
        <f>Fixtures[[#This Row],[Home Score]]+Fixtures[[#This Row],[Away Score]]</f>
        <v>1</v>
      </c>
      <c r="R38" t="str">
        <f>IF(Fixtures[[#This Row],[Home Score]]&gt;Fixtures[[#This Row],[Away Score]],"Home Win",IF(Fixtures[[#This Row],[Home Score]]&lt;Fixtures[[#This Row],[Away Score]],"Away Win","Draw"))</f>
        <v>Home Win</v>
      </c>
      <c r="S38" t="str">
        <f>IF(Fixtures[[#This Row],[Outcome]]="Completed",Fixtures[[#This Row],[Forecast Result]],"Awaiting Result")</f>
        <v>Home Win</v>
      </c>
      <c r="T38">
        <f>IF(Fixtures[[#This Row],[Outcome]]="Completed",1,0)</f>
        <v>1</v>
      </c>
      <c r="U38">
        <f>IF(Fixtures[[#This Row],[Outcome]]="Completed",1,0)</f>
        <v>1</v>
      </c>
      <c r="V38">
        <f>IF(AND(Fixtures[[#This Row],[Result]]="Home Win",Fixtures[[#This Row],[Outcome]]="Completed"),3,0)</f>
        <v>3</v>
      </c>
      <c r="W38">
        <f>IF(AND(Fixtures[[#This Row],[Result]]="Away Win",Fixtures[[#This Row],[Outcome]]="Completed"),3,0)</f>
        <v>0</v>
      </c>
      <c r="X38">
        <f>IF(AND(Fixtures[[#This Row],[Result]]="Draw",Fixtures[[#This Row],[Outcome]]="Completed"),1,0)</f>
        <v>0</v>
      </c>
      <c r="Y38">
        <f>IF(Fixtures[[#This Row],[Home Draw Points]]=1,1,0)</f>
        <v>0</v>
      </c>
    </row>
    <row r="39" spans="1:25" x14ac:dyDescent="0.25">
      <c r="A39" t="s">
        <v>15</v>
      </c>
      <c r="B39" s="2" t="s">
        <v>1088</v>
      </c>
      <c r="C39" s="17">
        <v>38</v>
      </c>
      <c r="D39" s="76">
        <v>44895</v>
      </c>
      <c r="E39" s="1">
        <v>0.625</v>
      </c>
      <c r="F39" s="1"/>
      <c r="G39" t="s">
        <v>17</v>
      </c>
      <c r="H39">
        <v>1</v>
      </c>
      <c r="I39">
        <v>0</v>
      </c>
      <c r="J39" t="s">
        <v>20</v>
      </c>
      <c r="L39" t="s">
        <v>71</v>
      </c>
      <c r="M39" s="41">
        <v>43627</v>
      </c>
      <c r="N39" t="s">
        <v>62</v>
      </c>
      <c r="O39" s="1"/>
      <c r="Q39">
        <f>Fixtures[[#This Row],[Home Score]]+Fixtures[[#This Row],[Away Score]]</f>
        <v>1</v>
      </c>
      <c r="R39" t="str">
        <f>IF(Fixtures[[#This Row],[Home Score]]&gt;Fixtures[[#This Row],[Away Score]],"Home Win",IF(Fixtures[[#This Row],[Home Score]]&lt;Fixtures[[#This Row],[Away Score]],"Away Win","Draw"))</f>
        <v>Home Win</v>
      </c>
      <c r="S39" t="str">
        <f>IF(Fixtures[[#This Row],[Outcome]]="Completed",Fixtures[[#This Row],[Forecast Result]],"Awaiting Result")</f>
        <v>Home Win</v>
      </c>
      <c r="T39">
        <f>IF(Fixtures[[#This Row],[Outcome]]="Completed",1,0)</f>
        <v>1</v>
      </c>
      <c r="U39">
        <f>IF(Fixtures[[#This Row],[Outcome]]="Completed",1,0)</f>
        <v>1</v>
      </c>
      <c r="V39">
        <f>IF(AND(Fixtures[[#This Row],[Result]]="Home Win",Fixtures[[#This Row],[Outcome]]="Completed"),3,0)</f>
        <v>3</v>
      </c>
      <c r="W39">
        <f>IF(AND(Fixtures[[#This Row],[Result]]="Away Win",Fixtures[[#This Row],[Outcome]]="Completed"),3,0)</f>
        <v>0</v>
      </c>
      <c r="X39">
        <f>IF(AND(Fixtures[[#This Row],[Result]]="Draw",Fixtures[[#This Row],[Outcome]]="Completed"),1,0)</f>
        <v>0</v>
      </c>
      <c r="Y39">
        <f>IF(Fixtures[[#This Row],[Home Draw Points]]=1,1,0)</f>
        <v>0</v>
      </c>
    </row>
    <row r="40" spans="1:25" x14ac:dyDescent="0.25">
      <c r="A40" t="s">
        <v>12</v>
      </c>
      <c r="B40" s="2" t="s">
        <v>1088</v>
      </c>
      <c r="C40" s="17">
        <v>39</v>
      </c>
      <c r="D40" s="76">
        <v>44895</v>
      </c>
      <c r="E40" s="1">
        <v>0.79166666666666663</v>
      </c>
      <c r="F40" s="1"/>
      <c r="G40" t="s">
        <v>19</v>
      </c>
      <c r="H40">
        <v>0</v>
      </c>
      <c r="I40">
        <v>2</v>
      </c>
      <c r="J40" t="s">
        <v>13</v>
      </c>
      <c r="L40" t="s">
        <v>80</v>
      </c>
      <c r="M40" s="41">
        <v>44089</v>
      </c>
      <c r="N40" t="s">
        <v>62</v>
      </c>
      <c r="O40" s="1"/>
      <c r="Q40">
        <f>Fixtures[[#This Row],[Home Score]]+Fixtures[[#This Row],[Away Score]]</f>
        <v>2</v>
      </c>
      <c r="R40" t="str">
        <f>IF(Fixtures[[#This Row],[Home Score]]&gt;Fixtures[[#This Row],[Away Score]],"Home Win",IF(Fixtures[[#This Row],[Home Score]]&lt;Fixtures[[#This Row],[Away Score]],"Away Win","Draw"))</f>
        <v>Away Win</v>
      </c>
      <c r="S40" t="str">
        <f>IF(Fixtures[[#This Row],[Outcome]]="Completed",Fixtures[[#This Row],[Forecast Result]],"Awaiting Result")</f>
        <v>Away Win</v>
      </c>
      <c r="T40">
        <f>IF(Fixtures[[#This Row],[Outcome]]="Completed",1,0)</f>
        <v>1</v>
      </c>
      <c r="U40">
        <f>IF(Fixtures[[#This Row],[Outcome]]="Completed",1,0)</f>
        <v>1</v>
      </c>
      <c r="V40">
        <f>IF(AND(Fixtures[[#This Row],[Result]]="Home Win",Fixtures[[#This Row],[Outcome]]="Completed"),3,0)</f>
        <v>0</v>
      </c>
      <c r="W40">
        <f>IF(AND(Fixtures[[#This Row],[Result]]="Away Win",Fixtures[[#This Row],[Outcome]]="Completed"),3,0)</f>
        <v>3</v>
      </c>
      <c r="X40">
        <f>IF(AND(Fixtures[[#This Row],[Result]]="Draw",Fixtures[[#This Row],[Outcome]]="Completed"),1,0)</f>
        <v>0</v>
      </c>
      <c r="Y40">
        <f>IF(Fixtures[[#This Row],[Home Draw Points]]=1,1,0)</f>
        <v>0</v>
      </c>
    </row>
    <row r="41" spans="1:25" x14ac:dyDescent="0.25">
      <c r="A41" t="s">
        <v>12</v>
      </c>
      <c r="B41" s="2" t="s">
        <v>1088</v>
      </c>
      <c r="C41" s="17">
        <v>40</v>
      </c>
      <c r="D41" s="76">
        <v>44895</v>
      </c>
      <c r="E41" s="1">
        <v>0.79166666666666663</v>
      </c>
      <c r="F41" s="1"/>
      <c r="G41" t="s">
        <v>14</v>
      </c>
      <c r="H41">
        <v>1</v>
      </c>
      <c r="I41">
        <v>2</v>
      </c>
      <c r="J41" t="s">
        <v>18</v>
      </c>
      <c r="L41" t="s">
        <v>64</v>
      </c>
      <c r="M41" s="41">
        <v>84985</v>
      </c>
      <c r="N41" t="s">
        <v>62</v>
      </c>
      <c r="O41" s="1"/>
      <c r="Q41">
        <f>Fixtures[[#This Row],[Home Score]]+Fixtures[[#This Row],[Away Score]]</f>
        <v>3</v>
      </c>
      <c r="R41" t="str">
        <f>IF(Fixtures[[#This Row],[Home Score]]&gt;Fixtures[[#This Row],[Away Score]],"Home Win",IF(Fixtures[[#This Row],[Home Score]]&lt;Fixtures[[#This Row],[Away Score]],"Away Win","Draw"))</f>
        <v>Away Win</v>
      </c>
      <c r="S41" t="str">
        <f>IF(Fixtures[[#This Row],[Outcome]]="Completed",Fixtures[[#This Row],[Forecast Result]],"Awaiting Result")</f>
        <v>Away Win</v>
      </c>
      <c r="T41">
        <f>IF(Fixtures[[#This Row],[Outcome]]="Completed",1,0)</f>
        <v>1</v>
      </c>
      <c r="U41">
        <f>IF(Fixtures[[#This Row],[Outcome]]="Completed",1,0)</f>
        <v>1</v>
      </c>
      <c r="V41">
        <f>IF(AND(Fixtures[[#This Row],[Result]]="Home Win",Fixtures[[#This Row],[Outcome]]="Completed"),3,0)</f>
        <v>0</v>
      </c>
      <c r="W41">
        <f>IF(AND(Fixtures[[#This Row],[Result]]="Away Win",Fixtures[[#This Row],[Outcome]]="Completed"),3,0)</f>
        <v>3</v>
      </c>
      <c r="X41">
        <f>IF(AND(Fixtures[[#This Row],[Result]]="Draw",Fixtures[[#This Row],[Outcome]]="Completed"),1,0)</f>
        <v>0</v>
      </c>
      <c r="Y41">
        <f>IF(Fixtures[[#This Row],[Home Draw Points]]=1,1,0)</f>
        <v>0</v>
      </c>
    </row>
    <row r="42" spans="1:25" x14ac:dyDescent="0.25">
      <c r="A42" t="s">
        <v>22</v>
      </c>
      <c r="B42" s="2" t="s">
        <v>1088</v>
      </c>
      <c r="C42" s="17">
        <v>41</v>
      </c>
      <c r="D42" s="76">
        <v>44896</v>
      </c>
      <c r="E42" s="1">
        <v>0.625</v>
      </c>
      <c r="F42" s="1"/>
      <c r="G42" t="s">
        <v>31</v>
      </c>
      <c r="H42">
        <v>1</v>
      </c>
      <c r="I42">
        <v>2</v>
      </c>
      <c r="J42" t="s">
        <v>23</v>
      </c>
      <c r="L42" t="s">
        <v>74</v>
      </c>
      <c r="M42" s="41">
        <v>43102</v>
      </c>
      <c r="N42" t="s">
        <v>62</v>
      </c>
      <c r="O42" s="1"/>
      <c r="Q42">
        <f>Fixtures[[#This Row],[Home Score]]+Fixtures[[#This Row],[Away Score]]</f>
        <v>3</v>
      </c>
      <c r="R42" t="str">
        <f>IF(Fixtures[[#This Row],[Home Score]]&gt;Fixtures[[#This Row],[Away Score]],"Home Win",IF(Fixtures[[#This Row],[Home Score]]&lt;Fixtures[[#This Row],[Away Score]],"Away Win","Draw"))</f>
        <v>Away Win</v>
      </c>
      <c r="S42" t="str">
        <f>IF(Fixtures[[#This Row],[Outcome]]="Completed",Fixtures[[#This Row],[Forecast Result]],"Awaiting Result")</f>
        <v>Away Win</v>
      </c>
      <c r="T42">
        <f>IF(Fixtures[[#This Row],[Outcome]]="Completed",1,0)</f>
        <v>1</v>
      </c>
      <c r="U42">
        <f>IF(Fixtures[[#This Row],[Outcome]]="Completed",1,0)</f>
        <v>1</v>
      </c>
      <c r="V42">
        <f>IF(AND(Fixtures[[#This Row],[Result]]="Home Win",Fixtures[[#This Row],[Outcome]]="Completed"),3,0)</f>
        <v>0</v>
      </c>
      <c r="W42">
        <f>IF(AND(Fixtures[[#This Row],[Result]]="Away Win",Fixtures[[#This Row],[Outcome]]="Completed"),3,0)</f>
        <v>3</v>
      </c>
      <c r="X42">
        <f>IF(AND(Fixtures[[#This Row],[Result]]="Draw",Fixtures[[#This Row],[Outcome]]="Completed"),1,0)</f>
        <v>0</v>
      </c>
      <c r="Y42">
        <f>IF(Fixtures[[#This Row],[Home Draw Points]]=1,1,0)</f>
        <v>0</v>
      </c>
    </row>
    <row r="43" spans="1:25" x14ac:dyDescent="0.25">
      <c r="A43" t="s">
        <v>22</v>
      </c>
      <c r="B43" s="2" t="s">
        <v>1088</v>
      </c>
      <c r="C43" s="17">
        <v>42</v>
      </c>
      <c r="D43" s="76">
        <v>44896</v>
      </c>
      <c r="E43" s="1">
        <v>0.625</v>
      </c>
      <c r="F43" s="1"/>
      <c r="G43" t="s">
        <v>24</v>
      </c>
      <c r="H43">
        <v>0</v>
      </c>
      <c r="I43">
        <v>0</v>
      </c>
      <c r="J43" t="s">
        <v>30</v>
      </c>
      <c r="L43" t="s">
        <v>77</v>
      </c>
      <c r="M43" s="41">
        <v>43984</v>
      </c>
      <c r="N43" t="s">
        <v>62</v>
      </c>
      <c r="O43" s="1"/>
      <c r="Q43">
        <f>Fixtures[[#This Row],[Home Score]]+Fixtures[[#This Row],[Away Score]]</f>
        <v>0</v>
      </c>
      <c r="R43" t="str">
        <f>IF(Fixtures[[#This Row],[Home Score]]&gt;Fixtures[[#This Row],[Away Score]],"Home Win",IF(Fixtures[[#This Row],[Home Score]]&lt;Fixtures[[#This Row],[Away Score]],"Away Win","Draw"))</f>
        <v>Draw</v>
      </c>
      <c r="S43" t="str">
        <f>IF(Fixtures[[#This Row],[Outcome]]="Completed",Fixtures[[#This Row],[Forecast Result]],"Awaiting Result")</f>
        <v>Draw</v>
      </c>
      <c r="T43">
        <f>IF(Fixtures[[#This Row],[Outcome]]="Completed",1,0)</f>
        <v>1</v>
      </c>
      <c r="U43">
        <f>IF(Fixtures[[#This Row],[Outcome]]="Completed",1,0)</f>
        <v>1</v>
      </c>
      <c r="V43">
        <f>IF(AND(Fixtures[[#This Row],[Result]]="Home Win",Fixtures[[#This Row],[Outcome]]="Completed"),3,0)</f>
        <v>0</v>
      </c>
      <c r="W43">
        <f>IF(AND(Fixtures[[#This Row],[Result]]="Away Win",Fixtures[[#This Row],[Outcome]]="Completed"),3,0)</f>
        <v>0</v>
      </c>
      <c r="X43">
        <f>IF(AND(Fixtures[[#This Row],[Result]]="Draw",Fixtures[[#This Row],[Outcome]]="Completed"),1,0)</f>
        <v>1</v>
      </c>
      <c r="Y43">
        <f>IF(Fixtures[[#This Row],[Home Draw Points]]=1,1,0)</f>
        <v>1</v>
      </c>
    </row>
    <row r="44" spans="1:25" x14ac:dyDescent="0.25">
      <c r="A44" t="s">
        <v>25</v>
      </c>
      <c r="B44" s="2" t="s">
        <v>1088</v>
      </c>
      <c r="C44" s="17">
        <v>43</v>
      </c>
      <c r="D44" s="76">
        <v>44896</v>
      </c>
      <c r="E44" s="1">
        <v>0.79166666666666663</v>
      </c>
      <c r="F44" s="1"/>
      <c r="G44" t="s">
        <v>29</v>
      </c>
      <c r="H44">
        <v>2</v>
      </c>
      <c r="I44">
        <v>4</v>
      </c>
      <c r="J44" t="s">
        <v>26</v>
      </c>
      <c r="L44" t="s">
        <v>68</v>
      </c>
      <c r="M44" s="41">
        <v>67054</v>
      </c>
      <c r="N44" t="s">
        <v>62</v>
      </c>
      <c r="O44" s="1"/>
      <c r="Q44">
        <f>Fixtures[[#This Row],[Home Score]]+Fixtures[[#This Row],[Away Score]]</f>
        <v>6</v>
      </c>
      <c r="R44" t="str">
        <f>IF(Fixtures[[#This Row],[Home Score]]&gt;Fixtures[[#This Row],[Away Score]],"Home Win",IF(Fixtures[[#This Row],[Home Score]]&lt;Fixtures[[#This Row],[Away Score]],"Away Win","Draw"))</f>
        <v>Away Win</v>
      </c>
      <c r="S44" t="str">
        <f>IF(Fixtures[[#This Row],[Outcome]]="Completed",Fixtures[[#This Row],[Forecast Result]],"Awaiting Result")</f>
        <v>Away Win</v>
      </c>
      <c r="T44">
        <f>IF(Fixtures[[#This Row],[Outcome]]="Completed",1,0)</f>
        <v>1</v>
      </c>
      <c r="U44">
        <f>IF(Fixtures[[#This Row],[Outcome]]="Completed",1,0)</f>
        <v>1</v>
      </c>
      <c r="V44">
        <f>IF(AND(Fixtures[[#This Row],[Result]]="Home Win",Fixtures[[#This Row],[Outcome]]="Completed"),3,0)</f>
        <v>0</v>
      </c>
      <c r="W44">
        <f>IF(AND(Fixtures[[#This Row],[Result]]="Away Win",Fixtures[[#This Row],[Outcome]]="Completed"),3,0)</f>
        <v>3</v>
      </c>
      <c r="X44">
        <f>IF(AND(Fixtures[[#This Row],[Result]]="Draw",Fixtures[[#This Row],[Outcome]]="Completed"),1,0)</f>
        <v>0</v>
      </c>
      <c r="Y44">
        <f>IF(Fixtures[[#This Row],[Home Draw Points]]=1,1,0)</f>
        <v>0</v>
      </c>
    </row>
    <row r="45" spans="1:25" x14ac:dyDescent="0.25">
      <c r="A45" t="s">
        <v>25</v>
      </c>
      <c r="B45" s="2" t="s">
        <v>1088</v>
      </c>
      <c r="C45" s="17">
        <v>44</v>
      </c>
      <c r="D45" s="76">
        <v>44896</v>
      </c>
      <c r="E45" s="1">
        <v>0.79166666666666663</v>
      </c>
      <c r="F45" s="1"/>
      <c r="G45" t="s">
        <v>27</v>
      </c>
      <c r="H45">
        <v>2</v>
      </c>
      <c r="I45">
        <v>1</v>
      </c>
      <c r="J45" t="s">
        <v>28</v>
      </c>
      <c r="L45" t="s">
        <v>72</v>
      </c>
      <c r="M45" s="41">
        <v>44851</v>
      </c>
      <c r="N45" t="s">
        <v>62</v>
      </c>
      <c r="O45" s="1"/>
      <c r="Q45">
        <f>Fixtures[[#This Row],[Home Score]]+Fixtures[[#This Row],[Away Score]]</f>
        <v>3</v>
      </c>
      <c r="R45" t="str">
        <f>IF(Fixtures[[#This Row],[Home Score]]&gt;Fixtures[[#This Row],[Away Score]],"Home Win",IF(Fixtures[[#This Row],[Home Score]]&lt;Fixtures[[#This Row],[Away Score]],"Away Win","Draw"))</f>
        <v>Home Win</v>
      </c>
      <c r="S45" t="str">
        <f>IF(Fixtures[[#This Row],[Outcome]]="Completed",Fixtures[[#This Row],[Forecast Result]],"Awaiting Result")</f>
        <v>Home Win</v>
      </c>
      <c r="T45">
        <f>IF(Fixtures[[#This Row],[Outcome]]="Completed",1,0)</f>
        <v>1</v>
      </c>
      <c r="U45">
        <f>IF(Fixtures[[#This Row],[Outcome]]="Completed",1,0)</f>
        <v>1</v>
      </c>
      <c r="V45">
        <f>IF(AND(Fixtures[[#This Row],[Result]]="Home Win",Fixtures[[#This Row],[Outcome]]="Completed"),3,0)</f>
        <v>3</v>
      </c>
      <c r="W45">
        <f>IF(AND(Fixtures[[#This Row],[Result]]="Away Win",Fixtures[[#This Row],[Outcome]]="Completed"),3,0)</f>
        <v>0</v>
      </c>
      <c r="X45">
        <f>IF(AND(Fixtures[[#This Row],[Result]]="Draw",Fixtures[[#This Row],[Outcome]]="Completed"),1,0)</f>
        <v>0</v>
      </c>
      <c r="Y45">
        <f>IF(Fixtures[[#This Row],[Home Draw Points]]=1,1,0)</f>
        <v>0</v>
      </c>
    </row>
    <row r="46" spans="1:25" x14ac:dyDescent="0.25">
      <c r="A46" t="s">
        <v>35</v>
      </c>
      <c r="B46" s="2" t="s">
        <v>1088</v>
      </c>
      <c r="C46" s="17">
        <v>45</v>
      </c>
      <c r="D46" s="76">
        <v>44897</v>
      </c>
      <c r="E46" s="1">
        <v>0.625</v>
      </c>
      <c r="F46" s="1"/>
      <c r="G46" t="s">
        <v>39</v>
      </c>
      <c r="H46">
        <v>0</v>
      </c>
      <c r="I46">
        <v>2</v>
      </c>
      <c r="J46" t="s">
        <v>36</v>
      </c>
      <c r="L46" t="s">
        <v>75</v>
      </c>
      <c r="M46" s="41">
        <v>43443</v>
      </c>
      <c r="N46" t="s">
        <v>62</v>
      </c>
      <c r="O46" s="1"/>
      <c r="Q46">
        <f>Fixtures[[#This Row],[Home Score]]+Fixtures[[#This Row],[Away Score]]</f>
        <v>2</v>
      </c>
      <c r="R46" t="str">
        <f>IF(Fixtures[[#This Row],[Home Score]]&gt;Fixtures[[#This Row],[Away Score]],"Home Win",IF(Fixtures[[#This Row],[Home Score]]&lt;Fixtures[[#This Row],[Away Score]],"Away Win","Draw"))</f>
        <v>Away Win</v>
      </c>
      <c r="S46" t="str">
        <f>IF(Fixtures[[#This Row],[Outcome]]="Completed",Fixtures[[#This Row],[Forecast Result]],"Awaiting Result")</f>
        <v>Away Win</v>
      </c>
      <c r="T46">
        <f>IF(Fixtures[[#This Row],[Outcome]]="Completed",1,0)</f>
        <v>1</v>
      </c>
      <c r="U46">
        <f>IF(Fixtures[[#This Row],[Outcome]]="Completed",1,0)</f>
        <v>1</v>
      </c>
      <c r="V46">
        <f>IF(AND(Fixtures[[#This Row],[Result]]="Home Win",Fixtures[[#This Row],[Outcome]]="Completed"),3,0)</f>
        <v>0</v>
      </c>
      <c r="W46">
        <f>IF(AND(Fixtures[[#This Row],[Result]]="Away Win",Fixtures[[#This Row],[Outcome]]="Completed"),3,0)</f>
        <v>3</v>
      </c>
      <c r="X46">
        <f>IF(AND(Fixtures[[#This Row],[Result]]="Draw",Fixtures[[#This Row],[Outcome]]="Completed"),1,0)</f>
        <v>0</v>
      </c>
      <c r="Y46">
        <f>IF(Fixtures[[#This Row],[Home Draw Points]]=1,1,0)</f>
        <v>0</v>
      </c>
    </row>
    <row r="47" spans="1:25" x14ac:dyDescent="0.25">
      <c r="A47" t="s">
        <v>35</v>
      </c>
      <c r="B47" s="2" t="s">
        <v>1088</v>
      </c>
      <c r="C47" s="17">
        <v>46</v>
      </c>
      <c r="D47" s="76">
        <v>44897</v>
      </c>
      <c r="E47" s="1">
        <v>0.625</v>
      </c>
      <c r="F47" s="1"/>
      <c r="G47" t="s">
        <v>37</v>
      </c>
      <c r="H47">
        <v>2</v>
      </c>
      <c r="I47">
        <v>1</v>
      </c>
      <c r="J47" t="s">
        <v>38</v>
      </c>
      <c r="L47" t="s">
        <v>71</v>
      </c>
      <c r="M47" s="41">
        <v>44097</v>
      </c>
      <c r="N47" t="s">
        <v>62</v>
      </c>
      <c r="O47" s="1"/>
      <c r="Q47">
        <f>Fixtures[[#This Row],[Home Score]]+Fixtures[[#This Row],[Away Score]]</f>
        <v>3</v>
      </c>
      <c r="R47" t="str">
        <f>IF(Fixtures[[#This Row],[Home Score]]&gt;Fixtures[[#This Row],[Away Score]],"Home Win",IF(Fixtures[[#This Row],[Home Score]]&lt;Fixtures[[#This Row],[Away Score]],"Away Win","Draw"))</f>
        <v>Home Win</v>
      </c>
      <c r="S47" t="str">
        <f>IF(Fixtures[[#This Row],[Outcome]]="Completed",Fixtures[[#This Row],[Forecast Result]],"Awaiting Result")</f>
        <v>Home Win</v>
      </c>
      <c r="T47">
        <f>IF(Fixtures[[#This Row],[Outcome]]="Completed",1,0)</f>
        <v>1</v>
      </c>
      <c r="U47">
        <f>IF(Fixtures[[#This Row],[Outcome]]="Completed",1,0)</f>
        <v>1</v>
      </c>
      <c r="V47">
        <f>IF(AND(Fixtures[[#This Row],[Result]]="Home Win",Fixtures[[#This Row],[Outcome]]="Completed"),3,0)</f>
        <v>3</v>
      </c>
      <c r="W47">
        <f>IF(AND(Fixtures[[#This Row],[Result]]="Away Win",Fixtures[[#This Row],[Outcome]]="Completed"),3,0)</f>
        <v>0</v>
      </c>
      <c r="X47">
        <f>IF(AND(Fixtures[[#This Row],[Result]]="Draw",Fixtures[[#This Row],[Outcome]]="Completed"),1,0)</f>
        <v>0</v>
      </c>
      <c r="Y47">
        <f>IF(Fixtures[[#This Row],[Home Draw Points]]=1,1,0)</f>
        <v>0</v>
      </c>
    </row>
    <row r="48" spans="1:25" x14ac:dyDescent="0.25">
      <c r="A48" t="s">
        <v>32</v>
      </c>
      <c r="B48" s="2" t="s">
        <v>1088</v>
      </c>
      <c r="C48" s="17">
        <v>47</v>
      </c>
      <c r="D48" s="76">
        <v>44897</v>
      </c>
      <c r="E48" s="1">
        <v>0.79166666666666663</v>
      </c>
      <c r="F48" s="1"/>
      <c r="G48" t="s">
        <v>34</v>
      </c>
      <c r="H48">
        <v>1</v>
      </c>
      <c r="I48">
        <v>0</v>
      </c>
      <c r="J48" t="s">
        <v>1059</v>
      </c>
      <c r="L48" t="s">
        <v>64</v>
      </c>
      <c r="M48" s="41">
        <v>85986</v>
      </c>
      <c r="N48" t="s">
        <v>62</v>
      </c>
      <c r="O48" s="1"/>
      <c r="Q48">
        <f>Fixtures[[#This Row],[Home Score]]+Fixtures[[#This Row],[Away Score]]</f>
        <v>1</v>
      </c>
      <c r="R48" t="str">
        <f>IF(Fixtures[[#This Row],[Home Score]]&gt;Fixtures[[#This Row],[Away Score]],"Home Win",IF(Fixtures[[#This Row],[Home Score]]&lt;Fixtures[[#This Row],[Away Score]],"Away Win","Draw"))</f>
        <v>Home Win</v>
      </c>
      <c r="S48" t="str">
        <f>IF(Fixtures[[#This Row],[Outcome]]="Completed",Fixtures[[#This Row],[Forecast Result]],"Awaiting Result")</f>
        <v>Home Win</v>
      </c>
      <c r="T48">
        <f>IF(Fixtures[[#This Row],[Outcome]]="Completed",1,0)</f>
        <v>1</v>
      </c>
      <c r="U48">
        <f>IF(Fixtures[[#This Row],[Outcome]]="Completed",1,0)</f>
        <v>1</v>
      </c>
      <c r="V48">
        <f>IF(AND(Fixtures[[#This Row],[Result]]="Home Win",Fixtures[[#This Row],[Outcome]]="Completed"),3,0)</f>
        <v>3</v>
      </c>
      <c r="W48">
        <f>IF(AND(Fixtures[[#This Row],[Result]]="Away Win",Fixtures[[#This Row],[Outcome]]="Completed"),3,0)</f>
        <v>0</v>
      </c>
      <c r="X48">
        <f>IF(AND(Fixtures[[#This Row],[Result]]="Draw",Fixtures[[#This Row],[Outcome]]="Completed"),1,0)</f>
        <v>0</v>
      </c>
      <c r="Y48">
        <f>IF(Fixtures[[#This Row],[Home Draw Points]]=1,1,0)</f>
        <v>0</v>
      </c>
    </row>
    <row r="49" spans="1:25" x14ac:dyDescent="0.25">
      <c r="A49" t="s">
        <v>32</v>
      </c>
      <c r="B49" s="2" t="s">
        <v>1088</v>
      </c>
      <c r="C49" s="17">
        <v>48</v>
      </c>
      <c r="D49" s="76">
        <v>44897</v>
      </c>
      <c r="E49" s="1">
        <v>0.79166666666666663</v>
      </c>
      <c r="F49" s="1"/>
      <c r="G49" t="s">
        <v>40</v>
      </c>
      <c r="H49">
        <v>2</v>
      </c>
      <c r="I49">
        <v>3</v>
      </c>
      <c r="J49" t="s">
        <v>33</v>
      </c>
      <c r="L49" t="s">
        <v>80</v>
      </c>
      <c r="M49" s="41">
        <v>41378</v>
      </c>
      <c r="N49" t="s">
        <v>62</v>
      </c>
      <c r="O49" s="1"/>
      <c r="Q49">
        <f>Fixtures[[#This Row],[Home Score]]+Fixtures[[#This Row],[Away Score]]</f>
        <v>5</v>
      </c>
      <c r="R49" t="str">
        <f>IF(Fixtures[[#This Row],[Home Score]]&gt;Fixtures[[#This Row],[Away Score]],"Home Win",IF(Fixtures[[#This Row],[Home Score]]&lt;Fixtures[[#This Row],[Away Score]],"Away Win","Draw"))</f>
        <v>Away Win</v>
      </c>
      <c r="S49" t="str">
        <f>IF(Fixtures[[#This Row],[Outcome]]="Completed",Fixtures[[#This Row],[Forecast Result]],"Awaiting Result")</f>
        <v>Away Win</v>
      </c>
      <c r="T49">
        <f>IF(Fixtures[[#This Row],[Outcome]]="Completed",1,0)</f>
        <v>1</v>
      </c>
      <c r="U49">
        <f>IF(Fixtures[[#This Row],[Outcome]]="Completed",1,0)</f>
        <v>1</v>
      </c>
      <c r="V49">
        <f>IF(AND(Fixtures[[#This Row],[Result]]="Home Win",Fixtures[[#This Row],[Outcome]]="Completed"),3,0)</f>
        <v>0</v>
      </c>
      <c r="W49">
        <f>IF(AND(Fixtures[[#This Row],[Result]]="Away Win",Fixtures[[#This Row],[Outcome]]="Completed"),3,0)</f>
        <v>3</v>
      </c>
      <c r="X49">
        <f>IF(AND(Fixtures[[#This Row],[Result]]="Draw",Fixtures[[#This Row],[Outcome]]="Completed"),1,0)</f>
        <v>0</v>
      </c>
      <c r="Y49">
        <f>IF(Fixtures[[#This Row],[Home Draw Points]]=1,1,0)</f>
        <v>0</v>
      </c>
    </row>
    <row r="50" spans="1:25" x14ac:dyDescent="0.25">
      <c r="A50" t="s">
        <v>1083</v>
      </c>
      <c r="B50" s="2"/>
      <c r="M50" s="41">
        <f>SUBTOTAL(101,Fixtures[Attendance])</f>
        <v>51188.729166666664</v>
      </c>
      <c r="O50" s="2"/>
      <c r="Y50">
        <f>SUBTOTAL(109,Fixtures[Away Draw Points])</f>
        <v>10</v>
      </c>
    </row>
    <row r="51" spans="1:25" x14ac:dyDescent="0.25">
      <c r="L51" s="41"/>
      <c r="M51" s="110" t="s">
        <v>1573</v>
      </c>
      <c r="N51" s="110"/>
      <c r="O51" s="110"/>
    </row>
  </sheetData>
  <mergeCells count="1">
    <mergeCell ref="M51:O51"/>
  </mergeCells>
  <phoneticPr fontId="18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AB826BC4-8594-4E7F-BEE8-A898639EC6EA}">
          <x14:formula1>
            <xm:f>'World Cup Groups'!$A$2:$A$9</xm:f>
          </x14:formula1>
          <xm:sqref>A2:A49</xm:sqref>
        </x14:dataValidation>
        <x14:dataValidation type="list" allowBlank="1" showInputMessage="1" showErrorMessage="1" xr:uid="{00000000-0002-0000-0100-000001000000}">
          <x14:formula1>
            <xm:f>Categories!#REF!</xm:f>
          </x14:formula1>
          <xm:sqref>P2:P49</xm:sqref>
        </x14:dataValidation>
        <x14:dataValidation type="list" allowBlank="1" showInputMessage="1" showErrorMessage="1" xr:uid="{00000000-0002-0000-0100-000002000000}">
          <x14:formula1>
            <xm:f>Categories!$A$2:$A$3</xm:f>
          </x14:formula1>
          <xm:sqref>N2:N49</xm:sqref>
        </x14:dataValidation>
        <x14:dataValidation type="list" allowBlank="1" showInputMessage="1" showErrorMessage="1" xr:uid="{00000000-0002-0000-0100-000000000000}">
          <x14:formula1>
            <xm:f>Stadiums!$B$2:$B$9</xm:f>
          </x14:formula1>
          <xm:sqref>L2:L49</xm:sqref>
        </x14:dataValidation>
        <x14:dataValidation type="list" allowBlank="1" showInputMessage="1" showErrorMessage="1" xr:uid="{E0366600-97C7-42F7-991D-0817FCCDD3FD}">
          <x14:formula1>
            <xm:f>'Football Associations'!$B$2:$B$223</xm:f>
          </x14:formula1>
          <xm:sqref>G2:G49 J2:J49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16790-2B3F-43D7-BB4F-A15F20AEDF70}">
  <sheetPr codeName="Sheet14"/>
  <dimension ref="A1:O29"/>
  <sheetViews>
    <sheetView workbookViewId="0">
      <selection activeCell="F7" sqref="F7"/>
    </sheetView>
  </sheetViews>
  <sheetFormatPr defaultRowHeight="15" x14ac:dyDescent="0.25"/>
  <cols>
    <col min="1" max="1" width="17" customWidth="1"/>
    <col min="2" max="2" width="20.42578125" bestFit="1" customWidth="1"/>
    <col min="3" max="3" width="11.7109375" customWidth="1"/>
    <col min="4" max="4" width="23.5703125" bestFit="1" customWidth="1"/>
    <col min="6" max="6" width="12.42578125" customWidth="1"/>
    <col min="7" max="7" width="14" customWidth="1"/>
    <col min="8" max="8" width="10.7109375" customWidth="1"/>
    <col min="9" max="9" width="9.7109375" customWidth="1"/>
    <col min="10" max="10" width="14.5703125" customWidth="1"/>
    <col min="11" max="11" width="11.5703125" hidden="1" customWidth="1"/>
    <col min="12" max="12" width="27.42578125" bestFit="1" customWidth="1"/>
    <col min="13" max="13" width="13.42578125" customWidth="1"/>
    <col min="14" max="14" width="19" customWidth="1"/>
    <col min="15" max="15" width="22.140625" customWidth="1"/>
  </cols>
  <sheetData>
    <row r="1" spans="1:15" ht="45" x14ac:dyDescent="0.25">
      <c r="A1" s="66" t="s">
        <v>1074</v>
      </c>
      <c r="B1" s="67" t="s">
        <v>0</v>
      </c>
      <c r="C1" s="67" t="s">
        <v>104</v>
      </c>
      <c r="D1" s="67" t="s">
        <v>1</v>
      </c>
      <c r="E1" s="67" t="s">
        <v>79</v>
      </c>
      <c r="F1" s="67" t="s">
        <v>130</v>
      </c>
      <c r="G1" s="67" t="s">
        <v>46</v>
      </c>
      <c r="H1" s="67" t="s">
        <v>56</v>
      </c>
      <c r="I1" s="67" t="s">
        <v>57</v>
      </c>
      <c r="J1" s="67" t="s">
        <v>47</v>
      </c>
      <c r="K1" s="67" t="s">
        <v>131</v>
      </c>
      <c r="L1" s="67" t="s">
        <v>66</v>
      </c>
      <c r="M1" s="67" t="s">
        <v>78</v>
      </c>
      <c r="N1" s="67" t="s">
        <v>60</v>
      </c>
      <c r="O1" s="67" t="s">
        <v>98</v>
      </c>
    </row>
    <row r="2" spans="1:15" x14ac:dyDescent="0.25">
      <c r="A2" t="s">
        <v>41</v>
      </c>
      <c r="B2" s="2" t="s">
        <v>42</v>
      </c>
      <c r="C2" s="17">
        <v>49</v>
      </c>
      <c r="D2" s="76">
        <v>44898</v>
      </c>
      <c r="E2" s="1">
        <v>0.625</v>
      </c>
      <c r="F2" t="s">
        <v>81</v>
      </c>
      <c r="G2" t="s">
        <v>4</v>
      </c>
      <c r="H2" s="68">
        <v>3</v>
      </c>
      <c r="I2" s="68">
        <v>1</v>
      </c>
      <c r="J2" t="s">
        <v>10</v>
      </c>
      <c r="K2" t="s">
        <v>82</v>
      </c>
      <c r="L2" t="s">
        <v>72</v>
      </c>
      <c r="M2" s="41">
        <v>44846</v>
      </c>
      <c r="N2" t="s">
        <v>62</v>
      </c>
      <c r="O2" t="s">
        <v>4</v>
      </c>
    </row>
    <row r="3" spans="1:15" x14ac:dyDescent="0.25">
      <c r="A3" t="s">
        <v>41</v>
      </c>
      <c r="B3" s="2" t="s">
        <v>42</v>
      </c>
      <c r="C3" s="17">
        <v>50</v>
      </c>
      <c r="D3" s="76">
        <v>44898</v>
      </c>
      <c r="E3" s="1">
        <v>0.79166666666666663</v>
      </c>
      <c r="F3" t="s">
        <v>83</v>
      </c>
      <c r="G3" t="s">
        <v>13</v>
      </c>
      <c r="H3" s="68">
        <v>2</v>
      </c>
      <c r="I3" s="68">
        <v>1</v>
      </c>
      <c r="J3" t="s">
        <v>21</v>
      </c>
      <c r="K3" t="s">
        <v>84</v>
      </c>
      <c r="L3" t="s">
        <v>77</v>
      </c>
      <c r="M3" s="41">
        <v>45032</v>
      </c>
      <c r="N3" t="s">
        <v>62</v>
      </c>
      <c r="O3" t="s">
        <v>13</v>
      </c>
    </row>
    <row r="4" spans="1:15" x14ac:dyDescent="0.25">
      <c r="A4" t="s">
        <v>41</v>
      </c>
      <c r="B4" s="2" t="s">
        <v>42</v>
      </c>
      <c r="C4" s="17">
        <v>51</v>
      </c>
      <c r="D4" s="76">
        <v>44899</v>
      </c>
      <c r="E4" s="1">
        <v>0.625</v>
      </c>
      <c r="F4" t="s">
        <v>87</v>
      </c>
      <c r="G4" t="s">
        <v>20</v>
      </c>
      <c r="H4" s="68">
        <v>3</v>
      </c>
      <c r="I4" s="68">
        <v>1</v>
      </c>
      <c r="J4" t="s">
        <v>19</v>
      </c>
      <c r="K4" t="s">
        <v>88</v>
      </c>
      <c r="L4" t="s">
        <v>74</v>
      </c>
      <c r="M4" s="41">
        <v>40989</v>
      </c>
      <c r="N4" t="s">
        <v>62</v>
      </c>
      <c r="O4" t="s">
        <v>20</v>
      </c>
    </row>
    <row r="5" spans="1:15" x14ac:dyDescent="0.25">
      <c r="A5" t="s">
        <v>41</v>
      </c>
      <c r="B5" s="2" t="s">
        <v>42</v>
      </c>
      <c r="C5" s="17">
        <v>52</v>
      </c>
      <c r="D5" s="76">
        <v>44899</v>
      </c>
      <c r="E5" s="1">
        <v>0.79166666666666663</v>
      </c>
      <c r="F5" t="s">
        <v>85</v>
      </c>
      <c r="G5" t="s">
        <v>6</v>
      </c>
      <c r="H5" s="68">
        <v>3</v>
      </c>
      <c r="I5" s="68">
        <v>0</v>
      </c>
      <c r="J5" t="s">
        <v>3</v>
      </c>
      <c r="K5" t="s">
        <v>86</v>
      </c>
      <c r="L5" t="s">
        <v>68</v>
      </c>
      <c r="M5" s="41">
        <v>65985</v>
      </c>
      <c r="N5" t="s">
        <v>62</v>
      </c>
      <c r="O5" t="s">
        <v>6</v>
      </c>
    </row>
    <row r="6" spans="1:15" x14ac:dyDescent="0.25">
      <c r="A6" t="s">
        <v>41</v>
      </c>
      <c r="B6" s="2" t="s">
        <v>42</v>
      </c>
      <c r="C6" s="17">
        <v>53</v>
      </c>
      <c r="D6" s="76">
        <v>44900</v>
      </c>
      <c r="E6" s="1">
        <v>0.625</v>
      </c>
      <c r="F6" t="s">
        <v>89</v>
      </c>
      <c r="G6" t="s">
        <v>27</v>
      </c>
      <c r="H6" s="68">
        <v>1</v>
      </c>
      <c r="I6" s="68">
        <v>1</v>
      </c>
      <c r="J6" t="s">
        <v>24</v>
      </c>
      <c r="K6" t="s">
        <v>90</v>
      </c>
      <c r="L6" t="s">
        <v>75</v>
      </c>
      <c r="M6" s="41">
        <v>42523</v>
      </c>
      <c r="N6" t="s">
        <v>62</v>
      </c>
      <c r="O6" t="s">
        <v>24</v>
      </c>
    </row>
    <row r="7" spans="1:15" x14ac:dyDescent="0.25">
      <c r="A7" t="s">
        <v>41</v>
      </c>
      <c r="B7" s="2" t="s">
        <v>42</v>
      </c>
      <c r="C7" s="17">
        <v>54</v>
      </c>
      <c r="D7" s="76">
        <v>44900</v>
      </c>
      <c r="E7" s="1">
        <v>0.79166666666666663</v>
      </c>
      <c r="F7" t="s">
        <v>91</v>
      </c>
      <c r="G7" t="s">
        <v>1059</v>
      </c>
      <c r="H7" s="68">
        <v>4</v>
      </c>
      <c r="I7" s="68">
        <v>1</v>
      </c>
      <c r="J7" t="s">
        <v>37</v>
      </c>
      <c r="K7" t="s">
        <v>92</v>
      </c>
      <c r="L7" t="s">
        <v>80</v>
      </c>
      <c r="M7" s="41">
        <v>43847</v>
      </c>
      <c r="N7" t="s">
        <v>62</v>
      </c>
      <c r="O7" t="s">
        <v>1059</v>
      </c>
    </row>
    <row r="8" spans="1:15" x14ac:dyDescent="0.25">
      <c r="A8" t="s">
        <v>41</v>
      </c>
      <c r="B8" s="2" t="s">
        <v>42</v>
      </c>
      <c r="C8" s="17">
        <v>55</v>
      </c>
      <c r="D8" s="76">
        <v>44901</v>
      </c>
      <c r="E8" s="1">
        <v>0.625</v>
      </c>
      <c r="F8" t="s">
        <v>93</v>
      </c>
      <c r="G8" t="s">
        <v>23</v>
      </c>
      <c r="H8" s="68">
        <v>0</v>
      </c>
      <c r="I8" s="68">
        <v>0</v>
      </c>
      <c r="J8" t="s">
        <v>28</v>
      </c>
      <c r="K8" t="s">
        <v>94</v>
      </c>
      <c r="L8" t="s">
        <v>71</v>
      </c>
      <c r="M8" s="41">
        <v>44667</v>
      </c>
      <c r="N8" t="s">
        <v>62</v>
      </c>
      <c r="O8" t="s">
        <v>23</v>
      </c>
    </row>
    <row r="9" spans="1:15" x14ac:dyDescent="0.25">
      <c r="A9" t="s">
        <v>41</v>
      </c>
      <c r="B9" s="2" t="s">
        <v>42</v>
      </c>
      <c r="C9" s="17">
        <v>56</v>
      </c>
      <c r="D9" s="76">
        <v>44901</v>
      </c>
      <c r="E9" s="1">
        <v>0.79166666666666663</v>
      </c>
      <c r="F9" t="s">
        <v>95</v>
      </c>
      <c r="G9" t="s">
        <v>38</v>
      </c>
      <c r="H9" s="68">
        <v>6</v>
      </c>
      <c r="I9" s="68">
        <v>1</v>
      </c>
      <c r="J9" t="s">
        <v>33</v>
      </c>
      <c r="K9" t="s">
        <v>96</v>
      </c>
      <c r="L9" t="s">
        <v>64</v>
      </c>
      <c r="M9" s="41">
        <v>83720</v>
      </c>
      <c r="N9" t="s">
        <v>62</v>
      </c>
      <c r="O9" t="s">
        <v>38</v>
      </c>
    </row>
    <row r="10" spans="1:15" x14ac:dyDescent="0.25">
      <c r="A10" t="s">
        <v>41</v>
      </c>
      <c r="B10" s="2" t="s">
        <v>43</v>
      </c>
      <c r="C10" s="17">
        <v>57</v>
      </c>
      <c r="D10" s="76">
        <v>44904</v>
      </c>
      <c r="E10" s="1">
        <v>0.625</v>
      </c>
      <c r="F10" s="18">
        <v>53</v>
      </c>
      <c r="G10" t="s">
        <v>24</v>
      </c>
      <c r="H10" s="68">
        <v>1</v>
      </c>
      <c r="I10" s="68">
        <v>1</v>
      </c>
      <c r="J10" t="s">
        <v>1059</v>
      </c>
      <c r="K10" s="18">
        <v>54</v>
      </c>
      <c r="L10" t="s">
        <v>71</v>
      </c>
      <c r="M10" s="41">
        <v>43893</v>
      </c>
      <c r="N10" t="s">
        <v>62</v>
      </c>
      <c r="O10" t="s">
        <v>24</v>
      </c>
    </row>
    <row r="11" spans="1:15" x14ac:dyDescent="0.25">
      <c r="A11" t="s">
        <v>41</v>
      </c>
      <c r="B11" s="2" t="s">
        <v>43</v>
      </c>
      <c r="C11" s="17">
        <v>58</v>
      </c>
      <c r="D11" s="76">
        <v>44904</v>
      </c>
      <c r="E11" s="1">
        <v>0.79166666666666663</v>
      </c>
      <c r="F11" s="18">
        <v>49</v>
      </c>
      <c r="G11" t="s">
        <v>4</v>
      </c>
      <c r="H11" s="68">
        <v>2</v>
      </c>
      <c r="I11" s="68">
        <v>2</v>
      </c>
      <c r="J11" t="s">
        <v>13</v>
      </c>
      <c r="K11" s="18">
        <v>50</v>
      </c>
      <c r="L11" t="s">
        <v>64</v>
      </c>
      <c r="M11" s="41">
        <v>88235</v>
      </c>
      <c r="N11" t="s">
        <v>62</v>
      </c>
      <c r="O11" t="s">
        <v>13</v>
      </c>
    </row>
    <row r="12" spans="1:15" x14ac:dyDescent="0.25">
      <c r="A12" t="s">
        <v>41</v>
      </c>
      <c r="B12" s="2" t="s">
        <v>43</v>
      </c>
      <c r="C12" s="17">
        <v>59</v>
      </c>
      <c r="D12" s="76">
        <v>44905</v>
      </c>
      <c r="E12" s="1">
        <v>0.625</v>
      </c>
      <c r="F12" s="18">
        <v>55</v>
      </c>
      <c r="G12" t="s">
        <v>23</v>
      </c>
      <c r="H12" s="68">
        <v>1</v>
      </c>
      <c r="I12" s="68">
        <v>0</v>
      </c>
      <c r="J12" t="s">
        <v>38</v>
      </c>
      <c r="K12" s="18">
        <v>56</v>
      </c>
      <c r="L12" t="s">
        <v>74</v>
      </c>
      <c r="M12" s="41">
        <v>44198</v>
      </c>
      <c r="N12" t="s">
        <v>62</v>
      </c>
      <c r="O12" t="s">
        <v>23</v>
      </c>
    </row>
    <row r="13" spans="1:15" x14ac:dyDescent="0.25">
      <c r="A13" t="s">
        <v>41</v>
      </c>
      <c r="B13" s="2" t="s">
        <v>43</v>
      </c>
      <c r="C13" s="17">
        <v>60</v>
      </c>
      <c r="D13" s="76">
        <v>44905</v>
      </c>
      <c r="E13" s="1">
        <v>0.79166666666666663</v>
      </c>
      <c r="F13" s="18">
        <v>51</v>
      </c>
      <c r="G13" t="s">
        <v>20</v>
      </c>
      <c r="H13" s="68">
        <v>2</v>
      </c>
      <c r="I13" s="68">
        <v>1</v>
      </c>
      <c r="J13" t="s">
        <v>6</v>
      </c>
      <c r="K13" s="18">
        <v>52</v>
      </c>
      <c r="L13" t="s">
        <v>68</v>
      </c>
      <c r="M13" s="41">
        <v>68895</v>
      </c>
      <c r="N13" t="s">
        <v>62</v>
      </c>
      <c r="O13" t="s">
        <v>20</v>
      </c>
    </row>
    <row r="14" spans="1:15" x14ac:dyDescent="0.25">
      <c r="A14" t="s">
        <v>41</v>
      </c>
      <c r="B14" s="2" t="s">
        <v>44</v>
      </c>
      <c r="C14" s="17">
        <v>61</v>
      </c>
      <c r="D14" s="76">
        <v>44908</v>
      </c>
      <c r="E14" s="1">
        <v>0.79166666666666663</v>
      </c>
      <c r="F14" s="18">
        <v>57</v>
      </c>
      <c r="G14" t="s">
        <v>24</v>
      </c>
      <c r="H14" s="68">
        <v>0</v>
      </c>
      <c r="I14" s="68">
        <v>3</v>
      </c>
      <c r="J14" t="s">
        <v>13</v>
      </c>
      <c r="K14" s="18">
        <v>58</v>
      </c>
      <c r="L14" t="s">
        <v>64</v>
      </c>
      <c r="M14" s="41">
        <v>88966</v>
      </c>
      <c r="N14" t="s">
        <v>62</v>
      </c>
      <c r="O14" t="s">
        <v>13</v>
      </c>
    </row>
    <row r="15" spans="1:15" x14ac:dyDescent="0.25">
      <c r="A15" t="s">
        <v>41</v>
      </c>
      <c r="B15" s="2" t="s">
        <v>44</v>
      </c>
      <c r="C15" s="17">
        <v>62</v>
      </c>
      <c r="D15" s="76">
        <v>44909</v>
      </c>
      <c r="E15" s="1">
        <v>0.79166666666666663</v>
      </c>
      <c r="F15" s="18">
        <v>59</v>
      </c>
      <c r="G15" t="s">
        <v>23</v>
      </c>
      <c r="H15" s="68">
        <v>0</v>
      </c>
      <c r="I15" s="68">
        <v>2</v>
      </c>
      <c r="J15" t="s">
        <v>20</v>
      </c>
      <c r="K15" s="18">
        <v>60</v>
      </c>
      <c r="L15" t="s">
        <v>68</v>
      </c>
      <c r="M15" s="41">
        <v>68294</v>
      </c>
      <c r="N15" t="s">
        <v>62</v>
      </c>
      <c r="O15" t="s">
        <v>20</v>
      </c>
    </row>
    <row r="16" spans="1:15" x14ac:dyDescent="0.25">
      <c r="A16" t="s">
        <v>41</v>
      </c>
      <c r="B16" s="2" t="s">
        <v>45</v>
      </c>
      <c r="C16" s="17">
        <v>63</v>
      </c>
      <c r="D16" s="76">
        <v>44912</v>
      </c>
      <c r="E16" s="1">
        <v>0.625</v>
      </c>
      <c r="F16" s="17"/>
      <c r="G16" t="s">
        <v>24</v>
      </c>
      <c r="H16" s="68">
        <v>2</v>
      </c>
      <c r="I16" s="68">
        <v>1</v>
      </c>
      <c r="J16" t="s">
        <v>23</v>
      </c>
      <c r="K16" s="17"/>
      <c r="L16" t="s">
        <v>72</v>
      </c>
      <c r="M16" s="41">
        <v>44137</v>
      </c>
      <c r="N16" t="s">
        <v>62</v>
      </c>
      <c r="O16" t="s">
        <v>24</v>
      </c>
    </row>
    <row r="17" spans="1:15" ht="18.75" x14ac:dyDescent="0.3">
      <c r="A17" s="60" t="s">
        <v>41</v>
      </c>
      <c r="B17" s="61" t="s">
        <v>97</v>
      </c>
      <c r="C17" s="62">
        <v>64</v>
      </c>
      <c r="D17" s="77">
        <v>44913</v>
      </c>
      <c r="E17" s="63">
        <v>0.625</v>
      </c>
      <c r="F17" s="62"/>
      <c r="G17" s="60" t="s">
        <v>13</v>
      </c>
      <c r="H17" s="69">
        <v>3</v>
      </c>
      <c r="I17" s="69">
        <v>3</v>
      </c>
      <c r="J17" s="60" t="s">
        <v>20</v>
      </c>
      <c r="K17" s="62"/>
      <c r="L17" s="60" t="s">
        <v>64</v>
      </c>
      <c r="M17" s="64">
        <v>88966</v>
      </c>
      <c r="N17" s="60" t="s">
        <v>62</v>
      </c>
      <c r="O17" s="60" t="s">
        <v>13</v>
      </c>
    </row>
    <row r="18" spans="1:15" x14ac:dyDescent="0.25">
      <c r="A18" t="s">
        <v>1083</v>
      </c>
      <c r="B18" s="2"/>
      <c r="H18" s="68"/>
      <c r="I18" s="68"/>
      <c r="K18" s="17"/>
      <c r="M18" s="41">
        <f>SUBTOTAL(101,Knock_Out[Attendance])</f>
        <v>59199.5625</v>
      </c>
      <c r="O18">
        <f>SUBTOTAL(103,Knock_Out[Knock Out Winner])</f>
        <v>16</v>
      </c>
    </row>
    <row r="19" spans="1:15" x14ac:dyDescent="0.25">
      <c r="M19" t="s">
        <v>1951</v>
      </c>
    </row>
    <row r="21" spans="1:15" ht="18.75" x14ac:dyDescent="0.3">
      <c r="D21" s="73"/>
      <c r="E21" s="73"/>
      <c r="F21" s="73"/>
    </row>
    <row r="22" spans="1:15" ht="18.75" x14ac:dyDescent="0.3">
      <c r="D22" s="73"/>
      <c r="E22" s="73"/>
      <c r="F22" s="73"/>
    </row>
    <row r="23" spans="1:15" ht="18.75" x14ac:dyDescent="0.3">
      <c r="D23" s="73"/>
      <c r="E23" s="73"/>
      <c r="F23" s="73"/>
    </row>
    <row r="24" spans="1:15" ht="18.75" x14ac:dyDescent="0.3">
      <c r="D24" s="73"/>
    </row>
    <row r="25" spans="1:15" ht="18.75" x14ac:dyDescent="0.3">
      <c r="D25" s="73"/>
    </row>
    <row r="26" spans="1:15" ht="18.75" x14ac:dyDescent="0.3">
      <c r="D26" s="73"/>
    </row>
    <row r="27" spans="1:15" ht="18.75" x14ac:dyDescent="0.3">
      <c r="D27" s="73"/>
    </row>
    <row r="28" spans="1:15" ht="18.75" x14ac:dyDescent="0.3">
      <c r="D28" s="73"/>
    </row>
    <row r="29" spans="1:15" ht="18.75" x14ac:dyDescent="0.3">
      <c r="D29" s="7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4ABCE94-56B8-4089-8C7D-3F44C7909C1B}">
          <x14:formula1>
            <xm:f>'Football Associations'!$B$2:$B$223</xm:f>
          </x14:formula1>
          <xm:sqref>J2:J17 G2:G17</xm:sqref>
        </x14:dataValidation>
        <x14:dataValidation type="list" allowBlank="1" showInputMessage="1" showErrorMessage="1" xr:uid="{CBDBF0D4-D1C0-49D4-A85B-39ED960DB026}">
          <x14:formula1>
            <xm:f>Stadiums!$B$2:$B$9</xm:f>
          </x14:formula1>
          <xm:sqref>L2:L17</xm:sqref>
        </x14:dataValidation>
        <x14:dataValidation type="list" allowBlank="1" showInputMessage="1" showErrorMessage="1" xr:uid="{656F1791-97E0-4D2A-81D7-7DB4C83A56F9}">
          <x14:formula1>
            <xm:f>Categories!$A$2:$A$3</xm:f>
          </x14:formula1>
          <xm:sqref>N2:N17</xm:sqref>
        </x14:dataValidation>
        <x14:dataValidation type="list" allowBlank="1" showInputMessage="1" showErrorMessage="1" xr:uid="{C205B71A-EF5D-4134-8B0D-8616F07E7AA3}">
          <x14:formula1>
            <xm:f>Categories!$L$2:$L$33</xm:f>
          </x14:formula1>
          <xm:sqref>O2:O17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N83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42578125" customWidth="1"/>
    <col min="2" max="2" width="18.5703125" customWidth="1"/>
    <col min="3" max="3" width="17.85546875" bestFit="1" customWidth="1"/>
    <col min="4" max="4" width="18.85546875" customWidth="1"/>
    <col min="5" max="5" width="27.28515625" bestFit="1" customWidth="1"/>
    <col min="6" max="7" width="18" bestFit="1" customWidth="1"/>
    <col min="8" max="8" width="8.7109375" customWidth="1"/>
    <col min="9" max="9" width="20.28515625" customWidth="1"/>
    <col min="10" max="10" width="29.85546875" customWidth="1"/>
    <col min="11" max="11" width="21.140625" bestFit="1" customWidth="1"/>
    <col min="12" max="12" width="13" customWidth="1"/>
    <col min="13" max="13" width="11" bestFit="1" customWidth="1"/>
    <col min="14" max="14" width="8" bestFit="1" customWidth="1"/>
    <col min="15" max="15" width="9.85546875" bestFit="1" customWidth="1"/>
    <col min="16" max="16" width="8.42578125" bestFit="1" customWidth="1"/>
    <col min="17" max="17" width="8.85546875" bestFit="1" customWidth="1"/>
    <col min="18" max="18" width="10.28515625" bestFit="1" customWidth="1"/>
    <col min="19" max="19" width="8.28515625" bestFit="1" customWidth="1"/>
    <col min="20" max="20" width="10.42578125" bestFit="1" customWidth="1"/>
    <col min="21" max="21" width="6.5703125" bestFit="1" customWidth="1"/>
    <col min="22" max="22" width="10.85546875" bestFit="1" customWidth="1"/>
    <col min="23" max="23" width="10.42578125" bestFit="1" customWidth="1"/>
    <col min="24" max="24" width="8.7109375" bestFit="1" customWidth="1"/>
    <col min="25" max="25" width="8.140625" bestFit="1" customWidth="1"/>
    <col min="26" max="26" width="11.28515625" bestFit="1" customWidth="1"/>
    <col min="27" max="27" width="7.5703125" bestFit="1" customWidth="1"/>
    <col min="28" max="28" width="12" bestFit="1" customWidth="1"/>
    <col min="29" max="29" width="9.140625" bestFit="1" customWidth="1"/>
    <col min="30" max="30" width="4.85546875" bestFit="1" customWidth="1"/>
    <col min="31" max="31" width="8.140625" bestFit="1" customWidth="1"/>
    <col min="32" max="32" width="14.42578125" bestFit="1" customWidth="1"/>
    <col min="33" max="33" width="11" bestFit="1" customWidth="1"/>
    <col min="34" max="34" width="8.85546875" bestFit="1" customWidth="1"/>
    <col min="35" max="35" width="14.5703125" bestFit="1" customWidth="1"/>
    <col min="36" max="36" width="20.5703125" bestFit="1" customWidth="1"/>
    <col min="37" max="37" width="17.28515625" bestFit="1" customWidth="1"/>
    <col min="38" max="38" width="15.42578125" bestFit="1" customWidth="1"/>
    <col min="39" max="39" width="10.28515625" bestFit="1" customWidth="1"/>
    <col min="40" max="40" width="6.5703125" bestFit="1" customWidth="1"/>
    <col min="41" max="41" width="8.5703125" bestFit="1" customWidth="1"/>
    <col min="42" max="42" width="10.140625" bestFit="1" customWidth="1"/>
    <col min="43" max="43" width="4.85546875" bestFit="1" customWidth="1"/>
    <col min="44" max="44" width="6.140625" bestFit="1" customWidth="1"/>
    <col min="45" max="45" width="17.28515625" bestFit="1" customWidth="1"/>
    <col min="46" max="46" width="14.85546875" bestFit="1" customWidth="1"/>
    <col min="47" max="47" width="11.140625" bestFit="1" customWidth="1"/>
    <col min="48" max="48" width="8" bestFit="1" customWidth="1"/>
    <col min="49" max="49" width="8.7109375" bestFit="1" customWidth="1"/>
    <col min="50" max="50" width="16.140625" bestFit="1" customWidth="1"/>
    <col min="51" max="51" width="8.5703125" bestFit="1" customWidth="1"/>
    <col min="52" max="52" width="18.5703125" bestFit="1" customWidth="1"/>
    <col min="53" max="53" width="26.140625" bestFit="1" customWidth="1"/>
    <col min="54" max="54" width="13.85546875" bestFit="1" customWidth="1"/>
    <col min="55" max="55" width="6.28515625" bestFit="1" customWidth="1"/>
    <col min="56" max="56" width="10" bestFit="1" customWidth="1"/>
    <col min="57" max="57" width="7.7109375" bestFit="1" customWidth="1"/>
    <col min="58" max="58" width="6" bestFit="1" customWidth="1"/>
    <col min="59" max="59" width="22.7109375" bestFit="1" customWidth="1"/>
    <col min="60" max="60" width="11" bestFit="1" customWidth="1"/>
    <col min="61" max="61" width="8.85546875" bestFit="1" customWidth="1"/>
    <col min="62" max="62" width="8.28515625" bestFit="1" customWidth="1"/>
    <col min="63" max="63" width="6.140625" bestFit="1" customWidth="1"/>
    <col min="64" max="64" width="5.85546875" bestFit="1" customWidth="1"/>
    <col min="65" max="65" width="11.28515625" bestFit="1" customWidth="1"/>
    <col min="66" max="66" width="10.7109375" bestFit="1" customWidth="1"/>
    <col min="67" max="67" width="10.42578125" bestFit="1" customWidth="1"/>
    <col min="68" max="68" width="6.42578125" bestFit="1" customWidth="1"/>
    <col min="69" max="69" width="22" bestFit="1" customWidth="1"/>
    <col min="70" max="70" width="13.7109375" bestFit="1" customWidth="1"/>
    <col min="71" max="71" width="12.28515625" bestFit="1" customWidth="1"/>
    <col min="72" max="72" width="9.5703125" bestFit="1" customWidth="1"/>
    <col min="73" max="73" width="12.28515625" bestFit="1" customWidth="1"/>
    <col min="74" max="74" width="7.7109375" bestFit="1" customWidth="1"/>
    <col min="75" max="75" width="8.42578125" bestFit="1" customWidth="1"/>
    <col min="76" max="76" width="14.85546875" bestFit="1" customWidth="1"/>
    <col min="77" max="77" width="9.7109375" bestFit="1" customWidth="1"/>
    <col min="78" max="78" width="12.7109375" bestFit="1" customWidth="1"/>
    <col min="79" max="79" width="12" bestFit="1" customWidth="1"/>
    <col min="80" max="80" width="17.5703125" bestFit="1" customWidth="1"/>
    <col min="81" max="81" width="15.42578125" bestFit="1" customWidth="1"/>
    <col min="82" max="82" width="12.5703125" bestFit="1" customWidth="1"/>
    <col min="83" max="83" width="11.85546875" bestFit="1" customWidth="1"/>
    <col min="84" max="84" width="11.5703125" bestFit="1" customWidth="1"/>
    <col min="85" max="85" width="9.5703125" bestFit="1" customWidth="1"/>
    <col min="86" max="86" width="13.7109375" bestFit="1" customWidth="1"/>
    <col min="87" max="87" width="10.5703125" bestFit="1" customWidth="1"/>
    <col min="88" max="88" width="9.5703125" bestFit="1" customWidth="1"/>
    <col min="89" max="89" width="20.5703125" bestFit="1" customWidth="1"/>
    <col min="90" max="90" width="7.5703125" bestFit="1" customWidth="1"/>
    <col min="91" max="91" width="14.85546875" bestFit="1" customWidth="1"/>
    <col min="92" max="92" width="15.140625" bestFit="1" customWidth="1"/>
    <col min="93" max="93" width="16.7109375" bestFit="1" customWidth="1"/>
    <col min="94" max="94" width="18.140625" bestFit="1" customWidth="1"/>
    <col min="95" max="95" width="9.28515625" bestFit="1" customWidth="1"/>
    <col min="96" max="96" width="18.5703125" bestFit="1" customWidth="1"/>
    <col min="97" max="97" width="9.42578125" bestFit="1" customWidth="1"/>
    <col min="98" max="98" width="14.7109375" bestFit="1" customWidth="1"/>
    <col min="99" max="99" width="7" bestFit="1" customWidth="1"/>
    <col min="100" max="100" width="8.28515625" bestFit="1" customWidth="1"/>
    <col min="101" max="101" width="17" bestFit="1" customWidth="1"/>
    <col min="102" max="102" width="12.28515625" bestFit="1" customWidth="1"/>
    <col min="103" max="103" width="12.85546875" bestFit="1" customWidth="1"/>
    <col min="104" max="104" width="9.28515625" bestFit="1" customWidth="1"/>
    <col min="105" max="105" width="9" bestFit="1" customWidth="1"/>
    <col min="106" max="106" width="11.140625" bestFit="1" customWidth="1"/>
    <col min="107" max="107" width="9.28515625" bestFit="1" customWidth="1"/>
    <col min="108" max="108" width="11.85546875" bestFit="1" customWidth="1"/>
    <col min="109" max="109" width="12.140625" bestFit="1" customWidth="1"/>
    <col min="110" max="110" width="11" bestFit="1" customWidth="1"/>
    <col min="111" max="111" width="10.5703125" bestFit="1" customWidth="1"/>
    <col min="112" max="112" width="10.140625" bestFit="1" customWidth="1"/>
    <col min="113" max="113" width="18.5703125" bestFit="1" customWidth="1"/>
    <col min="114" max="114" width="8" bestFit="1" customWidth="1"/>
    <col min="115" max="115" width="11.7109375" bestFit="1" customWidth="1"/>
    <col min="116" max="116" width="13.5703125" bestFit="1" customWidth="1"/>
    <col min="117" max="117" width="6.140625" bestFit="1" customWidth="1"/>
    <col min="118" max="118" width="5.85546875" bestFit="1" customWidth="1"/>
    <col min="119" max="119" width="7.5703125" bestFit="1" customWidth="1"/>
    <col min="120" max="120" width="18.28515625" bestFit="1" customWidth="1"/>
    <col min="121" max="121" width="12" bestFit="1" customWidth="1"/>
    <col min="122" max="122" width="13.7109375" bestFit="1" customWidth="1"/>
    <col min="123" max="123" width="12" bestFit="1" customWidth="1"/>
    <col min="124" max="124" width="12.42578125" bestFit="1" customWidth="1"/>
    <col min="125" max="125" width="10.28515625" bestFit="1" customWidth="1"/>
    <col min="126" max="126" width="19.140625" bestFit="1" customWidth="1"/>
    <col min="127" max="127" width="13.42578125" bestFit="1" customWidth="1"/>
    <col min="128" max="128" width="12.42578125" bestFit="1" customWidth="1"/>
    <col min="129" max="129" width="13.85546875" bestFit="1" customWidth="1"/>
    <col min="130" max="130" width="10.7109375" bestFit="1" customWidth="1"/>
    <col min="131" max="131" width="11.140625" bestFit="1" customWidth="1"/>
    <col min="132" max="132" width="10.140625" bestFit="1" customWidth="1"/>
    <col min="133" max="133" width="19.42578125" bestFit="1" customWidth="1"/>
    <col min="134" max="134" width="18.5703125" bestFit="1" customWidth="1"/>
    <col min="135" max="135" width="9.85546875" bestFit="1" customWidth="1"/>
    <col min="136" max="136" width="14.85546875" bestFit="1" customWidth="1"/>
    <col min="137" max="137" width="23.42578125" bestFit="1" customWidth="1"/>
    <col min="138" max="138" width="14.5703125" bestFit="1" customWidth="1"/>
    <col min="139" max="139" width="14.42578125" bestFit="1" customWidth="1"/>
    <col min="140" max="140" width="23.85546875" bestFit="1" customWidth="1"/>
    <col min="141" max="141" width="7" bestFit="1" customWidth="1"/>
    <col min="142" max="142" width="9.28515625" bestFit="1" customWidth="1"/>
    <col min="143" max="143" width="17.7109375" bestFit="1" customWidth="1"/>
    <col min="144" max="144" width="11.7109375" bestFit="1" customWidth="1"/>
    <col min="145" max="145" width="10.7109375" bestFit="1" customWidth="1"/>
    <col min="146" max="146" width="10.140625" bestFit="1" customWidth="1"/>
    <col min="147" max="147" width="10" bestFit="1" customWidth="1"/>
    <col min="148" max="148" width="5.85546875" bestFit="1" customWidth="1"/>
    <col min="149" max="149" width="10.42578125" bestFit="1" customWidth="1"/>
    <col min="150" max="150" width="12.28515625" bestFit="1" customWidth="1"/>
    <col min="151" max="151" width="13.28515625" bestFit="1" customWidth="1"/>
    <col min="152" max="152" width="8.5703125" bestFit="1" customWidth="1"/>
    <col min="153" max="153" width="13.7109375" bestFit="1" customWidth="1"/>
    <col min="154" max="154" width="13.42578125" bestFit="1" customWidth="1"/>
    <col min="155" max="155" width="5.42578125" bestFit="1" customWidth="1"/>
    <col min="156" max="156" width="5.7109375" bestFit="1" customWidth="1"/>
    <col min="157" max="157" width="5.140625" bestFit="1" customWidth="1"/>
    <col min="158" max="158" width="9.7109375" bestFit="1" customWidth="1"/>
    <col min="159" max="159" width="7.7109375" bestFit="1" customWidth="1"/>
    <col min="160" max="160" width="14.5703125" bestFit="1" customWidth="1"/>
    <col min="161" max="161" width="7.7109375" bestFit="1" customWidth="1"/>
    <col min="162" max="162" width="5.5703125" bestFit="1" customWidth="1"/>
    <col min="163" max="163" width="11.7109375" bestFit="1" customWidth="1"/>
    <col min="164" max="164" width="7.28515625" bestFit="1" customWidth="1"/>
    <col min="165" max="165" width="5.5703125" bestFit="1" customWidth="1"/>
    <col min="166" max="166" width="9.28515625" bestFit="1" customWidth="1"/>
    <col min="167" max="167" width="9.140625" bestFit="1" customWidth="1"/>
    <col min="168" max="168" width="16" bestFit="1" customWidth="1"/>
    <col min="169" max="169" width="18.85546875" bestFit="1" customWidth="1"/>
    <col min="170" max="170" width="9.85546875" bestFit="1" customWidth="1"/>
    <col min="171" max="171" width="10.42578125" bestFit="1" customWidth="1"/>
    <col min="172" max="172" width="15.42578125" bestFit="1" customWidth="1"/>
    <col min="173" max="173" width="15.140625" bestFit="1" customWidth="1"/>
    <col min="174" max="174" width="6.5703125" bestFit="1" customWidth="1"/>
    <col min="175" max="175" width="11.5703125" bestFit="1" customWidth="1"/>
    <col min="176" max="176" width="19.42578125" bestFit="1" customWidth="1"/>
    <col min="177" max="177" width="20.42578125" bestFit="1" customWidth="1"/>
    <col min="178" max="178" width="8.5703125" bestFit="1" customWidth="1"/>
    <col min="179" max="179" width="11" bestFit="1" customWidth="1"/>
    <col min="180" max="180" width="12.140625" bestFit="1" customWidth="1"/>
    <col min="181" max="181" width="16.5703125" bestFit="1" customWidth="1"/>
    <col min="182" max="182" width="9.140625" bestFit="1" customWidth="1"/>
    <col min="183" max="183" width="16.5703125" bestFit="1" customWidth="1"/>
    <col min="184" max="184" width="7.7109375" bestFit="1" customWidth="1"/>
    <col min="185" max="185" width="7.28515625" bestFit="1" customWidth="1"/>
    <col min="186" max="186" width="12.28515625" bestFit="1" customWidth="1"/>
    <col min="187" max="187" width="16.5703125" bestFit="1" customWidth="1"/>
    <col min="188" max="188" width="18.85546875" bestFit="1" customWidth="1"/>
    <col min="189" max="189" width="17.5703125" bestFit="1" customWidth="1"/>
    <col min="190" max="190" width="17.7109375" bestFit="1" customWidth="1"/>
    <col min="191" max="191" width="5.42578125" bestFit="1" customWidth="1"/>
    <col min="192" max="192" width="12.7109375" bestFit="1" customWidth="1"/>
    <col min="193" max="193" width="18.28515625" bestFit="1" customWidth="1"/>
    <col min="194" max="194" width="4" bestFit="1" customWidth="1"/>
    <col min="195" max="195" width="11.7109375" bestFit="1" customWidth="1"/>
    <col min="196" max="196" width="8.42578125" bestFit="1" customWidth="1"/>
    <col min="197" max="197" width="15.140625" bestFit="1" customWidth="1"/>
    <col min="198" max="198" width="8.85546875" bestFit="1" customWidth="1"/>
    <col min="199" max="199" width="7" bestFit="1" customWidth="1"/>
    <col min="200" max="200" width="8.5703125" bestFit="1" customWidth="1"/>
    <col min="201" max="201" width="6.28515625" bestFit="1" customWidth="1"/>
    <col min="202" max="202" width="10.140625" bestFit="1" customWidth="1"/>
    <col min="203" max="203" width="11.85546875" bestFit="1" customWidth="1"/>
    <col min="204" max="204" width="6.42578125" bestFit="1" customWidth="1"/>
    <col min="205" max="205" width="19.28515625" bestFit="1" customWidth="1"/>
    <col min="206" max="206" width="10.7109375" bestFit="1" customWidth="1"/>
    <col min="207" max="207" width="18.7109375" bestFit="1" customWidth="1"/>
    <col min="208" max="208" width="14.85546875" bestFit="1" customWidth="1"/>
    <col min="209" max="209" width="13.140625" bestFit="1" customWidth="1"/>
    <col min="210" max="210" width="6.28515625" bestFit="1" customWidth="1"/>
    <col min="211" max="211" width="11.85546875" bestFit="1" customWidth="1"/>
    <col min="212" max="212" width="14.85546875" bestFit="1" customWidth="1"/>
    <col min="213" max="213" width="11.42578125" bestFit="1" customWidth="1"/>
    <col min="214" max="214" width="8.85546875" bestFit="1" customWidth="1"/>
    <col min="215" max="215" width="20.28515625" bestFit="1" customWidth="1"/>
    <col min="216" max="216" width="8.42578125" bestFit="1" customWidth="1"/>
    <col min="217" max="217" width="15" bestFit="1" customWidth="1"/>
    <col min="218" max="218" width="10.28515625" bestFit="1" customWidth="1"/>
    <col min="219" max="219" width="8.5703125" bestFit="1" customWidth="1"/>
    <col min="220" max="220" width="10.140625" bestFit="1" customWidth="1"/>
    <col min="221" max="221" width="12.140625" bestFit="1" customWidth="1"/>
    <col min="222" max="222" width="13.5703125" bestFit="1" customWidth="1"/>
    <col min="223" max="223" width="13.85546875" bestFit="1" customWidth="1"/>
    <col min="224" max="224" width="16.7109375" bestFit="1" customWidth="1"/>
    <col min="225" max="225" width="17.28515625" bestFit="1" customWidth="1"/>
    <col min="226" max="226" width="6.85546875" bestFit="1" customWidth="1"/>
    <col min="227" max="227" width="8" bestFit="1" customWidth="1"/>
    <col min="228" max="228" width="11" bestFit="1" customWidth="1"/>
    <col min="229" max="229" width="6.42578125" bestFit="1" customWidth="1"/>
    <col min="230" max="230" width="11.42578125" bestFit="1" customWidth="1"/>
    <col min="231" max="231" width="10.85546875" bestFit="1" customWidth="1"/>
    <col min="232" max="232" width="10.42578125" bestFit="1" customWidth="1"/>
    <col min="233" max="233" width="14" bestFit="1" customWidth="1"/>
    <col min="234" max="234" width="10" bestFit="1" customWidth="1"/>
    <col min="235" max="235" width="8.5703125" bestFit="1" customWidth="1"/>
    <col min="236" max="236" width="9.140625" bestFit="1" customWidth="1"/>
    <col min="237" max="237" width="11.42578125" bestFit="1" customWidth="1"/>
    <col min="238" max="238" width="10.5703125" bestFit="1" customWidth="1"/>
    <col min="239" max="239" width="19.28515625" bestFit="1" customWidth="1"/>
    <col min="240" max="240" width="9" bestFit="1" customWidth="1"/>
    <col min="241" max="241" width="7.28515625" bestFit="1" customWidth="1"/>
    <col min="242" max="242" width="14.5703125" bestFit="1" customWidth="1"/>
    <col min="243" max="243" width="17.5703125" bestFit="1" customWidth="1"/>
    <col min="244" max="244" width="17.85546875" bestFit="1" customWidth="1"/>
    <col min="245" max="245" width="16.28515625" bestFit="1" customWidth="1"/>
    <col min="246" max="246" width="15.5703125" bestFit="1" customWidth="1"/>
    <col min="247" max="247" width="16.5703125" bestFit="1" customWidth="1"/>
    <col min="248" max="248" width="12.42578125" bestFit="1" customWidth="1"/>
    <col min="249" max="249" width="13.5703125" bestFit="1" customWidth="1"/>
    <col min="250" max="250" width="7.140625" bestFit="1" customWidth="1"/>
    <col min="251" max="251" width="11.5703125" bestFit="1" customWidth="1"/>
    <col min="252" max="252" width="12.7109375" bestFit="1" customWidth="1"/>
    <col min="253" max="253" width="9.7109375" bestFit="1" customWidth="1"/>
    <col min="254" max="254" width="10" bestFit="1" customWidth="1"/>
    <col min="255" max="255" width="14.5703125" bestFit="1" customWidth="1"/>
    <col min="256" max="256" width="10.28515625" bestFit="1" customWidth="1"/>
    <col min="257" max="257" width="10.85546875" bestFit="1" customWidth="1"/>
    <col min="258" max="258" width="11.5703125" bestFit="1" customWidth="1"/>
    <col min="259" max="259" width="13.140625" bestFit="1" customWidth="1"/>
    <col min="260" max="260" width="14.5703125" bestFit="1" customWidth="1"/>
    <col min="261" max="261" width="10.42578125" bestFit="1" customWidth="1"/>
    <col min="262" max="262" width="8.42578125" bestFit="1" customWidth="1"/>
    <col min="263" max="263" width="7.140625" bestFit="1" customWidth="1"/>
    <col min="264" max="264" width="11" bestFit="1" customWidth="1"/>
    <col min="265" max="265" width="18.85546875" bestFit="1" customWidth="1"/>
    <col min="266" max="266" width="9.5703125" bestFit="1" customWidth="1"/>
    <col min="267" max="267" width="12.28515625" bestFit="1" customWidth="1"/>
    <col min="268" max="268" width="7.28515625" bestFit="1" customWidth="1"/>
    <col min="269" max="269" width="8.85546875" bestFit="1" customWidth="1"/>
    <col min="270" max="270" width="14.28515625" bestFit="1" customWidth="1"/>
    <col min="271" max="271" width="7.42578125" bestFit="1" customWidth="1"/>
    <col min="272" max="272" width="12.5703125" bestFit="1" customWidth="1"/>
    <col min="273" max="273" width="20.5703125" bestFit="1" customWidth="1"/>
    <col min="274" max="274" width="12.28515625" bestFit="1" customWidth="1"/>
    <col min="275" max="275" width="9" bestFit="1" customWidth="1"/>
    <col min="276" max="276" width="10.42578125" bestFit="1" customWidth="1"/>
    <col min="277" max="277" width="23.7109375" bestFit="1" customWidth="1"/>
    <col min="278" max="278" width="6.140625" bestFit="1" customWidth="1"/>
    <col min="279" max="279" width="14.7109375" bestFit="1" customWidth="1"/>
    <col min="280" max="280" width="12.7109375" bestFit="1" customWidth="1"/>
    <col min="281" max="281" width="11.85546875" bestFit="1" customWidth="1"/>
    <col min="282" max="282" width="14.140625" bestFit="1" customWidth="1"/>
    <col min="283" max="283" width="9.5703125" bestFit="1" customWidth="1"/>
    <col min="284" max="284" width="8.85546875" bestFit="1" customWidth="1"/>
    <col min="285" max="285" width="15.85546875" bestFit="1" customWidth="1"/>
    <col min="286" max="286" width="17.42578125" bestFit="1" customWidth="1"/>
    <col min="287" max="287" width="26.85546875" bestFit="1" customWidth="1"/>
    <col min="288" max="288" width="10.5703125" bestFit="1" customWidth="1"/>
    <col min="289" max="289" width="11.5703125" bestFit="1" customWidth="1"/>
    <col min="290" max="290" width="8.85546875" bestFit="1" customWidth="1"/>
    <col min="291" max="291" width="21.42578125" bestFit="1" customWidth="1"/>
    <col min="292" max="292" width="11.28515625" bestFit="1" customWidth="1"/>
  </cols>
  <sheetData>
    <row r="1" spans="1:14" ht="15" customHeight="1" x14ac:dyDescent="0.25">
      <c r="A1" s="4" t="s">
        <v>1076</v>
      </c>
      <c r="B1" s="4" t="s">
        <v>1084</v>
      </c>
      <c r="C1" s="4" t="s">
        <v>1583</v>
      </c>
      <c r="D1" s="4" t="s">
        <v>263</v>
      </c>
      <c r="E1" s="4" t="s">
        <v>690</v>
      </c>
      <c r="F1" s="4" t="s">
        <v>1077</v>
      </c>
      <c r="G1" s="4" t="s">
        <v>161</v>
      </c>
      <c r="H1" s="4" t="s">
        <v>1542</v>
      </c>
      <c r="I1" s="4" t="s">
        <v>162</v>
      </c>
      <c r="J1" s="4" t="s">
        <v>1022</v>
      </c>
      <c r="K1" s="4" t="s">
        <v>951</v>
      </c>
      <c r="L1" s="4" t="s">
        <v>2538</v>
      </c>
      <c r="M1" s="4" t="s">
        <v>1645</v>
      </c>
      <c r="N1" s="4" t="s">
        <v>1650</v>
      </c>
    </row>
    <row r="2" spans="1:14" ht="15" customHeight="1" x14ac:dyDescent="0.25">
      <c r="A2" s="33">
        <v>1001</v>
      </c>
      <c r="B2" s="23" t="s">
        <v>13</v>
      </c>
      <c r="C2" s="23" t="str">
        <f>VLOOKUP(Squads[[#This Row],[National Team]],Qualified[],3,TRUE)</f>
        <v>Argentina (ARG)</v>
      </c>
      <c r="D2" s="25">
        <v>1</v>
      </c>
      <c r="E2" s="23" t="s">
        <v>133</v>
      </c>
      <c r="F2" s="23" t="s">
        <v>339</v>
      </c>
      <c r="G2" s="26">
        <v>31701</v>
      </c>
      <c r="H2" s="65">
        <f>DATEDIF(Squads[[#This Row],[Date Of Birth]],World_Cup_Start_Date,"Y")</f>
        <v>36</v>
      </c>
      <c r="I2" s="27">
        <v>18</v>
      </c>
      <c r="J2" s="27">
        <v>0</v>
      </c>
      <c r="K2" s="78" t="s">
        <v>1798</v>
      </c>
      <c r="L2" s="33" t="str">
        <f>_xlfn.XLOOKUP(Squads[[#This Row],[Current Club]],Clubs[Current Club],Clubs[Club_ID])</f>
        <v>ARG-01</v>
      </c>
      <c r="M2" s="33" t="str">
        <f>_xlfn.XLOOKUP(Squads[[#This Row],[National Team]],Football_Associations[Football Association],Football_Associations[World Cup Result])</f>
        <v>Winner</v>
      </c>
      <c r="N2" s="33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3" spans="1:14" ht="15" customHeight="1" x14ac:dyDescent="0.25">
      <c r="A3" s="33">
        <f t="shared" ref="A3:A66" si="0">A2+1</f>
        <v>1002</v>
      </c>
      <c r="B3" s="23" t="s">
        <v>13</v>
      </c>
      <c r="C3" s="23" t="str">
        <f>VLOOKUP(Squads[[#This Row],[National Team]],Qualified[],3,TRUE)</f>
        <v>Argentina (ARG)</v>
      </c>
      <c r="D3" s="25">
        <v>2</v>
      </c>
      <c r="E3" s="23" t="s">
        <v>135</v>
      </c>
      <c r="F3" s="23" t="s">
        <v>340</v>
      </c>
      <c r="G3" s="26">
        <v>35807</v>
      </c>
      <c r="H3" s="65">
        <f>DATEDIF(Squads[[#This Row],[Date Of Birth]],World_Cup_Start_Date,"Y")</f>
        <v>24</v>
      </c>
      <c r="I3" s="27">
        <v>16</v>
      </c>
      <c r="J3" s="27">
        <v>0</v>
      </c>
      <c r="K3" s="78" t="s">
        <v>1702</v>
      </c>
      <c r="L3" s="27" t="str">
        <f>_xlfn.XLOOKUP(Squads[[#This Row],[Current Club]],Clubs[Current Club],Clubs[Club_ID])</f>
        <v>ESP-06</v>
      </c>
      <c r="M3" s="27" t="str">
        <f>_xlfn.XLOOKUP(Squads[[#This Row],[National Team]],Football_Associations[Football Association],Football_Associations[World Cup Result])</f>
        <v>Winner</v>
      </c>
      <c r="N3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" spans="1:14" ht="15" customHeight="1" x14ac:dyDescent="0.25">
      <c r="A4" s="33">
        <f t="shared" si="0"/>
        <v>1003</v>
      </c>
      <c r="B4" s="23" t="s">
        <v>13</v>
      </c>
      <c r="C4" s="23" t="str">
        <f>VLOOKUP(Squads[[#This Row],[National Team]],Qualified[],3,TRUE)</f>
        <v>Argentina (ARG)</v>
      </c>
      <c r="D4" s="25">
        <v>3</v>
      </c>
      <c r="E4" s="23" t="s">
        <v>135</v>
      </c>
      <c r="F4" s="23" t="s">
        <v>341</v>
      </c>
      <c r="G4" s="26">
        <v>33847</v>
      </c>
      <c r="H4" s="65">
        <f>DATEDIF(Squads[[#This Row],[Date Of Birth]],World_Cup_Start_Date,"Y")</f>
        <v>30</v>
      </c>
      <c r="I4" s="27">
        <v>42</v>
      </c>
      <c r="J4" s="27">
        <v>0</v>
      </c>
      <c r="K4" s="78" t="s">
        <v>1789</v>
      </c>
      <c r="L4" s="27" t="str">
        <f>_xlfn.XLOOKUP(Squads[[#This Row],[Current Club]],Clubs[Current Club],Clubs[Club_ID])</f>
        <v>FRA-09</v>
      </c>
      <c r="M4" s="27" t="str">
        <f>_xlfn.XLOOKUP(Squads[[#This Row],[National Team]],Football_Associations[Football Association],Football_Associations[World Cup Result])</f>
        <v>Winner</v>
      </c>
      <c r="N4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5" spans="1:14" ht="15" customHeight="1" x14ac:dyDescent="0.25">
      <c r="A5" s="33">
        <f t="shared" si="0"/>
        <v>1004</v>
      </c>
      <c r="B5" s="23" t="s">
        <v>13</v>
      </c>
      <c r="C5" s="23" t="str">
        <f>VLOOKUP(Squads[[#This Row],[National Team]],Qualified[],3,TRUE)</f>
        <v>Argentina (ARG)</v>
      </c>
      <c r="D5" s="25">
        <v>4</v>
      </c>
      <c r="E5" s="23" t="s">
        <v>135</v>
      </c>
      <c r="F5" s="23" t="s">
        <v>342</v>
      </c>
      <c r="G5" s="26">
        <v>35431</v>
      </c>
      <c r="H5" s="65">
        <f>DATEDIF(Squads[[#This Row],[Date Of Birth]],World_Cup_Start_Date,"Y")</f>
        <v>25</v>
      </c>
      <c r="I5" s="27">
        <v>18</v>
      </c>
      <c r="J5" s="27">
        <v>0</v>
      </c>
      <c r="K5" s="78" t="s">
        <v>1668</v>
      </c>
      <c r="L5" s="27" t="str">
        <f>_xlfn.XLOOKUP(Squads[[#This Row],[Current Club]],Clubs[Current Club],Clubs[Club_ID])</f>
        <v>ESP-04</v>
      </c>
      <c r="M5" s="27" t="str">
        <f>_xlfn.XLOOKUP(Squads[[#This Row],[National Team]],Football_Associations[Football Association],Football_Associations[World Cup Result])</f>
        <v>Winner</v>
      </c>
      <c r="N5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6" spans="1:14" ht="15" customHeight="1" x14ac:dyDescent="0.25">
      <c r="A6" s="33">
        <f t="shared" si="0"/>
        <v>1005</v>
      </c>
      <c r="B6" s="23" t="s">
        <v>13</v>
      </c>
      <c r="C6" s="23" t="str">
        <f>VLOOKUP(Squads[[#This Row],[National Team]],Qualified[],3,TRUE)</f>
        <v>Argentina (ARG)</v>
      </c>
      <c r="D6" s="25">
        <v>5</v>
      </c>
      <c r="E6" s="23" t="s">
        <v>139</v>
      </c>
      <c r="F6" s="23" t="s">
        <v>343</v>
      </c>
      <c r="G6" s="26">
        <v>34514</v>
      </c>
      <c r="H6" s="65">
        <f>DATEDIF(Squads[[#This Row],[Date Of Birth]],World_Cup_Start_Date,"Y")</f>
        <v>28</v>
      </c>
      <c r="I6" s="27">
        <v>46</v>
      </c>
      <c r="J6" s="27">
        <v>4</v>
      </c>
      <c r="K6" s="78" t="s">
        <v>1664</v>
      </c>
      <c r="L6" s="27" t="str">
        <f>_xlfn.XLOOKUP(Squads[[#This Row],[Current Club]],Clubs[Current Club],Clubs[Club_ID])</f>
        <v>ITA-01</v>
      </c>
      <c r="M6" s="27" t="str">
        <f>_xlfn.XLOOKUP(Squads[[#This Row],[National Team]],Football_Associations[Football Association],Football_Associations[World Cup Result])</f>
        <v>Winner</v>
      </c>
      <c r="N6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7" spans="1:14" ht="15" customHeight="1" x14ac:dyDescent="0.25">
      <c r="A7" s="33">
        <f t="shared" si="0"/>
        <v>1006</v>
      </c>
      <c r="B7" s="23" t="s">
        <v>13</v>
      </c>
      <c r="C7" s="23" t="str">
        <f>VLOOKUP(Squads[[#This Row],[National Team]],Qualified[],3,TRUE)</f>
        <v>Argentina (ARG)</v>
      </c>
      <c r="D7" s="25">
        <v>6</v>
      </c>
      <c r="E7" s="23" t="s">
        <v>135</v>
      </c>
      <c r="F7" s="23" t="s">
        <v>344</v>
      </c>
      <c r="G7" s="26">
        <v>33416</v>
      </c>
      <c r="H7" s="65">
        <f>DATEDIF(Squads[[#This Row],[Date Of Birth]],World_Cup_Start_Date,"Y")</f>
        <v>31</v>
      </c>
      <c r="I7" s="27">
        <v>32</v>
      </c>
      <c r="J7" s="27">
        <v>2</v>
      </c>
      <c r="K7" s="78" t="s">
        <v>1699</v>
      </c>
      <c r="L7" s="27" t="str">
        <f>_xlfn.XLOOKUP(Squads[[#This Row],[Current Club]],Clubs[Current Club],Clubs[Club_ID])</f>
        <v>ESP-05</v>
      </c>
      <c r="M7" s="27" t="str">
        <f>_xlfn.XLOOKUP(Squads[[#This Row],[National Team]],Football_Associations[Football Association],Football_Associations[World Cup Result])</f>
        <v>Winner</v>
      </c>
      <c r="N7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8" spans="1:14" ht="15" customHeight="1" x14ac:dyDescent="0.25">
      <c r="A8" s="33">
        <f t="shared" si="0"/>
        <v>1007</v>
      </c>
      <c r="B8" s="23" t="s">
        <v>13</v>
      </c>
      <c r="C8" s="23" t="str">
        <f>VLOOKUP(Squads[[#This Row],[National Team]],Qualified[],3,TRUE)</f>
        <v>Argentina (ARG)</v>
      </c>
      <c r="D8" s="25">
        <v>7</v>
      </c>
      <c r="E8" s="23" t="s">
        <v>139</v>
      </c>
      <c r="F8" s="23" t="s">
        <v>345</v>
      </c>
      <c r="G8" s="26">
        <v>34478</v>
      </c>
      <c r="H8" s="65">
        <f>DATEDIF(Squads[[#This Row],[Date Of Birth]],World_Cup_Start_Date,"Y")</f>
        <v>28</v>
      </c>
      <c r="I8" s="27">
        <v>44</v>
      </c>
      <c r="J8" s="27">
        <v>2</v>
      </c>
      <c r="K8" s="78" t="s">
        <v>1660</v>
      </c>
      <c r="L8" s="27" t="str">
        <f>_xlfn.XLOOKUP(Squads[[#This Row],[Current Club]],Clubs[Current Club],Clubs[Club_ID])</f>
        <v>ESP-03</v>
      </c>
      <c r="M8" s="27" t="str">
        <f>_xlfn.XLOOKUP(Squads[[#This Row],[National Team]],Football_Associations[Football Association],Football_Associations[World Cup Result])</f>
        <v>Winner</v>
      </c>
      <c r="N8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9" spans="1:14" ht="15" customHeight="1" x14ac:dyDescent="0.25">
      <c r="A9" s="33">
        <f t="shared" si="0"/>
        <v>1008</v>
      </c>
      <c r="B9" s="23" t="s">
        <v>13</v>
      </c>
      <c r="C9" s="23" t="str">
        <f>VLOOKUP(Squads[[#This Row],[National Team]],Qualified[],3,TRUE)</f>
        <v>Argentina (ARG)</v>
      </c>
      <c r="D9" s="25">
        <v>8</v>
      </c>
      <c r="E9" s="23" t="s">
        <v>139</v>
      </c>
      <c r="F9" s="23" t="s">
        <v>346</v>
      </c>
      <c r="G9" s="26">
        <v>33539</v>
      </c>
      <c r="H9" s="65">
        <f>DATEDIF(Squads[[#This Row],[Date Of Birth]],World_Cup_Start_Date,"Y")</f>
        <v>31</v>
      </c>
      <c r="I9" s="27">
        <v>43</v>
      </c>
      <c r="J9" s="27">
        <v>0</v>
      </c>
      <c r="K9" s="78" t="s">
        <v>1668</v>
      </c>
      <c r="L9" s="27" t="str">
        <f>_xlfn.XLOOKUP(Squads[[#This Row],[Current Club]],Clubs[Current Club],Clubs[Club_ID])</f>
        <v>ESP-04</v>
      </c>
      <c r="M9" s="27" t="str">
        <f>_xlfn.XLOOKUP(Squads[[#This Row],[National Team]],Football_Associations[Football Association],Football_Associations[World Cup Result])</f>
        <v>Winner</v>
      </c>
      <c r="N9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0" spans="1:14" ht="15" customHeight="1" x14ac:dyDescent="0.25">
      <c r="A10" s="33">
        <f t="shared" si="0"/>
        <v>1009</v>
      </c>
      <c r="B10" s="23" t="s">
        <v>13</v>
      </c>
      <c r="C10" s="23" t="str">
        <f>VLOOKUP(Squads[[#This Row],[National Team]],Qualified[],3,TRUE)</f>
        <v>Argentina (ARG)</v>
      </c>
      <c r="D10" s="25">
        <v>9</v>
      </c>
      <c r="E10" s="23" t="s">
        <v>146</v>
      </c>
      <c r="F10" s="23" t="s">
        <v>347</v>
      </c>
      <c r="G10" s="26">
        <v>36556</v>
      </c>
      <c r="H10" s="65">
        <f>DATEDIF(Squads[[#This Row],[Date Of Birth]],World_Cup_Start_Date,"Y")</f>
        <v>22</v>
      </c>
      <c r="I10" s="27">
        <v>12</v>
      </c>
      <c r="J10" s="27">
        <v>3</v>
      </c>
      <c r="K10" s="78" t="s">
        <v>1655</v>
      </c>
      <c r="L10" s="27" t="str">
        <f>_xlfn.XLOOKUP(Squads[[#This Row],[Current Club]],Clubs[Current Club],Clubs[Club_ID])</f>
        <v>ENG-01</v>
      </c>
      <c r="M10" s="27" t="str">
        <f>_xlfn.XLOOKUP(Squads[[#This Row],[National Team]],Football_Associations[Football Association],Football_Associations[World Cup Result])</f>
        <v>Winner</v>
      </c>
      <c r="N10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1" spans="1:14" ht="15" customHeight="1" x14ac:dyDescent="0.25">
      <c r="A11" s="33">
        <f t="shared" si="0"/>
        <v>1010</v>
      </c>
      <c r="B11" s="23" t="s">
        <v>13</v>
      </c>
      <c r="C11" s="23" t="str">
        <f>VLOOKUP(Squads[[#This Row],[National Team]],Qualified[],3,TRUE)</f>
        <v>Argentina (ARG)</v>
      </c>
      <c r="D11" s="25">
        <v>10</v>
      </c>
      <c r="E11" s="23" t="s">
        <v>146</v>
      </c>
      <c r="F11" s="27" t="s">
        <v>946</v>
      </c>
      <c r="G11" s="26">
        <v>31952</v>
      </c>
      <c r="H11" s="65">
        <f>DATEDIF(Squads[[#This Row],[Date Of Birth]],World_Cup_Start_Date,"Y")</f>
        <v>35</v>
      </c>
      <c r="I11" s="27">
        <v>165</v>
      </c>
      <c r="J11" s="27">
        <v>91</v>
      </c>
      <c r="K11" s="78" t="s">
        <v>1665</v>
      </c>
      <c r="L11" s="27" t="str">
        <f>_xlfn.XLOOKUP(Squads[[#This Row],[Current Club]],Clubs[Current Club],Clubs[Club_ID])</f>
        <v>FRA-01</v>
      </c>
      <c r="M11" s="27" t="str">
        <f>_xlfn.XLOOKUP(Squads[[#This Row],[National Team]],Football_Associations[Football Association],Football_Associations[World Cup Result])</f>
        <v>Winner</v>
      </c>
      <c r="N11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2" spans="1:14" ht="15" customHeight="1" x14ac:dyDescent="0.25">
      <c r="A12" s="33">
        <f t="shared" si="0"/>
        <v>1011</v>
      </c>
      <c r="B12" s="23" t="s">
        <v>13</v>
      </c>
      <c r="C12" s="23" t="str">
        <f>VLOOKUP(Squads[[#This Row],[National Team]],Qualified[],3,TRUE)</f>
        <v>Argentina (ARG)</v>
      </c>
      <c r="D12" s="25">
        <v>11</v>
      </c>
      <c r="E12" s="23" t="s">
        <v>146</v>
      </c>
      <c r="F12" s="23" t="s">
        <v>348</v>
      </c>
      <c r="G12" s="26">
        <v>32187</v>
      </c>
      <c r="H12" s="65">
        <f>DATEDIF(Squads[[#This Row],[Date Of Birth]],World_Cup_Start_Date,"Y")</f>
        <v>34</v>
      </c>
      <c r="I12" s="27">
        <v>124</v>
      </c>
      <c r="J12" s="27">
        <v>27</v>
      </c>
      <c r="K12" s="78" t="s">
        <v>1664</v>
      </c>
      <c r="L12" s="27" t="str">
        <f>_xlfn.XLOOKUP(Squads[[#This Row],[Current Club]],Clubs[Current Club],Clubs[Club_ID])</f>
        <v>ITA-01</v>
      </c>
      <c r="M12" s="27" t="str">
        <f>_xlfn.XLOOKUP(Squads[[#This Row],[National Team]],Football_Associations[Football Association],Football_Associations[World Cup Result])</f>
        <v>Winner</v>
      </c>
      <c r="N12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3" spans="1:14" ht="15" customHeight="1" x14ac:dyDescent="0.25">
      <c r="A13" s="33">
        <f t="shared" si="0"/>
        <v>1012</v>
      </c>
      <c r="B13" s="23" t="s">
        <v>13</v>
      </c>
      <c r="C13" s="23" t="str">
        <f>VLOOKUP(Squads[[#This Row],[National Team]],Qualified[],3,TRUE)</f>
        <v>Argentina (ARG)</v>
      </c>
      <c r="D13" s="25">
        <v>12</v>
      </c>
      <c r="E13" s="23" t="s">
        <v>133</v>
      </c>
      <c r="F13" s="23" t="s">
        <v>349</v>
      </c>
      <c r="G13" s="26">
        <v>33744</v>
      </c>
      <c r="H13" s="65">
        <f>DATEDIF(Squads[[#This Row],[Date Of Birth]],World_Cup_Start_Date,"Y")</f>
        <v>30</v>
      </c>
      <c r="I13" s="27">
        <v>4</v>
      </c>
      <c r="J13" s="27">
        <v>0</v>
      </c>
      <c r="K13" s="78" t="s">
        <v>1702</v>
      </c>
      <c r="L13" s="27" t="str">
        <f>_xlfn.XLOOKUP(Squads[[#This Row],[Current Club]],Clubs[Current Club],Clubs[Club_ID])</f>
        <v>ESP-06</v>
      </c>
      <c r="M13" s="27" t="str">
        <f>_xlfn.XLOOKUP(Squads[[#This Row],[National Team]],Football_Associations[Football Association],Football_Associations[World Cup Result])</f>
        <v>Winner</v>
      </c>
      <c r="N13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4" spans="1:14" ht="15" customHeight="1" x14ac:dyDescent="0.25">
      <c r="A14" s="33">
        <f t="shared" si="0"/>
        <v>1013</v>
      </c>
      <c r="B14" s="23" t="s">
        <v>13</v>
      </c>
      <c r="C14" s="23" t="str">
        <f>VLOOKUP(Squads[[#This Row],[National Team]],Qualified[],3,TRUE)</f>
        <v>Argentina (ARG)</v>
      </c>
      <c r="D14" s="25">
        <v>13</v>
      </c>
      <c r="E14" s="23" t="s">
        <v>135</v>
      </c>
      <c r="F14" s="23" t="s">
        <v>350</v>
      </c>
      <c r="G14" s="26">
        <v>35912</v>
      </c>
      <c r="H14" s="65">
        <f>DATEDIF(Squads[[#This Row],[Date Of Birth]],World_Cup_Start_Date,"Y")</f>
        <v>24</v>
      </c>
      <c r="I14" s="27">
        <v>12</v>
      </c>
      <c r="J14" s="27">
        <v>1</v>
      </c>
      <c r="K14" s="78" t="s">
        <v>1666</v>
      </c>
      <c r="L14" s="27" t="str">
        <f>_xlfn.XLOOKUP(Squads[[#This Row],[Current Club]],Clubs[Current Club],Clubs[Club_ID])</f>
        <v>ENG-04</v>
      </c>
      <c r="M14" s="27" t="str">
        <f>_xlfn.XLOOKUP(Squads[[#This Row],[National Team]],Football_Associations[Football Association],Football_Associations[World Cup Result])</f>
        <v>Winner</v>
      </c>
      <c r="N14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5" spans="1:14" ht="15" customHeight="1" x14ac:dyDescent="0.25">
      <c r="A15" s="33">
        <f t="shared" si="0"/>
        <v>1014</v>
      </c>
      <c r="B15" s="23" t="s">
        <v>13</v>
      </c>
      <c r="C15" s="23" t="str">
        <f>VLOOKUP(Squads[[#This Row],[National Team]],Qualified[],3,TRUE)</f>
        <v>Argentina (ARG)</v>
      </c>
      <c r="D15" s="25">
        <v>14</v>
      </c>
      <c r="E15" s="23" t="s">
        <v>139</v>
      </c>
      <c r="F15" s="23" t="s">
        <v>351</v>
      </c>
      <c r="G15" s="26">
        <v>36073</v>
      </c>
      <c r="H15" s="65">
        <f>DATEDIF(Squads[[#This Row],[Date Of Birth]],World_Cup_Start_Date,"Y")</f>
        <v>24</v>
      </c>
      <c r="I15" s="27">
        <v>20</v>
      </c>
      <c r="J15" s="27">
        <v>0</v>
      </c>
      <c r="K15" s="78" t="s">
        <v>1707</v>
      </c>
      <c r="L15" s="27" t="str">
        <f>_xlfn.XLOOKUP(Squads[[#This Row],[Current Club]],Clubs[Current Club],Clubs[Club_ID])</f>
        <v>GER-07</v>
      </c>
      <c r="M15" s="27" t="str">
        <f>_xlfn.XLOOKUP(Squads[[#This Row],[National Team]],Football_Associations[Football Association],Football_Associations[World Cup Result])</f>
        <v>Winner</v>
      </c>
      <c r="N15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6" spans="1:14" ht="15" customHeight="1" x14ac:dyDescent="0.25">
      <c r="A16" s="33">
        <f t="shared" si="0"/>
        <v>1015</v>
      </c>
      <c r="B16" s="23" t="s">
        <v>13</v>
      </c>
      <c r="C16" s="23" t="str">
        <f>VLOOKUP(Squads[[#This Row],[National Team]],Qualified[],3,TRUE)</f>
        <v>Argentina (ARG)</v>
      </c>
      <c r="D16" s="25">
        <v>15</v>
      </c>
      <c r="E16" s="23" t="s">
        <v>146</v>
      </c>
      <c r="F16" s="23" t="s">
        <v>352</v>
      </c>
      <c r="G16" s="26">
        <v>34767</v>
      </c>
      <c r="H16" s="65">
        <f>DATEDIF(Squads[[#This Row],[Date Of Birth]],World_Cup_Start_Date,"Y")</f>
        <v>27</v>
      </c>
      <c r="I16" s="27">
        <v>22</v>
      </c>
      <c r="J16" s="27">
        <v>3</v>
      </c>
      <c r="K16" s="78" t="s">
        <v>1660</v>
      </c>
      <c r="L16" s="27" t="str">
        <f>_xlfn.XLOOKUP(Squads[[#This Row],[Current Club]],Clubs[Current Club],Clubs[Club_ID])</f>
        <v>ESP-03</v>
      </c>
      <c r="M16" s="27" t="str">
        <f>_xlfn.XLOOKUP(Squads[[#This Row],[National Team]],Football_Associations[Football Association],Football_Associations[World Cup Result])</f>
        <v>Winner</v>
      </c>
      <c r="N16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7" spans="1:14" ht="15" customHeight="1" x14ac:dyDescent="0.25">
      <c r="A17" s="33">
        <f t="shared" si="0"/>
        <v>1016</v>
      </c>
      <c r="B17" s="23" t="s">
        <v>13</v>
      </c>
      <c r="C17" s="23" t="str">
        <f>VLOOKUP(Squads[[#This Row],[National Team]],Qualified[],3,TRUE)</f>
        <v>Argentina (ARG)</v>
      </c>
      <c r="D17" s="25">
        <v>16</v>
      </c>
      <c r="E17" s="23" t="s">
        <v>139</v>
      </c>
      <c r="F17" s="23" t="s">
        <v>353</v>
      </c>
      <c r="G17" s="26">
        <v>37007</v>
      </c>
      <c r="H17" s="65">
        <f>DATEDIF(Squads[[#This Row],[Date Of Birth]],World_Cup_Start_Date,"Y")</f>
        <v>21</v>
      </c>
      <c r="I17" s="27">
        <v>1</v>
      </c>
      <c r="J17" s="27">
        <v>0</v>
      </c>
      <c r="K17" s="78" t="s">
        <v>1826</v>
      </c>
      <c r="L17" s="27" t="str">
        <f>_xlfn.XLOOKUP(Squads[[#This Row],[Current Club]],Clubs[Current Club],Clubs[Club_ID])</f>
        <v>USA-06</v>
      </c>
      <c r="M17" s="27" t="str">
        <f>_xlfn.XLOOKUP(Squads[[#This Row],[National Team]],Football_Associations[Football Association],Football_Associations[World Cup Result])</f>
        <v>Winner</v>
      </c>
      <c r="N17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8" spans="1:14" ht="15" customHeight="1" x14ac:dyDescent="0.25">
      <c r="A18" s="33">
        <f t="shared" si="0"/>
        <v>1017</v>
      </c>
      <c r="B18" s="23" t="s">
        <v>13</v>
      </c>
      <c r="C18" s="23" t="str">
        <f>VLOOKUP(Squads[[#This Row],[National Team]],Qualified[],3,TRUE)</f>
        <v>Argentina (ARG)</v>
      </c>
      <c r="D18" s="25">
        <v>17</v>
      </c>
      <c r="E18" s="23" t="s">
        <v>139</v>
      </c>
      <c r="F18" s="23" t="s">
        <v>354</v>
      </c>
      <c r="G18" s="26">
        <v>32188</v>
      </c>
      <c r="H18" s="65">
        <f>DATEDIF(Squads[[#This Row],[Date Of Birth]],World_Cup_Start_Date,"Y")</f>
        <v>34</v>
      </c>
      <c r="I18" s="27">
        <v>15</v>
      </c>
      <c r="J18" s="27">
        <v>3</v>
      </c>
      <c r="K18" s="78" t="s">
        <v>1668</v>
      </c>
      <c r="L18" s="27" t="str">
        <f>_xlfn.XLOOKUP(Squads[[#This Row],[Current Club]],Clubs[Current Club],Clubs[Club_ID])</f>
        <v>ESP-04</v>
      </c>
      <c r="M18" s="27" t="str">
        <f>_xlfn.XLOOKUP(Squads[[#This Row],[National Team]],Football_Associations[Football Association],Football_Associations[World Cup Result])</f>
        <v>Winner</v>
      </c>
      <c r="N18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9" spans="1:14" ht="15" customHeight="1" x14ac:dyDescent="0.25">
      <c r="A19" s="33">
        <f t="shared" si="0"/>
        <v>1018</v>
      </c>
      <c r="B19" s="23" t="s">
        <v>13</v>
      </c>
      <c r="C19" s="23" t="str">
        <f>VLOOKUP(Squads[[#This Row],[National Team]],Qualified[],3,TRUE)</f>
        <v>Argentina (ARG)</v>
      </c>
      <c r="D19" s="25">
        <v>18</v>
      </c>
      <c r="E19" s="23" t="s">
        <v>139</v>
      </c>
      <c r="F19" s="23" t="s">
        <v>355</v>
      </c>
      <c r="G19" s="26">
        <v>34436</v>
      </c>
      <c r="H19" s="65">
        <f>DATEDIF(Squads[[#This Row],[Date Of Birth]],World_Cup_Start_Date,"Y")</f>
        <v>28</v>
      </c>
      <c r="I19" s="27">
        <v>26</v>
      </c>
      <c r="J19" s="27">
        <v>1</v>
      </c>
      <c r="K19" s="78" t="s">
        <v>1699</v>
      </c>
      <c r="L19" s="27" t="str">
        <f>_xlfn.XLOOKUP(Squads[[#This Row],[Current Club]],Clubs[Current Club],Clubs[Club_ID])</f>
        <v>ESP-05</v>
      </c>
      <c r="M19" s="27" t="str">
        <f>_xlfn.XLOOKUP(Squads[[#This Row],[National Team]],Football_Associations[Football Association],Football_Associations[World Cup Result])</f>
        <v>Winner</v>
      </c>
      <c r="N19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0" spans="1:14" ht="15" customHeight="1" x14ac:dyDescent="0.25">
      <c r="A20" s="33">
        <f t="shared" si="0"/>
        <v>1019</v>
      </c>
      <c r="B20" s="23" t="s">
        <v>13</v>
      </c>
      <c r="C20" s="23" t="str">
        <f>VLOOKUP(Squads[[#This Row],[National Team]],Qualified[],3,TRUE)</f>
        <v>Argentina (ARG)</v>
      </c>
      <c r="D20" s="25">
        <v>19</v>
      </c>
      <c r="E20" s="23" t="s">
        <v>135</v>
      </c>
      <c r="F20" s="23" t="s">
        <v>356</v>
      </c>
      <c r="G20" s="26">
        <v>32185</v>
      </c>
      <c r="H20" s="65">
        <f>DATEDIF(Squads[[#This Row],[Date Of Birth]],World_Cup_Start_Date,"Y")</f>
        <v>34</v>
      </c>
      <c r="I20" s="27">
        <v>93</v>
      </c>
      <c r="J20" s="27">
        <v>4</v>
      </c>
      <c r="K20" s="78" t="s">
        <v>1679</v>
      </c>
      <c r="L20" s="27" t="str">
        <f>_xlfn.XLOOKUP(Squads[[#This Row],[Current Club]],Clubs[Current Club],Clubs[Club_ID])</f>
        <v>POR-01</v>
      </c>
      <c r="M20" s="27" t="str">
        <f>_xlfn.XLOOKUP(Squads[[#This Row],[National Team]],Football_Associations[Football Association],Football_Associations[World Cup Result])</f>
        <v>Winner</v>
      </c>
      <c r="N20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1" spans="1:14" ht="15" customHeight="1" x14ac:dyDescent="0.25">
      <c r="A21" s="33">
        <f t="shared" si="0"/>
        <v>1020</v>
      </c>
      <c r="B21" s="23" t="s">
        <v>13</v>
      </c>
      <c r="C21" s="23" t="str">
        <f>VLOOKUP(Squads[[#This Row],[National Team]],Qualified[],3,TRUE)</f>
        <v>Argentina (ARG)</v>
      </c>
      <c r="D21" s="25">
        <v>20</v>
      </c>
      <c r="E21" s="23" t="s">
        <v>139</v>
      </c>
      <c r="F21" s="23" t="s">
        <v>357</v>
      </c>
      <c r="G21" s="26">
        <v>36153</v>
      </c>
      <c r="H21" s="65">
        <f>DATEDIF(Squads[[#This Row],[Date Of Birth]],World_Cup_Start_Date,"Y")</f>
        <v>23</v>
      </c>
      <c r="I21" s="27">
        <v>8</v>
      </c>
      <c r="J21" s="27">
        <v>0</v>
      </c>
      <c r="K21" s="78" t="s">
        <v>1669</v>
      </c>
      <c r="L21" s="27" t="str">
        <f>_xlfn.XLOOKUP(Squads[[#This Row],[Current Club]],Clubs[Current Club],Clubs[Club_ID])</f>
        <v>ENG-06</v>
      </c>
      <c r="M21" s="27" t="str">
        <f>_xlfn.XLOOKUP(Squads[[#This Row],[National Team]],Football_Associations[Football Association],Football_Associations[World Cup Result])</f>
        <v>Winner</v>
      </c>
      <c r="N21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2" spans="1:14" ht="15" customHeight="1" x14ac:dyDescent="0.25">
      <c r="A22" s="33">
        <f t="shared" si="0"/>
        <v>1021</v>
      </c>
      <c r="B22" s="23" t="s">
        <v>13</v>
      </c>
      <c r="C22" s="23" t="str">
        <f>VLOOKUP(Squads[[#This Row],[National Team]],Qualified[],3,TRUE)</f>
        <v>Argentina (ARG)</v>
      </c>
      <c r="D22" s="25">
        <v>21</v>
      </c>
      <c r="E22" s="23" t="s">
        <v>146</v>
      </c>
      <c r="F22" s="23" t="s">
        <v>358</v>
      </c>
      <c r="G22" s="26">
        <v>34288</v>
      </c>
      <c r="H22" s="65">
        <f>DATEDIF(Squads[[#This Row],[Date Of Birth]],World_Cup_Start_Date,"Y")</f>
        <v>29</v>
      </c>
      <c r="I22" s="27">
        <v>34</v>
      </c>
      <c r="J22" s="27">
        <v>3</v>
      </c>
      <c r="K22" s="78" t="s">
        <v>1718</v>
      </c>
      <c r="L22" s="27" t="str">
        <f>_xlfn.XLOOKUP(Squads[[#This Row],[Current Club]],Clubs[Current Club],Clubs[Club_ID])</f>
        <v>ITA-09</v>
      </c>
      <c r="M22" s="27" t="str">
        <f>_xlfn.XLOOKUP(Squads[[#This Row],[National Team]],Football_Associations[Football Association],Football_Associations[World Cup Result])</f>
        <v>Winner</v>
      </c>
      <c r="N22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3" spans="1:14" ht="15" customHeight="1" x14ac:dyDescent="0.25">
      <c r="A23" s="33">
        <f t="shared" si="0"/>
        <v>1022</v>
      </c>
      <c r="B23" s="23" t="s">
        <v>13</v>
      </c>
      <c r="C23" s="23" t="str">
        <f>VLOOKUP(Squads[[#This Row],[National Team]],Qualified[],3,TRUE)</f>
        <v>Argentina (ARG)</v>
      </c>
      <c r="D23" s="25">
        <v>22</v>
      </c>
      <c r="E23" s="23" t="s">
        <v>146</v>
      </c>
      <c r="F23" s="23" t="s">
        <v>359</v>
      </c>
      <c r="G23" s="26">
        <v>35664</v>
      </c>
      <c r="H23" s="65">
        <f>DATEDIF(Squads[[#This Row],[Date Of Birth]],World_Cup_Start_Date,"Y")</f>
        <v>25</v>
      </c>
      <c r="I23" s="27">
        <v>40</v>
      </c>
      <c r="J23" s="27">
        <v>21</v>
      </c>
      <c r="K23" s="78" t="s">
        <v>1685</v>
      </c>
      <c r="L23" s="27" t="str">
        <f>_xlfn.XLOOKUP(Squads[[#This Row],[Current Club]],Clubs[Current Club],Clubs[Club_ID])</f>
        <v>ITA-03</v>
      </c>
      <c r="M23" s="27" t="str">
        <f>_xlfn.XLOOKUP(Squads[[#This Row],[National Team]],Football_Associations[Football Association],Football_Associations[World Cup Result])</f>
        <v>Winner</v>
      </c>
      <c r="N23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4" spans="1:14" ht="15" customHeight="1" x14ac:dyDescent="0.25">
      <c r="A24" s="33">
        <f t="shared" si="0"/>
        <v>1023</v>
      </c>
      <c r="B24" s="23" t="s">
        <v>13</v>
      </c>
      <c r="C24" s="23" t="str">
        <f>VLOOKUP(Squads[[#This Row],[National Team]],Qualified[],3,TRUE)</f>
        <v>Argentina (ARG)</v>
      </c>
      <c r="D24" s="25">
        <v>23</v>
      </c>
      <c r="E24" s="23" t="s">
        <v>133</v>
      </c>
      <c r="F24" s="23" t="s">
        <v>360</v>
      </c>
      <c r="G24" s="26">
        <v>33849</v>
      </c>
      <c r="H24" s="65">
        <f>DATEDIF(Squads[[#This Row],[Date Of Birth]],World_Cup_Start_Date,"Y")</f>
        <v>30</v>
      </c>
      <c r="I24" s="27">
        <v>19</v>
      </c>
      <c r="J24" s="27">
        <v>0</v>
      </c>
      <c r="K24" s="78" t="s">
        <v>1705</v>
      </c>
      <c r="L24" s="27" t="str">
        <f>_xlfn.XLOOKUP(Squads[[#This Row],[Current Club]],Clubs[Current Club],Clubs[Club_ID])</f>
        <v>ENG-15</v>
      </c>
      <c r="M24" s="27" t="str">
        <f>_xlfn.XLOOKUP(Squads[[#This Row],[National Team]],Football_Associations[Football Association],Football_Associations[World Cup Result])</f>
        <v>Winner</v>
      </c>
      <c r="N24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5" spans="1:14" ht="15" customHeight="1" x14ac:dyDescent="0.25">
      <c r="A25" s="33">
        <f t="shared" si="0"/>
        <v>1024</v>
      </c>
      <c r="B25" s="23" t="s">
        <v>13</v>
      </c>
      <c r="C25" s="23" t="str">
        <f>VLOOKUP(Squads[[#This Row],[National Team]],Qualified[],3,TRUE)</f>
        <v>Argentina (ARG)</v>
      </c>
      <c r="D25" s="25">
        <v>24</v>
      </c>
      <c r="E25" s="23" t="s">
        <v>139</v>
      </c>
      <c r="F25" s="23" t="s">
        <v>361</v>
      </c>
      <c r="G25" s="26">
        <v>36908</v>
      </c>
      <c r="H25" s="65">
        <f>DATEDIF(Squads[[#This Row],[Date Of Birth]],World_Cup_Start_Date,"Y")</f>
        <v>21</v>
      </c>
      <c r="I25" s="27">
        <v>3</v>
      </c>
      <c r="J25" s="27">
        <v>0</v>
      </c>
      <c r="K25" s="78" t="s">
        <v>1679</v>
      </c>
      <c r="L25" s="27" t="str">
        <f>_xlfn.XLOOKUP(Squads[[#This Row],[Current Club]],Clubs[Current Club],Clubs[Club_ID])</f>
        <v>POR-01</v>
      </c>
      <c r="M25" s="27" t="str">
        <f>_xlfn.XLOOKUP(Squads[[#This Row],[National Team]],Football_Associations[Football Association],Football_Associations[World Cup Result])</f>
        <v>Winner</v>
      </c>
      <c r="N25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6" spans="1:14" ht="15" customHeight="1" x14ac:dyDescent="0.25">
      <c r="A26" s="33">
        <f t="shared" si="0"/>
        <v>1025</v>
      </c>
      <c r="B26" s="23" t="s">
        <v>13</v>
      </c>
      <c r="C26" s="23" t="str">
        <f>VLOOKUP(Squads[[#This Row],[National Team]],Qualified[],3,TRUE)</f>
        <v>Argentina (ARG)</v>
      </c>
      <c r="D26" s="25">
        <v>25</v>
      </c>
      <c r="E26" s="23" t="s">
        <v>135</v>
      </c>
      <c r="F26" s="23" t="s">
        <v>362</v>
      </c>
      <c r="G26" s="26">
        <v>35813</v>
      </c>
      <c r="H26" s="65">
        <f>DATEDIF(Squads[[#This Row],[Date Of Birth]],World_Cup_Start_Date,"Y")</f>
        <v>24</v>
      </c>
      <c r="I26" s="27">
        <v>10</v>
      </c>
      <c r="J26" s="27">
        <v>0</v>
      </c>
      <c r="K26" s="78" t="s">
        <v>1657</v>
      </c>
      <c r="L26" s="27" t="str">
        <f>_xlfn.XLOOKUP(Squads[[#This Row],[Current Club]],Clubs[Current Club],Clubs[Club_ID])</f>
        <v>ENG-02</v>
      </c>
      <c r="M26" s="27" t="str">
        <f>_xlfn.XLOOKUP(Squads[[#This Row],[National Team]],Football_Associations[Football Association],Football_Associations[World Cup Result])</f>
        <v>Winner</v>
      </c>
      <c r="N26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7" spans="1:14" ht="15" customHeight="1" x14ac:dyDescent="0.25">
      <c r="A27" s="33">
        <f t="shared" si="0"/>
        <v>1026</v>
      </c>
      <c r="B27" s="23" t="s">
        <v>13</v>
      </c>
      <c r="C27" s="23" t="str">
        <f>VLOOKUP(Squads[[#This Row],[National Team]],Qualified[],3,TRUE)</f>
        <v>Argentina (ARG)</v>
      </c>
      <c r="D27" s="25">
        <v>26</v>
      </c>
      <c r="E27" s="23" t="s">
        <v>135</v>
      </c>
      <c r="F27" s="23" t="s">
        <v>363</v>
      </c>
      <c r="G27" s="26">
        <v>35891</v>
      </c>
      <c r="H27" s="65">
        <f>DATEDIF(Squads[[#This Row],[Date Of Birth]],World_Cup_Start_Date,"Y")</f>
        <v>24</v>
      </c>
      <c r="I27" s="27">
        <v>20</v>
      </c>
      <c r="J27" s="27">
        <v>0</v>
      </c>
      <c r="K27" s="78" t="s">
        <v>1660</v>
      </c>
      <c r="L27" s="27" t="str">
        <f>_xlfn.XLOOKUP(Squads[[#This Row],[Current Club]],Clubs[Current Club],Clubs[Club_ID])</f>
        <v>ESP-03</v>
      </c>
      <c r="M27" s="27" t="str">
        <f>_xlfn.XLOOKUP(Squads[[#This Row],[National Team]],Football_Associations[Football Association],Football_Associations[World Cup Result])</f>
        <v>Winner</v>
      </c>
      <c r="N27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8" spans="1:14" ht="15" customHeight="1" x14ac:dyDescent="0.25">
      <c r="A28" s="33">
        <f t="shared" si="0"/>
        <v>1027</v>
      </c>
      <c r="B28" s="23" t="s">
        <v>21</v>
      </c>
      <c r="C28" s="23" t="str">
        <f>VLOOKUP(Squads[[#This Row],[National Team]],Qualified[],3,TRUE)</f>
        <v>Australia (AUS)</v>
      </c>
      <c r="D28" s="25">
        <v>1</v>
      </c>
      <c r="E28" s="23" t="s">
        <v>133</v>
      </c>
      <c r="F28" s="27" t="s">
        <v>985</v>
      </c>
      <c r="G28" s="26">
        <v>33702</v>
      </c>
      <c r="H28" s="65">
        <f>DATEDIF(Squads[[#This Row],[Date Of Birth]],World_Cup_Start_Date,"Y")</f>
        <v>30</v>
      </c>
      <c r="I28" s="27">
        <v>75</v>
      </c>
      <c r="J28" s="27">
        <v>0</v>
      </c>
      <c r="K28" s="78" t="s">
        <v>1728</v>
      </c>
      <c r="L28" s="27" t="str">
        <f>_xlfn.XLOOKUP(Squads[[#This Row],[Current Club]],Clubs[Current Club],Clubs[Club_ID])</f>
        <v>DEN-01</v>
      </c>
      <c r="M28" s="27" t="str">
        <f>_xlfn.XLOOKUP(Squads[[#This Row],[National Team]],Football_Associations[Football Association],Football_Associations[World Cup Result])</f>
        <v>Last 16</v>
      </c>
      <c r="N2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9" spans="1:14" ht="15" customHeight="1" x14ac:dyDescent="0.25">
      <c r="A29" s="33">
        <f t="shared" si="0"/>
        <v>1028</v>
      </c>
      <c r="B29" s="23" t="s">
        <v>21</v>
      </c>
      <c r="C29" s="23" t="str">
        <f>VLOOKUP(Squads[[#This Row],[National Team]],Qualified[],3,TRUE)</f>
        <v>Australia (AUS)</v>
      </c>
      <c r="D29" s="25">
        <v>2</v>
      </c>
      <c r="E29" s="23" t="s">
        <v>135</v>
      </c>
      <c r="F29" s="23" t="s">
        <v>439</v>
      </c>
      <c r="G29" s="26">
        <v>34452</v>
      </c>
      <c r="H29" s="65">
        <f>DATEDIF(Squads[[#This Row],[Date Of Birth]],World_Cup_Start_Date,"Y")</f>
        <v>28</v>
      </c>
      <c r="I29" s="27">
        <v>38</v>
      </c>
      <c r="J29" s="27">
        <v>1</v>
      </c>
      <c r="K29" s="78" t="s">
        <v>1844</v>
      </c>
      <c r="L29" s="27" t="str">
        <f>_xlfn.XLOOKUP(Squads[[#This Row],[Current Club]],Clubs[Current Club],Clubs[Club_ID])</f>
        <v>USA-09</v>
      </c>
      <c r="M29" s="27" t="str">
        <f>_xlfn.XLOOKUP(Squads[[#This Row],[National Team]],Football_Associations[Football Association],Football_Associations[World Cup Result])</f>
        <v>Last 16</v>
      </c>
      <c r="N2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0" spans="1:14" ht="15" customHeight="1" x14ac:dyDescent="0.25">
      <c r="A30" s="33">
        <f t="shared" si="0"/>
        <v>1029</v>
      </c>
      <c r="B30" s="23" t="s">
        <v>21</v>
      </c>
      <c r="C30" s="23" t="str">
        <f>VLOOKUP(Squads[[#This Row],[National Team]],Qualified[],3,TRUE)</f>
        <v>Australia (AUS)</v>
      </c>
      <c r="D30" s="25">
        <v>3</v>
      </c>
      <c r="E30" s="23" t="s">
        <v>135</v>
      </c>
      <c r="F30" s="23" t="s">
        <v>440</v>
      </c>
      <c r="G30" s="26">
        <v>36324</v>
      </c>
      <c r="H30" s="65">
        <f>DATEDIF(Squads[[#This Row],[Date Of Birth]],World_Cup_Start_Date,"Y")</f>
        <v>23</v>
      </c>
      <c r="I30" s="27">
        <v>5</v>
      </c>
      <c r="J30" s="27">
        <v>0</v>
      </c>
      <c r="K30" s="78" t="s">
        <v>1735</v>
      </c>
      <c r="L30" s="27" t="str">
        <f>_xlfn.XLOOKUP(Squads[[#This Row],[Current Club]],Clubs[Current Club],Clubs[Club_ID])</f>
        <v>SCO-02</v>
      </c>
      <c r="M30" s="27" t="str">
        <f>_xlfn.XLOOKUP(Squads[[#This Row],[National Team]],Football_Associations[Football Association],Football_Associations[World Cup Result])</f>
        <v>Last 16</v>
      </c>
      <c r="N3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1" spans="1:14" ht="15" customHeight="1" x14ac:dyDescent="0.25">
      <c r="A31" s="33">
        <f t="shared" si="0"/>
        <v>1030</v>
      </c>
      <c r="B31" s="23" t="s">
        <v>21</v>
      </c>
      <c r="C31" s="23" t="str">
        <f>VLOOKUP(Squads[[#This Row],[National Team]],Qualified[],3,TRUE)</f>
        <v>Australia (AUS)</v>
      </c>
      <c r="D31" s="25">
        <v>4</v>
      </c>
      <c r="E31" s="23" t="s">
        <v>135</v>
      </c>
      <c r="F31" s="23" t="s">
        <v>441</v>
      </c>
      <c r="G31" s="26">
        <v>35970</v>
      </c>
      <c r="H31" s="65">
        <f>DATEDIF(Squads[[#This Row],[Date Of Birth]],World_Cup_Start_Date,"Y")</f>
        <v>24</v>
      </c>
      <c r="I31" s="27">
        <v>3</v>
      </c>
      <c r="J31" s="27">
        <v>0</v>
      </c>
      <c r="K31" s="78" t="s">
        <v>1735</v>
      </c>
      <c r="L31" s="27" t="str">
        <f>_xlfn.XLOOKUP(Squads[[#This Row],[Current Club]],Clubs[Current Club],Clubs[Club_ID])</f>
        <v>SCO-02</v>
      </c>
      <c r="M31" s="27" t="str">
        <f>_xlfn.XLOOKUP(Squads[[#This Row],[National Team]],Football_Associations[Football Association],Football_Associations[World Cup Result])</f>
        <v>Last 16</v>
      </c>
      <c r="N3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2" spans="1:14" ht="15" customHeight="1" x14ac:dyDescent="0.25">
      <c r="A32" s="33">
        <f t="shared" si="0"/>
        <v>1031</v>
      </c>
      <c r="B32" s="23" t="s">
        <v>21</v>
      </c>
      <c r="C32" s="23" t="str">
        <f>VLOOKUP(Squads[[#This Row],[National Team]],Qualified[],3,TRUE)</f>
        <v>Australia (AUS)</v>
      </c>
      <c r="D32" s="25">
        <v>5</v>
      </c>
      <c r="E32" s="23" t="s">
        <v>135</v>
      </c>
      <c r="F32" s="23" t="s">
        <v>442</v>
      </c>
      <c r="G32" s="26">
        <v>35197</v>
      </c>
      <c r="H32" s="65">
        <f>DATEDIF(Squads[[#This Row],[Date Of Birth]],World_Cup_Start_Date,"Y")</f>
        <v>26</v>
      </c>
      <c r="I32" s="27">
        <v>11</v>
      </c>
      <c r="J32" s="27">
        <v>1</v>
      </c>
      <c r="K32" s="78" t="s">
        <v>1832</v>
      </c>
      <c r="L32" s="27" t="str">
        <f>_xlfn.XLOOKUP(Squads[[#This Row],[Current Club]],Clubs[Current Club],Clubs[Club_ID])</f>
        <v>ITA-17</v>
      </c>
      <c r="M32" s="27" t="str">
        <f>_xlfn.XLOOKUP(Squads[[#This Row],[National Team]],Football_Associations[Football Association],Football_Associations[World Cup Result])</f>
        <v>Last 16</v>
      </c>
      <c r="N3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3" spans="1:14" ht="15" customHeight="1" x14ac:dyDescent="0.25">
      <c r="A33" s="33">
        <f t="shared" si="0"/>
        <v>1032</v>
      </c>
      <c r="B33" s="23" t="s">
        <v>21</v>
      </c>
      <c r="C33" s="23" t="str">
        <f>VLOOKUP(Squads[[#This Row],[National Team]],Qualified[],3,TRUE)</f>
        <v>Australia (AUS)</v>
      </c>
      <c r="D33" s="25">
        <v>6</v>
      </c>
      <c r="E33" s="23" t="s">
        <v>146</v>
      </c>
      <c r="F33" s="23" t="s">
        <v>443</v>
      </c>
      <c r="G33" s="26">
        <v>34084</v>
      </c>
      <c r="H33" s="65">
        <f>DATEDIF(Squads[[#This Row],[Date Of Birth]],World_Cup_Start_Date,"Y")</f>
        <v>29</v>
      </c>
      <c r="I33" s="27">
        <v>19</v>
      </c>
      <c r="J33" s="27">
        <v>5</v>
      </c>
      <c r="K33" s="78" t="s">
        <v>1872</v>
      </c>
      <c r="L33" s="27" t="str">
        <f>_xlfn.XLOOKUP(Squads[[#This Row],[Current Club]],Clubs[Current Club],Clubs[Club_ID])</f>
        <v>SCO-04</v>
      </c>
      <c r="M33" s="27" t="str">
        <f>_xlfn.XLOOKUP(Squads[[#This Row],[National Team]],Football_Associations[Football Association],Football_Associations[World Cup Result])</f>
        <v>Last 16</v>
      </c>
      <c r="N3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4" spans="1:14" ht="15" customHeight="1" x14ac:dyDescent="0.25">
      <c r="A34" s="33">
        <f t="shared" si="0"/>
        <v>1033</v>
      </c>
      <c r="B34" s="23" t="s">
        <v>21</v>
      </c>
      <c r="C34" s="23" t="str">
        <f>VLOOKUP(Squads[[#This Row],[National Team]],Qualified[],3,TRUE)</f>
        <v>Australia (AUS)</v>
      </c>
      <c r="D34" s="25">
        <v>7</v>
      </c>
      <c r="E34" s="23" t="s">
        <v>146</v>
      </c>
      <c r="F34" s="23" t="s">
        <v>444</v>
      </c>
      <c r="G34" s="26">
        <v>33273</v>
      </c>
      <c r="H34" s="65">
        <f>DATEDIF(Squads[[#This Row],[Date Of Birth]],World_Cup_Start_Date,"Y")</f>
        <v>31</v>
      </c>
      <c r="I34" s="27">
        <v>73</v>
      </c>
      <c r="J34" s="27">
        <v>13</v>
      </c>
      <c r="K34" s="78" t="s">
        <v>1791</v>
      </c>
      <c r="L34" s="27" t="str">
        <f>_xlfn.XLOOKUP(Squads[[#This Row],[Current Club]],Clubs[Current Club],Clubs[Club_ID])</f>
        <v>AUS-02</v>
      </c>
      <c r="M34" s="27" t="str">
        <f>_xlfn.XLOOKUP(Squads[[#This Row],[National Team]],Football_Associations[Football Association],Football_Associations[World Cup Result])</f>
        <v>Last 16</v>
      </c>
      <c r="N3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5" spans="1:14" ht="15" customHeight="1" x14ac:dyDescent="0.25">
      <c r="A35" s="33">
        <f t="shared" si="0"/>
        <v>1034</v>
      </c>
      <c r="B35" s="23" t="s">
        <v>21</v>
      </c>
      <c r="C35" s="23" t="str">
        <f>VLOOKUP(Squads[[#This Row],[National Team]],Qualified[],3,TRUE)</f>
        <v>Australia (AUS)</v>
      </c>
      <c r="D35" s="25">
        <v>8</v>
      </c>
      <c r="E35" s="23" t="s">
        <v>135</v>
      </c>
      <c r="F35" s="23" t="s">
        <v>445</v>
      </c>
      <c r="G35" s="26">
        <v>33813</v>
      </c>
      <c r="H35" s="65">
        <f>DATEDIF(Squads[[#This Row],[Date Of Birth]],World_Cup_Start_Date,"Y")</f>
        <v>30</v>
      </c>
      <c r="I35" s="27">
        <v>27</v>
      </c>
      <c r="J35" s="27">
        <v>2</v>
      </c>
      <c r="K35" s="78" t="s">
        <v>1805</v>
      </c>
      <c r="L35" s="27" t="str">
        <f>_xlfn.XLOOKUP(Squads[[#This Row],[Current Club]],Clubs[Current Club],Clubs[Club_ID])</f>
        <v>ENG-29</v>
      </c>
      <c r="M35" s="27" t="str">
        <f>_xlfn.XLOOKUP(Squads[[#This Row],[National Team]],Football_Associations[Football Association],Football_Associations[World Cup Result])</f>
        <v>Last 16</v>
      </c>
      <c r="N3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6" spans="1:14" ht="15" customHeight="1" x14ac:dyDescent="0.25">
      <c r="A36" s="33">
        <f t="shared" si="0"/>
        <v>1035</v>
      </c>
      <c r="B36" s="23" t="s">
        <v>21</v>
      </c>
      <c r="C36" s="23" t="str">
        <f>VLOOKUP(Squads[[#This Row],[National Team]],Qualified[],3,TRUE)</f>
        <v>Australia (AUS)</v>
      </c>
      <c r="D36" s="25">
        <v>9</v>
      </c>
      <c r="E36" s="23" t="s">
        <v>146</v>
      </c>
      <c r="F36" s="23" t="s">
        <v>446</v>
      </c>
      <c r="G36" s="26">
        <v>34179</v>
      </c>
      <c r="H36" s="65">
        <f>DATEDIF(Squads[[#This Row],[Date Of Birth]],World_Cup_Start_Date,"Y")</f>
        <v>29</v>
      </c>
      <c r="I36" s="27">
        <v>26</v>
      </c>
      <c r="J36" s="27">
        <v>8</v>
      </c>
      <c r="K36" s="78" t="s">
        <v>1791</v>
      </c>
      <c r="L36" s="27" t="str">
        <f>_xlfn.XLOOKUP(Squads[[#This Row],[Current Club]],Clubs[Current Club],Clubs[Club_ID])</f>
        <v>AUS-02</v>
      </c>
      <c r="M36" s="27" t="str">
        <f>_xlfn.XLOOKUP(Squads[[#This Row],[National Team]],Football_Associations[Football Association],Football_Associations[World Cup Result])</f>
        <v>Last 16</v>
      </c>
      <c r="N3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7" spans="1:14" ht="15" customHeight="1" x14ac:dyDescent="0.25">
      <c r="A37" s="33">
        <f t="shared" si="0"/>
        <v>1036</v>
      </c>
      <c r="B37" s="23" t="s">
        <v>21</v>
      </c>
      <c r="C37" s="23" t="str">
        <f>VLOOKUP(Squads[[#This Row],[National Team]],Qualified[],3,TRUE)</f>
        <v>Australia (AUS)</v>
      </c>
      <c r="D37" s="25">
        <v>10</v>
      </c>
      <c r="E37" s="23" t="s">
        <v>139</v>
      </c>
      <c r="F37" s="23" t="s">
        <v>447</v>
      </c>
      <c r="G37" s="26">
        <v>35251</v>
      </c>
      <c r="H37" s="65">
        <f>DATEDIF(Squads[[#This Row],[Date Of Birth]],World_Cup_Start_Date,"Y")</f>
        <v>26</v>
      </c>
      <c r="I37" s="27">
        <v>20</v>
      </c>
      <c r="J37" s="27">
        <v>3</v>
      </c>
      <c r="K37" s="78" t="s">
        <v>1713</v>
      </c>
      <c r="L37" s="27" t="str">
        <f>_xlfn.XLOOKUP(Squads[[#This Row],[Current Club]],Clubs[Current Club],Clubs[Club_ID])</f>
        <v>ITA-08</v>
      </c>
      <c r="M37" s="27" t="str">
        <f>_xlfn.XLOOKUP(Squads[[#This Row],[National Team]],Football_Associations[Football Association],Football_Associations[World Cup Result])</f>
        <v>Last 16</v>
      </c>
      <c r="N3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8" spans="1:14" ht="15" customHeight="1" x14ac:dyDescent="0.25">
      <c r="A38" s="33">
        <f t="shared" si="0"/>
        <v>1037</v>
      </c>
      <c r="B38" s="23" t="s">
        <v>21</v>
      </c>
      <c r="C38" s="23" t="str">
        <f>VLOOKUP(Squads[[#This Row],[National Team]],Qualified[],3,TRUE)</f>
        <v>Australia (AUS)</v>
      </c>
      <c r="D38" s="25">
        <v>11</v>
      </c>
      <c r="E38" s="23" t="s">
        <v>146</v>
      </c>
      <c r="F38" s="23" t="s">
        <v>448</v>
      </c>
      <c r="G38" s="26">
        <v>34957</v>
      </c>
      <c r="H38" s="65">
        <f>DATEDIF(Squads[[#This Row],[Date Of Birth]],World_Cup_Start_Date,"Y")</f>
        <v>27</v>
      </c>
      <c r="I38" s="27">
        <v>29</v>
      </c>
      <c r="J38" s="27">
        <v>8</v>
      </c>
      <c r="K38" s="78" t="s">
        <v>1835</v>
      </c>
      <c r="L38" s="27" t="str">
        <f>_xlfn.XLOOKUP(Squads[[#This Row],[Current Club]],Clubs[Current Club],Clubs[Club_ID])</f>
        <v>ESP-15</v>
      </c>
      <c r="M38" s="27" t="str">
        <f>_xlfn.XLOOKUP(Squads[[#This Row],[National Team]],Football_Associations[Football Association],Football_Associations[World Cup Result])</f>
        <v>Last 16</v>
      </c>
      <c r="N3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9" spans="1:14" ht="15" customHeight="1" x14ac:dyDescent="0.25">
      <c r="A39" s="33">
        <f t="shared" si="0"/>
        <v>1038</v>
      </c>
      <c r="B39" s="23" t="s">
        <v>21</v>
      </c>
      <c r="C39" s="23" t="str">
        <f>VLOOKUP(Squads[[#This Row],[National Team]],Qualified[],3,TRUE)</f>
        <v>Australia (AUS)</v>
      </c>
      <c r="D39" s="25">
        <v>12</v>
      </c>
      <c r="E39" s="23" t="s">
        <v>133</v>
      </c>
      <c r="F39" s="23" t="s">
        <v>449</v>
      </c>
      <c r="G39" s="26">
        <v>32521</v>
      </c>
      <c r="H39" s="65">
        <f>DATEDIF(Squads[[#This Row],[Date Of Birth]],World_Cup_Start_Date,"Y")</f>
        <v>33</v>
      </c>
      <c r="I39" s="27">
        <v>4</v>
      </c>
      <c r="J39" s="27">
        <v>0</v>
      </c>
      <c r="K39" s="78" t="s">
        <v>1934</v>
      </c>
      <c r="L39" s="27" t="str">
        <f>_xlfn.XLOOKUP(Squads[[#This Row],[Current Club]],Clubs[Current Club],Clubs[Club_ID])</f>
        <v>AUS-04</v>
      </c>
      <c r="M39" s="27" t="str">
        <f>_xlfn.XLOOKUP(Squads[[#This Row],[National Team]],Football_Associations[Football Association],Football_Associations[World Cup Result])</f>
        <v>Last 16</v>
      </c>
      <c r="N3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0" spans="1:14" ht="15" customHeight="1" x14ac:dyDescent="0.25">
      <c r="A40" s="33">
        <f t="shared" si="0"/>
        <v>1039</v>
      </c>
      <c r="B40" s="23" t="s">
        <v>21</v>
      </c>
      <c r="C40" s="23" t="str">
        <f>VLOOKUP(Squads[[#This Row],[National Team]],Qualified[],3,TRUE)</f>
        <v>Australia (AUS)</v>
      </c>
      <c r="D40" s="25">
        <v>13</v>
      </c>
      <c r="E40" s="23" t="s">
        <v>139</v>
      </c>
      <c r="F40" s="23" t="s">
        <v>450</v>
      </c>
      <c r="G40" s="26">
        <v>33131</v>
      </c>
      <c r="H40" s="65">
        <f>DATEDIF(Squads[[#This Row],[Date Of Birth]],World_Cup_Start_Date,"Y")</f>
        <v>32</v>
      </c>
      <c r="I40" s="27">
        <v>53</v>
      </c>
      <c r="J40" s="27">
        <v>7</v>
      </c>
      <c r="K40" s="78" t="s">
        <v>1709</v>
      </c>
      <c r="L40" s="27" t="str">
        <f>_xlfn.XLOOKUP(Squads[[#This Row],[Current Club]],Clubs[Current Club],Clubs[Club_ID])</f>
        <v>SCO-01</v>
      </c>
      <c r="M40" s="27" t="str">
        <f>_xlfn.XLOOKUP(Squads[[#This Row],[National Team]],Football_Associations[Football Association],Football_Associations[World Cup Result])</f>
        <v>Last 16</v>
      </c>
      <c r="N4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1" spans="1:14" ht="15" customHeight="1" x14ac:dyDescent="0.25">
      <c r="A41" s="33">
        <f t="shared" si="0"/>
        <v>1040</v>
      </c>
      <c r="B41" s="23" t="s">
        <v>21</v>
      </c>
      <c r="C41" s="23" t="str">
        <f>VLOOKUP(Squads[[#This Row],[National Team]],Qualified[],3,TRUE)</f>
        <v>Australia (AUS)</v>
      </c>
      <c r="D41" s="25">
        <v>14</v>
      </c>
      <c r="E41" s="23" t="s">
        <v>139</v>
      </c>
      <c r="F41" s="23" t="s">
        <v>451</v>
      </c>
      <c r="G41" s="26">
        <v>36101</v>
      </c>
      <c r="H41" s="65">
        <f>DATEDIF(Squads[[#This Row],[Date Of Birth]],World_Cup_Start_Date,"Y")</f>
        <v>24</v>
      </c>
      <c r="I41" s="27">
        <v>11</v>
      </c>
      <c r="J41" s="27">
        <v>1</v>
      </c>
      <c r="K41" s="78" t="s">
        <v>1889</v>
      </c>
      <c r="L41" s="27" t="str">
        <f>_xlfn.XLOOKUP(Squads[[#This Row],[Current Club]],Clubs[Current Club],Clubs[Club_ID])</f>
        <v>ENG-33</v>
      </c>
      <c r="M41" s="27" t="str">
        <f>_xlfn.XLOOKUP(Squads[[#This Row],[National Team]],Football_Associations[Football Association],Football_Associations[World Cup Result])</f>
        <v>Last 16</v>
      </c>
      <c r="N4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2" spans="1:14" ht="15" customHeight="1" x14ac:dyDescent="0.25">
      <c r="A42" s="33">
        <f t="shared" si="0"/>
        <v>1041</v>
      </c>
      <c r="B42" s="23" t="s">
        <v>21</v>
      </c>
      <c r="C42" s="23" t="str">
        <f>VLOOKUP(Squads[[#This Row],[National Team]],Qualified[],3,TRUE)</f>
        <v>Australia (AUS)</v>
      </c>
      <c r="D42" s="25">
        <v>15</v>
      </c>
      <c r="E42" s="23" t="s">
        <v>146</v>
      </c>
      <c r="F42" s="23" t="s">
        <v>452</v>
      </c>
      <c r="G42" s="26">
        <v>33256</v>
      </c>
      <c r="H42" s="65">
        <f>DATEDIF(Squads[[#This Row],[Date Of Birth]],World_Cup_Start_Date,"Y")</f>
        <v>31</v>
      </c>
      <c r="I42" s="27">
        <v>21</v>
      </c>
      <c r="J42" s="27">
        <v>8</v>
      </c>
      <c r="K42" s="78" t="s">
        <v>1855</v>
      </c>
      <c r="L42" s="27" t="str">
        <f>_xlfn.XLOOKUP(Squads[[#This Row],[Current Club]],Clubs[Current Club],Clubs[Club_ID])</f>
        <v>JPN-03</v>
      </c>
      <c r="M42" s="27" t="str">
        <f>_xlfn.XLOOKUP(Squads[[#This Row],[National Team]],Football_Associations[Football Association],Football_Associations[World Cup Result])</f>
        <v>Last 16</v>
      </c>
      <c r="N4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3" spans="1:14" ht="15" customHeight="1" x14ac:dyDescent="0.25">
      <c r="A43" s="33">
        <f t="shared" si="0"/>
        <v>1042</v>
      </c>
      <c r="B43" s="23" t="s">
        <v>21</v>
      </c>
      <c r="C43" s="23" t="str">
        <f>VLOOKUP(Squads[[#This Row],[National Team]],Qualified[],3,TRUE)</f>
        <v>Australia (AUS)</v>
      </c>
      <c r="D43" s="25">
        <v>16</v>
      </c>
      <c r="E43" s="23" t="s">
        <v>135</v>
      </c>
      <c r="F43" s="23" t="s">
        <v>453</v>
      </c>
      <c r="G43" s="26">
        <v>33223</v>
      </c>
      <c r="H43" s="65">
        <f>DATEDIF(Squads[[#This Row],[Date Of Birth]],World_Cup_Start_Date,"Y")</f>
        <v>31</v>
      </c>
      <c r="I43" s="27">
        <v>53</v>
      </c>
      <c r="J43" s="27">
        <v>2</v>
      </c>
      <c r="K43" s="78" t="s">
        <v>1776</v>
      </c>
      <c r="L43" s="27" t="str">
        <f>_xlfn.XLOOKUP(Squads[[#This Row],[Current Club]],Clubs[Current Club],Clubs[Club_ID])</f>
        <v>SCO-03</v>
      </c>
      <c r="M43" s="27" t="str">
        <f>_xlfn.XLOOKUP(Squads[[#This Row],[National Team]],Football_Associations[Football Association],Football_Associations[World Cup Result])</f>
        <v>Last 16</v>
      </c>
      <c r="N4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4" spans="1:14" ht="15" customHeight="1" x14ac:dyDescent="0.25">
      <c r="A44" s="33">
        <f t="shared" si="0"/>
        <v>1043</v>
      </c>
      <c r="B44" s="23" t="s">
        <v>21</v>
      </c>
      <c r="C44" s="23" t="str">
        <f>VLOOKUP(Squads[[#This Row],[National Team]],Qualified[],3,TRUE)</f>
        <v>Australia (AUS)</v>
      </c>
      <c r="D44" s="25">
        <v>17</v>
      </c>
      <c r="E44" s="23" t="s">
        <v>139</v>
      </c>
      <c r="F44" s="23" t="s">
        <v>454</v>
      </c>
      <c r="G44" s="26">
        <v>35953</v>
      </c>
      <c r="H44" s="65">
        <f>DATEDIF(Squads[[#This Row],[Date Of Birth]],World_Cup_Start_Date,"Y")</f>
        <v>24</v>
      </c>
      <c r="I44" s="27">
        <v>1</v>
      </c>
      <c r="J44" s="27">
        <v>0</v>
      </c>
      <c r="K44" s="78" t="s">
        <v>1735</v>
      </c>
      <c r="L44" s="27" t="str">
        <f>_xlfn.XLOOKUP(Squads[[#This Row],[Current Club]],Clubs[Current Club],Clubs[Club_ID])</f>
        <v>SCO-02</v>
      </c>
      <c r="M44" s="27" t="str">
        <f>_xlfn.XLOOKUP(Squads[[#This Row],[National Team]],Football_Associations[Football Association],Football_Associations[World Cup Result])</f>
        <v>Last 16</v>
      </c>
      <c r="N4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5" spans="1:14" ht="15" customHeight="1" x14ac:dyDescent="0.25">
      <c r="A45" s="33">
        <f t="shared" si="0"/>
        <v>1044</v>
      </c>
      <c r="B45" s="23" t="s">
        <v>21</v>
      </c>
      <c r="C45" s="23" t="str">
        <f>VLOOKUP(Squads[[#This Row],[National Team]],Qualified[],3,TRUE)</f>
        <v>Australia (AUS)</v>
      </c>
      <c r="D45" s="25">
        <v>18</v>
      </c>
      <c r="E45" s="23" t="s">
        <v>133</v>
      </c>
      <c r="F45" s="23" t="s">
        <v>455</v>
      </c>
      <c r="G45" s="26">
        <v>31133</v>
      </c>
      <c r="H45" s="65">
        <f>DATEDIF(Squads[[#This Row],[Date Of Birth]],World_Cup_Start_Date,"Y")</f>
        <v>37</v>
      </c>
      <c r="I45" s="27">
        <v>4</v>
      </c>
      <c r="J45" s="27">
        <v>0</v>
      </c>
      <c r="K45" s="78" t="s">
        <v>1727</v>
      </c>
      <c r="L45" s="27" t="str">
        <f>_xlfn.XLOOKUP(Squads[[#This Row],[Current Club]],Clubs[Current Club],Clubs[Club_ID])</f>
        <v>AUS-01</v>
      </c>
      <c r="M45" s="27" t="str">
        <f>_xlfn.XLOOKUP(Squads[[#This Row],[National Team]],Football_Associations[Football Association],Football_Associations[World Cup Result])</f>
        <v>Last 16</v>
      </c>
      <c r="N4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6" spans="1:14" ht="15" customHeight="1" x14ac:dyDescent="0.25">
      <c r="A46" s="33">
        <f t="shared" si="0"/>
        <v>1045</v>
      </c>
      <c r="B46" s="23" t="s">
        <v>21</v>
      </c>
      <c r="C46" s="23" t="str">
        <f>VLOOKUP(Squads[[#This Row],[National Team]],Qualified[],3,TRUE)</f>
        <v>Australia (AUS)</v>
      </c>
      <c r="D46" s="25">
        <v>19</v>
      </c>
      <c r="E46" s="23" t="s">
        <v>135</v>
      </c>
      <c r="F46" s="23" t="s">
        <v>456</v>
      </c>
      <c r="G46" s="26">
        <v>36090</v>
      </c>
      <c r="H46" s="65">
        <f>DATEDIF(Squads[[#This Row],[Date Of Birth]],World_Cup_Start_Date,"Y")</f>
        <v>24</v>
      </c>
      <c r="I46" s="27">
        <v>10</v>
      </c>
      <c r="J46" s="27">
        <v>6</v>
      </c>
      <c r="K46" s="78" t="s">
        <v>1932</v>
      </c>
      <c r="L46" s="27" t="str">
        <f>_xlfn.XLOOKUP(Squads[[#This Row],[Current Club]],Clubs[Current Club],Clubs[Club_ID])</f>
        <v>ENG-37</v>
      </c>
      <c r="M46" s="27" t="str">
        <f>_xlfn.XLOOKUP(Squads[[#This Row],[National Team]],Football_Associations[Football Association],Football_Associations[World Cup Result])</f>
        <v>Last 16</v>
      </c>
      <c r="N4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7" spans="1:14" ht="15" customHeight="1" x14ac:dyDescent="0.25">
      <c r="A47" s="33">
        <f t="shared" si="0"/>
        <v>1046</v>
      </c>
      <c r="B47" s="23" t="s">
        <v>21</v>
      </c>
      <c r="C47" s="23" t="str">
        <f>VLOOKUP(Squads[[#This Row],[National Team]],Qualified[],3,TRUE)</f>
        <v>Australia (AUS)</v>
      </c>
      <c r="D47" s="25">
        <v>20</v>
      </c>
      <c r="E47" s="23" t="s">
        <v>135</v>
      </c>
      <c r="F47" s="23" t="s">
        <v>457</v>
      </c>
      <c r="G47" s="26">
        <v>35509</v>
      </c>
      <c r="H47" s="65">
        <f>DATEDIF(Squads[[#This Row],[Date Of Birth]],World_Cup_Start_Date,"Y")</f>
        <v>25</v>
      </c>
      <c r="I47" s="27">
        <v>2</v>
      </c>
      <c r="J47" s="27">
        <v>0</v>
      </c>
      <c r="K47" s="78" t="s">
        <v>1815</v>
      </c>
      <c r="L47" s="27" t="str">
        <f>_xlfn.XLOOKUP(Squads[[#This Row],[Current Club]],Clubs[Current Club],Clubs[Club_ID])</f>
        <v>JPN-02</v>
      </c>
      <c r="M47" s="27" t="str">
        <f>_xlfn.XLOOKUP(Squads[[#This Row],[National Team]],Football_Associations[Football Association],Football_Associations[World Cup Result])</f>
        <v>Last 16</v>
      </c>
      <c r="N4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8" spans="1:14" ht="15" customHeight="1" x14ac:dyDescent="0.25">
      <c r="A48" s="33">
        <f t="shared" si="0"/>
        <v>1047</v>
      </c>
      <c r="B48" s="23" t="s">
        <v>21</v>
      </c>
      <c r="C48" s="23" t="str">
        <f>VLOOKUP(Squads[[#This Row],[National Team]],Qualified[],3,TRUE)</f>
        <v>Australia (AUS)</v>
      </c>
      <c r="D48" s="25">
        <v>21</v>
      </c>
      <c r="E48" s="23" t="s">
        <v>146</v>
      </c>
      <c r="F48" s="23" t="s">
        <v>458</v>
      </c>
      <c r="G48" s="26">
        <v>38245</v>
      </c>
      <c r="H48" s="65">
        <f>DATEDIF(Squads[[#This Row],[Date Of Birth]],World_Cup_Start_Date,"Y")</f>
        <v>18</v>
      </c>
      <c r="I48" s="27">
        <v>1</v>
      </c>
      <c r="J48" s="27">
        <v>0</v>
      </c>
      <c r="K48" s="78" t="s">
        <v>1727</v>
      </c>
      <c r="L48" s="27" t="str">
        <f>_xlfn.XLOOKUP(Squads[[#This Row],[Current Club]],Clubs[Current Club],Clubs[Club_ID])</f>
        <v>AUS-01</v>
      </c>
      <c r="M48" s="27" t="str">
        <f>_xlfn.XLOOKUP(Squads[[#This Row],[National Team]],Football_Associations[Football Association],Football_Associations[World Cup Result])</f>
        <v>Last 16</v>
      </c>
      <c r="N4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9" spans="1:14" ht="15" customHeight="1" x14ac:dyDescent="0.25">
      <c r="A49" s="33">
        <f t="shared" si="0"/>
        <v>1048</v>
      </c>
      <c r="B49" s="23" t="s">
        <v>21</v>
      </c>
      <c r="C49" s="23" t="str">
        <f>VLOOKUP(Squads[[#This Row],[National Team]],Qualified[],3,TRUE)</f>
        <v>Australia (AUS)</v>
      </c>
      <c r="D49" s="25">
        <v>22</v>
      </c>
      <c r="E49" s="23" t="s">
        <v>139</v>
      </c>
      <c r="F49" s="23" t="s">
        <v>459</v>
      </c>
      <c r="G49" s="26">
        <v>34035</v>
      </c>
      <c r="H49" s="65">
        <f>DATEDIF(Squads[[#This Row],[Date Of Birth]],World_Cup_Start_Date,"Y")</f>
        <v>29</v>
      </c>
      <c r="I49" s="27">
        <v>49</v>
      </c>
      <c r="J49" s="27">
        <v>7</v>
      </c>
      <c r="K49" s="78" t="s">
        <v>1858</v>
      </c>
      <c r="L49" s="27" t="str">
        <f>_xlfn.XLOOKUP(Squads[[#This Row],[Current Club]],Clubs[Current Club],Clubs[Club_ID])</f>
        <v>GER-15</v>
      </c>
      <c r="M49" s="27" t="str">
        <f>_xlfn.XLOOKUP(Squads[[#This Row],[National Team]],Football_Associations[Football Association],Football_Associations[World Cup Result])</f>
        <v>Last 16</v>
      </c>
      <c r="N4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0" spans="1:14" ht="15" customHeight="1" x14ac:dyDescent="0.25">
      <c r="A50" s="33">
        <f t="shared" si="0"/>
        <v>1049</v>
      </c>
      <c r="B50" s="23" t="s">
        <v>21</v>
      </c>
      <c r="C50" s="23" t="str">
        <f>VLOOKUP(Squads[[#This Row],[National Team]],Qualified[],3,TRUE)</f>
        <v>Australia (AUS)</v>
      </c>
      <c r="D50" s="25">
        <v>23</v>
      </c>
      <c r="E50" s="23" t="s">
        <v>146</v>
      </c>
      <c r="F50" s="23" t="s">
        <v>460</v>
      </c>
      <c r="G50" s="26">
        <v>33588</v>
      </c>
      <c r="H50" s="65">
        <f>DATEDIF(Squads[[#This Row],[Date Of Birth]],World_Cup_Start_Date,"Y")</f>
        <v>30</v>
      </c>
      <c r="I50" s="27">
        <v>10</v>
      </c>
      <c r="J50" s="27">
        <v>1</v>
      </c>
      <c r="K50" s="78" t="s">
        <v>1811</v>
      </c>
      <c r="L50" s="27" t="str">
        <f>_xlfn.XLOOKUP(Squads[[#This Row],[Current Club]],Clubs[Current Club],Clubs[Club_ID])</f>
        <v>AUS-03</v>
      </c>
      <c r="M50" s="27" t="str">
        <f>_xlfn.XLOOKUP(Squads[[#This Row],[National Team]],Football_Associations[Football Association],Football_Associations[World Cup Result])</f>
        <v>Last 16</v>
      </c>
      <c r="N5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1" spans="1:14" ht="15" customHeight="1" x14ac:dyDescent="0.25">
      <c r="A51" s="33">
        <f t="shared" si="0"/>
        <v>1050</v>
      </c>
      <c r="B51" s="23" t="s">
        <v>21</v>
      </c>
      <c r="C51" s="23" t="str">
        <f>VLOOKUP(Squads[[#This Row],[National Team]],Qualified[],3,TRUE)</f>
        <v>Australia (AUS)</v>
      </c>
      <c r="D51" s="25">
        <v>24</v>
      </c>
      <c r="E51" s="23" t="s">
        <v>135</v>
      </c>
      <c r="F51" s="23" t="s">
        <v>461</v>
      </c>
      <c r="G51" s="26">
        <v>36829</v>
      </c>
      <c r="H51" s="65">
        <f>DATEDIF(Squads[[#This Row],[Date Of Birth]],World_Cup_Start_Date,"Y")</f>
        <v>22</v>
      </c>
      <c r="I51" s="27">
        <v>4</v>
      </c>
      <c r="J51" s="27">
        <v>0</v>
      </c>
      <c r="K51" s="78" t="s">
        <v>1795</v>
      </c>
      <c r="L51" s="27" t="str">
        <f>_xlfn.XLOOKUP(Squads[[#This Row],[Current Club]],Clubs[Current Club],Clubs[Club_ID])</f>
        <v>DEN-03</v>
      </c>
      <c r="M51" s="27" t="str">
        <f>_xlfn.XLOOKUP(Squads[[#This Row],[National Team]],Football_Associations[Football Association],Football_Associations[World Cup Result])</f>
        <v>Last 16</v>
      </c>
      <c r="N5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2" spans="1:14" ht="15" customHeight="1" x14ac:dyDescent="0.25">
      <c r="A52" s="33">
        <f t="shared" si="0"/>
        <v>1051</v>
      </c>
      <c r="B52" s="23" t="s">
        <v>21</v>
      </c>
      <c r="C52" s="23" t="str">
        <f>VLOOKUP(Squads[[#This Row],[National Team]],Qualified[],3,TRUE)</f>
        <v>Australia (AUS)</v>
      </c>
      <c r="D52" s="25">
        <v>25</v>
      </c>
      <c r="E52" s="23" t="s">
        <v>146</v>
      </c>
      <c r="F52" s="23" t="s">
        <v>462</v>
      </c>
      <c r="G52" s="26">
        <v>34912</v>
      </c>
      <c r="H52" s="65">
        <f>DATEDIF(Squads[[#This Row],[Date Of Birth]],World_Cup_Start_Date,"Y")</f>
        <v>27</v>
      </c>
      <c r="I52" s="27">
        <v>1</v>
      </c>
      <c r="J52" s="27">
        <v>1</v>
      </c>
      <c r="K52" s="78" t="s">
        <v>1727</v>
      </c>
      <c r="L52" s="27" t="str">
        <f>_xlfn.XLOOKUP(Squads[[#This Row],[Current Club]],Clubs[Current Club],Clubs[Club_ID])</f>
        <v>AUS-01</v>
      </c>
      <c r="M52" s="27" t="str">
        <f>_xlfn.XLOOKUP(Squads[[#This Row],[National Team]],Football_Associations[Football Association],Football_Associations[World Cup Result])</f>
        <v>Last 16</v>
      </c>
      <c r="N5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3" spans="1:14" ht="15" customHeight="1" x14ac:dyDescent="0.25">
      <c r="A53" s="33">
        <f t="shared" si="0"/>
        <v>1052</v>
      </c>
      <c r="B53" s="23" t="s">
        <v>21</v>
      </c>
      <c r="C53" s="23" t="str">
        <f>VLOOKUP(Squads[[#This Row],[National Team]],Qualified[],3,TRUE)</f>
        <v>Australia (AUS)</v>
      </c>
      <c r="D53" s="25">
        <v>26</v>
      </c>
      <c r="E53" s="23" t="s">
        <v>139</v>
      </c>
      <c r="F53" s="23" t="s">
        <v>463</v>
      </c>
      <c r="G53" s="26">
        <v>35953</v>
      </c>
      <c r="H53" s="65">
        <f>DATEDIF(Squads[[#This Row],[Date Of Birth]],World_Cup_Start_Date,"Y")</f>
        <v>24</v>
      </c>
      <c r="I53" s="27">
        <v>1</v>
      </c>
      <c r="J53" s="27">
        <v>0</v>
      </c>
      <c r="K53" s="78" t="s">
        <v>1929</v>
      </c>
      <c r="L53" s="27" t="str">
        <f>_xlfn.XLOOKUP(Squads[[#This Row],[Current Club]],Clubs[Current Club],Clubs[Club_ID])</f>
        <v>SCO-07</v>
      </c>
      <c r="M53" s="27" t="str">
        <f>_xlfn.XLOOKUP(Squads[[#This Row],[National Team]],Football_Associations[Football Association],Football_Associations[World Cup Result])</f>
        <v>Last 16</v>
      </c>
      <c r="N5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4" spans="1:14" ht="15" customHeight="1" x14ac:dyDescent="0.25">
      <c r="A54" s="33">
        <f t="shared" si="0"/>
        <v>1053</v>
      </c>
      <c r="B54" s="23" t="s">
        <v>30</v>
      </c>
      <c r="C54" s="23" t="str">
        <f>VLOOKUP(Squads[[#This Row],[National Team]],Qualified[],3,TRUE)</f>
        <v>Belgium (BEL)</v>
      </c>
      <c r="D54" s="25">
        <v>1</v>
      </c>
      <c r="E54" s="23" t="s">
        <v>133</v>
      </c>
      <c r="F54" s="23" t="s">
        <v>640</v>
      </c>
      <c r="G54" s="26">
        <v>33735</v>
      </c>
      <c r="H54" s="65">
        <f>DATEDIF(Squads[[#This Row],[Date Of Birth]],World_Cup_Start_Date,"Y")</f>
        <v>30</v>
      </c>
      <c r="I54" s="27">
        <v>97</v>
      </c>
      <c r="J54" s="27">
        <v>0</v>
      </c>
      <c r="K54" s="78" t="s">
        <v>1658</v>
      </c>
      <c r="L54" s="27" t="str">
        <f>_xlfn.XLOOKUP(Squads[[#This Row],[Current Club]],Clubs[Current Club],Clubs[Club_ID])</f>
        <v>ESP-02</v>
      </c>
      <c r="M54" s="27" t="str">
        <f>_xlfn.XLOOKUP(Squads[[#This Row],[National Team]],Football_Associations[Football Association],Football_Associations[World Cup Result])</f>
        <v>Group stage</v>
      </c>
      <c r="N5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5" spans="1:14" ht="15" customHeight="1" x14ac:dyDescent="0.25">
      <c r="A55" s="33">
        <f t="shared" si="0"/>
        <v>1054</v>
      </c>
      <c r="B55" s="23" t="s">
        <v>30</v>
      </c>
      <c r="C55" s="23" t="str">
        <f>VLOOKUP(Squads[[#This Row],[National Team]],Qualified[],3,TRUE)</f>
        <v>Belgium (BEL)</v>
      </c>
      <c r="D55" s="25">
        <v>2</v>
      </c>
      <c r="E55" s="23" t="s">
        <v>135</v>
      </c>
      <c r="F55" s="23" t="s">
        <v>641</v>
      </c>
      <c r="G55" s="26">
        <v>32569</v>
      </c>
      <c r="H55" s="65">
        <f>DATEDIF(Squads[[#This Row],[Date Of Birth]],World_Cup_Start_Date,"Y")</f>
        <v>33</v>
      </c>
      <c r="I55" s="27">
        <v>124</v>
      </c>
      <c r="J55" s="27">
        <v>5</v>
      </c>
      <c r="K55" s="78" t="s">
        <v>1725</v>
      </c>
      <c r="L55" s="27" t="str">
        <f>_xlfn.XLOOKUP(Squads[[#This Row],[Current Club]],Clubs[Current Club],Clubs[Club_ID])</f>
        <v>BEL-02</v>
      </c>
      <c r="M55" s="27" t="str">
        <f>_xlfn.XLOOKUP(Squads[[#This Row],[National Team]],Football_Associations[Football Association],Football_Associations[World Cup Result])</f>
        <v>Group stage</v>
      </c>
      <c r="N5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6" spans="1:14" ht="15" customHeight="1" x14ac:dyDescent="0.25">
      <c r="A56" s="33">
        <f t="shared" si="0"/>
        <v>1055</v>
      </c>
      <c r="B56" s="23" t="s">
        <v>30</v>
      </c>
      <c r="C56" s="23" t="str">
        <f>VLOOKUP(Squads[[#This Row],[National Team]],Qualified[],3,TRUE)</f>
        <v>Belgium (BEL)</v>
      </c>
      <c r="D56" s="25">
        <v>3</v>
      </c>
      <c r="E56" s="23" t="s">
        <v>135</v>
      </c>
      <c r="F56" s="23" t="s">
        <v>642</v>
      </c>
      <c r="G56" s="26">
        <v>36671</v>
      </c>
      <c r="H56" s="65">
        <f>DATEDIF(Squads[[#This Row],[Date Of Birth]],World_Cup_Start_Date,"Y")</f>
        <v>22</v>
      </c>
      <c r="I56" s="27">
        <v>4</v>
      </c>
      <c r="J56" s="27">
        <v>0</v>
      </c>
      <c r="K56" s="78" t="s">
        <v>1671</v>
      </c>
      <c r="L56" s="27" t="str">
        <f>_xlfn.XLOOKUP(Squads[[#This Row],[Current Club]],Clubs[Current Club],Clubs[Club_ID])</f>
        <v>FRA-02</v>
      </c>
      <c r="M56" s="27" t="str">
        <f>_xlfn.XLOOKUP(Squads[[#This Row],[National Team]],Football_Associations[Football Association],Football_Associations[World Cup Result])</f>
        <v>Group stage</v>
      </c>
      <c r="N5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7" spans="1:14" ht="15" customHeight="1" x14ac:dyDescent="0.25">
      <c r="A57" s="33">
        <f t="shared" si="0"/>
        <v>1056</v>
      </c>
      <c r="B57" s="23" t="s">
        <v>30</v>
      </c>
      <c r="C57" s="23" t="str">
        <f>VLOOKUP(Squads[[#This Row],[National Team]],Qualified[],3,TRUE)</f>
        <v>Belgium (BEL)</v>
      </c>
      <c r="D57" s="25">
        <v>4</v>
      </c>
      <c r="E57" s="23" t="s">
        <v>135</v>
      </c>
      <c r="F57" s="23" t="s">
        <v>643</v>
      </c>
      <c r="G57" s="26">
        <v>35888</v>
      </c>
      <c r="H57" s="65">
        <f>DATEDIF(Squads[[#This Row],[Date Of Birth]],World_Cup_Start_Date,"Y")</f>
        <v>24</v>
      </c>
      <c r="I57" s="27">
        <v>1</v>
      </c>
      <c r="J57" s="27">
        <v>0</v>
      </c>
      <c r="K57" s="78" t="s">
        <v>1675</v>
      </c>
      <c r="L57" s="27" t="str">
        <f>_xlfn.XLOOKUP(Squads[[#This Row],[Current Club]],Clubs[Current Club],Clubs[Club_ID])</f>
        <v>ENG-07</v>
      </c>
      <c r="M57" s="27" t="str">
        <f>_xlfn.XLOOKUP(Squads[[#This Row],[National Team]],Football_Associations[Football Association],Football_Associations[World Cup Result])</f>
        <v>Group stage</v>
      </c>
      <c r="N5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8" spans="1:14" ht="15" customHeight="1" x14ac:dyDescent="0.25">
      <c r="A58" s="33">
        <f t="shared" si="0"/>
        <v>1057</v>
      </c>
      <c r="B58" s="23" t="s">
        <v>30</v>
      </c>
      <c r="C58" s="23" t="str">
        <f>VLOOKUP(Squads[[#This Row],[National Team]],Qualified[],3,TRUE)</f>
        <v>Belgium (BEL)</v>
      </c>
      <c r="D58" s="25">
        <v>5</v>
      </c>
      <c r="E58" s="23" t="s">
        <v>135</v>
      </c>
      <c r="F58" s="23" t="s">
        <v>644</v>
      </c>
      <c r="G58" s="26">
        <v>31891</v>
      </c>
      <c r="H58" s="65">
        <f>DATEDIF(Squads[[#This Row],[Date Of Birth]],World_Cup_Start_Date,"Y")</f>
        <v>35</v>
      </c>
      <c r="I58" s="27">
        <v>142</v>
      </c>
      <c r="J58" s="27">
        <v>9</v>
      </c>
      <c r="K58" s="78" t="s">
        <v>1762</v>
      </c>
      <c r="L58" s="27" t="str">
        <f>_xlfn.XLOOKUP(Squads[[#This Row],[Current Club]],Clubs[Current Club],Clubs[Club_ID])</f>
        <v>BEL-04</v>
      </c>
      <c r="M58" s="27" t="str">
        <f>_xlfn.XLOOKUP(Squads[[#This Row],[National Team]],Football_Associations[Football Association],Football_Associations[World Cup Result])</f>
        <v>Group stage</v>
      </c>
      <c r="N5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9" spans="1:14" ht="15" customHeight="1" x14ac:dyDescent="0.25">
      <c r="A59" s="33">
        <f t="shared" si="0"/>
        <v>1058</v>
      </c>
      <c r="B59" s="23" t="s">
        <v>30</v>
      </c>
      <c r="C59" s="23" t="str">
        <f>VLOOKUP(Squads[[#This Row],[National Team]],Qualified[],3,TRUE)</f>
        <v>Belgium (BEL)</v>
      </c>
      <c r="D59" s="25">
        <v>6</v>
      </c>
      <c r="E59" s="23" t="s">
        <v>139</v>
      </c>
      <c r="F59" s="23" t="s">
        <v>645</v>
      </c>
      <c r="G59" s="26">
        <v>32520</v>
      </c>
      <c r="H59" s="65">
        <f>DATEDIF(Squads[[#This Row],[Date Of Birth]],World_Cup_Start_Date,"Y")</f>
        <v>33</v>
      </c>
      <c r="I59" s="27">
        <v>127</v>
      </c>
      <c r="J59" s="27">
        <v>12</v>
      </c>
      <c r="K59" s="78" t="s">
        <v>1660</v>
      </c>
      <c r="L59" s="27" t="str">
        <f>_xlfn.XLOOKUP(Squads[[#This Row],[Current Club]],Clubs[Current Club],Clubs[Club_ID])</f>
        <v>ESP-03</v>
      </c>
      <c r="M59" s="27" t="str">
        <f>_xlfn.XLOOKUP(Squads[[#This Row],[National Team]],Football_Associations[Football Association],Football_Associations[World Cup Result])</f>
        <v>Group stage</v>
      </c>
      <c r="N5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0" spans="1:14" ht="15" customHeight="1" x14ac:dyDescent="0.25">
      <c r="A60" s="33">
        <f t="shared" si="0"/>
        <v>1059</v>
      </c>
      <c r="B60" s="23" t="s">
        <v>30</v>
      </c>
      <c r="C60" s="23" t="str">
        <f>VLOOKUP(Squads[[#This Row],[National Team]],Qualified[],3,TRUE)</f>
        <v>Belgium (BEL)</v>
      </c>
      <c r="D60" s="25">
        <v>7</v>
      </c>
      <c r="E60" s="23" t="s">
        <v>139</v>
      </c>
      <c r="F60" s="23" t="s">
        <v>646</v>
      </c>
      <c r="G60" s="26">
        <v>33417</v>
      </c>
      <c r="H60" s="65">
        <f>DATEDIF(Squads[[#This Row],[Date Of Birth]],World_Cup_Start_Date,"Y")</f>
        <v>31</v>
      </c>
      <c r="I60" s="27">
        <v>94</v>
      </c>
      <c r="J60" s="27">
        <v>25</v>
      </c>
      <c r="K60" s="78" t="s">
        <v>1655</v>
      </c>
      <c r="L60" s="27" t="str">
        <f>_xlfn.XLOOKUP(Squads[[#This Row],[Current Club]],Clubs[Current Club],Clubs[Club_ID])</f>
        <v>ENG-01</v>
      </c>
      <c r="M60" s="27" t="str">
        <f>_xlfn.XLOOKUP(Squads[[#This Row],[National Team]],Football_Associations[Football Association],Football_Associations[World Cup Result])</f>
        <v>Group stage</v>
      </c>
      <c r="N6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1" spans="1:14" ht="15" customHeight="1" x14ac:dyDescent="0.25">
      <c r="A61" s="33">
        <f t="shared" si="0"/>
        <v>1060</v>
      </c>
      <c r="B61" s="23" t="s">
        <v>30</v>
      </c>
      <c r="C61" s="23" t="str">
        <f>VLOOKUP(Squads[[#This Row],[National Team]],Qualified[],3,TRUE)</f>
        <v>Belgium (BEL)</v>
      </c>
      <c r="D61" s="25">
        <v>8</v>
      </c>
      <c r="E61" s="23" t="s">
        <v>139</v>
      </c>
      <c r="F61" s="23" t="s">
        <v>647</v>
      </c>
      <c r="G61" s="26">
        <v>35557</v>
      </c>
      <c r="H61" s="65">
        <f>DATEDIF(Squads[[#This Row],[Date Of Birth]],World_Cup_Start_Date,"Y")</f>
        <v>25</v>
      </c>
      <c r="I61" s="27">
        <v>55</v>
      </c>
      <c r="J61" s="27">
        <v>5</v>
      </c>
      <c r="K61" s="78" t="s">
        <v>1675</v>
      </c>
      <c r="L61" s="27" t="str">
        <f>_xlfn.XLOOKUP(Squads[[#This Row],[Current Club]],Clubs[Current Club],Clubs[Club_ID])</f>
        <v>ENG-07</v>
      </c>
      <c r="M61" s="27" t="str">
        <f>_xlfn.XLOOKUP(Squads[[#This Row],[National Team]],Football_Associations[Football Association],Football_Associations[World Cup Result])</f>
        <v>Group stage</v>
      </c>
      <c r="N6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2" spans="1:14" ht="15" customHeight="1" x14ac:dyDescent="0.25">
      <c r="A62" s="33">
        <f t="shared" si="0"/>
        <v>1061</v>
      </c>
      <c r="B62" s="23" t="s">
        <v>30</v>
      </c>
      <c r="C62" s="23" t="str">
        <f>VLOOKUP(Squads[[#This Row],[National Team]],Qualified[],3,TRUE)</f>
        <v>Belgium (BEL)</v>
      </c>
      <c r="D62" s="25">
        <v>9</v>
      </c>
      <c r="E62" s="23" t="s">
        <v>146</v>
      </c>
      <c r="F62" s="23" t="s">
        <v>648</v>
      </c>
      <c r="G62" s="26">
        <v>34102</v>
      </c>
      <c r="H62" s="65">
        <f>DATEDIF(Squads[[#This Row],[Date Of Birth]],World_Cup_Start_Date,"Y")</f>
        <v>29</v>
      </c>
      <c r="I62" s="27">
        <v>102</v>
      </c>
      <c r="J62" s="27">
        <v>68</v>
      </c>
      <c r="K62" s="78" t="s">
        <v>1685</v>
      </c>
      <c r="L62" s="27" t="str">
        <f>_xlfn.XLOOKUP(Squads[[#This Row],[Current Club]],Clubs[Current Club],Clubs[Club_ID])</f>
        <v>ITA-03</v>
      </c>
      <c r="M62" s="27" t="str">
        <f>_xlfn.XLOOKUP(Squads[[#This Row],[National Team]],Football_Associations[Football Association],Football_Associations[World Cup Result])</f>
        <v>Group stage</v>
      </c>
      <c r="N6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3" spans="1:14" ht="15" customHeight="1" x14ac:dyDescent="0.25">
      <c r="A63" s="33">
        <f t="shared" si="0"/>
        <v>1062</v>
      </c>
      <c r="B63" s="23" t="s">
        <v>30</v>
      </c>
      <c r="C63" s="23" t="str">
        <f>VLOOKUP(Squads[[#This Row],[National Team]],Qualified[],3,TRUE)</f>
        <v>Belgium (BEL)</v>
      </c>
      <c r="D63" s="25">
        <v>10</v>
      </c>
      <c r="E63" s="23" t="s">
        <v>146</v>
      </c>
      <c r="F63" s="27" t="s">
        <v>995</v>
      </c>
      <c r="G63" s="26">
        <v>33245</v>
      </c>
      <c r="H63" s="65">
        <f>DATEDIF(Squads[[#This Row],[Date Of Birth]],World_Cup_Start_Date,"Y")</f>
        <v>31</v>
      </c>
      <c r="I63" s="27">
        <v>123</v>
      </c>
      <c r="J63" s="27">
        <v>33</v>
      </c>
      <c r="K63" s="78" t="s">
        <v>1658</v>
      </c>
      <c r="L63" s="27" t="str">
        <f>_xlfn.XLOOKUP(Squads[[#This Row],[Current Club]],Clubs[Current Club],Clubs[Club_ID])</f>
        <v>ESP-02</v>
      </c>
      <c r="M63" s="27" t="str">
        <f>_xlfn.XLOOKUP(Squads[[#This Row],[National Team]],Football_Associations[Football Association],Football_Associations[World Cup Result])</f>
        <v>Group stage</v>
      </c>
      <c r="N6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4" spans="1:14" ht="15" customHeight="1" x14ac:dyDescent="0.25">
      <c r="A64" s="33">
        <f t="shared" si="0"/>
        <v>1063</v>
      </c>
      <c r="B64" s="23" t="s">
        <v>30</v>
      </c>
      <c r="C64" s="23" t="str">
        <f>VLOOKUP(Squads[[#This Row],[National Team]],Qualified[],3,TRUE)</f>
        <v>Belgium (BEL)</v>
      </c>
      <c r="D64" s="25">
        <v>11</v>
      </c>
      <c r="E64" s="23" t="s">
        <v>146</v>
      </c>
      <c r="F64" s="23" t="s">
        <v>649</v>
      </c>
      <c r="G64" s="26">
        <v>34216</v>
      </c>
      <c r="H64" s="65">
        <f>DATEDIF(Squads[[#This Row],[Date Of Birth]],World_Cup_Start_Date,"Y")</f>
        <v>29</v>
      </c>
      <c r="I64" s="27">
        <v>60</v>
      </c>
      <c r="J64" s="27">
        <v>8</v>
      </c>
      <c r="K64" s="78" t="s">
        <v>1660</v>
      </c>
      <c r="L64" s="27" t="str">
        <f>_xlfn.XLOOKUP(Squads[[#This Row],[Current Club]],Clubs[Current Club],Clubs[Club_ID])</f>
        <v>ESP-03</v>
      </c>
      <c r="M64" s="27" t="str">
        <f>_xlfn.XLOOKUP(Squads[[#This Row],[National Team]],Football_Associations[Football Association],Football_Associations[World Cup Result])</f>
        <v>Group stage</v>
      </c>
      <c r="N6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5" spans="1:14" ht="15" customHeight="1" x14ac:dyDescent="0.25">
      <c r="A65" s="33">
        <f t="shared" si="0"/>
        <v>1064</v>
      </c>
      <c r="B65" s="23" t="s">
        <v>30</v>
      </c>
      <c r="C65" s="23" t="str">
        <f>VLOOKUP(Squads[[#This Row],[National Team]],Qualified[],3,TRUE)</f>
        <v>Belgium (BEL)</v>
      </c>
      <c r="D65" s="25">
        <v>12</v>
      </c>
      <c r="E65" s="23" t="s">
        <v>133</v>
      </c>
      <c r="F65" s="23" t="s">
        <v>650</v>
      </c>
      <c r="G65" s="26">
        <v>32208</v>
      </c>
      <c r="H65" s="65">
        <f>DATEDIF(Squads[[#This Row],[Date Of Birth]],World_Cup_Start_Date,"Y")</f>
        <v>34</v>
      </c>
      <c r="I65" s="27">
        <v>35</v>
      </c>
      <c r="J65" s="27">
        <v>0</v>
      </c>
      <c r="K65" s="78" t="s">
        <v>1670</v>
      </c>
      <c r="L65" s="27" t="str">
        <f>_xlfn.XLOOKUP(Squads[[#This Row],[Current Club]],Clubs[Current Club],Clubs[Club_ID])</f>
        <v>BEL-01</v>
      </c>
      <c r="M65" s="27" t="str">
        <f>_xlfn.XLOOKUP(Squads[[#This Row],[National Team]],Football_Associations[Football Association],Football_Associations[World Cup Result])</f>
        <v>Group stage</v>
      </c>
      <c r="N6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6" spans="1:14" ht="15" customHeight="1" x14ac:dyDescent="0.25">
      <c r="A66" s="33">
        <f t="shared" si="0"/>
        <v>1065</v>
      </c>
      <c r="B66" s="23" t="s">
        <v>30</v>
      </c>
      <c r="C66" s="23" t="str">
        <f>VLOOKUP(Squads[[#This Row],[National Team]],Qualified[],3,TRUE)</f>
        <v>Belgium (BEL)</v>
      </c>
      <c r="D66" s="25">
        <v>13</v>
      </c>
      <c r="E66" s="23" t="s">
        <v>133</v>
      </c>
      <c r="F66" s="23" t="s">
        <v>651</v>
      </c>
      <c r="G66" s="26">
        <v>33780</v>
      </c>
      <c r="H66" s="65">
        <f>DATEDIF(Squads[[#This Row],[Date Of Birth]],World_Cup_Start_Date,"Y")</f>
        <v>30</v>
      </c>
      <c r="I66" s="27">
        <v>4</v>
      </c>
      <c r="J66" s="27">
        <v>0</v>
      </c>
      <c r="K66" s="78" t="s">
        <v>1751</v>
      </c>
      <c r="L66" s="27" t="str">
        <f>_xlfn.XLOOKUP(Squads[[#This Row],[Current Club]],Clubs[Current Club],Clubs[Club_ID])</f>
        <v>GER-11</v>
      </c>
      <c r="M66" s="27" t="str">
        <f>_xlfn.XLOOKUP(Squads[[#This Row],[National Team]],Football_Associations[Football Association],Football_Associations[World Cup Result])</f>
        <v>Group stage</v>
      </c>
      <c r="N6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7" spans="1:14" ht="15" customHeight="1" x14ac:dyDescent="0.25">
      <c r="A67" s="33">
        <f t="shared" ref="A67:A130" si="1">A66+1</f>
        <v>1066</v>
      </c>
      <c r="B67" s="23" t="s">
        <v>30</v>
      </c>
      <c r="C67" s="23" t="str">
        <f>VLOOKUP(Squads[[#This Row],[National Team]],Qualified[],3,TRUE)</f>
        <v>Belgium (BEL)</v>
      </c>
      <c r="D67" s="25">
        <v>14</v>
      </c>
      <c r="E67" s="23" t="s">
        <v>146</v>
      </c>
      <c r="F67" s="23" t="s">
        <v>652</v>
      </c>
      <c r="G67" s="26">
        <v>31903</v>
      </c>
      <c r="H67" s="65">
        <f>DATEDIF(Squads[[#This Row],[Date Of Birth]],World_Cup_Start_Date,"Y")</f>
        <v>35</v>
      </c>
      <c r="I67" s="27">
        <v>107</v>
      </c>
      <c r="J67" s="27">
        <v>21</v>
      </c>
      <c r="K67" s="78" t="s">
        <v>1692</v>
      </c>
      <c r="L67" s="27" t="str">
        <f>_xlfn.XLOOKUP(Squads[[#This Row],[Current Club]],Clubs[Current Club],Clubs[Club_ID])</f>
        <v>TUR-01</v>
      </c>
      <c r="M67" s="27" t="str">
        <f>_xlfn.XLOOKUP(Squads[[#This Row],[National Team]],Football_Associations[Football Association],Football_Associations[World Cup Result])</f>
        <v>Group stage</v>
      </c>
      <c r="N6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8" spans="1:14" ht="15" customHeight="1" x14ac:dyDescent="0.25">
      <c r="A68" s="33">
        <f t="shared" si="1"/>
        <v>1067</v>
      </c>
      <c r="B68" s="23" t="s">
        <v>30</v>
      </c>
      <c r="C68" s="23" t="str">
        <f>VLOOKUP(Squads[[#This Row],[National Team]],Qualified[],3,TRUE)</f>
        <v>Belgium (BEL)</v>
      </c>
      <c r="D68" s="25">
        <v>15</v>
      </c>
      <c r="E68" s="23" t="s">
        <v>139</v>
      </c>
      <c r="F68" s="23" t="s">
        <v>653</v>
      </c>
      <c r="G68" s="26">
        <v>33493</v>
      </c>
      <c r="H68" s="65">
        <f>DATEDIF(Squads[[#This Row],[Date Of Birth]],World_Cup_Start_Date,"Y")</f>
        <v>31</v>
      </c>
      <c r="I68" s="27">
        <v>59</v>
      </c>
      <c r="J68" s="27">
        <v>8</v>
      </c>
      <c r="K68" s="78" t="s">
        <v>1663</v>
      </c>
      <c r="L68" s="27" t="str">
        <f>_xlfn.XLOOKUP(Squads[[#This Row],[Current Club]],Clubs[Current Club],Clubs[Club_ID])</f>
        <v>GER-02</v>
      </c>
      <c r="M68" s="27" t="str">
        <f>_xlfn.XLOOKUP(Squads[[#This Row],[National Team]],Football_Associations[Football Association],Football_Associations[World Cup Result])</f>
        <v>Group stage</v>
      </c>
      <c r="N6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9" spans="1:14" ht="15" customHeight="1" x14ac:dyDescent="0.25">
      <c r="A69" s="33">
        <f t="shared" si="1"/>
        <v>1068</v>
      </c>
      <c r="B69" s="23" t="s">
        <v>30</v>
      </c>
      <c r="C69" s="23" t="str">
        <f>VLOOKUP(Squads[[#This Row],[National Team]],Qualified[],3,TRUE)</f>
        <v>Belgium (BEL)</v>
      </c>
      <c r="D69" s="25">
        <v>16</v>
      </c>
      <c r="E69" s="23" t="s">
        <v>139</v>
      </c>
      <c r="F69" s="23" t="s">
        <v>654</v>
      </c>
      <c r="G69" s="26">
        <v>34057</v>
      </c>
      <c r="H69" s="65">
        <f>DATEDIF(Squads[[#This Row],[Date Of Birth]],World_Cup_Start_Date,"Y")</f>
        <v>29</v>
      </c>
      <c r="I69" s="27">
        <v>45</v>
      </c>
      <c r="J69" s="27">
        <v>9</v>
      </c>
      <c r="K69" s="78" t="s">
        <v>1663</v>
      </c>
      <c r="L69" s="27" t="str">
        <f>_xlfn.XLOOKUP(Squads[[#This Row],[Current Club]],Clubs[Current Club],Clubs[Club_ID])</f>
        <v>GER-02</v>
      </c>
      <c r="M69" s="27" t="str">
        <f>_xlfn.XLOOKUP(Squads[[#This Row],[National Team]],Football_Associations[Football Association],Football_Associations[World Cup Result])</f>
        <v>Group stage</v>
      </c>
      <c r="N6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0" spans="1:14" ht="15" customHeight="1" x14ac:dyDescent="0.25">
      <c r="A70" s="33">
        <f t="shared" si="1"/>
        <v>1069</v>
      </c>
      <c r="B70" s="23" t="s">
        <v>30</v>
      </c>
      <c r="C70" s="23" t="str">
        <f>VLOOKUP(Squads[[#This Row],[National Team]],Qualified[],3,TRUE)</f>
        <v>Belgium (BEL)</v>
      </c>
      <c r="D70" s="25">
        <v>17</v>
      </c>
      <c r="E70" s="23" t="s">
        <v>146</v>
      </c>
      <c r="F70" s="23" t="s">
        <v>655</v>
      </c>
      <c r="G70" s="26">
        <v>34672</v>
      </c>
      <c r="H70" s="65">
        <f>DATEDIF(Squads[[#This Row],[Date Of Birth]],World_Cup_Start_Date,"Y")</f>
        <v>27</v>
      </c>
      <c r="I70" s="27">
        <v>21</v>
      </c>
      <c r="J70" s="27">
        <v>5</v>
      </c>
      <c r="K70" s="78" t="s">
        <v>1669</v>
      </c>
      <c r="L70" s="27" t="str">
        <f>_xlfn.XLOOKUP(Squads[[#This Row],[Current Club]],Clubs[Current Club],Clubs[Club_ID])</f>
        <v>ENG-06</v>
      </c>
      <c r="M70" s="27" t="str">
        <f>_xlfn.XLOOKUP(Squads[[#This Row],[National Team]],Football_Associations[Football Association],Football_Associations[World Cup Result])</f>
        <v>Group stage</v>
      </c>
      <c r="N7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1" spans="1:14" ht="15" customHeight="1" x14ac:dyDescent="0.25">
      <c r="A71" s="33">
        <f t="shared" si="1"/>
        <v>1070</v>
      </c>
      <c r="B71" s="23" t="s">
        <v>30</v>
      </c>
      <c r="C71" s="23" t="str">
        <f>VLOOKUP(Squads[[#This Row],[National Team]],Qualified[],3,TRUE)</f>
        <v>Belgium (BEL)</v>
      </c>
      <c r="D71" s="25">
        <v>18</v>
      </c>
      <c r="E71" s="23" t="s">
        <v>139</v>
      </c>
      <c r="F71" s="23" t="s">
        <v>656</v>
      </c>
      <c r="G71" s="26">
        <v>37119</v>
      </c>
      <c r="H71" s="65">
        <f>DATEDIF(Squads[[#This Row],[Date Of Birth]],World_Cup_Start_Date,"Y")</f>
        <v>21</v>
      </c>
      <c r="I71" s="27">
        <v>2</v>
      </c>
      <c r="J71" s="27">
        <v>0</v>
      </c>
      <c r="K71" s="78" t="s">
        <v>1710</v>
      </c>
      <c r="L71" s="27" t="str">
        <f>_xlfn.XLOOKUP(Squads[[#This Row],[Current Club]],Clubs[Current Club],Clubs[Club_ID])</f>
        <v>ENG-16</v>
      </c>
      <c r="M71" s="27" t="str">
        <f>_xlfn.XLOOKUP(Squads[[#This Row],[National Team]],Football_Associations[Football Association],Football_Associations[World Cup Result])</f>
        <v>Group stage</v>
      </c>
      <c r="N7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2" spans="1:14" ht="15" customHeight="1" x14ac:dyDescent="0.25">
      <c r="A72" s="33">
        <f t="shared" si="1"/>
        <v>1071</v>
      </c>
      <c r="B72" s="23" t="s">
        <v>30</v>
      </c>
      <c r="C72" s="23" t="str">
        <f>VLOOKUP(Squads[[#This Row],[National Team]],Qualified[],3,TRUE)</f>
        <v>Belgium (BEL)</v>
      </c>
      <c r="D72" s="25">
        <v>19</v>
      </c>
      <c r="E72" s="23" t="s">
        <v>135</v>
      </c>
      <c r="F72" s="23" t="s">
        <v>657</v>
      </c>
      <c r="G72" s="26">
        <v>34804</v>
      </c>
      <c r="H72" s="65">
        <f>DATEDIF(Squads[[#This Row],[Date Of Birth]],World_Cup_Start_Date,"Y")</f>
        <v>27</v>
      </c>
      <c r="I72" s="27">
        <v>29</v>
      </c>
      <c r="J72" s="27">
        <v>1</v>
      </c>
      <c r="K72" s="78" t="s">
        <v>1705</v>
      </c>
      <c r="L72" s="27" t="str">
        <f>_xlfn.XLOOKUP(Squads[[#This Row],[Current Club]],Clubs[Current Club],Clubs[Club_ID])</f>
        <v>ENG-15</v>
      </c>
      <c r="M72" s="27" t="str">
        <f>_xlfn.XLOOKUP(Squads[[#This Row],[National Team]],Football_Associations[Football Association],Football_Associations[World Cup Result])</f>
        <v>Group stage</v>
      </c>
      <c r="N7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3" spans="1:14" ht="15" customHeight="1" x14ac:dyDescent="0.25">
      <c r="A73" s="33">
        <f t="shared" si="1"/>
        <v>1072</v>
      </c>
      <c r="B73" s="23" t="s">
        <v>30</v>
      </c>
      <c r="C73" s="23" t="str">
        <f>VLOOKUP(Squads[[#This Row],[National Team]],Qualified[],3,TRUE)</f>
        <v>Belgium (BEL)</v>
      </c>
      <c r="D73" s="25">
        <v>20</v>
      </c>
      <c r="E73" s="23" t="s">
        <v>139</v>
      </c>
      <c r="F73" s="23" t="s">
        <v>658</v>
      </c>
      <c r="G73" s="26">
        <v>33840</v>
      </c>
      <c r="H73" s="65">
        <f>DATEDIF(Squads[[#This Row],[Date Of Birth]],World_Cup_Start_Date,"Y")</f>
        <v>30</v>
      </c>
      <c r="I73" s="27">
        <v>23</v>
      </c>
      <c r="J73" s="27">
        <v>5</v>
      </c>
      <c r="K73" s="78" t="s">
        <v>1670</v>
      </c>
      <c r="L73" s="27" t="str">
        <f>_xlfn.XLOOKUP(Squads[[#This Row],[Current Club]],Clubs[Current Club],Clubs[Club_ID])</f>
        <v>BEL-01</v>
      </c>
      <c r="M73" s="27" t="str">
        <f>_xlfn.XLOOKUP(Squads[[#This Row],[National Team]],Football_Associations[Football Association],Football_Associations[World Cup Result])</f>
        <v>Group stage</v>
      </c>
      <c r="N7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4" spans="1:14" ht="15" customHeight="1" x14ac:dyDescent="0.25">
      <c r="A74" s="33">
        <f t="shared" si="1"/>
        <v>1073</v>
      </c>
      <c r="B74" s="23" t="s">
        <v>30</v>
      </c>
      <c r="C74" s="23" t="str">
        <f>VLOOKUP(Squads[[#This Row],[National Team]],Qualified[],3,TRUE)</f>
        <v>Belgium (BEL)</v>
      </c>
      <c r="D74" s="25">
        <v>21</v>
      </c>
      <c r="E74" s="23" t="s">
        <v>139</v>
      </c>
      <c r="F74" s="23" t="s">
        <v>659</v>
      </c>
      <c r="G74" s="26">
        <v>35038</v>
      </c>
      <c r="H74" s="65">
        <f>DATEDIF(Squads[[#This Row],[Date Of Birth]],World_Cup_Start_Date,"Y")</f>
        <v>26</v>
      </c>
      <c r="I74" s="27">
        <v>26</v>
      </c>
      <c r="J74" s="27">
        <v>2</v>
      </c>
      <c r="K74" s="78" t="s">
        <v>1675</v>
      </c>
      <c r="L74" s="27" t="str">
        <f>_xlfn.XLOOKUP(Squads[[#This Row],[Current Club]],Clubs[Current Club],Clubs[Club_ID])</f>
        <v>ENG-07</v>
      </c>
      <c r="M74" s="27" t="str">
        <f>_xlfn.XLOOKUP(Squads[[#This Row],[National Team]],Football_Associations[Football Association],Football_Associations[World Cup Result])</f>
        <v>Group stage</v>
      </c>
      <c r="N7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5" spans="1:14" ht="15" customHeight="1" x14ac:dyDescent="0.25">
      <c r="A75" s="33">
        <f t="shared" si="1"/>
        <v>1074</v>
      </c>
      <c r="B75" s="23" t="s">
        <v>30</v>
      </c>
      <c r="C75" s="23" t="str">
        <f>VLOOKUP(Squads[[#This Row],[National Team]],Qualified[],3,TRUE)</f>
        <v>Belgium (BEL)</v>
      </c>
      <c r="D75" s="25">
        <v>22</v>
      </c>
      <c r="E75" s="23" t="s">
        <v>146</v>
      </c>
      <c r="F75" s="23" t="s">
        <v>660</v>
      </c>
      <c r="G75" s="26">
        <v>36960</v>
      </c>
      <c r="H75" s="65">
        <f>DATEDIF(Squads[[#This Row],[Date Of Birth]],World_Cup_Start_Date,"Y")</f>
        <v>21</v>
      </c>
      <c r="I75" s="27">
        <v>10</v>
      </c>
      <c r="J75" s="27">
        <v>1</v>
      </c>
      <c r="K75" s="78" t="s">
        <v>1677</v>
      </c>
      <c r="L75" s="27" t="str">
        <f>_xlfn.XLOOKUP(Squads[[#This Row],[Current Club]],Clubs[Current Club],Clubs[Club_ID])</f>
        <v>ITA-02</v>
      </c>
      <c r="M75" s="27" t="str">
        <f>_xlfn.XLOOKUP(Squads[[#This Row],[National Team]],Football_Associations[Football Association],Football_Associations[World Cup Result])</f>
        <v>Group stage</v>
      </c>
      <c r="N7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6" spans="1:14" ht="15" customHeight="1" x14ac:dyDescent="0.25">
      <c r="A76" s="33">
        <f t="shared" si="1"/>
        <v>1075</v>
      </c>
      <c r="B76" s="23" t="s">
        <v>30</v>
      </c>
      <c r="C76" s="23" t="str">
        <f>VLOOKUP(Squads[[#This Row],[National Team]],Qualified[],3,TRUE)</f>
        <v>Belgium (BEL)</v>
      </c>
      <c r="D76" s="25">
        <v>23</v>
      </c>
      <c r="E76" s="23" t="s">
        <v>146</v>
      </c>
      <c r="F76" s="23" t="s">
        <v>661</v>
      </c>
      <c r="G76" s="26">
        <v>34244</v>
      </c>
      <c r="H76" s="65">
        <f>DATEDIF(Squads[[#This Row],[Date Of Birth]],World_Cup_Start_Date,"Y")</f>
        <v>29</v>
      </c>
      <c r="I76" s="27">
        <v>48</v>
      </c>
      <c r="J76" s="27">
        <v>26</v>
      </c>
      <c r="K76" s="78" t="s">
        <v>1778</v>
      </c>
      <c r="L76" s="27" t="str">
        <f>_xlfn.XLOOKUP(Squads[[#This Row],[Current Club]],Clubs[Current Club],Clubs[Club_ID])</f>
        <v>TUR-03</v>
      </c>
      <c r="M76" s="27" t="str">
        <f>_xlfn.XLOOKUP(Squads[[#This Row],[National Team]],Football_Associations[Football Association],Football_Associations[World Cup Result])</f>
        <v>Group stage</v>
      </c>
      <c r="N7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7" spans="1:14" ht="15" customHeight="1" x14ac:dyDescent="0.25">
      <c r="A77" s="33">
        <f t="shared" si="1"/>
        <v>1076</v>
      </c>
      <c r="B77" s="23" t="s">
        <v>30</v>
      </c>
      <c r="C77" s="23" t="str">
        <f>VLOOKUP(Squads[[#This Row],[National Team]],Qualified[],3,TRUE)</f>
        <v>Belgium (BEL)</v>
      </c>
      <c r="D77" s="25">
        <v>24</v>
      </c>
      <c r="E77" s="23" t="s">
        <v>146</v>
      </c>
      <c r="F77" s="23" t="s">
        <v>662</v>
      </c>
      <c r="G77" s="26">
        <v>36572</v>
      </c>
      <c r="H77" s="65">
        <f>DATEDIF(Squads[[#This Row],[Date Of Birth]],World_Cup_Start_Date,"Y")</f>
        <v>22</v>
      </c>
      <c r="I77" s="27">
        <v>5</v>
      </c>
      <c r="J77" s="27">
        <v>2</v>
      </c>
      <c r="K77" s="78" t="s">
        <v>1737</v>
      </c>
      <c r="L77" s="27" t="str">
        <f>_xlfn.XLOOKUP(Squads[[#This Row],[Current Club]],Clubs[Current Club],Clubs[Club_ID])</f>
        <v>FRA-05</v>
      </c>
      <c r="M77" s="27" t="str">
        <f>_xlfn.XLOOKUP(Squads[[#This Row],[National Team]],Football_Associations[Football Association],Football_Associations[World Cup Result])</f>
        <v>Group stage</v>
      </c>
      <c r="N7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8" spans="1:14" ht="15" customHeight="1" x14ac:dyDescent="0.25">
      <c r="A78" s="33">
        <f t="shared" si="1"/>
        <v>1077</v>
      </c>
      <c r="B78" s="23" t="s">
        <v>30</v>
      </c>
      <c r="C78" s="23" t="str">
        <f>VLOOKUP(Squads[[#This Row],[National Team]],Qualified[],3,TRUE)</f>
        <v>Belgium (BEL)</v>
      </c>
      <c r="D78" s="25">
        <v>25</v>
      </c>
      <c r="E78" s="23" t="s">
        <v>146</v>
      </c>
      <c r="F78" s="23" t="s">
        <v>663</v>
      </c>
      <c r="G78" s="26">
        <v>37403</v>
      </c>
      <c r="H78" s="65">
        <f>DATEDIF(Squads[[#This Row],[Date Of Birth]],World_Cup_Start_Date,"Y")</f>
        <v>20</v>
      </c>
      <c r="I78" s="27">
        <v>11</v>
      </c>
      <c r="J78" s="27">
        <v>2</v>
      </c>
      <c r="K78" s="78" t="s">
        <v>1671</v>
      </c>
      <c r="L78" s="27" t="str">
        <f>_xlfn.XLOOKUP(Squads[[#This Row],[Current Club]],Clubs[Current Club],Clubs[Club_ID])</f>
        <v>FRA-02</v>
      </c>
      <c r="M78" s="27" t="str">
        <f>_xlfn.XLOOKUP(Squads[[#This Row],[National Team]],Football_Associations[Football Association],Football_Associations[World Cup Result])</f>
        <v>Group stage</v>
      </c>
      <c r="N7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9" spans="1:14" ht="15" customHeight="1" x14ac:dyDescent="0.25">
      <c r="A79" s="33">
        <f t="shared" si="1"/>
        <v>1078</v>
      </c>
      <c r="B79" s="23" t="s">
        <v>30</v>
      </c>
      <c r="C79" s="23" t="str">
        <f>VLOOKUP(Squads[[#This Row],[National Team]],Qualified[],3,TRUE)</f>
        <v>Belgium (BEL)</v>
      </c>
      <c r="D79" s="25">
        <v>26</v>
      </c>
      <c r="E79" s="23" t="s">
        <v>135</v>
      </c>
      <c r="F79" s="23" t="s">
        <v>664</v>
      </c>
      <c r="G79" s="26">
        <v>37918</v>
      </c>
      <c r="H79" s="65">
        <f>DATEDIF(Squads[[#This Row],[Date Of Birth]],World_Cup_Start_Date,"Y")</f>
        <v>19</v>
      </c>
      <c r="I79" s="27">
        <v>3</v>
      </c>
      <c r="J79" s="27">
        <v>0</v>
      </c>
      <c r="K79" s="78" t="s">
        <v>1762</v>
      </c>
      <c r="L79" s="27" t="str">
        <f>_xlfn.XLOOKUP(Squads[[#This Row],[Current Club]],Clubs[Current Club],Clubs[Club_ID])</f>
        <v>BEL-04</v>
      </c>
      <c r="M79" s="27" t="str">
        <f>_xlfn.XLOOKUP(Squads[[#This Row],[National Team]],Football_Associations[Football Association],Football_Associations[World Cup Result])</f>
        <v>Group stage</v>
      </c>
      <c r="N7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0" spans="1:14" ht="15" customHeight="1" x14ac:dyDescent="0.25">
      <c r="A80" s="33">
        <f t="shared" si="1"/>
        <v>1079</v>
      </c>
      <c r="B80" s="23" t="s">
        <v>1059</v>
      </c>
      <c r="C80" s="23" t="str">
        <f>VLOOKUP(Squads[[#This Row],[National Team]],Qualified[],3,TRUE)</f>
        <v>Brasil (BRA)</v>
      </c>
      <c r="D80" s="25">
        <v>1</v>
      </c>
      <c r="E80" s="23" t="s">
        <v>133</v>
      </c>
      <c r="F80" s="23" t="s">
        <v>741</v>
      </c>
      <c r="G80" s="26">
        <v>33879</v>
      </c>
      <c r="H80" s="65">
        <f>DATEDIF(Squads[[#This Row],[Date Of Birth]],World_Cup_Start_Date,"Y")</f>
        <v>30</v>
      </c>
      <c r="I80" s="27">
        <v>57</v>
      </c>
      <c r="J80" s="27">
        <v>0</v>
      </c>
      <c r="K80" s="78" t="s">
        <v>1676</v>
      </c>
      <c r="L80" s="27" t="str">
        <f>_xlfn.XLOOKUP(Squads[[#This Row],[Current Club]],Clubs[Current Club],Clubs[Club_ID])</f>
        <v>ENG-08</v>
      </c>
      <c r="M80" s="27" t="str">
        <f>_xlfn.XLOOKUP(Squads[[#This Row],[National Team]],Football_Associations[Football Association],Football_Associations[World Cup Result])</f>
        <v>Quarter Finals</v>
      </c>
      <c r="N8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1" spans="1:14" ht="15" customHeight="1" x14ac:dyDescent="0.25">
      <c r="A81" s="33">
        <f t="shared" si="1"/>
        <v>1080</v>
      </c>
      <c r="B81" s="23" t="s">
        <v>1059</v>
      </c>
      <c r="C81" s="23" t="str">
        <f>VLOOKUP(Squads[[#This Row],[National Team]],Qualified[],3,TRUE)</f>
        <v>Brasil (BRA)</v>
      </c>
      <c r="D81" s="25">
        <v>2</v>
      </c>
      <c r="E81" s="23" t="s">
        <v>135</v>
      </c>
      <c r="F81" s="23" t="s">
        <v>742</v>
      </c>
      <c r="G81" s="26">
        <v>33434</v>
      </c>
      <c r="H81" s="65">
        <f>DATEDIF(Squads[[#This Row],[Date Of Birth]],World_Cup_Start_Date,"Y")</f>
        <v>31</v>
      </c>
      <c r="I81" s="27">
        <v>46</v>
      </c>
      <c r="J81" s="27">
        <v>1</v>
      </c>
      <c r="K81" s="78" t="s">
        <v>1664</v>
      </c>
      <c r="L81" s="27" t="str">
        <f>_xlfn.XLOOKUP(Squads[[#This Row],[Current Club]],Clubs[Current Club],Clubs[Club_ID])</f>
        <v>ITA-01</v>
      </c>
      <c r="M81" s="27" t="str">
        <f>_xlfn.XLOOKUP(Squads[[#This Row],[National Team]],Football_Associations[Football Association],Football_Associations[World Cup Result])</f>
        <v>Quarter Finals</v>
      </c>
      <c r="N8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2" spans="1:14" ht="15" customHeight="1" x14ac:dyDescent="0.25">
      <c r="A82" s="33">
        <f t="shared" si="1"/>
        <v>1081</v>
      </c>
      <c r="B82" s="23" t="s">
        <v>1059</v>
      </c>
      <c r="C82" s="23" t="str">
        <f>VLOOKUP(Squads[[#This Row],[National Team]],Qualified[],3,TRUE)</f>
        <v>Brasil (BRA)</v>
      </c>
      <c r="D82" s="25">
        <v>3</v>
      </c>
      <c r="E82" s="23" t="s">
        <v>135</v>
      </c>
      <c r="F82" s="27" t="s">
        <v>1000</v>
      </c>
      <c r="G82" s="26">
        <v>30947</v>
      </c>
      <c r="H82" s="65">
        <f>DATEDIF(Squads[[#This Row],[Date Of Birth]],World_Cup_Start_Date,"Y")</f>
        <v>38</v>
      </c>
      <c r="I82" s="27">
        <v>109</v>
      </c>
      <c r="J82" s="27">
        <v>7</v>
      </c>
      <c r="K82" s="78" t="s">
        <v>1661</v>
      </c>
      <c r="L82" s="27" t="str">
        <f>_xlfn.XLOOKUP(Squads[[#This Row],[Current Club]],Clubs[Current Club],Clubs[Club_ID])</f>
        <v>ENG-03</v>
      </c>
      <c r="M82" s="27" t="str">
        <f>_xlfn.XLOOKUP(Squads[[#This Row],[National Team]],Football_Associations[Football Association],Football_Associations[World Cup Result])</f>
        <v>Quarter Finals</v>
      </c>
      <c r="N8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3" spans="1:14" ht="15" customHeight="1" x14ac:dyDescent="0.25">
      <c r="A83" s="33">
        <f t="shared" si="1"/>
        <v>1082</v>
      </c>
      <c r="B83" s="23" t="s">
        <v>1059</v>
      </c>
      <c r="C83" s="23" t="str">
        <f>VLOOKUP(Squads[[#This Row],[National Team]],Qualified[],3,TRUE)</f>
        <v>Brasil (BRA)</v>
      </c>
      <c r="D83" s="25">
        <v>4</v>
      </c>
      <c r="E83" s="23" t="s">
        <v>135</v>
      </c>
      <c r="F83" s="23" t="s">
        <v>743</v>
      </c>
      <c r="G83" s="26">
        <v>34468</v>
      </c>
      <c r="H83" s="65">
        <f>DATEDIF(Squads[[#This Row],[Date Of Birth]],World_Cup_Start_Date,"Y")</f>
        <v>28</v>
      </c>
      <c r="I83" s="27">
        <v>71</v>
      </c>
      <c r="J83" s="27">
        <v>5</v>
      </c>
      <c r="K83" s="78" t="s">
        <v>1665</v>
      </c>
      <c r="L83" s="27" t="str">
        <f>_xlfn.XLOOKUP(Squads[[#This Row],[Current Club]],Clubs[Current Club],Clubs[Club_ID])</f>
        <v>FRA-01</v>
      </c>
      <c r="M83" s="27" t="str">
        <f>_xlfn.XLOOKUP(Squads[[#This Row],[National Team]],Football_Associations[Football Association],Football_Associations[World Cup Result])</f>
        <v>Quarter Finals</v>
      </c>
      <c r="N8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4" spans="1:14" ht="15" customHeight="1" x14ac:dyDescent="0.25">
      <c r="A84" s="33">
        <f t="shared" si="1"/>
        <v>1083</v>
      </c>
      <c r="B84" s="23" t="s">
        <v>1059</v>
      </c>
      <c r="C84" s="23" t="str">
        <f>VLOOKUP(Squads[[#This Row],[National Team]],Qualified[],3,TRUE)</f>
        <v>Brasil (BRA)</v>
      </c>
      <c r="D84" s="25">
        <v>5</v>
      </c>
      <c r="E84" s="23" t="s">
        <v>139</v>
      </c>
      <c r="F84" s="23" t="s">
        <v>744</v>
      </c>
      <c r="G84" s="26">
        <v>33657</v>
      </c>
      <c r="H84" s="65">
        <f>DATEDIF(Squads[[#This Row],[Date Of Birth]],World_Cup_Start_Date,"Y")</f>
        <v>30</v>
      </c>
      <c r="I84" s="27">
        <v>65</v>
      </c>
      <c r="J84" s="27">
        <v>5</v>
      </c>
      <c r="K84" s="78" t="s">
        <v>1657</v>
      </c>
      <c r="L84" s="27" t="str">
        <f>_xlfn.XLOOKUP(Squads[[#This Row],[Current Club]],Clubs[Current Club],Clubs[Club_ID])</f>
        <v>ENG-02</v>
      </c>
      <c r="M84" s="27" t="str">
        <f>_xlfn.XLOOKUP(Squads[[#This Row],[National Team]],Football_Associations[Football Association],Football_Associations[World Cup Result])</f>
        <v>Quarter Finals</v>
      </c>
      <c r="N8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5" spans="1:14" ht="15" customHeight="1" x14ac:dyDescent="0.25">
      <c r="A85" s="33">
        <f t="shared" si="1"/>
        <v>1084</v>
      </c>
      <c r="B85" s="23" t="s">
        <v>1059</v>
      </c>
      <c r="C85" s="23" t="str">
        <f>VLOOKUP(Squads[[#This Row],[National Team]],Qualified[],3,TRUE)</f>
        <v>Brasil (BRA)</v>
      </c>
      <c r="D85" s="25">
        <v>6</v>
      </c>
      <c r="E85" s="23" t="s">
        <v>135</v>
      </c>
      <c r="F85" s="23" t="s">
        <v>745</v>
      </c>
      <c r="G85" s="26">
        <v>33264</v>
      </c>
      <c r="H85" s="65">
        <f>DATEDIF(Squads[[#This Row],[Date Of Birth]],World_Cup_Start_Date,"Y")</f>
        <v>31</v>
      </c>
      <c r="I85" s="27">
        <v>37</v>
      </c>
      <c r="J85" s="27">
        <v>2</v>
      </c>
      <c r="K85" s="78" t="s">
        <v>1664</v>
      </c>
      <c r="L85" s="27" t="str">
        <f>_xlfn.XLOOKUP(Squads[[#This Row],[Current Club]],Clubs[Current Club],Clubs[Club_ID])</f>
        <v>ITA-01</v>
      </c>
      <c r="M85" s="27" t="str">
        <f>_xlfn.XLOOKUP(Squads[[#This Row],[National Team]],Football_Associations[Football Association],Football_Associations[World Cup Result])</f>
        <v>Quarter Finals</v>
      </c>
      <c r="N8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6" spans="1:14" ht="15" customHeight="1" x14ac:dyDescent="0.25">
      <c r="A86" s="33">
        <f t="shared" si="1"/>
        <v>1085</v>
      </c>
      <c r="B86" s="23" t="s">
        <v>1059</v>
      </c>
      <c r="C86" s="23" t="str">
        <f>VLOOKUP(Squads[[#This Row],[National Team]],Qualified[],3,TRUE)</f>
        <v>Brasil (BRA)</v>
      </c>
      <c r="D86" s="25">
        <v>7</v>
      </c>
      <c r="E86" s="23" t="s">
        <v>139</v>
      </c>
      <c r="F86" s="23" t="s">
        <v>746</v>
      </c>
      <c r="G86" s="26">
        <v>35669</v>
      </c>
      <c r="H86" s="65">
        <f>DATEDIF(Squads[[#This Row],[Date Of Birth]],World_Cup_Start_Date,"Y")</f>
        <v>25</v>
      </c>
      <c r="I86" s="27">
        <v>35</v>
      </c>
      <c r="J86" s="27">
        <v>7</v>
      </c>
      <c r="K86" s="78" t="s">
        <v>1703</v>
      </c>
      <c r="L86" s="27" t="str">
        <f>_xlfn.XLOOKUP(Squads[[#This Row],[Current Club]],Clubs[Current Club],Clubs[Club_ID])</f>
        <v>ENG-13</v>
      </c>
      <c r="M86" s="27" t="str">
        <f>_xlfn.XLOOKUP(Squads[[#This Row],[National Team]],Football_Associations[Football Association],Football_Associations[World Cup Result])</f>
        <v>Quarter Finals</v>
      </c>
      <c r="N8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7" spans="1:14" ht="15" customHeight="1" x14ac:dyDescent="0.25">
      <c r="A87" s="33">
        <f t="shared" si="1"/>
        <v>1086</v>
      </c>
      <c r="B87" s="23" t="s">
        <v>1059</v>
      </c>
      <c r="C87" s="23" t="str">
        <f>VLOOKUP(Squads[[#This Row],[National Team]],Qualified[],3,TRUE)</f>
        <v>Brasil (BRA)</v>
      </c>
      <c r="D87" s="25">
        <v>8</v>
      </c>
      <c r="E87" s="23" t="s">
        <v>139</v>
      </c>
      <c r="F87" s="23" t="s">
        <v>747</v>
      </c>
      <c r="G87" s="26">
        <v>34033</v>
      </c>
      <c r="H87" s="65">
        <f>DATEDIF(Squads[[#This Row],[Date Of Birth]],World_Cup_Start_Date,"Y")</f>
        <v>29</v>
      </c>
      <c r="I87" s="27">
        <v>28</v>
      </c>
      <c r="J87" s="27">
        <v>0</v>
      </c>
      <c r="K87" s="78" t="s">
        <v>1657</v>
      </c>
      <c r="L87" s="27" t="str">
        <f>_xlfn.XLOOKUP(Squads[[#This Row],[Current Club]],Clubs[Current Club],Clubs[Club_ID])</f>
        <v>ENG-02</v>
      </c>
      <c r="M87" s="27" t="str">
        <f>_xlfn.XLOOKUP(Squads[[#This Row],[National Team]],Football_Associations[Football Association],Football_Associations[World Cup Result])</f>
        <v>Quarter Finals</v>
      </c>
      <c r="N8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8" spans="1:14" ht="15" customHeight="1" x14ac:dyDescent="0.25">
      <c r="A88" s="33">
        <f t="shared" si="1"/>
        <v>1087</v>
      </c>
      <c r="B88" s="23" t="s">
        <v>1059</v>
      </c>
      <c r="C88" s="23" t="str">
        <f>VLOOKUP(Squads[[#This Row],[National Team]],Qualified[],3,TRUE)</f>
        <v>Brasil (BRA)</v>
      </c>
      <c r="D88" s="25">
        <v>9</v>
      </c>
      <c r="E88" s="23" t="s">
        <v>146</v>
      </c>
      <c r="F88" s="23" t="s">
        <v>748</v>
      </c>
      <c r="G88" s="26">
        <v>35560</v>
      </c>
      <c r="H88" s="65">
        <f>DATEDIF(Squads[[#This Row],[Date Of Birth]],World_Cup_Start_Date,"Y")</f>
        <v>25</v>
      </c>
      <c r="I88" s="27">
        <v>38</v>
      </c>
      <c r="J88" s="27">
        <v>17</v>
      </c>
      <c r="K88" s="78" t="s">
        <v>1666</v>
      </c>
      <c r="L88" s="27" t="str">
        <f>_xlfn.XLOOKUP(Squads[[#This Row],[Current Club]],Clubs[Current Club],Clubs[Club_ID])</f>
        <v>ENG-04</v>
      </c>
      <c r="M88" s="27" t="str">
        <f>_xlfn.XLOOKUP(Squads[[#This Row],[National Team]],Football_Associations[Football Association],Football_Associations[World Cup Result])</f>
        <v>Quarter Finals</v>
      </c>
      <c r="N8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9" spans="1:14" ht="15" customHeight="1" x14ac:dyDescent="0.25">
      <c r="A89" s="33">
        <f t="shared" si="1"/>
        <v>1088</v>
      </c>
      <c r="B89" s="23" t="s">
        <v>1059</v>
      </c>
      <c r="C89" s="23" t="str">
        <f>VLOOKUP(Squads[[#This Row],[National Team]],Qualified[],3,TRUE)</f>
        <v>Brasil (BRA)</v>
      </c>
      <c r="D89" s="25">
        <v>10</v>
      </c>
      <c r="E89" s="23" t="s">
        <v>146</v>
      </c>
      <c r="F89" s="23" t="s">
        <v>749</v>
      </c>
      <c r="G89" s="26">
        <v>33639</v>
      </c>
      <c r="H89" s="65">
        <f>DATEDIF(Squads[[#This Row],[Date Of Birth]],World_Cup_Start_Date,"Y")</f>
        <v>30</v>
      </c>
      <c r="I89" s="27">
        <v>121</v>
      </c>
      <c r="J89" s="27">
        <v>75</v>
      </c>
      <c r="K89" s="78" t="s">
        <v>1665</v>
      </c>
      <c r="L89" s="27" t="str">
        <f>_xlfn.XLOOKUP(Squads[[#This Row],[Current Club]],Clubs[Current Club],Clubs[Club_ID])</f>
        <v>FRA-01</v>
      </c>
      <c r="M89" s="27" t="str">
        <f>_xlfn.XLOOKUP(Squads[[#This Row],[National Team]],Football_Associations[Football Association],Football_Associations[World Cup Result])</f>
        <v>Quarter Finals</v>
      </c>
      <c r="N8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90" spans="1:14" ht="15" customHeight="1" x14ac:dyDescent="0.25">
      <c r="A90" s="33">
        <f t="shared" si="1"/>
        <v>1089</v>
      </c>
      <c r="B90" s="23" t="s">
        <v>1059</v>
      </c>
      <c r="C90" s="23" t="str">
        <f>VLOOKUP(Squads[[#This Row],[National Team]],Qualified[],3,TRUE)</f>
        <v>Brasil (BRA)</v>
      </c>
      <c r="D90" s="25">
        <v>11</v>
      </c>
      <c r="E90" s="23" t="s">
        <v>146</v>
      </c>
      <c r="F90" s="23" t="s">
        <v>750</v>
      </c>
      <c r="G90" s="26">
        <v>35413</v>
      </c>
      <c r="H90" s="65">
        <f>DATEDIF(Squads[[#This Row],[Date Of Birth]],World_Cup_Start_Date,"Y")</f>
        <v>25</v>
      </c>
      <c r="I90" s="27">
        <v>11</v>
      </c>
      <c r="J90" s="27">
        <v>5</v>
      </c>
      <c r="K90" s="78" t="s">
        <v>1653</v>
      </c>
      <c r="L90" s="27" t="str">
        <f>_xlfn.XLOOKUP(Squads[[#This Row],[Current Club]],Clubs[Current Club],Clubs[Club_ID])</f>
        <v>ESP-01</v>
      </c>
      <c r="M90" s="27" t="str">
        <f>_xlfn.XLOOKUP(Squads[[#This Row],[National Team]],Football_Associations[Football Association],Football_Associations[World Cup Result])</f>
        <v>Quarter Finals</v>
      </c>
      <c r="N9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91" spans="1:14" ht="15" customHeight="1" x14ac:dyDescent="0.25">
      <c r="A91" s="33">
        <f t="shared" si="1"/>
        <v>1090</v>
      </c>
      <c r="B91" s="23" t="s">
        <v>1059</v>
      </c>
      <c r="C91" s="23" t="str">
        <f>VLOOKUP(Squads[[#This Row],[National Team]],Qualified[],3,TRUE)</f>
        <v>Brasil (BRA)</v>
      </c>
      <c r="D91" s="25">
        <v>12</v>
      </c>
      <c r="E91" s="23" t="s">
        <v>133</v>
      </c>
      <c r="F91" s="23" t="s">
        <v>751</v>
      </c>
      <c r="G91" s="26">
        <v>32124</v>
      </c>
      <c r="H91" s="65">
        <f>DATEDIF(Squads[[#This Row],[Date Of Birth]],World_Cup_Start_Date,"Y")</f>
        <v>34</v>
      </c>
      <c r="I91" s="27">
        <v>8</v>
      </c>
      <c r="J91" s="27">
        <v>0</v>
      </c>
      <c r="K91" s="78" t="s">
        <v>1904</v>
      </c>
      <c r="L91" s="27" t="str">
        <f>_xlfn.XLOOKUP(Squads[[#This Row],[Current Club]],Clubs[Current Club],Clubs[Club_ID])</f>
        <v>BRA-03</v>
      </c>
      <c r="M91" s="27" t="str">
        <f>_xlfn.XLOOKUP(Squads[[#This Row],[National Team]],Football_Associations[Football Association],Football_Associations[World Cup Result])</f>
        <v>Quarter Finals</v>
      </c>
      <c r="N9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92" spans="1:14" ht="15" customHeight="1" x14ac:dyDescent="0.25">
      <c r="A92" s="33">
        <f t="shared" si="1"/>
        <v>1091</v>
      </c>
      <c r="B92" s="23" t="s">
        <v>1059</v>
      </c>
      <c r="C92" s="23" t="str">
        <f>VLOOKUP(Squads[[#This Row],[National Team]],Qualified[],3,TRUE)</f>
        <v>Brasil (BRA)</v>
      </c>
      <c r="D92" s="25">
        <v>13</v>
      </c>
      <c r="E92" s="23" t="s">
        <v>135</v>
      </c>
      <c r="F92" s="23" t="s">
        <v>752</v>
      </c>
      <c r="G92" s="26">
        <v>30442</v>
      </c>
      <c r="H92" s="65">
        <f>DATEDIF(Squads[[#This Row],[Date Of Birth]],World_Cup_Start_Date,"Y")</f>
        <v>39</v>
      </c>
      <c r="I92" s="27">
        <v>124</v>
      </c>
      <c r="J92" s="27">
        <v>8</v>
      </c>
      <c r="K92" s="78" t="s">
        <v>1938</v>
      </c>
      <c r="L92" s="27" t="str">
        <f>_xlfn.XLOOKUP(Squads[[#This Row],[Current Club]],Clubs[Current Club],Clubs[Club_ID])</f>
        <v>MEX-10</v>
      </c>
      <c r="M92" s="27" t="str">
        <f>_xlfn.XLOOKUP(Squads[[#This Row],[National Team]],Football_Associations[Football Association],Football_Associations[World Cup Result])</f>
        <v>Quarter Finals</v>
      </c>
      <c r="N9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93" spans="1:14" ht="15" customHeight="1" x14ac:dyDescent="0.25">
      <c r="A93" s="33">
        <f t="shared" si="1"/>
        <v>1092</v>
      </c>
      <c r="B93" s="23" t="s">
        <v>1059</v>
      </c>
      <c r="C93" s="23" t="str">
        <f>VLOOKUP(Squads[[#This Row],[National Team]],Qualified[],3,TRUE)</f>
        <v>Brasil (BRA)</v>
      </c>
      <c r="D93" s="25">
        <v>14</v>
      </c>
      <c r="E93" s="23" t="s">
        <v>135</v>
      </c>
      <c r="F93" s="23" t="s">
        <v>753</v>
      </c>
      <c r="G93" s="26">
        <v>35813</v>
      </c>
      <c r="H93" s="65">
        <f>DATEDIF(Squads[[#This Row],[Date Of Birth]],World_Cup_Start_Date,"Y")</f>
        <v>24</v>
      </c>
      <c r="I93" s="27">
        <v>23</v>
      </c>
      <c r="J93" s="27">
        <v>1</v>
      </c>
      <c r="K93" s="78" t="s">
        <v>1658</v>
      </c>
      <c r="L93" s="27" t="str">
        <f>_xlfn.XLOOKUP(Squads[[#This Row],[Current Club]],Clubs[Current Club],Clubs[Club_ID])</f>
        <v>ESP-02</v>
      </c>
      <c r="M93" s="27" t="str">
        <f>_xlfn.XLOOKUP(Squads[[#This Row],[National Team]],Football_Associations[Football Association],Football_Associations[World Cup Result])</f>
        <v>Quarter Finals</v>
      </c>
      <c r="N9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94" spans="1:14" ht="15" customHeight="1" x14ac:dyDescent="0.25">
      <c r="A94" s="33">
        <f t="shared" si="1"/>
        <v>1093</v>
      </c>
      <c r="B94" s="23" t="s">
        <v>1059</v>
      </c>
      <c r="C94" s="23" t="str">
        <f>VLOOKUP(Squads[[#This Row],[National Team]],Qualified[],3,TRUE)</f>
        <v>Brasil (BRA)</v>
      </c>
      <c r="D94" s="25">
        <v>15</v>
      </c>
      <c r="E94" s="23" t="s">
        <v>139</v>
      </c>
      <c r="F94" s="23" t="s">
        <v>754</v>
      </c>
      <c r="G94" s="26">
        <v>34265</v>
      </c>
      <c r="H94" s="65">
        <f>DATEDIF(Squads[[#This Row],[Date Of Birth]],World_Cup_Start_Date,"Y")</f>
        <v>29</v>
      </c>
      <c r="I94" s="27">
        <v>28</v>
      </c>
      <c r="J94" s="27">
        <v>0</v>
      </c>
      <c r="K94" s="78" t="s">
        <v>1676</v>
      </c>
      <c r="L94" s="27" t="str">
        <f>_xlfn.XLOOKUP(Squads[[#This Row],[Current Club]],Clubs[Current Club],Clubs[Club_ID])</f>
        <v>ENG-08</v>
      </c>
      <c r="M94" s="27" t="str">
        <f>_xlfn.XLOOKUP(Squads[[#This Row],[National Team]],Football_Associations[Football Association],Football_Associations[World Cup Result])</f>
        <v>Quarter Finals</v>
      </c>
      <c r="N9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95" spans="1:14" ht="15" customHeight="1" x14ac:dyDescent="0.25">
      <c r="A95" s="33">
        <f t="shared" si="1"/>
        <v>1094</v>
      </c>
      <c r="B95" s="23" t="s">
        <v>1059</v>
      </c>
      <c r="C95" s="23" t="str">
        <f>VLOOKUP(Squads[[#This Row],[National Team]],Qualified[],3,TRUE)</f>
        <v>Brasil (BRA)</v>
      </c>
      <c r="D95" s="25">
        <v>16</v>
      </c>
      <c r="E95" s="23" t="s">
        <v>135</v>
      </c>
      <c r="F95" s="23" t="s">
        <v>755</v>
      </c>
      <c r="G95" s="26">
        <v>33953</v>
      </c>
      <c r="H95" s="65">
        <f>DATEDIF(Squads[[#This Row],[Date Of Birth]],World_Cup_Start_Date,"Y")</f>
        <v>29</v>
      </c>
      <c r="I95" s="27">
        <v>8</v>
      </c>
      <c r="J95" s="27">
        <v>0</v>
      </c>
      <c r="K95" s="78" t="s">
        <v>1668</v>
      </c>
      <c r="L95" s="27" t="str">
        <f>_xlfn.XLOOKUP(Squads[[#This Row],[Current Club]],Clubs[Current Club],Clubs[Club_ID])</f>
        <v>ESP-04</v>
      </c>
      <c r="M95" s="27" t="str">
        <f>_xlfn.XLOOKUP(Squads[[#This Row],[National Team]],Football_Associations[Football Association],Football_Associations[World Cup Result])</f>
        <v>Quarter Finals</v>
      </c>
      <c r="N9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96" spans="1:14" ht="15" customHeight="1" x14ac:dyDescent="0.25">
      <c r="A96" s="33">
        <f t="shared" si="1"/>
        <v>1095</v>
      </c>
      <c r="B96" s="23" t="s">
        <v>1059</v>
      </c>
      <c r="C96" s="23" t="str">
        <f>VLOOKUP(Squads[[#This Row],[National Team]],Qualified[],3,TRUE)</f>
        <v>Brasil (BRA)</v>
      </c>
      <c r="D96" s="25">
        <v>17</v>
      </c>
      <c r="E96" s="23" t="s">
        <v>139</v>
      </c>
      <c r="F96" s="23" t="s">
        <v>756</v>
      </c>
      <c r="G96" s="26">
        <v>35750</v>
      </c>
      <c r="H96" s="65">
        <f>DATEDIF(Squads[[#This Row],[Date Of Birth]],World_Cup_Start_Date,"Y")</f>
        <v>25</v>
      </c>
      <c r="I96" s="27">
        <v>8</v>
      </c>
      <c r="J96" s="27">
        <v>1</v>
      </c>
      <c r="K96" s="78" t="s">
        <v>1697</v>
      </c>
      <c r="L96" s="27" t="str">
        <f>_xlfn.XLOOKUP(Squads[[#This Row],[Current Club]],Clubs[Current Club],Clubs[Club_ID])</f>
        <v>ENG-11</v>
      </c>
      <c r="M96" s="27" t="str">
        <f>_xlfn.XLOOKUP(Squads[[#This Row],[National Team]],Football_Associations[Football Association],Football_Associations[World Cup Result])</f>
        <v>Quarter Finals</v>
      </c>
      <c r="N9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97" spans="1:14" ht="15" customHeight="1" x14ac:dyDescent="0.25">
      <c r="A97" s="33">
        <f t="shared" si="1"/>
        <v>1096</v>
      </c>
      <c r="B97" s="23" t="s">
        <v>1059</v>
      </c>
      <c r="C97" s="23" t="str">
        <f>VLOOKUP(Squads[[#This Row],[National Team]],Qualified[],3,TRUE)</f>
        <v>Brasil (BRA)</v>
      </c>
      <c r="D97" s="25">
        <v>18</v>
      </c>
      <c r="E97" s="23" t="s">
        <v>146</v>
      </c>
      <c r="F97" s="23" t="s">
        <v>757</v>
      </c>
      <c r="G97" s="26">
        <v>35523</v>
      </c>
      <c r="H97" s="65">
        <f>DATEDIF(Squads[[#This Row],[Date Of Birth]],World_Cup_Start_Date,"Y")</f>
        <v>25</v>
      </c>
      <c r="I97" s="27">
        <v>56</v>
      </c>
      <c r="J97" s="27">
        <v>19</v>
      </c>
      <c r="K97" s="78" t="s">
        <v>1667</v>
      </c>
      <c r="L97" s="27" t="str">
        <f>_xlfn.XLOOKUP(Squads[[#This Row],[Current Club]],Clubs[Current Club],Clubs[Club_ID])</f>
        <v>ENG-05</v>
      </c>
      <c r="M97" s="27" t="str">
        <f>_xlfn.XLOOKUP(Squads[[#This Row],[National Team]],Football_Associations[Football Association],Football_Associations[World Cup Result])</f>
        <v>Quarter Finals</v>
      </c>
      <c r="N9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98" spans="1:14" ht="15" customHeight="1" x14ac:dyDescent="0.25">
      <c r="A98" s="33">
        <f t="shared" si="1"/>
        <v>1097</v>
      </c>
      <c r="B98" s="23" t="s">
        <v>1059</v>
      </c>
      <c r="C98" s="23" t="str">
        <f>VLOOKUP(Squads[[#This Row],[National Team]],Qualified[],3,TRUE)</f>
        <v>Brasil (BRA)</v>
      </c>
      <c r="D98" s="25">
        <v>19</v>
      </c>
      <c r="E98" s="23" t="s">
        <v>146</v>
      </c>
      <c r="F98" s="23" t="s">
        <v>758</v>
      </c>
      <c r="G98" s="26">
        <v>36580</v>
      </c>
      <c r="H98" s="65">
        <f>DATEDIF(Squads[[#This Row],[Date Of Birth]],World_Cup_Start_Date,"Y")</f>
        <v>22</v>
      </c>
      <c r="I98" s="27">
        <v>11</v>
      </c>
      <c r="J98" s="27">
        <v>2</v>
      </c>
      <c r="K98" s="78" t="s">
        <v>1657</v>
      </c>
      <c r="L98" s="27" t="str">
        <f>_xlfn.XLOOKUP(Squads[[#This Row],[Current Club]],Clubs[Current Club],Clubs[Club_ID])</f>
        <v>ENG-02</v>
      </c>
      <c r="M98" s="27" t="str">
        <f>_xlfn.XLOOKUP(Squads[[#This Row],[National Team]],Football_Associations[Football Association],Football_Associations[World Cup Result])</f>
        <v>Quarter Finals</v>
      </c>
      <c r="N9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99" spans="1:14" ht="15" customHeight="1" x14ac:dyDescent="0.25">
      <c r="A99" s="33">
        <f t="shared" si="1"/>
        <v>1098</v>
      </c>
      <c r="B99" s="23" t="s">
        <v>1059</v>
      </c>
      <c r="C99" s="23" t="str">
        <f>VLOOKUP(Squads[[#This Row],[National Team]],Qualified[],3,TRUE)</f>
        <v>Brasil (BRA)</v>
      </c>
      <c r="D99" s="25">
        <v>20</v>
      </c>
      <c r="E99" s="23" t="s">
        <v>146</v>
      </c>
      <c r="F99" s="23" t="s">
        <v>759</v>
      </c>
      <c r="G99" s="26">
        <v>36719</v>
      </c>
      <c r="H99" s="65">
        <f>DATEDIF(Squads[[#This Row],[Date Of Birth]],World_Cup_Start_Date,"Y")</f>
        <v>22</v>
      </c>
      <c r="I99" s="27">
        <v>16</v>
      </c>
      <c r="J99" s="27">
        <v>1</v>
      </c>
      <c r="K99" s="78" t="s">
        <v>1658</v>
      </c>
      <c r="L99" s="27" t="str">
        <f>_xlfn.XLOOKUP(Squads[[#This Row],[Current Club]],Clubs[Current Club],Clubs[Club_ID])</f>
        <v>ESP-02</v>
      </c>
      <c r="M99" s="27" t="str">
        <f>_xlfn.XLOOKUP(Squads[[#This Row],[National Team]],Football_Associations[Football Association],Football_Associations[World Cup Result])</f>
        <v>Quarter Finals</v>
      </c>
      <c r="N9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00" spans="1:14" ht="15" customHeight="1" x14ac:dyDescent="0.25">
      <c r="A100" s="33">
        <f t="shared" si="1"/>
        <v>1099</v>
      </c>
      <c r="B100" s="23" t="s">
        <v>1059</v>
      </c>
      <c r="C100" s="23" t="str">
        <f>VLOOKUP(Squads[[#This Row],[National Team]],Qualified[],3,TRUE)</f>
        <v>Brasil (BRA)</v>
      </c>
      <c r="D100" s="25">
        <v>21</v>
      </c>
      <c r="E100" s="23" t="s">
        <v>146</v>
      </c>
      <c r="F100" s="23" t="s">
        <v>760</v>
      </c>
      <c r="G100" s="26">
        <v>36900</v>
      </c>
      <c r="H100" s="65">
        <f>DATEDIF(Squads[[#This Row],[Date Of Birth]],World_Cup_Start_Date,"Y")</f>
        <v>21</v>
      </c>
      <c r="I100" s="27">
        <v>7</v>
      </c>
      <c r="J100" s="27">
        <v>1</v>
      </c>
      <c r="K100" s="78" t="s">
        <v>1658</v>
      </c>
      <c r="L100" s="27" t="str">
        <f>_xlfn.XLOOKUP(Squads[[#This Row],[Current Club]],Clubs[Current Club],Clubs[Club_ID])</f>
        <v>ESP-02</v>
      </c>
      <c r="M100" s="27" t="str">
        <f>_xlfn.XLOOKUP(Squads[[#This Row],[National Team]],Football_Associations[Football Association],Football_Associations[World Cup Result])</f>
        <v>Quarter Finals</v>
      </c>
      <c r="N10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01" spans="1:14" ht="15" customHeight="1" x14ac:dyDescent="0.25">
      <c r="A101" s="33">
        <f t="shared" si="1"/>
        <v>1100</v>
      </c>
      <c r="B101" s="23" t="s">
        <v>1059</v>
      </c>
      <c r="C101" s="23" t="str">
        <f>VLOOKUP(Squads[[#This Row],[National Team]],Qualified[],3,TRUE)</f>
        <v>Brasil (BRA)</v>
      </c>
      <c r="D101" s="25">
        <v>22</v>
      </c>
      <c r="E101" s="23" t="s">
        <v>139</v>
      </c>
      <c r="F101" s="23" t="s">
        <v>761</v>
      </c>
      <c r="G101" s="26">
        <v>32608</v>
      </c>
      <c r="H101" s="65">
        <f>DATEDIF(Squads[[#This Row],[Date Of Birth]],World_Cup_Start_Date,"Y")</f>
        <v>33</v>
      </c>
      <c r="I101" s="27">
        <v>21</v>
      </c>
      <c r="J101" s="27">
        <v>3</v>
      </c>
      <c r="K101" s="78" t="s">
        <v>1712</v>
      </c>
      <c r="L101" s="27" t="str">
        <f>_xlfn.XLOOKUP(Squads[[#This Row],[Current Club]],Clubs[Current Club],Clubs[Club_ID])</f>
        <v>BRA-01</v>
      </c>
      <c r="M101" s="27" t="str">
        <f>_xlfn.XLOOKUP(Squads[[#This Row],[National Team]],Football_Associations[Football Association],Football_Associations[World Cup Result])</f>
        <v>Quarter Finals</v>
      </c>
      <c r="N10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02" spans="1:14" ht="15" customHeight="1" x14ac:dyDescent="0.25">
      <c r="A102" s="33">
        <f t="shared" si="1"/>
        <v>1101</v>
      </c>
      <c r="B102" s="23" t="s">
        <v>1059</v>
      </c>
      <c r="C102" s="23" t="str">
        <f>VLOOKUP(Squads[[#This Row],[National Team]],Qualified[],3,TRUE)</f>
        <v>Brasil (BRA)</v>
      </c>
      <c r="D102" s="25">
        <v>23</v>
      </c>
      <c r="E102" s="23" t="s">
        <v>133</v>
      </c>
      <c r="F102" s="23" t="s">
        <v>762</v>
      </c>
      <c r="G102" s="26">
        <v>34198</v>
      </c>
      <c r="H102" s="65">
        <f>DATEDIF(Squads[[#This Row],[Date Of Birth]],World_Cup_Start_Date,"Y")</f>
        <v>29</v>
      </c>
      <c r="I102" s="27">
        <v>18</v>
      </c>
      <c r="J102" s="27">
        <v>0</v>
      </c>
      <c r="K102" s="78" t="s">
        <v>1655</v>
      </c>
      <c r="L102" s="27" t="str">
        <f>_xlfn.XLOOKUP(Squads[[#This Row],[Current Club]],Clubs[Current Club],Clubs[Club_ID])</f>
        <v>ENG-01</v>
      </c>
      <c r="M102" s="27" t="str">
        <f>_xlfn.XLOOKUP(Squads[[#This Row],[National Team]],Football_Associations[Football Association],Football_Associations[World Cup Result])</f>
        <v>Quarter Finals</v>
      </c>
      <c r="N10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03" spans="1:14" ht="15" customHeight="1" x14ac:dyDescent="0.25">
      <c r="A103" s="33">
        <f t="shared" si="1"/>
        <v>1102</v>
      </c>
      <c r="B103" s="23" t="s">
        <v>1059</v>
      </c>
      <c r="C103" s="23" t="str">
        <f>VLOOKUP(Squads[[#This Row],[National Team]],Qualified[],3,TRUE)</f>
        <v>Brasil (BRA)</v>
      </c>
      <c r="D103" s="25">
        <v>24</v>
      </c>
      <c r="E103" s="23" t="s">
        <v>135</v>
      </c>
      <c r="F103" s="23" t="s">
        <v>763</v>
      </c>
      <c r="G103" s="26">
        <v>35507</v>
      </c>
      <c r="H103" s="65">
        <f>DATEDIF(Squads[[#This Row],[Date Of Birth]],World_Cup_Start_Date,"Y")</f>
        <v>25</v>
      </c>
      <c r="I103" s="27">
        <v>1</v>
      </c>
      <c r="J103" s="27">
        <v>0</v>
      </c>
      <c r="K103" s="78" t="s">
        <v>1664</v>
      </c>
      <c r="L103" s="27" t="str">
        <f>_xlfn.XLOOKUP(Squads[[#This Row],[Current Club]],Clubs[Current Club],Clubs[Club_ID])</f>
        <v>ITA-01</v>
      </c>
      <c r="M103" s="27" t="str">
        <f>_xlfn.XLOOKUP(Squads[[#This Row],[National Team]],Football_Associations[Football Association],Football_Associations[World Cup Result])</f>
        <v>Quarter Finals</v>
      </c>
      <c r="N10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04" spans="1:14" ht="15" customHeight="1" x14ac:dyDescent="0.25">
      <c r="A104" s="33">
        <f t="shared" si="1"/>
        <v>1103</v>
      </c>
      <c r="B104" s="23" t="s">
        <v>1059</v>
      </c>
      <c r="C104" s="23" t="str">
        <f>VLOOKUP(Squads[[#This Row],[National Team]],Qualified[],3,TRUE)</f>
        <v>Brasil (BRA)</v>
      </c>
      <c r="D104" s="25">
        <v>25</v>
      </c>
      <c r="E104" s="23" t="s">
        <v>146</v>
      </c>
      <c r="F104" s="23" t="s">
        <v>764</v>
      </c>
      <c r="G104" s="26">
        <v>35601</v>
      </c>
      <c r="H104" s="65">
        <f>DATEDIF(Squads[[#This Row],[Date Of Birth]],World_Cup_Start_Date,"Y")</f>
        <v>25</v>
      </c>
      <c r="I104" s="27">
        <v>2</v>
      </c>
      <c r="J104" s="27">
        <v>1</v>
      </c>
      <c r="K104" s="78" t="s">
        <v>1712</v>
      </c>
      <c r="L104" s="27" t="str">
        <f>_xlfn.XLOOKUP(Squads[[#This Row],[Current Club]],Clubs[Current Club],Clubs[Club_ID])</f>
        <v>BRA-01</v>
      </c>
      <c r="M104" s="27" t="str">
        <f>_xlfn.XLOOKUP(Squads[[#This Row],[National Team]],Football_Associations[Football Association],Football_Associations[World Cup Result])</f>
        <v>Quarter Finals</v>
      </c>
      <c r="N10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05" spans="1:14" ht="15" customHeight="1" x14ac:dyDescent="0.25">
      <c r="A105" s="33">
        <f t="shared" si="1"/>
        <v>1104</v>
      </c>
      <c r="B105" s="23" t="s">
        <v>1059</v>
      </c>
      <c r="C105" s="23" t="str">
        <f>VLOOKUP(Squads[[#This Row],[National Team]],Qualified[],3,TRUE)</f>
        <v>Brasil (BRA)</v>
      </c>
      <c r="D105" s="25">
        <v>26</v>
      </c>
      <c r="E105" s="23" t="s">
        <v>146</v>
      </c>
      <c r="F105" s="23" t="s">
        <v>765</v>
      </c>
      <c r="G105" s="26">
        <v>37060</v>
      </c>
      <c r="H105" s="65">
        <f>DATEDIF(Squads[[#This Row],[Date Of Birth]],World_Cup_Start_Date,"Y")</f>
        <v>21</v>
      </c>
      <c r="I105" s="27">
        <v>3</v>
      </c>
      <c r="J105" s="27">
        <v>0</v>
      </c>
      <c r="K105" s="78" t="s">
        <v>1667</v>
      </c>
      <c r="L105" s="27" t="str">
        <f>_xlfn.XLOOKUP(Squads[[#This Row],[Current Club]],Clubs[Current Club],Clubs[Club_ID])</f>
        <v>ENG-05</v>
      </c>
      <c r="M105" s="27" t="str">
        <f>_xlfn.XLOOKUP(Squads[[#This Row],[National Team]],Football_Associations[Football Association],Football_Associations[World Cup Result])</f>
        <v>Quarter Finals</v>
      </c>
      <c r="N10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06" spans="1:14" ht="15" customHeight="1" x14ac:dyDescent="0.25">
      <c r="A106" s="33">
        <f t="shared" si="1"/>
        <v>1105</v>
      </c>
      <c r="B106" s="23" t="s">
        <v>34</v>
      </c>
      <c r="C106" s="23" t="str">
        <f>VLOOKUP(Squads[[#This Row],[National Team]],Qualified[],3,TRUE)</f>
        <v>Cameroon (CMR)</v>
      </c>
      <c r="D106" s="25">
        <v>1</v>
      </c>
      <c r="E106" s="23" t="s">
        <v>133</v>
      </c>
      <c r="F106" s="23" t="s">
        <v>766</v>
      </c>
      <c r="G106" s="26">
        <v>37723</v>
      </c>
      <c r="H106" s="65">
        <f>DATEDIF(Squads[[#This Row],[Date Of Birth]],World_Cup_Start_Date,"Y")</f>
        <v>19</v>
      </c>
      <c r="I106" s="27">
        <v>0</v>
      </c>
      <c r="J106" s="27">
        <v>0</v>
      </c>
      <c r="K106" s="78" t="s">
        <v>1694</v>
      </c>
      <c r="L106" s="27" t="str">
        <f>_xlfn.XLOOKUP(Squads[[#This Row],[Current Club]],Clubs[Current Club],Clubs[Club_ID])</f>
        <v>FRA-04</v>
      </c>
      <c r="M106" s="27" t="str">
        <f>_xlfn.XLOOKUP(Squads[[#This Row],[National Team]],Football_Associations[Football Association],Football_Associations[World Cup Result])</f>
        <v>Group stage</v>
      </c>
      <c r="N10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07" spans="1:14" ht="15" customHeight="1" x14ac:dyDescent="0.25">
      <c r="A107" s="33">
        <f t="shared" si="1"/>
        <v>1106</v>
      </c>
      <c r="B107" s="23" t="s">
        <v>34</v>
      </c>
      <c r="C107" s="23" t="str">
        <f>VLOOKUP(Squads[[#This Row],[National Team]],Qualified[],3,TRUE)</f>
        <v>Cameroon (CMR)</v>
      </c>
      <c r="D107" s="25">
        <v>2</v>
      </c>
      <c r="E107" s="23" t="s">
        <v>135</v>
      </c>
      <c r="F107" s="23" t="s">
        <v>767</v>
      </c>
      <c r="G107" s="26">
        <v>36068</v>
      </c>
      <c r="H107" s="65">
        <f>DATEDIF(Squads[[#This Row],[Date Of Birth]],World_Cup_Start_Date,"Y")</f>
        <v>24</v>
      </c>
      <c r="I107" s="27">
        <v>2</v>
      </c>
      <c r="J107" s="27">
        <v>0</v>
      </c>
      <c r="K107" s="78" t="s">
        <v>1843</v>
      </c>
      <c r="L107" s="27" t="str">
        <f>_xlfn.XLOOKUP(Squads[[#This Row],[Current Club]],Clubs[Current Club],Clubs[Club_ID])</f>
        <v>CAM-01</v>
      </c>
      <c r="M107" s="27" t="str">
        <f>_xlfn.XLOOKUP(Squads[[#This Row],[National Team]],Football_Associations[Football Association],Football_Associations[World Cup Result])</f>
        <v>Group stage</v>
      </c>
      <c r="N10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08" spans="1:14" ht="15" customHeight="1" x14ac:dyDescent="0.25">
      <c r="A108" s="33">
        <f t="shared" si="1"/>
        <v>1107</v>
      </c>
      <c r="B108" s="23" t="s">
        <v>34</v>
      </c>
      <c r="C108" s="23" t="str">
        <f>VLOOKUP(Squads[[#This Row],[National Team]],Qualified[],3,TRUE)</f>
        <v>Cameroon (CMR)</v>
      </c>
      <c r="D108" s="25">
        <v>3</v>
      </c>
      <c r="E108" s="23" t="s">
        <v>135</v>
      </c>
      <c r="F108" s="23" t="s">
        <v>768</v>
      </c>
      <c r="G108" s="26">
        <v>32959</v>
      </c>
      <c r="H108" s="65">
        <f>DATEDIF(Squads[[#This Row],[Date Of Birth]],World_Cup_Start_Date,"Y")</f>
        <v>32</v>
      </c>
      <c r="I108" s="27">
        <v>78</v>
      </c>
      <c r="J108" s="27">
        <v>2</v>
      </c>
      <c r="K108" s="78" t="s">
        <v>1823</v>
      </c>
      <c r="L108" s="27" t="str">
        <f>_xlfn.XLOOKUP(Squads[[#This Row],[Current Club]],Clubs[Current Club],Clubs[Club_ID])</f>
        <v>GRE-03</v>
      </c>
      <c r="M108" s="27" t="str">
        <f>_xlfn.XLOOKUP(Squads[[#This Row],[National Team]],Football_Associations[Football Association],Football_Associations[World Cup Result])</f>
        <v>Group stage</v>
      </c>
      <c r="N10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09" spans="1:14" ht="15" customHeight="1" x14ac:dyDescent="0.25">
      <c r="A109" s="33">
        <f t="shared" si="1"/>
        <v>1108</v>
      </c>
      <c r="B109" s="23" t="s">
        <v>34</v>
      </c>
      <c r="C109" s="23" t="str">
        <f>VLOOKUP(Squads[[#This Row],[National Team]],Qualified[],3,TRUE)</f>
        <v>Cameroon (CMR)</v>
      </c>
      <c r="D109" s="25">
        <v>4</v>
      </c>
      <c r="E109" s="23" t="s">
        <v>135</v>
      </c>
      <c r="F109" s="23" t="s">
        <v>769</v>
      </c>
      <c r="G109" s="26">
        <v>37152</v>
      </c>
      <c r="H109" s="65">
        <f>DATEDIF(Squads[[#This Row],[Date Of Birth]],World_Cup_Start_Date,"Y")</f>
        <v>21</v>
      </c>
      <c r="I109" s="27">
        <v>3</v>
      </c>
      <c r="J109" s="27">
        <v>0</v>
      </c>
      <c r="K109" s="78" t="s">
        <v>1671</v>
      </c>
      <c r="L109" s="27" t="str">
        <f>_xlfn.XLOOKUP(Squads[[#This Row],[Current Club]],Clubs[Current Club],Clubs[Club_ID])</f>
        <v>FRA-02</v>
      </c>
      <c r="M109" s="27" t="str">
        <f>_xlfn.XLOOKUP(Squads[[#This Row],[National Team]],Football_Associations[Football Association],Football_Associations[World Cup Result])</f>
        <v>Group stage</v>
      </c>
      <c r="N10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10" spans="1:14" ht="15" customHeight="1" x14ac:dyDescent="0.25">
      <c r="A110" s="33">
        <f t="shared" si="1"/>
        <v>1109</v>
      </c>
      <c r="B110" s="23" t="s">
        <v>34</v>
      </c>
      <c r="C110" s="23" t="str">
        <f>VLOOKUP(Squads[[#This Row],[National Team]],Qualified[],3,TRUE)</f>
        <v>Cameroon (CMR)</v>
      </c>
      <c r="D110" s="25">
        <v>5</v>
      </c>
      <c r="E110" s="23" t="s">
        <v>139</v>
      </c>
      <c r="F110" s="23" t="s">
        <v>770</v>
      </c>
      <c r="G110" s="26">
        <v>35007</v>
      </c>
      <c r="H110" s="65">
        <f>DATEDIF(Squads[[#This Row],[Date Of Birth]],World_Cup_Start_Date,"Y")</f>
        <v>27</v>
      </c>
      <c r="I110" s="27">
        <v>4</v>
      </c>
      <c r="J110" s="27">
        <v>0</v>
      </c>
      <c r="K110" s="78" t="s">
        <v>1867</v>
      </c>
      <c r="L110" s="27" t="str">
        <f>_xlfn.XLOOKUP(Squads[[#This Row],[Current Club]],Clubs[Current Club],Clubs[Club_ID])</f>
        <v>GER-17</v>
      </c>
      <c r="M110" s="27" t="str">
        <f>_xlfn.XLOOKUP(Squads[[#This Row],[National Team]],Football_Associations[Football Association],Football_Associations[World Cup Result])</f>
        <v>Group stage</v>
      </c>
      <c r="N11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11" spans="1:14" ht="15" customHeight="1" x14ac:dyDescent="0.25">
      <c r="A111" s="33">
        <f t="shared" si="1"/>
        <v>1110</v>
      </c>
      <c r="B111" s="23" t="s">
        <v>34</v>
      </c>
      <c r="C111" s="23" t="str">
        <f>VLOOKUP(Squads[[#This Row],[National Team]],Qualified[],3,TRUE)</f>
        <v>Cameroon (CMR)</v>
      </c>
      <c r="D111" s="25">
        <v>6</v>
      </c>
      <c r="E111" s="23" t="s">
        <v>146</v>
      </c>
      <c r="F111" s="23" t="s">
        <v>771</v>
      </c>
      <c r="G111" s="26">
        <v>34524</v>
      </c>
      <c r="H111" s="65">
        <f>DATEDIF(Squads[[#This Row],[Date Of Birth]],World_Cup_Start_Date,"Y")</f>
        <v>28</v>
      </c>
      <c r="I111" s="27">
        <v>42</v>
      </c>
      <c r="J111" s="27">
        <v>4</v>
      </c>
      <c r="K111" s="78" t="s">
        <v>1851</v>
      </c>
      <c r="L111" s="27" t="str">
        <f>_xlfn.XLOOKUP(Squads[[#This Row],[Current Club]],Clubs[Current Club],Clubs[Club_ID])</f>
        <v>RUS-01</v>
      </c>
      <c r="M111" s="27" t="str">
        <f>_xlfn.XLOOKUP(Squads[[#This Row],[National Team]],Football_Associations[Football Association],Football_Associations[World Cup Result])</f>
        <v>Group stage</v>
      </c>
      <c r="N11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12" spans="1:14" ht="15" customHeight="1" x14ac:dyDescent="0.25">
      <c r="A112" s="33">
        <f t="shared" si="1"/>
        <v>1111</v>
      </c>
      <c r="B112" s="23" t="s">
        <v>34</v>
      </c>
      <c r="C112" s="23" t="str">
        <f>VLOOKUP(Squads[[#This Row],[National Team]],Qualified[],3,TRUE)</f>
        <v>Cameroon (CMR)</v>
      </c>
      <c r="D112" s="25">
        <v>7</v>
      </c>
      <c r="E112" s="23" t="s">
        <v>139</v>
      </c>
      <c r="F112" s="23" t="s">
        <v>772</v>
      </c>
      <c r="G112" s="26">
        <v>34743</v>
      </c>
      <c r="H112" s="65">
        <f>DATEDIF(Squads[[#This Row],[Date Of Birth]],World_Cup_Start_Date,"Y")</f>
        <v>27</v>
      </c>
      <c r="I112" s="27">
        <v>2</v>
      </c>
      <c r="J112" s="27">
        <v>0</v>
      </c>
      <c r="K112" s="78" t="s">
        <v>1708</v>
      </c>
      <c r="L112" s="27" t="str">
        <f>_xlfn.XLOOKUP(Squads[[#This Row],[Current Club]],Clubs[Current Club],Clubs[Club_ID])</f>
        <v>TUR-02</v>
      </c>
      <c r="M112" s="27" t="str">
        <f>_xlfn.XLOOKUP(Squads[[#This Row],[National Team]],Football_Associations[Football Association],Football_Associations[World Cup Result])</f>
        <v>Group stage</v>
      </c>
      <c r="N11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13" spans="1:14" ht="15" customHeight="1" x14ac:dyDescent="0.25">
      <c r="A113" s="33">
        <f t="shared" si="1"/>
        <v>1112</v>
      </c>
      <c r="B113" s="23" t="s">
        <v>34</v>
      </c>
      <c r="C113" s="23" t="str">
        <f>VLOOKUP(Squads[[#This Row],[National Team]],Qualified[],3,TRUE)</f>
        <v>Cameroon (CMR)</v>
      </c>
      <c r="D113" s="25">
        <v>8</v>
      </c>
      <c r="E113" s="23" t="s">
        <v>139</v>
      </c>
      <c r="F113" s="23" t="s">
        <v>773</v>
      </c>
      <c r="G113" s="26">
        <v>35019</v>
      </c>
      <c r="H113" s="65">
        <f>DATEDIF(Squads[[#This Row],[Date Of Birth]],World_Cup_Start_Date,"Y")</f>
        <v>27</v>
      </c>
      <c r="I113" s="27">
        <v>43</v>
      </c>
      <c r="J113" s="27">
        <v>5</v>
      </c>
      <c r="K113" s="78" t="s">
        <v>1696</v>
      </c>
      <c r="L113" s="27" t="str">
        <f>_xlfn.XLOOKUP(Squads[[#This Row],[Current Club]],Clubs[Current Club],Clubs[Club_ID])</f>
        <v>ITA-04</v>
      </c>
      <c r="M113" s="27" t="str">
        <f>_xlfn.XLOOKUP(Squads[[#This Row],[National Team]],Football_Associations[Football Association],Football_Associations[World Cup Result])</f>
        <v>Group stage</v>
      </c>
      <c r="N11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14" spans="1:14" ht="15" customHeight="1" x14ac:dyDescent="0.25">
      <c r="A114" s="33">
        <f t="shared" si="1"/>
        <v>1113</v>
      </c>
      <c r="B114" s="23" t="s">
        <v>34</v>
      </c>
      <c r="C114" s="23" t="str">
        <f>VLOOKUP(Squads[[#This Row],[National Team]],Qualified[],3,TRUE)</f>
        <v>Cameroon (CMR)</v>
      </c>
      <c r="D114" s="25">
        <v>9</v>
      </c>
      <c r="E114" s="23" t="s">
        <v>146</v>
      </c>
      <c r="F114" s="23" t="s">
        <v>774</v>
      </c>
      <c r="G114" s="26">
        <v>34090</v>
      </c>
      <c r="H114" s="65">
        <f>DATEDIF(Squads[[#This Row],[Date Of Birth]],World_Cup_Start_Date,"Y")</f>
        <v>29</v>
      </c>
      <c r="I114" s="27">
        <v>4</v>
      </c>
      <c r="J114" s="27">
        <v>0</v>
      </c>
      <c r="K114" s="78" t="s">
        <v>1753</v>
      </c>
      <c r="L114" s="27" t="str">
        <f>_xlfn.XLOOKUP(Squads[[#This Row],[Current Club]],Clubs[Current Club],Clubs[Club_ID])</f>
        <v>SWI-01</v>
      </c>
      <c r="M114" s="27" t="str">
        <f>_xlfn.XLOOKUP(Squads[[#This Row],[National Team]],Football_Associations[Football Association],Football_Associations[World Cup Result])</f>
        <v>Group stage</v>
      </c>
      <c r="N11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15" spans="1:14" ht="15" customHeight="1" x14ac:dyDescent="0.25">
      <c r="A115" s="33">
        <f t="shared" si="1"/>
        <v>1114</v>
      </c>
      <c r="B115" s="23" t="s">
        <v>34</v>
      </c>
      <c r="C115" s="23" t="str">
        <f>VLOOKUP(Squads[[#This Row],[National Team]],Qualified[],3,TRUE)</f>
        <v>Cameroon (CMR)</v>
      </c>
      <c r="D115" s="25">
        <v>10</v>
      </c>
      <c r="E115" s="23" t="s">
        <v>146</v>
      </c>
      <c r="F115" s="27" t="s">
        <v>1001</v>
      </c>
      <c r="G115" s="26">
        <v>33625</v>
      </c>
      <c r="H115" s="65">
        <f>DATEDIF(Squads[[#This Row],[Date Of Birth]],World_Cup_Start_Date,"Y")</f>
        <v>30</v>
      </c>
      <c r="I115" s="27">
        <v>91</v>
      </c>
      <c r="J115" s="27">
        <v>33</v>
      </c>
      <c r="K115" s="78" t="s">
        <v>1673</v>
      </c>
      <c r="L115" s="27" t="str">
        <f>_xlfn.XLOOKUP(Squads[[#This Row],[Current Club]],Clubs[Current Club],Clubs[Club_ID])</f>
        <v>SAU-02</v>
      </c>
      <c r="M115" s="27" t="str">
        <f>_xlfn.XLOOKUP(Squads[[#This Row],[National Team]],Football_Associations[Football Association],Football_Associations[World Cup Result])</f>
        <v>Group stage</v>
      </c>
      <c r="N11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16" spans="1:14" ht="15" customHeight="1" x14ac:dyDescent="0.25">
      <c r="A116" s="33">
        <f t="shared" si="1"/>
        <v>1115</v>
      </c>
      <c r="B116" s="23" t="s">
        <v>34</v>
      </c>
      <c r="C116" s="23" t="str">
        <f>VLOOKUP(Squads[[#This Row],[National Team]],Qualified[],3,TRUE)</f>
        <v>Cameroon (CMR)</v>
      </c>
      <c r="D116" s="25">
        <v>11</v>
      </c>
      <c r="E116" s="23" t="s">
        <v>146</v>
      </c>
      <c r="F116" s="23" t="s">
        <v>775</v>
      </c>
      <c r="G116" s="26">
        <v>34990</v>
      </c>
      <c r="H116" s="65">
        <f>DATEDIF(Squads[[#This Row],[Date Of Birth]],World_Cup_Start_Date,"Y")</f>
        <v>27</v>
      </c>
      <c r="I116" s="27">
        <v>43</v>
      </c>
      <c r="J116" s="27">
        <v>7</v>
      </c>
      <c r="K116" s="78" t="s">
        <v>1924</v>
      </c>
      <c r="L116" s="27" t="str">
        <f>_xlfn.XLOOKUP(Squads[[#This Row],[Current Club]],Clubs[Current Club],Clubs[Club_ID])</f>
        <v>CHI-02</v>
      </c>
      <c r="M116" s="27" t="str">
        <f>_xlfn.XLOOKUP(Squads[[#This Row],[National Team]],Football_Associations[Football Association],Football_Associations[World Cup Result])</f>
        <v>Group stage</v>
      </c>
      <c r="N11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17" spans="1:14" ht="15" customHeight="1" x14ac:dyDescent="0.25">
      <c r="A117" s="33">
        <f t="shared" si="1"/>
        <v>1116</v>
      </c>
      <c r="B117" s="23" t="s">
        <v>34</v>
      </c>
      <c r="C117" s="23" t="str">
        <f>VLOOKUP(Squads[[#This Row],[National Team]],Qualified[],3,TRUE)</f>
        <v>Cameroon (CMR)</v>
      </c>
      <c r="D117" s="25">
        <v>12</v>
      </c>
      <c r="E117" s="23" t="s">
        <v>146</v>
      </c>
      <c r="F117" s="23" t="s">
        <v>776</v>
      </c>
      <c r="G117" s="26">
        <v>33861</v>
      </c>
      <c r="H117" s="65">
        <f>DATEDIF(Squads[[#This Row],[Date Of Birth]],World_Cup_Start_Date,"Y")</f>
        <v>30</v>
      </c>
      <c r="I117" s="27">
        <v>51</v>
      </c>
      <c r="J117" s="27">
        <v>12</v>
      </c>
      <c r="K117" s="78" t="s">
        <v>1789</v>
      </c>
      <c r="L117" s="27" t="str">
        <f>_xlfn.XLOOKUP(Squads[[#This Row],[Current Club]],Clubs[Current Club],Clubs[Club_ID])</f>
        <v>FRA-09</v>
      </c>
      <c r="M117" s="27" t="str">
        <f>_xlfn.XLOOKUP(Squads[[#This Row],[National Team]],Football_Associations[Football Association],Football_Associations[World Cup Result])</f>
        <v>Group stage</v>
      </c>
      <c r="N11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18" spans="1:14" ht="15" customHeight="1" x14ac:dyDescent="0.25">
      <c r="A118" s="33">
        <f t="shared" si="1"/>
        <v>1117</v>
      </c>
      <c r="B118" s="23" t="s">
        <v>34</v>
      </c>
      <c r="C118" s="23" t="str">
        <f>VLOOKUP(Squads[[#This Row],[National Team]],Qualified[],3,TRUE)</f>
        <v>Cameroon (CMR)</v>
      </c>
      <c r="D118" s="25">
        <v>13</v>
      </c>
      <c r="E118" s="23" t="s">
        <v>146</v>
      </c>
      <c r="F118" s="23" t="s">
        <v>777</v>
      </c>
      <c r="G118" s="26">
        <v>32590</v>
      </c>
      <c r="H118" s="65">
        <f>DATEDIF(Squads[[#This Row],[Date Of Birth]],World_Cup_Start_Date,"Y")</f>
        <v>33</v>
      </c>
      <c r="I118" s="27">
        <v>69</v>
      </c>
      <c r="J118" s="27">
        <v>19</v>
      </c>
      <c r="K118" s="78" t="s">
        <v>1654</v>
      </c>
      <c r="L118" s="27" t="str">
        <f>_xlfn.XLOOKUP(Squads[[#This Row],[Current Club]],Clubs[Current Club],Clubs[Club_ID])</f>
        <v>GER-01</v>
      </c>
      <c r="M118" s="27" t="str">
        <f>_xlfn.XLOOKUP(Squads[[#This Row],[National Team]],Football_Associations[Football Association],Football_Associations[World Cup Result])</f>
        <v>Group stage</v>
      </c>
      <c r="N11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19" spans="1:14" ht="15" customHeight="1" x14ac:dyDescent="0.25">
      <c r="A119" s="33">
        <f t="shared" si="1"/>
        <v>1118</v>
      </c>
      <c r="B119" s="23" t="s">
        <v>34</v>
      </c>
      <c r="C119" s="23" t="str">
        <f>VLOOKUP(Squads[[#This Row],[National Team]],Qualified[],3,TRUE)</f>
        <v>Cameroon (CMR)</v>
      </c>
      <c r="D119" s="25">
        <v>14</v>
      </c>
      <c r="E119" s="23" t="s">
        <v>139</v>
      </c>
      <c r="F119" s="23" t="s">
        <v>778</v>
      </c>
      <c r="G119" s="26">
        <v>35778</v>
      </c>
      <c r="H119" s="65">
        <f>DATEDIF(Squads[[#This Row],[Date Of Birth]],World_Cup_Start_Date,"Y")</f>
        <v>24</v>
      </c>
      <c r="I119" s="27">
        <v>22</v>
      </c>
      <c r="J119" s="27">
        <v>0</v>
      </c>
      <c r="K119" s="78" t="s">
        <v>1888</v>
      </c>
      <c r="L119" s="27" t="str">
        <f>_xlfn.XLOOKUP(Squads[[#This Row],[Current Club]],Clubs[Current Club],Clubs[Club_ID])</f>
        <v>BEL-10</v>
      </c>
      <c r="M119" s="27" t="str">
        <f>_xlfn.XLOOKUP(Squads[[#This Row],[National Team]],Football_Associations[Football Association],Football_Associations[World Cup Result])</f>
        <v>Group stage</v>
      </c>
      <c r="N11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20" spans="1:14" ht="15" customHeight="1" x14ac:dyDescent="0.25">
      <c r="A120" s="33">
        <f t="shared" si="1"/>
        <v>1119</v>
      </c>
      <c r="B120" s="23" t="s">
        <v>34</v>
      </c>
      <c r="C120" s="23" t="str">
        <f>VLOOKUP(Squads[[#This Row],[National Team]],Qualified[],3,TRUE)</f>
        <v>Cameroon (CMR)</v>
      </c>
      <c r="D120" s="25">
        <v>15</v>
      </c>
      <c r="E120" s="23" t="s">
        <v>139</v>
      </c>
      <c r="F120" s="23" t="s">
        <v>779</v>
      </c>
      <c r="G120" s="26">
        <v>34906</v>
      </c>
      <c r="H120" s="65">
        <f>DATEDIF(Squads[[#This Row],[Date Of Birth]],World_Cup_Start_Date,"Y")</f>
        <v>27</v>
      </c>
      <c r="I120" s="27">
        <v>32</v>
      </c>
      <c r="J120" s="27">
        <v>1</v>
      </c>
      <c r="K120" s="78" t="s">
        <v>1714</v>
      </c>
      <c r="L120" s="27" t="str">
        <f>_xlfn.XLOOKUP(Squads[[#This Row],[Current Club]],Clubs[Current Club],Clubs[Club_ID])</f>
        <v>GRE-02</v>
      </c>
      <c r="M120" s="27" t="str">
        <f>_xlfn.XLOOKUP(Squads[[#This Row],[National Team]],Football_Associations[Football Association],Football_Associations[World Cup Result])</f>
        <v>Group stage</v>
      </c>
      <c r="N12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21" spans="1:14" ht="15" customHeight="1" x14ac:dyDescent="0.25">
      <c r="A121" s="33">
        <f t="shared" si="1"/>
        <v>1120</v>
      </c>
      <c r="B121" s="23" t="s">
        <v>34</v>
      </c>
      <c r="C121" s="23" t="str">
        <f>VLOOKUP(Squads[[#This Row],[National Team]],Qualified[],3,TRUE)</f>
        <v>Cameroon (CMR)</v>
      </c>
      <c r="D121" s="25">
        <v>16</v>
      </c>
      <c r="E121" s="23" t="s">
        <v>133</v>
      </c>
      <c r="F121" s="23" t="s">
        <v>780</v>
      </c>
      <c r="G121" s="26">
        <v>34002</v>
      </c>
      <c r="H121" s="65">
        <f>DATEDIF(Squads[[#This Row],[Date Of Birth]],World_Cup_Start_Date,"Y")</f>
        <v>29</v>
      </c>
      <c r="I121" s="27">
        <v>5</v>
      </c>
      <c r="J121" s="27">
        <v>0</v>
      </c>
      <c r="K121" s="78" t="s">
        <v>1755</v>
      </c>
      <c r="L121" s="27" t="str">
        <f>_xlfn.XLOOKUP(Squads[[#This Row],[Current Club]],Clubs[Current Club],Clubs[Club_ID])</f>
        <v>SAU-04</v>
      </c>
      <c r="M121" s="27" t="str">
        <f>_xlfn.XLOOKUP(Squads[[#This Row],[National Team]],Football_Associations[Football Association],Football_Associations[World Cup Result])</f>
        <v>Group stage</v>
      </c>
      <c r="N12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22" spans="1:14" ht="15" customHeight="1" x14ac:dyDescent="0.25">
      <c r="A122" s="33">
        <f t="shared" si="1"/>
        <v>1121</v>
      </c>
      <c r="B122" s="23" t="s">
        <v>34</v>
      </c>
      <c r="C122" s="23" t="str">
        <f>VLOOKUP(Squads[[#This Row],[National Team]],Qualified[],3,TRUE)</f>
        <v>Cameroon (CMR)</v>
      </c>
      <c r="D122" s="25">
        <v>17</v>
      </c>
      <c r="E122" s="23" t="s">
        <v>135</v>
      </c>
      <c r="F122" s="23" t="s">
        <v>781</v>
      </c>
      <c r="G122" s="26">
        <v>35657</v>
      </c>
      <c r="H122" s="65">
        <f>DATEDIF(Squads[[#This Row],[Date Of Birth]],World_Cup_Start_Date,"Y")</f>
        <v>25</v>
      </c>
      <c r="I122" s="27">
        <v>11</v>
      </c>
      <c r="J122" s="27">
        <v>0</v>
      </c>
      <c r="K122" s="78" t="s">
        <v>1907</v>
      </c>
      <c r="L122" s="27" t="str">
        <f>_xlfn.XLOOKUP(Squads[[#This Row],[Current Club]],Clubs[Current Club],Clubs[Club_ID])</f>
        <v>USA-19</v>
      </c>
      <c r="M122" s="27" t="str">
        <f>_xlfn.XLOOKUP(Squads[[#This Row],[National Team]],Football_Associations[Football Association],Football_Associations[World Cup Result])</f>
        <v>Group stage</v>
      </c>
      <c r="N12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23" spans="1:14" ht="15" customHeight="1" x14ac:dyDescent="0.25">
      <c r="A123" s="33">
        <f t="shared" si="1"/>
        <v>1122</v>
      </c>
      <c r="B123" s="23" t="s">
        <v>34</v>
      </c>
      <c r="C123" s="23" t="str">
        <f>VLOOKUP(Squads[[#This Row],[National Team]],Qualified[],3,TRUE)</f>
        <v>Cameroon (CMR)</v>
      </c>
      <c r="D123" s="25">
        <v>18</v>
      </c>
      <c r="E123" s="23" t="s">
        <v>139</v>
      </c>
      <c r="F123" s="23" t="s">
        <v>782</v>
      </c>
      <c r="G123" s="26">
        <v>35870</v>
      </c>
      <c r="H123" s="65">
        <f>DATEDIF(Squads[[#This Row],[Date Of Birth]],World_Cup_Start_Date,"Y")</f>
        <v>24</v>
      </c>
      <c r="I123" s="27">
        <v>19</v>
      </c>
      <c r="J123" s="27">
        <v>0</v>
      </c>
      <c r="K123" s="78" t="s">
        <v>1713</v>
      </c>
      <c r="L123" s="27" t="str">
        <f>_xlfn.XLOOKUP(Squads[[#This Row],[Current Club]],Clubs[Current Club],Clubs[Club_ID])</f>
        <v>ITA-08</v>
      </c>
      <c r="M123" s="27" t="str">
        <f>_xlfn.XLOOKUP(Squads[[#This Row],[National Team]],Football_Associations[Football Association],Football_Associations[World Cup Result])</f>
        <v>Group stage</v>
      </c>
      <c r="N12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24" spans="1:14" ht="15" customHeight="1" x14ac:dyDescent="0.25">
      <c r="A124" s="33">
        <f t="shared" si="1"/>
        <v>1123</v>
      </c>
      <c r="B124" s="23" t="s">
        <v>34</v>
      </c>
      <c r="C124" s="23" t="str">
        <f>VLOOKUP(Squads[[#This Row],[National Team]],Qualified[],3,TRUE)</f>
        <v>Cameroon (CMR)</v>
      </c>
      <c r="D124" s="25">
        <v>19</v>
      </c>
      <c r="E124" s="23" t="s">
        <v>135</v>
      </c>
      <c r="F124" s="23" t="s">
        <v>783</v>
      </c>
      <c r="G124" s="26">
        <v>33829</v>
      </c>
      <c r="H124" s="65">
        <f>DATEDIF(Squads[[#This Row],[Date Of Birth]],World_Cup_Start_Date,"Y")</f>
        <v>30</v>
      </c>
      <c r="I124" s="27">
        <v>52</v>
      </c>
      <c r="J124" s="27">
        <v>0</v>
      </c>
      <c r="K124" s="78" t="s">
        <v>1819</v>
      </c>
      <c r="L124" s="27" t="str">
        <f>_xlfn.XLOOKUP(Squads[[#This Row],[Current Club]],Clubs[Current Club],Clubs[Club_ID])</f>
        <v>SAU-10</v>
      </c>
      <c r="M124" s="27" t="str">
        <f>_xlfn.XLOOKUP(Squads[[#This Row],[National Team]],Football_Associations[Football Association],Football_Associations[World Cup Result])</f>
        <v>Group stage</v>
      </c>
      <c r="N12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25" spans="1:14" ht="15" customHeight="1" x14ac:dyDescent="0.25">
      <c r="A125" s="33">
        <f t="shared" si="1"/>
        <v>1124</v>
      </c>
      <c r="B125" s="23" t="s">
        <v>34</v>
      </c>
      <c r="C125" s="23" t="str">
        <f>VLOOKUP(Squads[[#This Row],[National Team]],Qualified[],3,TRUE)</f>
        <v>Cameroon (CMR)</v>
      </c>
      <c r="D125" s="25">
        <v>20</v>
      </c>
      <c r="E125" s="23" t="s">
        <v>146</v>
      </c>
      <c r="F125" s="23" t="s">
        <v>784</v>
      </c>
      <c r="G125" s="26">
        <v>36379</v>
      </c>
      <c r="H125" s="65">
        <f>DATEDIF(Squads[[#This Row],[Date Of Birth]],World_Cup_Start_Date,"Y")</f>
        <v>23</v>
      </c>
      <c r="I125" s="27">
        <v>3</v>
      </c>
      <c r="J125" s="27">
        <v>0</v>
      </c>
      <c r="K125" s="78" t="s">
        <v>1681</v>
      </c>
      <c r="L125" s="27" t="str">
        <f>_xlfn.XLOOKUP(Squads[[#This Row],[Current Club]],Clubs[Current Club],Clubs[Club_ID])</f>
        <v>ENG-09</v>
      </c>
      <c r="M125" s="27" t="str">
        <f>_xlfn.XLOOKUP(Squads[[#This Row],[National Team]],Football_Associations[Football Association],Football_Associations[World Cup Result])</f>
        <v>Group stage</v>
      </c>
      <c r="N12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26" spans="1:14" ht="15" customHeight="1" x14ac:dyDescent="0.25">
      <c r="A126" s="33">
        <f t="shared" si="1"/>
        <v>1125</v>
      </c>
      <c r="B126" s="23" t="s">
        <v>34</v>
      </c>
      <c r="C126" s="23" t="str">
        <f>VLOOKUP(Squads[[#This Row],[National Team]],Qualified[],3,TRUE)</f>
        <v>Cameroon (CMR)</v>
      </c>
      <c r="D126" s="25">
        <v>21</v>
      </c>
      <c r="E126" s="23" t="s">
        <v>135</v>
      </c>
      <c r="F126" s="23" t="s">
        <v>785</v>
      </c>
      <c r="G126" s="26">
        <v>34725</v>
      </c>
      <c r="H126" s="65">
        <f>DATEDIF(Squads[[#This Row],[Date Of Birth]],World_Cup_Start_Date,"Y")</f>
        <v>27</v>
      </c>
      <c r="I126" s="27">
        <v>14</v>
      </c>
      <c r="J126" s="27">
        <v>0</v>
      </c>
      <c r="K126" s="78" t="s">
        <v>1895</v>
      </c>
      <c r="L126" s="27" t="str">
        <f>_xlfn.XLOOKUP(Squads[[#This Row],[Current Club]],Clubs[Current Club],Clubs[Club_ID])</f>
        <v>FRA-19</v>
      </c>
      <c r="M126" s="27" t="str">
        <f>_xlfn.XLOOKUP(Squads[[#This Row],[National Team]],Football_Associations[Football Association],Football_Associations[World Cup Result])</f>
        <v>Group stage</v>
      </c>
      <c r="N12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27" spans="1:14" ht="15" customHeight="1" x14ac:dyDescent="0.25">
      <c r="A127" s="33">
        <f t="shared" si="1"/>
        <v>1126</v>
      </c>
      <c r="B127" s="23" t="s">
        <v>34</v>
      </c>
      <c r="C127" s="23" t="str">
        <f>VLOOKUP(Squads[[#This Row],[National Team]],Qualified[],3,TRUE)</f>
        <v>Cameroon (CMR)</v>
      </c>
      <c r="D127" s="25">
        <v>22</v>
      </c>
      <c r="E127" s="23" t="s">
        <v>139</v>
      </c>
      <c r="F127" s="23" t="s">
        <v>786</v>
      </c>
      <c r="G127" s="26">
        <v>35104</v>
      </c>
      <c r="H127" s="65">
        <f>DATEDIF(Squads[[#This Row],[Date Of Birth]],World_Cup_Start_Date,"Y")</f>
        <v>26</v>
      </c>
      <c r="I127" s="27">
        <v>3</v>
      </c>
      <c r="J127" s="27">
        <v>0</v>
      </c>
      <c r="K127" s="78" t="s">
        <v>1747</v>
      </c>
      <c r="L127" s="27" t="str">
        <f>_xlfn.XLOOKUP(Squads[[#This Row],[Current Club]],Clubs[Current Club],Clubs[Club_ID])</f>
        <v>ENG-19</v>
      </c>
      <c r="M127" s="27" t="str">
        <f>_xlfn.XLOOKUP(Squads[[#This Row],[National Team]],Football_Associations[Football Association],Football_Associations[World Cup Result])</f>
        <v>Group stage</v>
      </c>
      <c r="N12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28" spans="1:14" ht="15" customHeight="1" x14ac:dyDescent="0.25">
      <c r="A128" s="33">
        <f t="shared" si="1"/>
        <v>1127</v>
      </c>
      <c r="B128" s="23" t="s">
        <v>34</v>
      </c>
      <c r="C128" s="23" t="str">
        <f>VLOOKUP(Squads[[#This Row],[National Team]],Qualified[],3,TRUE)</f>
        <v>Cameroon (CMR)</v>
      </c>
      <c r="D128" s="25">
        <v>23</v>
      </c>
      <c r="E128" s="23" t="s">
        <v>133</v>
      </c>
      <c r="F128" s="23" t="s">
        <v>787</v>
      </c>
      <c r="G128" s="26">
        <v>35157</v>
      </c>
      <c r="H128" s="65">
        <f>DATEDIF(Squads[[#This Row],[Date Of Birth]],World_Cup_Start_Date,"Y")</f>
        <v>26</v>
      </c>
      <c r="I128" s="27">
        <v>33</v>
      </c>
      <c r="J128" s="27">
        <v>0</v>
      </c>
      <c r="K128" s="78" t="s">
        <v>1685</v>
      </c>
      <c r="L128" s="27" t="str">
        <f>_xlfn.XLOOKUP(Squads[[#This Row],[Current Club]],Clubs[Current Club],Clubs[Club_ID])</f>
        <v>ITA-03</v>
      </c>
      <c r="M128" s="27" t="str">
        <f>_xlfn.XLOOKUP(Squads[[#This Row],[National Team]],Football_Associations[Football Association],Football_Associations[World Cup Result])</f>
        <v>Group stage</v>
      </c>
      <c r="N12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29" spans="1:14" ht="15" customHeight="1" x14ac:dyDescent="0.25">
      <c r="A129" s="33">
        <f t="shared" si="1"/>
        <v>1128</v>
      </c>
      <c r="B129" s="23" t="s">
        <v>34</v>
      </c>
      <c r="C129" s="23" t="str">
        <f>VLOOKUP(Squads[[#This Row],[National Team]],Qualified[],3,TRUE)</f>
        <v>Cameroon (CMR)</v>
      </c>
      <c r="D129" s="25">
        <v>24</v>
      </c>
      <c r="E129" s="23" t="s">
        <v>135</v>
      </c>
      <c r="F129" s="23" t="s">
        <v>788</v>
      </c>
      <c r="G129" s="26">
        <v>36230</v>
      </c>
      <c r="H129" s="65">
        <f>DATEDIF(Squads[[#This Row],[Date Of Birth]],World_Cup_Start_Date,"Y")</f>
        <v>23</v>
      </c>
      <c r="I129" s="27">
        <v>2</v>
      </c>
      <c r="J129" s="27">
        <v>0</v>
      </c>
      <c r="K129" s="78" t="s">
        <v>1937</v>
      </c>
      <c r="L129" s="27" t="str">
        <f>_xlfn.XLOOKUP(Squads[[#This Row],[Current Club]],Clubs[Current Club],Clubs[Club_ID])</f>
        <v>ITA-20</v>
      </c>
      <c r="M129" s="27" t="str">
        <f>_xlfn.XLOOKUP(Squads[[#This Row],[National Team]],Football_Associations[Football Association],Football_Associations[World Cup Result])</f>
        <v>Group stage</v>
      </c>
      <c r="N12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30" spans="1:14" ht="15" customHeight="1" x14ac:dyDescent="0.25">
      <c r="A130" s="33">
        <f t="shared" si="1"/>
        <v>1129</v>
      </c>
      <c r="B130" s="23" t="s">
        <v>34</v>
      </c>
      <c r="C130" s="23" t="str">
        <f>VLOOKUP(Squads[[#This Row],[National Team]],Qualified[],3,TRUE)</f>
        <v>Cameroon (CMR)</v>
      </c>
      <c r="D130" s="25">
        <v>25</v>
      </c>
      <c r="E130" s="23" t="s">
        <v>135</v>
      </c>
      <c r="F130" s="23" t="s">
        <v>789</v>
      </c>
      <c r="G130" s="26">
        <v>35604</v>
      </c>
      <c r="H130" s="65">
        <f>DATEDIF(Squads[[#This Row],[Date Of Birth]],World_Cup_Start_Date,"Y")</f>
        <v>25</v>
      </c>
      <c r="I130" s="27">
        <v>18</v>
      </c>
      <c r="J130" s="27">
        <v>0</v>
      </c>
      <c r="K130" s="78" t="s">
        <v>1719</v>
      </c>
      <c r="L130" s="27" t="str">
        <f>_xlfn.XLOOKUP(Squads[[#This Row],[Current Club]],Clubs[Current Club],Clubs[Club_ID])</f>
        <v>USA-03</v>
      </c>
      <c r="M130" s="27" t="str">
        <f>_xlfn.XLOOKUP(Squads[[#This Row],[National Team]],Football_Associations[Football Association],Football_Associations[World Cup Result])</f>
        <v>Group stage</v>
      </c>
      <c r="N13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31" spans="1:14" ht="15" customHeight="1" x14ac:dyDescent="0.25">
      <c r="A131" s="33">
        <f t="shared" ref="A131:A194" si="2">A130+1</f>
        <v>1130</v>
      </c>
      <c r="B131" s="23" t="s">
        <v>34</v>
      </c>
      <c r="C131" s="23" t="str">
        <f>VLOOKUP(Squads[[#This Row],[National Team]],Qualified[],3,TRUE)</f>
        <v>Cameroon (CMR)</v>
      </c>
      <c r="D131" s="25">
        <v>26</v>
      </c>
      <c r="E131" s="23" t="s">
        <v>139</v>
      </c>
      <c r="F131" s="23" t="s">
        <v>790</v>
      </c>
      <c r="G131" s="26">
        <v>36863</v>
      </c>
      <c r="H131" s="65">
        <f>DATEDIF(Squads[[#This Row],[Date Of Birth]],World_Cup_Start_Date,"Y")</f>
        <v>21</v>
      </c>
      <c r="I131" s="27">
        <v>3</v>
      </c>
      <c r="J131" s="27">
        <v>1</v>
      </c>
      <c r="K131" s="78" t="s">
        <v>1845</v>
      </c>
      <c r="L131" s="27" t="str">
        <f>_xlfn.XLOOKUP(Squads[[#This Row],[Current Club]],Clubs[Current Club],Clubs[Club_ID])</f>
        <v>CAM-02</v>
      </c>
      <c r="M131" s="27" t="str">
        <f>_xlfn.XLOOKUP(Squads[[#This Row],[National Team]],Football_Associations[Football Association],Football_Associations[World Cup Result])</f>
        <v>Group stage</v>
      </c>
      <c r="N13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32" spans="1:14" ht="15" customHeight="1" x14ac:dyDescent="0.25">
      <c r="A132" s="33">
        <f t="shared" si="2"/>
        <v>1131</v>
      </c>
      <c r="B132" s="23" t="s">
        <v>31</v>
      </c>
      <c r="C132" s="23" t="str">
        <f>VLOOKUP(Squads[[#This Row],[National Team]],Qualified[],3,TRUE)</f>
        <v>Canada (CAN)</v>
      </c>
      <c r="D132" s="25">
        <v>1</v>
      </c>
      <c r="E132" s="23" t="s">
        <v>133</v>
      </c>
      <c r="F132" s="23" t="s">
        <v>665</v>
      </c>
      <c r="G132" s="26">
        <v>35559</v>
      </c>
      <c r="H132" s="65">
        <f>DATEDIF(Squads[[#This Row],[Date Of Birth]],World_Cup_Start_Date,"Y")</f>
        <v>25</v>
      </c>
      <c r="I132" s="27">
        <v>2</v>
      </c>
      <c r="J132" s="27">
        <v>0</v>
      </c>
      <c r="K132" s="78" t="s">
        <v>1892</v>
      </c>
      <c r="L132" s="27" t="str">
        <f>_xlfn.XLOOKUP(Squads[[#This Row],[Current Club]],Clubs[Current Club],Clubs[Club_ID])</f>
        <v>USA-15</v>
      </c>
      <c r="M132" s="27" t="str">
        <f>_xlfn.XLOOKUP(Squads[[#This Row],[National Team]],Football_Associations[Football Association],Football_Associations[World Cup Result])</f>
        <v>Group stage</v>
      </c>
      <c r="N13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33" spans="1:14" ht="15" customHeight="1" x14ac:dyDescent="0.25">
      <c r="A133" s="33">
        <f t="shared" si="2"/>
        <v>1132</v>
      </c>
      <c r="B133" s="23" t="s">
        <v>31</v>
      </c>
      <c r="C133" s="23" t="str">
        <f>VLOOKUP(Squads[[#This Row],[National Team]],Qualified[],3,TRUE)</f>
        <v>Canada (CAN)</v>
      </c>
      <c r="D133" s="25">
        <v>2</v>
      </c>
      <c r="E133" s="23" t="s">
        <v>135</v>
      </c>
      <c r="F133" s="23" t="s">
        <v>666</v>
      </c>
      <c r="G133" s="26">
        <v>36076</v>
      </c>
      <c r="H133" s="65">
        <f>DATEDIF(Squads[[#This Row],[Date Of Birth]],World_Cup_Start_Date,"Y")</f>
        <v>24</v>
      </c>
      <c r="I133" s="27">
        <v>30</v>
      </c>
      <c r="J133" s="27">
        <v>1</v>
      </c>
      <c r="K133" s="78" t="s">
        <v>1682</v>
      </c>
      <c r="L133" s="27" t="str">
        <f>_xlfn.XLOOKUP(Squads[[#This Row],[Current Club]],Clubs[Current Club],Clubs[Club_ID])</f>
        <v>USA-01</v>
      </c>
      <c r="M133" s="27" t="str">
        <f>_xlfn.XLOOKUP(Squads[[#This Row],[National Team]],Football_Associations[Football Association],Football_Associations[World Cup Result])</f>
        <v>Group stage</v>
      </c>
      <c r="N13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34" spans="1:14" ht="15" customHeight="1" x14ac:dyDescent="0.25">
      <c r="A134" s="33">
        <f t="shared" si="2"/>
        <v>1133</v>
      </c>
      <c r="B134" s="23" t="s">
        <v>31</v>
      </c>
      <c r="C134" s="23" t="str">
        <f>VLOOKUP(Squads[[#This Row],[National Team]],Qualified[],3,TRUE)</f>
        <v>Canada (CAN)</v>
      </c>
      <c r="D134" s="25">
        <v>3</v>
      </c>
      <c r="E134" s="23" t="s">
        <v>135</v>
      </c>
      <c r="F134" s="23" t="s">
        <v>667</v>
      </c>
      <c r="G134" s="26">
        <v>34715</v>
      </c>
      <c r="H134" s="65">
        <f>DATEDIF(Squads[[#This Row],[Date Of Birth]],World_Cup_Start_Date,"Y")</f>
        <v>27</v>
      </c>
      <c r="I134" s="27">
        <v>34</v>
      </c>
      <c r="J134" s="27">
        <v>1</v>
      </c>
      <c r="K134" s="78" t="s">
        <v>1868</v>
      </c>
      <c r="L134" s="27" t="str">
        <f>_xlfn.XLOOKUP(Squads[[#This Row],[Current Club]],Clubs[Current Club],Clubs[Club_ID])</f>
        <v>TUR-09</v>
      </c>
      <c r="M134" s="27" t="str">
        <f>_xlfn.XLOOKUP(Squads[[#This Row],[National Team]],Football_Associations[Football Association],Football_Associations[World Cup Result])</f>
        <v>Group stage</v>
      </c>
      <c r="N13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35" spans="1:14" ht="15" customHeight="1" x14ac:dyDescent="0.25">
      <c r="A135" s="33">
        <f t="shared" si="2"/>
        <v>1134</v>
      </c>
      <c r="B135" s="23" t="s">
        <v>31</v>
      </c>
      <c r="C135" s="23" t="str">
        <f>VLOOKUP(Squads[[#This Row],[National Team]],Qualified[],3,TRUE)</f>
        <v>Canada (CAN)</v>
      </c>
      <c r="D135" s="25">
        <v>4</v>
      </c>
      <c r="E135" s="23" t="s">
        <v>135</v>
      </c>
      <c r="F135" s="23" t="s">
        <v>668</v>
      </c>
      <c r="G135" s="26">
        <v>35566</v>
      </c>
      <c r="H135" s="65">
        <f>DATEDIF(Squads[[#This Row],[Date Of Birth]],World_Cup_Start_Date,"Y")</f>
        <v>25</v>
      </c>
      <c r="I135" s="27">
        <v>29</v>
      </c>
      <c r="J135" s="27">
        <v>0</v>
      </c>
      <c r="K135" s="78" t="s">
        <v>1682</v>
      </c>
      <c r="L135" s="27" t="str">
        <f>_xlfn.XLOOKUP(Squads[[#This Row],[Current Club]],Clubs[Current Club],Clubs[Club_ID])</f>
        <v>USA-01</v>
      </c>
      <c r="M135" s="27" t="str">
        <f>_xlfn.XLOOKUP(Squads[[#This Row],[National Team]],Football_Associations[Football Association],Football_Associations[World Cup Result])</f>
        <v>Group stage</v>
      </c>
      <c r="N13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36" spans="1:14" ht="15" customHeight="1" x14ac:dyDescent="0.25">
      <c r="A136" s="33">
        <f t="shared" si="2"/>
        <v>1135</v>
      </c>
      <c r="B136" s="23" t="s">
        <v>31</v>
      </c>
      <c r="C136" s="23" t="str">
        <f>VLOOKUP(Squads[[#This Row],[National Team]],Qualified[],3,TRUE)</f>
        <v>Canada (CAN)</v>
      </c>
      <c r="D136" s="25">
        <v>5</v>
      </c>
      <c r="E136" s="23" t="s">
        <v>135</v>
      </c>
      <c r="F136" s="23" t="s">
        <v>669</v>
      </c>
      <c r="G136" s="26">
        <v>31788</v>
      </c>
      <c r="H136" s="65">
        <f>DATEDIF(Squads[[#This Row],[Date Of Birth]],World_Cup_Start_Date,"Y")</f>
        <v>35</v>
      </c>
      <c r="I136" s="27">
        <v>35</v>
      </c>
      <c r="J136" s="27">
        <v>4</v>
      </c>
      <c r="K136" s="78" t="s">
        <v>1841</v>
      </c>
      <c r="L136" s="27" t="str">
        <f>_xlfn.XLOOKUP(Squads[[#This Row],[Current Club]],Clubs[Current Club],Clubs[Club_ID])</f>
        <v>POR-05</v>
      </c>
      <c r="M136" s="27" t="str">
        <f>_xlfn.XLOOKUP(Squads[[#This Row],[National Team]],Football_Associations[Football Association],Football_Associations[World Cup Result])</f>
        <v>Group stage</v>
      </c>
      <c r="N13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37" spans="1:14" ht="15" customHeight="1" x14ac:dyDescent="0.25">
      <c r="A137" s="33">
        <f t="shared" si="2"/>
        <v>1136</v>
      </c>
      <c r="B137" s="23" t="s">
        <v>31</v>
      </c>
      <c r="C137" s="23" t="str">
        <f>VLOOKUP(Squads[[#This Row],[National Team]],Qualified[],3,TRUE)</f>
        <v>Canada (CAN)</v>
      </c>
      <c r="D137" s="25">
        <v>6</v>
      </c>
      <c r="E137" s="23" t="s">
        <v>139</v>
      </c>
      <c r="F137" s="23" t="s">
        <v>670</v>
      </c>
      <c r="G137" s="26">
        <v>34650</v>
      </c>
      <c r="H137" s="65">
        <f>DATEDIF(Squads[[#This Row],[Date Of Birth]],World_Cup_Start_Date,"Y")</f>
        <v>28</v>
      </c>
      <c r="I137" s="27">
        <v>66</v>
      </c>
      <c r="J137" s="27">
        <v>0</v>
      </c>
      <c r="K137" s="78" t="s">
        <v>1682</v>
      </c>
      <c r="L137" s="27" t="str">
        <f>_xlfn.XLOOKUP(Squads[[#This Row],[Current Club]],Clubs[Current Club],Clubs[Club_ID])</f>
        <v>USA-01</v>
      </c>
      <c r="M137" s="27" t="str">
        <f>_xlfn.XLOOKUP(Squads[[#This Row],[National Team]],Football_Associations[Football Association],Football_Associations[World Cup Result])</f>
        <v>Group stage</v>
      </c>
      <c r="N13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38" spans="1:14" ht="15" customHeight="1" x14ac:dyDescent="0.25">
      <c r="A138" s="33">
        <f t="shared" si="2"/>
        <v>1137</v>
      </c>
      <c r="B138" s="23" t="s">
        <v>31</v>
      </c>
      <c r="C138" s="23" t="str">
        <f>VLOOKUP(Squads[[#This Row],[National Team]],Qualified[],3,TRUE)</f>
        <v>Canada (CAN)</v>
      </c>
      <c r="D138" s="25">
        <v>7</v>
      </c>
      <c r="E138" s="23" t="s">
        <v>139</v>
      </c>
      <c r="F138" s="23" t="s">
        <v>671</v>
      </c>
      <c r="G138" s="26">
        <v>35420</v>
      </c>
      <c r="H138" s="65">
        <f>DATEDIF(Squads[[#This Row],[Date Of Birth]],World_Cup_Start_Date,"Y")</f>
        <v>25</v>
      </c>
      <c r="I138" s="27">
        <v>26</v>
      </c>
      <c r="J138" s="27">
        <v>3</v>
      </c>
      <c r="K138" s="78" t="s">
        <v>1688</v>
      </c>
      <c r="L138" s="27" t="str">
        <f>_xlfn.XLOOKUP(Squads[[#This Row],[Current Club]],Clubs[Current Club],Clubs[Club_ID])</f>
        <v>POR-02</v>
      </c>
      <c r="M138" s="27" t="str">
        <f>_xlfn.XLOOKUP(Squads[[#This Row],[National Team]],Football_Associations[Football Association],Football_Associations[World Cup Result])</f>
        <v>Group stage</v>
      </c>
      <c r="N13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39" spans="1:14" ht="15" customHeight="1" x14ac:dyDescent="0.25">
      <c r="A139" s="33">
        <f t="shared" si="2"/>
        <v>1138</v>
      </c>
      <c r="B139" s="23" t="s">
        <v>31</v>
      </c>
      <c r="C139" s="23" t="str">
        <f>VLOOKUP(Squads[[#This Row],[National Team]],Qualified[],3,TRUE)</f>
        <v>Canada (CAN)</v>
      </c>
      <c r="D139" s="25">
        <v>8</v>
      </c>
      <c r="E139" s="23" t="s">
        <v>139</v>
      </c>
      <c r="F139" s="23" t="s">
        <v>672</v>
      </c>
      <c r="G139" s="26">
        <v>35839</v>
      </c>
      <c r="H139" s="65">
        <f>DATEDIF(Squads[[#This Row],[Date Of Birth]],World_Cup_Start_Date,"Y")</f>
        <v>24</v>
      </c>
      <c r="I139" s="27">
        <v>15</v>
      </c>
      <c r="J139" s="27">
        <v>0</v>
      </c>
      <c r="K139" s="78" t="s">
        <v>1850</v>
      </c>
      <c r="L139" s="27" t="str">
        <f>_xlfn.XLOOKUP(Squads[[#This Row],[Current Club]],Clubs[Current Club],Clubs[Club_ID])</f>
        <v>BEL-07</v>
      </c>
      <c r="M139" s="27" t="str">
        <f>_xlfn.XLOOKUP(Squads[[#This Row],[National Team]],Football_Associations[Football Association],Football_Associations[World Cup Result])</f>
        <v>Group stage</v>
      </c>
      <c r="N13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40" spans="1:14" ht="15" customHeight="1" x14ac:dyDescent="0.25">
      <c r="A140" s="33">
        <f t="shared" si="2"/>
        <v>1139</v>
      </c>
      <c r="B140" s="23" t="s">
        <v>31</v>
      </c>
      <c r="C140" s="23" t="str">
        <f>VLOOKUP(Squads[[#This Row],[National Team]],Qualified[],3,TRUE)</f>
        <v>Canada (CAN)</v>
      </c>
      <c r="D140" s="25">
        <v>9</v>
      </c>
      <c r="E140" s="23" t="s">
        <v>146</v>
      </c>
      <c r="F140" s="23" t="s">
        <v>673</v>
      </c>
      <c r="G140" s="26">
        <v>33966</v>
      </c>
      <c r="H140" s="65">
        <f>DATEDIF(Squads[[#This Row],[Date Of Birth]],World_Cup_Start_Date,"Y")</f>
        <v>29</v>
      </c>
      <c r="I140" s="27">
        <v>34</v>
      </c>
      <c r="J140" s="27">
        <v>18</v>
      </c>
      <c r="K140" s="78" t="s">
        <v>1942</v>
      </c>
      <c r="L140" s="27" t="str">
        <f>_xlfn.XLOOKUP(Squads[[#This Row],[Current Club]],Clubs[Current Club],Clubs[Club_ID])</f>
        <v>USA-21</v>
      </c>
      <c r="M140" s="27" t="str">
        <f>_xlfn.XLOOKUP(Squads[[#This Row],[National Team]],Football_Associations[Football Association],Football_Associations[World Cup Result])</f>
        <v>Group stage</v>
      </c>
      <c r="N14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41" spans="1:14" ht="15" customHeight="1" x14ac:dyDescent="0.25">
      <c r="A141" s="33">
        <f t="shared" si="2"/>
        <v>1140</v>
      </c>
      <c r="B141" s="23" t="s">
        <v>31</v>
      </c>
      <c r="C141" s="23" t="str">
        <f>VLOOKUP(Squads[[#This Row],[National Team]],Qualified[],3,TRUE)</f>
        <v>Canada (CAN)</v>
      </c>
      <c r="D141" s="25">
        <v>10</v>
      </c>
      <c r="E141" s="23" t="s">
        <v>139</v>
      </c>
      <c r="F141" s="23" t="s">
        <v>674</v>
      </c>
      <c r="G141" s="26">
        <v>33029</v>
      </c>
      <c r="H141" s="65">
        <f>DATEDIF(Squads[[#This Row],[Date Of Birth]],World_Cup_Start_Date,"Y")</f>
        <v>32</v>
      </c>
      <c r="I141" s="27">
        <v>50</v>
      </c>
      <c r="J141" s="27">
        <v>14</v>
      </c>
      <c r="K141" s="78" t="s">
        <v>1742</v>
      </c>
      <c r="L141" s="27" t="str">
        <f>_xlfn.XLOOKUP(Squads[[#This Row],[Current Club]],Clubs[Current Club],Clubs[Club_ID])</f>
        <v>ENG-18</v>
      </c>
      <c r="M141" s="27" t="str">
        <f>_xlfn.XLOOKUP(Squads[[#This Row],[National Team]],Football_Associations[Football Association],Football_Associations[World Cup Result])</f>
        <v>Group stage</v>
      </c>
      <c r="N14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42" spans="1:14" ht="15" customHeight="1" x14ac:dyDescent="0.25">
      <c r="A142" s="33">
        <f t="shared" si="2"/>
        <v>1141</v>
      </c>
      <c r="B142" s="23" t="s">
        <v>31</v>
      </c>
      <c r="C142" s="23" t="str">
        <f>VLOOKUP(Squads[[#This Row],[National Team]],Qualified[],3,TRUE)</f>
        <v>Canada (CAN)</v>
      </c>
      <c r="D142" s="25">
        <v>11</v>
      </c>
      <c r="E142" s="23" t="s">
        <v>146</v>
      </c>
      <c r="F142" s="23" t="s">
        <v>675</v>
      </c>
      <c r="G142" s="26">
        <v>36199</v>
      </c>
      <c r="H142" s="65">
        <f>DATEDIF(Squads[[#This Row],[Date Of Birth]],World_Cup_Start_Date,"Y")</f>
        <v>23</v>
      </c>
      <c r="I142" s="27">
        <v>26</v>
      </c>
      <c r="J142" s="27">
        <v>4</v>
      </c>
      <c r="K142" s="78" t="s">
        <v>1670</v>
      </c>
      <c r="L142" s="27" t="str">
        <f>_xlfn.XLOOKUP(Squads[[#This Row],[Current Club]],Clubs[Current Club],Clubs[Club_ID])</f>
        <v>BEL-01</v>
      </c>
      <c r="M142" s="27" t="str">
        <f>_xlfn.XLOOKUP(Squads[[#This Row],[National Team]],Football_Associations[Football Association],Football_Associations[World Cup Result])</f>
        <v>Group stage</v>
      </c>
      <c r="N14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43" spans="1:14" ht="15" customHeight="1" x14ac:dyDescent="0.25">
      <c r="A143" s="33">
        <f t="shared" si="2"/>
        <v>1142</v>
      </c>
      <c r="B143" s="23" t="s">
        <v>31</v>
      </c>
      <c r="C143" s="23" t="str">
        <f>VLOOKUP(Squads[[#This Row],[National Team]],Qualified[],3,TRUE)</f>
        <v>Canada (CAN)</v>
      </c>
      <c r="D143" s="25">
        <v>12</v>
      </c>
      <c r="E143" s="23" t="s">
        <v>146</v>
      </c>
      <c r="F143" s="23" t="s">
        <v>676</v>
      </c>
      <c r="G143" s="26">
        <v>36059</v>
      </c>
      <c r="H143" s="65">
        <f>DATEDIF(Squads[[#This Row],[Date Of Birth]],World_Cup_Start_Date,"Y")</f>
        <v>24</v>
      </c>
      <c r="I143" s="27">
        <v>8</v>
      </c>
      <c r="J143" s="27">
        <v>0</v>
      </c>
      <c r="K143" s="78" t="s">
        <v>1807</v>
      </c>
      <c r="L143" s="27" t="str">
        <f>_xlfn.XLOOKUP(Squads[[#This Row],[Current Club]],Clubs[Current Club],Clubs[Club_ID])</f>
        <v>FRA-13</v>
      </c>
      <c r="M143" s="27" t="str">
        <f>_xlfn.XLOOKUP(Squads[[#This Row],[National Team]],Football_Associations[Football Association],Football_Associations[World Cup Result])</f>
        <v>Group stage</v>
      </c>
      <c r="N14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44" spans="1:14" ht="15" customHeight="1" x14ac:dyDescent="0.25">
      <c r="A144" s="33">
        <f t="shared" si="2"/>
        <v>1143</v>
      </c>
      <c r="B144" s="23" t="s">
        <v>31</v>
      </c>
      <c r="C144" s="23" t="str">
        <f>VLOOKUP(Squads[[#This Row],[National Team]],Qualified[],3,TRUE)</f>
        <v>Canada (CAN)</v>
      </c>
      <c r="D144" s="25">
        <v>13</v>
      </c>
      <c r="E144" s="23" t="s">
        <v>139</v>
      </c>
      <c r="F144" s="27" t="s">
        <v>997</v>
      </c>
      <c r="G144" s="26">
        <v>30355</v>
      </c>
      <c r="H144" s="65">
        <f>DATEDIF(Squads[[#This Row],[Date Of Birth]],World_Cup_Start_Date,"Y")</f>
        <v>39</v>
      </c>
      <c r="I144" s="27">
        <v>98</v>
      </c>
      <c r="J144" s="27">
        <v>9</v>
      </c>
      <c r="K144" s="78" t="s">
        <v>1708</v>
      </c>
      <c r="L144" s="27" t="str">
        <f>_xlfn.XLOOKUP(Squads[[#This Row],[Current Club]],Clubs[Current Club],Clubs[Club_ID])</f>
        <v>TUR-02</v>
      </c>
      <c r="M144" s="27" t="str">
        <f>_xlfn.XLOOKUP(Squads[[#This Row],[National Team]],Football_Associations[Football Association],Football_Associations[World Cup Result])</f>
        <v>Group stage</v>
      </c>
      <c r="N14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45" spans="1:14" ht="15" customHeight="1" x14ac:dyDescent="0.25">
      <c r="A145" s="33">
        <f t="shared" si="2"/>
        <v>1144</v>
      </c>
      <c r="B145" s="23" t="s">
        <v>31</v>
      </c>
      <c r="C145" s="23" t="str">
        <f>VLOOKUP(Squads[[#This Row],[National Team]],Qualified[],3,TRUE)</f>
        <v>Canada (CAN)</v>
      </c>
      <c r="D145" s="25">
        <v>14</v>
      </c>
      <c r="E145" s="23" t="s">
        <v>139</v>
      </c>
      <c r="F145" s="23" t="s">
        <v>677</v>
      </c>
      <c r="G145" s="26">
        <v>34670</v>
      </c>
      <c r="H145" s="65">
        <f>DATEDIF(Squads[[#This Row],[Date Of Birth]],World_Cup_Start_Date,"Y")</f>
        <v>27</v>
      </c>
      <c r="I145" s="27">
        <v>38</v>
      </c>
      <c r="J145" s="27">
        <v>2</v>
      </c>
      <c r="K145" s="78" t="s">
        <v>1748</v>
      </c>
      <c r="L145" s="27" t="str">
        <f>_xlfn.XLOOKUP(Squads[[#This Row],[Current Club]],Clubs[Current Club],Clubs[Club_ID])</f>
        <v>USA-04</v>
      </c>
      <c r="M145" s="27" t="str">
        <f>_xlfn.XLOOKUP(Squads[[#This Row],[National Team]],Football_Associations[Football Association],Football_Associations[World Cup Result])</f>
        <v>Group stage</v>
      </c>
      <c r="N14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46" spans="1:14" ht="15" customHeight="1" x14ac:dyDescent="0.25">
      <c r="A146" s="33">
        <f t="shared" si="2"/>
        <v>1145</v>
      </c>
      <c r="B146" s="23" t="s">
        <v>31</v>
      </c>
      <c r="C146" s="23" t="str">
        <f>VLOOKUP(Squads[[#This Row],[National Team]],Qualified[],3,TRUE)</f>
        <v>Canada (CAN)</v>
      </c>
      <c r="D146" s="25">
        <v>15</v>
      </c>
      <c r="E146" s="23" t="s">
        <v>139</v>
      </c>
      <c r="F146" s="23" t="s">
        <v>678</v>
      </c>
      <c r="G146" s="26">
        <v>37423</v>
      </c>
      <c r="H146" s="65">
        <f>DATEDIF(Squads[[#This Row],[Date Of Birth]],World_Cup_Start_Date,"Y")</f>
        <v>20</v>
      </c>
      <c r="I146" s="27">
        <v>6</v>
      </c>
      <c r="J146" s="27">
        <v>1</v>
      </c>
      <c r="K146" s="78" t="s">
        <v>1682</v>
      </c>
      <c r="L146" s="27" t="str">
        <f>_xlfn.XLOOKUP(Squads[[#This Row],[Current Club]],Clubs[Current Club],Clubs[Club_ID])</f>
        <v>USA-01</v>
      </c>
      <c r="M146" s="27" t="str">
        <f>_xlfn.XLOOKUP(Squads[[#This Row],[National Team]],Football_Associations[Football Association],Football_Associations[World Cup Result])</f>
        <v>Group stage</v>
      </c>
      <c r="N14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47" spans="1:14" ht="15" customHeight="1" x14ac:dyDescent="0.25">
      <c r="A147" s="33">
        <f t="shared" si="2"/>
        <v>1146</v>
      </c>
      <c r="B147" s="23" t="s">
        <v>31</v>
      </c>
      <c r="C147" s="23" t="str">
        <f>VLOOKUP(Squads[[#This Row],[National Team]],Qualified[],3,TRUE)</f>
        <v>Canada (CAN)</v>
      </c>
      <c r="D147" s="25">
        <v>16</v>
      </c>
      <c r="E147" s="23" t="s">
        <v>133</v>
      </c>
      <c r="F147" s="23" t="s">
        <v>679</v>
      </c>
      <c r="G147" s="26">
        <v>35482</v>
      </c>
      <c r="H147" s="65">
        <f>DATEDIF(Squads[[#This Row],[Date Of Birth]],World_Cup_Start_Date,"Y")</f>
        <v>25</v>
      </c>
      <c r="I147" s="27">
        <v>0</v>
      </c>
      <c r="J147" s="27">
        <v>0</v>
      </c>
      <c r="K147" s="78" t="s">
        <v>1682</v>
      </c>
      <c r="L147" s="27" t="str">
        <f>_xlfn.XLOOKUP(Squads[[#This Row],[Current Club]],Clubs[Current Club],Clubs[Club_ID])</f>
        <v>USA-01</v>
      </c>
      <c r="M147" s="27" t="str">
        <f>_xlfn.XLOOKUP(Squads[[#This Row],[National Team]],Football_Associations[Football Association],Football_Associations[World Cup Result])</f>
        <v>Group stage</v>
      </c>
      <c r="N14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48" spans="1:14" ht="15" customHeight="1" x14ac:dyDescent="0.25">
      <c r="A148" s="33">
        <f t="shared" si="2"/>
        <v>1147</v>
      </c>
      <c r="B148" s="23" t="s">
        <v>31</v>
      </c>
      <c r="C148" s="23" t="str">
        <f>VLOOKUP(Squads[[#This Row],[National Team]],Qualified[],3,TRUE)</f>
        <v>Canada (CAN)</v>
      </c>
      <c r="D148" s="25">
        <v>17</v>
      </c>
      <c r="E148" s="23" t="s">
        <v>146</v>
      </c>
      <c r="F148" s="23" t="s">
        <v>680</v>
      </c>
      <c r="G148" s="26">
        <v>34806</v>
      </c>
      <c r="H148" s="65">
        <f>DATEDIF(Squads[[#This Row],[Date Of Birth]],World_Cup_Start_Date,"Y")</f>
        <v>27</v>
      </c>
      <c r="I148" s="27">
        <v>55</v>
      </c>
      <c r="J148" s="27">
        <v>25</v>
      </c>
      <c r="K148" s="78" t="s">
        <v>1670</v>
      </c>
      <c r="L148" s="27" t="str">
        <f>_xlfn.XLOOKUP(Squads[[#This Row],[Current Club]],Clubs[Current Club],Clubs[Club_ID])</f>
        <v>BEL-01</v>
      </c>
      <c r="M148" s="27" t="str">
        <f>_xlfn.XLOOKUP(Squads[[#This Row],[National Team]],Football_Associations[Football Association],Football_Associations[World Cup Result])</f>
        <v>Group stage</v>
      </c>
      <c r="N14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49" spans="1:14" ht="15" customHeight="1" x14ac:dyDescent="0.25">
      <c r="A149" s="33">
        <f t="shared" si="2"/>
        <v>1148</v>
      </c>
      <c r="B149" s="23" t="s">
        <v>31</v>
      </c>
      <c r="C149" s="23" t="str">
        <f>VLOOKUP(Squads[[#This Row],[National Team]],Qualified[],3,TRUE)</f>
        <v>Canada (CAN)</v>
      </c>
      <c r="D149" s="25">
        <v>18</v>
      </c>
      <c r="E149" s="23" t="s">
        <v>133</v>
      </c>
      <c r="F149" s="23" t="s">
        <v>681</v>
      </c>
      <c r="G149" s="26">
        <v>32073</v>
      </c>
      <c r="H149" s="65">
        <f>DATEDIF(Squads[[#This Row],[Date Of Birth]],World_Cup_Start_Date,"Y")</f>
        <v>35</v>
      </c>
      <c r="I149" s="27">
        <v>68</v>
      </c>
      <c r="J149" s="27">
        <v>0</v>
      </c>
      <c r="K149" s="78" t="s">
        <v>1743</v>
      </c>
      <c r="L149" s="27" t="str">
        <f>_xlfn.XLOOKUP(Squads[[#This Row],[Current Club]],Clubs[Current Club],Clubs[Club_ID])</f>
        <v>SER-01</v>
      </c>
      <c r="M149" s="27" t="str">
        <f>_xlfn.XLOOKUP(Squads[[#This Row],[National Team]],Football_Associations[Football Association],Football_Associations[World Cup Result])</f>
        <v>Group stage</v>
      </c>
      <c r="N14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50" spans="1:14" ht="15" customHeight="1" x14ac:dyDescent="0.25">
      <c r="A150" s="33">
        <f t="shared" si="2"/>
        <v>1149</v>
      </c>
      <c r="B150" s="23" t="s">
        <v>31</v>
      </c>
      <c r="C150" s="23" t="str">
        <f>VLOOKUP(Squads[[#This Row],[National Team]],Qualified[],3,TRUE)</f>
        <v>Canada (CAN)</v>
      </c>
      <c r="D150" s="25">
        <v>19</v>
      </c>
      <c r="E150" s="23" t="s">
        <v>146</v>
      </c>
      <c r="F150" s="23" t="s">
        <v>682</v>
      </c>
      <c r="G150" s="26">
        <v>36832</v>
      </c>
      <c r="H150" s="65">
        <f>DATEDIF(Squads[[#This Row],[Date Of Birth]],World_Cup_Start_Date,"Y")</f>
        <v>22</v>
      </c>
      <c r="I150" s="27">
        <v>34</v>
      </c>
      <c r="J150" s="27">
        <v>12</v>
      </c>
      <c r="K150" s="78" t="s">
        <v>1654</v>
      </c>
      <c r="L150" s="27" t="str">
        <f>_xlfn.XLOOKUP(Squads[[#This Row],[Current Club]],Clubs[Current Club],Clubs[Club_ID])</f>
        <v>GER-01</v>
      </c>
      <c r="M150" s="27" t="str">
        <f>_xlfn.XLOOKUP(Squads[[#This Row],[National Team]],Football_Associations[Football Association],Football_Associations[World Cup Result])</f>
        <v>Group stage</v>
      </c>
      <c r="N15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51" spans="1:14" ht="15" customHeight="1" x14ac:dyDescent="0.25">
      <c r="A151" s="33">
        <f t="shared" si="2"/>
        <v>1150</v>
      </c>
      <c r="B151" s="23" t="s">
        <v>31</v>
      </c>
      <c r="C151" s="23" t="str">
        <f>VLOOKUP(Squads[[#This Row],[National Team]],Qualified[],3,TRUE)</f>
        <v>Canada (CAN)</v>
      </c>
      <c r="D151" s="25">
        <v>20</v>
      </c>
      <c r="E151" s="23" t="s">
        <v>146</v>
      </c>
      <c r="F151" s="23" t="s">
        <v>683</v>
      </c>
      <c r="G151" s="26">
        <v>36539</v>
      </c>
      <c r="H151" s="65">
        <f>DATEDIF(Squads[[#This Row],[Date Of Birth]],World_Cup_Start_Date,"Y")</f>
        <v>22</v>
      </c>
      <c r="I151" s="27">
        <v>35</v>
      </c>
      <c r="J151" s="27">
        <v>22</v>
      </c>
      <c r="K151" s="78" t="s">
        <v>1786</v>
      </c>
      <c r="L151" s="27" t="str">
        <f>_xlfn.XLOOKUP(Squads[[#This Row],[Current Club]],Clubs[Current Club],Clubs[Club_ID])</f>
        <v>FRA-08</v>
      </c>
      <c r="M151" s="27" t="str">
        <f>_xlfn.XLOOKUP(Squads[[#This Row],[National Team]],Football_Associations[Football Association],Football_Associations[World Cup Result])</f>
        <v>Group stage</v>
      </c>
      <c r="N15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52" spans="1:14" ht="15" customHeight="1" x14ac:dyDescent="0.25">
      <c r="A152" s="33">
        <f t="shared" si="2"/>
        <v>1151</v>
      </c>
      <c r="B152" s="23" t="s">
        <v>31</v>
      </c>
      <c r="C152" s="23" t="str">
        <f>VLOOKUP(Squads[[#This Row],[National Team]],Qualified[],3,TRUE)</f>
        <v>Canada (CAN)</v>
      </c>
      <c r="D152" s="25">
        <v>21</v>
      </c>
      <c r="E152" s="23" t="s">
        <v>139</v>
      </c>
      <c r="F152" s="23" t="s">
        <v>684</v>
      </c>
      <c r="G152" s="26">
        <v>33767</v>
      </c>
      <c r="H152" s="65">
        <f>DATEDIF(Squads[[#This Row],[Date Of Birth]],World_Cup_Start_Date,"Y")</f>
        <v>30</v>
      </c>
      <c r="I152" s="27">
        <v>57</v>
      </c>
      <c r="J152" s="27">
        <v>7</v>
      </c>
      <c r="K152" s="78" t="s">
        <v>1748</v>
      </c>
      <c r="L152" s="27" t="str">
        <f>_xlfn.XLOOKUP(Squads[[#This Row],[Current Club]],Clubs[Current Club],Clubs[Club_ID])</f>
        <v>USA-04</v>
      </c>
      <c r="M152" s="27" t="str">
        <f>_xlfn.XLOOKUP(Squads[[#This Row],[National Team]],Football_Associations[Football Association],Football_Associations[World Cup Result])</f>
        <v>Group stage</v>
      </c>
      <c r="N15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53" spans="1:14" ht="15" customHeight="1" x14ac:dyDescent="0.25">
      <c r="A153" s="33">
        <f t="shared" si="2"/>
        <v>1152</v>
      </c>
      <c r="B153" s="23" t="s">
        <v>31</v>
      </c>
      <c r="C153" s="23" t="str">
        <f>VLOOKUP(Squads[[#This Row],[National Team]],Qualified[],3,TRUE)</f>
        <v>Canada (CAN)</v>
      </c>
      <c r="D153" s="25">
        <v>22</v>
      </c>
      <c r="E153" s="23" t="s">
        <v>135</v>
      </c>
      <c r="F153" s="23" t="s">
        <v>685</v>
      </c>
      <c r="G153" s="26">
        <v>34706</v>
      </c>
      <c r="H153" s="65">
        <f>DATEDIF(Squads[[#This Row],[Date Of Birth]],World_Cup_Start_Date,"Y")</f>
        <v>27</v>
      </c>
      <c r="I153" s="27">
        <v>34</v>
      </c>
      <c r="J153" s="27">
        <v>1</v>
      </c>
      <c r="K153" s="78" t="s">
        <v>1748</v>
      </c>
      <c r="L153" s="27" t="str">
        <f>_xlfn.XLOOKUP(Squads[[#This Row],[Current Club]],Clubs[Current Club],Clubs[Club_ID])</f>
        <v>USA-04</v>
      </c>
      <c r="M153" s="27" t="str">
        <f>_xlfn.XLOOKUP(Squads[[#This Row],[National Team]],Football_Associations[Football Association],Football_Associations[World Cup Result])</f>
        <v>Group stage</v>
      </c>
      <c r="N15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54" spans="1:14" ht="15" customHeight="1" x14ac:dyDescent="0.25">
      <c r="A154" s="33">
        <f t="shared" si="2"/>
        <v>1153</v>
      </c>
      <c r="B154" s="23" t="s">
        <v>31</v>
      </c>
      <c r="C154" s="23" t="str">
        <f>VLOOKUP(Squads[[#This Row],[National Team]],Qualified[],3,TRUE)</f>
        <v>Canada (CAN)</v>
      </c>
      <c r="D154" s="25">
        <v>23</v>
      </c>
      <c r="E154" s="23" t="s">
        <v>139</v>
      </c>
      <c r="F154" s="23" t="s">
        <v>686</v>
      </c>
      <c r="G154" s="26">
        <v>36430</v>
      </c>
      <c r="H154" s="65">
        <f>DATEDIF(Squads[[#This Row],[Date Of Birth]],World_Cup_Start_Date,"Y")</f>
        <v>23</v>
      </c>
      <c r="I154" s="27">
        <v>16</v>
      </c>
      <c r="J154" s="27">
        <v>0</v>
      </c>
      <c r="K154" s="78" t="s">
        <v>1764</v>
      </c>
      <c r="L154" s="27" t="str">
        <f>_xlfn.XLOOKUP(Squads[[#This Row],[Current Club]],Clubs[Current Club],Clubs[Club_ID])</f>
        <v>SWI-02</v>
      </c>
      <c r="M154" s="27" t="str">
        <f>_xlfn.XLOOKUP(Squads[[#This Row],[National Team]],Football_Associations[Football Association],Football_Associations[World Cup Result])</f>
        <v>Group stage</v>
      </c>
      <c r="N15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55" spans="1:14" ht="15" customHeight="1" x14ac:dyDescent="0.25">
      <c r="A155" s="33">
        <f t="shared" si="2"/>
        <v>1154</v>
      </c>
      <c r="B155" s="23" t="s">
        <v>31</v>
      </c>
      <c r="C155" s="23" t="str">
        <f>VLOOKUP(Squads[[#This Row],[National Team]],Qualified[],3,TRUE)</f>
        <v>Canada (CAN)</v>
      </c>
      <c r="D155" s="25">
        <v>24</v>
      </c>
      <c r="E155" s="23" t="s">
        <v>139</v>
      </c>
      <c r="F155" s="23" t="s">
        <v>687</v>
      </c>
      <c r="G155" s="26">
        <v>32889</v>
      </c>
      <c r="H155" s="65">
        <f>DATEDIF(Squads[[#This Row],[Date Of Birth]],World_Cup_Start_Date,"Y")</f>
        <v>32</v>
      </c>
      <c r="I155" s="27">
        <v>10</v>
      </c>
      <c r="J155" s="27">
        <v>1</v>
      </c>
      <c r="K155" s="78" t="s">
        <v>1928</v>
      </c>
      <c r="L155" s="27" t="str">
        <f>_xlfn.XLOOKUP(Squads[[#This Row],[Current Club]],Clubs[Current Club],Clubs[Club_ID])</f>
        <v>SCO-06</v>
      </c>
      <c r="M155" s="27" t="str">
        <f>_xlfn.XLOOKUP(Squads[[#This Row],[National Team]],Football_Associations[Football Association],Football_Associations[World Cup Result])</f>
        <v>Group stage</v>
      </c>
      <c r="N15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56" spans="1:14" ht="15" customHeight="1" x14ac:dyDescent="0.25">
      <c r="A156" s="33">
        <f t="shared" si="2"/>
        <v>1155</v>
      </c>
      <c r="B156" s="23" t="s">
        <v>31</v>
      </c>
      <c r="C156" s="23" t="str">
        <f>VLOOKUP(Squads[[#This Row],[National Team]],Qualified[],3,TRUE)</f>
        <v>Canada (CAN)</v>
      </c>
      <c r="D156" s="25">
        <v>25</v>
      </c>
      <c r="E156" s="23" t="s">
        <v>135</v>
      </c>
      <c r="F156" s="23" t="s">
        <v>688</v>
      </c>
      <c r="G156" s="26">
        <v>35759</v>
      </c>
      <c r="H156" s="65">
        <f>DATEDIF(Squads[[#This Row],[Date Of Birth]],World_Cup_Start_Date,"Y")</f>
        <v>24</v>
      </c>
      <c r="I156" s="27">
        <v>14</v>
      </c>
      <c r="J156" s="27">
        <v>0</v>
      </c>
      <c r="K156" s="78" t="s">
        <v>1905</v>
      </c>
      <c r="L156" s="27" t="str">
        <f>_xlfn.XLOOKUP(Squads[[#This Row],[Current Club]],Clubs[Current Club],Clubs[Club_ID])</f>
        <v>GRE-05</v>
      </c>
      <c r="M156" s="27" t="str">
        <f>_xlfn.XLOOKUP(Squads[[#This Row],[National Team]],Football_Associations[Football Association],Football_Associations[World Cup Result])</f>
        <v>Group stage</v>
      </c>
      <c r="N15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57" spans="1:14" ht="15" customHeight="1" x14ac:dyDescent="0.25">
      <c r="A157" s="33">
        <f t="shared" si="2"/>
        <v>1156</v>
      </c>
      <c r="B157" s="23" t="s">
        <v>31</v>
      </c>
      <c r="C157" s="23" t="str">
        <f>VLOOKUP(Squads[[#This Row],[National Team]],Qualified[],3,TRUE)</f>
        <v>Canada (CAN)</v>
      </c>
      <c r="D157" s="25">
        <v>26</v>
      </c>
      <c r="E157" s="23" t="s">
        <v>135</v>
      </c>
      <c r="F157" s="23" t="s">
        <v>689</v>
      </c>
      <c r="G157" s="26">
        <v>35088</v>
      </c>
      <c r="H157" s="65">
        <f>DATEDIF(Squads[[#This Row],[Date Of Birth]],World_Cup_Start_Date,"Y")</f>
        <v>26</v>
      </c>
      <c r="I157" s="27">
        <v>2</v>
      </c>
      <c r="J157" s="27">
        <v>0</v>
      </c>
      <c r="K157" s="78" t="s">
        <v>1682</v>
      </c>
      <c r="L157" s="27" t="str">
        <f>_xlfn.XLOOKUP(Squads[[#This Row],[Current Club]],Clubs[Current Club],Clubs[Club_ID])</f>
        <v>USA-01</v>
      </c>
      <c r="M157" s="27" t="str">
        <f>_xlfn.XLOOKUP(Squads[[#This Row],[National Team]],Football_Associations[Football Association],Football_Associations[World Cup Result])</f>
        <v>Group stage</v>
      </c>
      <c r="N15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58" spans="1:14" ht="15" customHeight="1" x14ac:dyDescent="0.25">
      <c r="A158" s="33">
        <f t="shared" si="2"/>
        <v>1157</v>
      </c>
      <c r="B158" s="23" t="s">
        <v>29</v>
      </c>
      <c r="C158" s="23" t="str">
        <f>VLOOKUP(Squads[[#This Row],[National Team]],Qualified[],3,TRUE)</f>
        <v>Costa Rica (CRC)</v>
      </c>
      <c r="D158" s="25">
        <v>1</v>
      </c>
      <c r="E158" s="23" t="s">
        <v>133</v>
      </c>
      <c r="F158" s="23" t="s">
        <v>540</v>
      </c>
      <c r="G158" s="26">
        <v>31761</v>
      </c>
      <c r="H158" s="65">
        <f>DATEDIF(Squads[[#This Row],[Date Of Birth]],World_Cup_Start_Date,"Y")</f>
        <v>35</v>
      </c>
      <c r="I158" s="27">
        <v>107</v>
      </c>
      <c r="J158" s="27">
        <v>0</v>
      </c>
      <c r="K158" s="78" t="s">
        <v>1665</v>
      </c>
      <c r="L158" s="27" t="str">
        <f>_xlfn.XLOOKUP(Squads[[#This Row],[Current Club]],Clubs[Current Club],Clubs[Club_ID])</f>
        <v>FRA-01</v>
      </c>
      <c r="M158" s="27" t="str">
        <f>_xlfn.XLOOKUP(Squads[[#This Row],[National Team]],Football_Associations[Football Association],Football_Associations[World Cup Result])</f>
        <v>Group stage</v>
      </c>
      <c r="N15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59" spans="1:14" ht="15" customHeight="1" x14ac:dyDescent="0.25">
      <c r="A159" s="33">
        <f t="shared" si="2"/>
        <v>1158</v>
      </c>
      <c r="B159" s="23" t="s">
        <v>29</v>
      </c>
      <c r="C159" s="23" t="str">
        <f>VLOOKUP(Squads[[#This Row],[National Team]],Qualified[],3,TRUE)</f>
        <v>Costa Rica (CRC)</v>
      </c>
      <c r="D159" s="25">
        <v>2</v>
      </c>
      <c r="E159" s="23" t="s">
        <v>139</v>
      </c>
      <c r="F159" s="23" t="s">
        <v>541</v>
      </c>
      <c r="G159" s="26">
        <v>36992</v>
      </c>
      <c r="H159" s="65">
        <f>DATEDIF(Squads[[#This Row],[Date Of Birth]],World_Cup_Start_Date,"Y")</f>
        <v>21</v>
      </c>
      <c r="I159" s="27">
        <v>8</v>
      </c>
      <c r="J159" s="27">
        <v>0</v>
      </c>
      <c r="K159" s="78" t="s">
        <v>1837</v>
      </c>
      <c r="L159" s="27" t="str">
        <f>_xlfn.XLOOKUP(Squads[[#This Row],[Current Club]],Clubs[Current Club],Clubs[Club_ID])</f>
        <v>CRA-04</v>
      </c>
      <c r="M159" s="27" t="str">
        <f>_xlfn.XLOOKUP(Squads[[#This Row],[National Team]],Football_Associations[Football Association],Football_Associations[World Cup Result])</f>
        <v>Group stage</v>
      </c>
      <c r="N15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60" spans="1:14" ht="15" customHeight="1" x14ac:dyDescent="0.25">
      <c r="A160" s="33">
        <f t="shared" si="2"/>
        <v>1159</v>
      </c>
      <c r="B160" s="23" t="s">
        <v>29</v>
      </c>
      <c r="C160" s="23" t="str">
        <f>VLOOKUP(Squads[[#This Row],[National Team]],Qualified[],3,TRUE)</f>
        <v>Costa Rica (CRC)</v>
      </c>
      <c r="D160" s="25">
        <v>3</v>
      </c>
      <c r="E160" s="23" t="s">
        <v>135</v>
      </c>
      <c r="F160" s="23" t="s">
        <v>542</v>
      </c>
      <c r="G160" s="26">
        <v>34856</v>
      </c>
      <c r="H160" s="65">
        <f>DATEDIF(Squads[[#This Row],[Date Of Birth]],World_Cup_Start_Date,"Y")</f>
        <v>27</v>
      </c>
      <c r="I160" s="27">
        <v>12</v>
      </c>
      <c r="J160" s="27">
        <v>1</v>
      </c>
      <c r="K160" s="78" t="s">
        <v>1890</v>
      </c>
      <c r="L160" s="27" t="str">
        <f>_xlfn.XLOOKUP(Squads[[#This Row],[Current Club]],Clubs[Current Club],Clubs[Club_ID])</f>
        <v>Col-01</v>
      </c>
      <c r="M160" s="27" t="str">
        <f>_xlfn.XLOOKUP(Squads[[#This Row],[National Team]],Football_Associations[Football Association],Football_Associations[World Cup Result])</f>
        <v>Group stage</v>
      </c>
      <c r="N16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61" spans="1:14" ht="15" customHeight="1" x14ac:dyDescent="0.25">
      <c r="A161" s="33">
        <f t="shared" si="2"/>
        <v>1160</v>
      </c>
      <c r="B161" s="23" t="s">
        <v>29</v>
      </c>
      <c r="C161" s="23" t="str">
        <f>VLOOKUP(Squads[[#This Row],[National Team]],Qualified[],3,TRUE)</f>
        <v>Costa Rica (CRC)</v>
      </c>
      <c r="D161" s="25">
        <v>4</v>
      </c>
      <c r="E161" s="23" t="s">
        <v>135</v>
      </c>
      <c r="F161" s="23" t="s">
        <v>543</v>
      </c>
      <c r="G161" s="26">
        <v>34527</v>
      </c>
      <c r="H161" s="65">
        <f>DATEDIF(Squads[[#This Row],[Date Of Birth]],World_Cup_Start_Date,"Y")</f>
        <v>28</v>
      </c>
      <c r="I161" s="27">
        <v>31</v>
      </c>
      <c r="J161" s="27">
        <v>2</v>
      </c>
      <c r="K161" s="78" t="s">
        <v>1684</v>
      </c>
      <c r="L161" s="27" t="str">
        <f>_xlfn.XLOOKUP(Squads[[#This Row],[Current Club]],Clubs[Current Club],Clubs[Club_ID])</f>
        <v>CRA-01</v>
      </c>
      <c r="M161" s="27" t="str">
        <f>_xlfn.XLOOKUP(Squads[[#This Row],[National Team]],Football_Associations[Football Association],Football_Associations[World Cup Result])</f>
        <v>Group stage</v>
      </c>
      <c r="N16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62" spans="1:14" ht="15" customHeight="1" x14ac:dyDescent="0.25">
      <c r="A162" s="33">
        <f t="shared" si="2"/>
        <v>1161</v>
      </c>
      <c r="B162" s="23" t="s">
        <v>29</v>
      </c>
      <c r="C162" s="23" t="str">
        <f>VLOOKUP(Squads[[#This Row],[National Team]],Qualified[],3,TRUE)</f>
        <v>Costa Rica (CRC)</v>
      </c>
      <c r="D162" s="25">
        <v>5</v>
      </c>
      <c r="E162" s="23" t="s">
        <v>139</v>
      </c>
      <c r="F162" s="23" t="s">
        <v>544</v>
      </c>
      <c r="G162" s="26">
        <v>32290</v>
      </c>
      <c r="H162" s="65">
        <f>DATEDIF(Squads[[#This Row],[Date Of Birth]],World_Cup_Start_Date,"Y")</f>
        <v>34</v>
      </c>
      <c r="I162" s="27">
        <v>155</v>
      </c>
      <c r="J162" s="27">
        <v>27</v>
      </c>
      <c r="K162" s="78" t="s">
        <v>1722</v>
      </c>
      <c r="L162" s="27" t="str">
        <f>_xlfn.XLOOKUP(Squads[[#This Row],[Current Club]],Clubs[Current Club],Clubs[Club_ID])</f>
        <v>CRA-02</v>
      </c>
      <c r="M162" s="27" t="str">
        <f>_xlfn.XLOOKUP(Squads[[#This Row],[National Team]],Football_Associations[Football Association],Football_Associations[World Cup Result])</f>
        <v>Group stage</v>
      </c>
      <c r="N16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63" spans="1:14" ht="15" customHeight="1" x14ac:dyDescent="0.25">
      <c r="A163" s="33">
        <f t="shared" si="2"/>
        <v>1162</v>
      </c>
      <c r="B163" s="23" t="s">
        <v>29</v>
      </c>
      <c r="C163" s="23" t="str">
        <f>VLOOKUP(Squads[[#This Row],[National Team]],Qualified[],3,TRUE)</f>
        <v>Costa Rica (CRC)</v>
      </c>
      <c r="D163" s="25">
        <v>6</v>
      </c>
      <c r="E163" s="23" t="s">
        <v>135</v>
      </c>
      <c r="F163" s="23" t="s">
        <v>545</v>
      </c>
      <c r="G163" s="26">
        <v>32662</v>
      </c>
      <c r="H163" s="65">
        <f>DATEDIF(Squads[[#This Row],[Date Of Birth]],World_Cup_Start_Date,"Y")</f>
        <v>33</v>
      </c>
      <c r="I163" s="27">
        <v>71</v>
      </c>
      <c r="J163" s="27">
        <v>4</v>
      </c>
      <c r="K163" s="78" t="s">
        <v>1761</v>
      </c>
      <c r="L163" s="27" t="str">
        <f>_xlfn.XLOOKUP(Squads[[#This Row],[Current Club]],Clubs[Current Club],Clubs[Club_ID])</f>
        <v>SAU-07</v>
      </c>
      <c r="M163" s="27" t="str">
        <f>_xlfn.XLOOKUP(Squads[[#This Row],[National Team]],Football_Associations[Football Association],Football_Associations[World Cup Result])</f>
        <v>Group stage</v>
      </c>
      <c r="N16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64" spans="1:14" ht="15" customHeight="1" x14ac:dyDescent="0.25">
      <c r="A164" s="33">
        <f t="shared" si="2"/>
        <v>1163</v>
      </c>
      <c r="B164" s="23" t="s">
        <v>29</v>
      </c>
      <c r="C164" s="23" t="str">
        <f>VLOOKUP(Squads[[#This Row],[National Team]],Qualified[],3,TRUE)</f>
        <v>Costa Rica (CRC)</v>
      </c>
      <c r="D164" s="25">
        <v>7</v>
      </c>
      <c r="E164" s="23" t="s">
        <v>146</v>
      </c>
      <c r="F164" s="23" t="s">
        <v>546</v>
      </c>
      <c r="G164" s="26">
        <v>36554</v>
      </c>
      <c r="H164" s="65">
        <f>DATEDIF(Squads[[#This Row],[Date Of Birth]],World_Cup_Start_Date,"Y")</f>
        <v>22</v>
      </c>
      <c r="I164" s="27">
        <v>9</v>
      </c>
      <c r="J164" s="27">
        <v>2</v>
      </c>
      <c r="K164" s="78" t="s">
        <v>1684</v>
      </c>
      <c r="L164" s="27" t="str">
        <f>_xlfn.XLOOKUP(Squads[[#This Row],[Current Club]],Clubs[Current Club],Clubs[Club_ID])</f>
        <v>CRA-01</v>
      </c>
      <c r="M164" s="27" t="str">
        <f>_xlfn.XLOOKUP(Squads[[#This Row],[National Team]],Football_Associations[Football Association],Football_Associations[World Cup Result])</f>
        <v>Group stage</v>
      </c>
      <c r="N16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65" spans="1:14" ht="15" customHeight="1" x14ac:dyDescent="0.25">
      <c r="A165" s="33">
        <f t="shared" si="2"/>
        <v>1164</v>
      </c>
      <c r="B165" s="23" t="s">
        <v>29</v>
      </c>
      <c r="C165" s="23" t="str">
        <f>VLOOKUP(Squads[[#This Row],[National Team]],Qualified[],3,TRUE)</f>
        <v>Costa Rica (CRC)</v>
      </c>
      <c r="D165" s="25">
        <v>8</v>
      </c>
      <c r="E165" s="23" t="s">
        <v>135</v>
      </c>
      <c r="F165" s="23" t="s">
        <v>547</v>
      </c>
      <c r="G165" s="26">
        <v>32922</v>
      </c>
      <c r="H165" s="65">
        <f>DATEDIF(Squads[[#This Row],[Date Of Birth]],World_Cup_Start_Date,"Y")</f>
        <v>32</v>
      </c>
      <c r="I165" s="27">
        <v>76</v>
      </c>
      <c r="J165" s="27">
        <v>2</v>
      </c>
      <c r="K165" s="78" t="s">
        <v>1915</v>
      </c>
      <c r="L165" s="27" t="str">
        <f>_xlfn.XLOOKUP(Squads[[#This Row],[Current Club]],Clubs[Current Club],Clubs[Club_ID])</f>
        <v>USA-20</v>
      </c>
      <c r="M165" s="27" t="str">
        <f>_xlfn.XLOOKUP(Squads[[#This Row],[National Team]],Football_Associations[Football Association],Football_Associations[World Cup Result])</f>
        <v>Group stage</v>
      </c>
      <c r="N16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66" spans="1:14" ht="15" customHeight="1" x14ac:dyDescent="0.25">
      <c r="A166" s="33">
        <f t="shared" si="2"/>
        <v>1165</v>
      </c>
      <c r="B166" s="23" t="s">
        <v>29</v>
      </c>
      <c r="C166" s="23" t="str">
        <f>VLOOKUP(Squads[[#This Row],[National Team]],Qualified[],3,TRUE)</f>
        <v>Costa Rica (CRC)</v>
      </c>
      <c r="D166" s="25">
        <v>9</v>
      </c>
      <c r="E166" s="23" t="s">
        <v>139</v>
      </c>
      <c r="F166" s="23" t="s">
        <v>548</v>
      </c>
      <c r="G166" s="26">
        <v>38153</v>
      </c>
      <c r="H166" s="65">
        <f>DATEDIF(Squads[[#This Row],[Date Of Birth]],World_Cup_Start_Date,"Y")</f>
        <v>18</v>
      </c>
      <c r="I166" s="27">
        <v>7</v>
      </c>
      <c r="J166" s="27">
        <v>2</v>
      </c>
      <c r="K166" s="78" t="s">
        <v>1805</v>
      </c>
      <c r="L166" s="27" t="str">
        <f>_xlfn.XLOOKUP(Squads[[#This Row],[Current Club]],Clubs[Current Club],Clubs[Club_ID])</f>
        <v>ENG-29</v>
      </c>
      <c r="M166" s="27" t="str">
        <f>_xlfn.XLOOKUP(Squads[[#This Row],[National Team]],Football_Associations[Football Association],Football_Associations[World Cup Result])</f>
        <v>Group stage</v>
      </c>
      <c r="N16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67" spans="1:14" ht="15" customHeight="1" x14ac:dyDescent="0.25">
      <c r="A167" s="33">
        <f t="shared" si="2"/>
        <v>1166</v>
      </c>
      <c r="B167" s="23" t="s">
        <v>29</v>
      </c>
      <c r="C167" s="23" t="str">
        <f>VLOOKUP(Squads[[#This Row],[National Team]],Qualified[],3,TRUE)</f>
        <v>Costa Rica (CRC)</v>
      </c>
      <c r="D167" s="25">
        <v>10</v>
      </c>
      <c r="E167" s="23" t="s">
        <v>139</v>
      </c>
      <c r="F167" s="27" t="s">
        <v>991</v>
      </c>
      <c r="G167" s="26">
        <v>31277</v>
      </c>
      <c r="H167" s="65">
        <f>DATEDIF(Squads[[#This Row],[Date Of Birth]],World_Cup_Start_Date,"Y")</f>
        <v>37</v>
      </c>
      <c r="I167" s="27">
        <v>146</v>
      </c>
      <c r="J167" s="27">
        <v>29</v>
      </c>
      <c r="K167" s="78" t="s">
        <v>1722</v>
      </c>
      <c r="L167" s="27" t="str">
        <f>_xlfn.XLOOKUP(Squads[[#This Row],[Current Club]],Clubs[Current Club],Clubs[Club_ID])</f>
        <v>CRA-02</v>
      </c>
      <c r="M167" s="27" t="str">
        <f>_xlfn.XLOOKUP(Squads[[#This Row],[National Team]],Football_Associations[Football Association],Football_Associations[World Cup Result])</f>
        <v>Group stage</v>
      </c>
      <c r="N16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68" spans="1:14" ht="15" customHeight="1" x14ac:dyDescent="0.25">
      <c r="A168" s="33">
        <f t="shared" si="2"/>
        <v>1167</v>
      </c>
      <c r="B168" s="23" t="s">
        <v>29</v>
      </c>
      <c r="C168" s="23" t="str">
        <f>VLOOKUP(Squads[[#This Row],[National Team]],Qualified[],3,TRUE)</f>
        <v>Costa Rica (CRC)</v>
      </c>
      <c r="D168" s="25">
        <v>11</v>
      </c>
      <c r="E168" s="23" t="s">
        <v>146</v>
      </c>
      <c r="F168" s="23" t="s">
        <v>549</v>
      </c>
      <c r="G168" s="26">
        <v>32474</v>
      </c>
      <c r="H168" s="65">
        <f>DATEDIF(Squads[[#This Row],[Date Of Birth]],World_Cup_Start_Date,"Y")</f>
        <v>33</v>
      </c>
      <c r="I168" s="27">
        <v>82</v>
      </c>
      <c r="J168" s="27">
        <v>11</v>
      </c>
      <c r="K168" s="78" t="s">
        <v>1722</v>
      </c>
      <c r="L168" s="27" t="str">
        <f>_xlfn.XLOOKUP(Squads[[#This Row],[Current Club]],Clubs[Current Club],Clubs[Club_ID])</f>
        <v>CRA-02</v>
      </c>
      <c r="M168" s="27" t="str">
        <f>_xlfn.XLOOKUP(Squads[[#This Row],[National Team]],Football_Associations[Football Association],Football_Associations[World Cup Result])</f>
        <v>Group stage</v>
      </c>
      <c r="N16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69" spans="1:14" ht="15" customHeight="1" x14ac:dyDescent="0.25">
      <c r="A169" s="33">
        <f t="shared" si="2"/>
        <v>1168</v>
      </c>
      <c r="B169" s="23" t="s">
        <v>29</v>
      </c>
      <c r="C169" s="23" t="str">
        <f>VLOOKUP(Squads[[#This Row],[National Team]],Qualified[],3,TRUE)</f>
        <v>Costa Rica (CRC)</v>
      </c>
      <c r="D169" s="25">
        <v>12</v>
      </c>
      <c r="E169" s="23" t="s">
        <v>146</v>
      </c>
      <c r="F169" s="23" t="s">
        <v>550</v>
      </c>
      <c r="G169" s="26">
        <v>33781</v>
      </c>
      <c r="H169" s="65">
        <f>DATEDIF(Squads[[#This Row],[Date Of Birth]],World_Cup_Start_Date,"Y")</f>
        <v>30</v>
      </c>
      <c r="I169" s="27">
        <v>119</v>
      </c>
      <c r="J169" s="27">
        <v>25</v>
      </c>
      <c r="K169" s="78" t="s">
        <v>1738</v>
      </c>
      <c r="L169" s="27" t="str">
        <f>_xlfn.XLOOKUP(Squads[[#This Row],[Current Club]],Clubs[Current Club],Clubs[Club_ID])</f>
        <v>MEX-04</v>
      </c>
      <c r="M169" s="27" t="str">
        <f>_xlfn.XLOOKUP(Squads[[#This Row],[National Team]],Football_Associations[Football Association],Football_Associations[World Cup Result])</f>
        <v>Group stage</v>
      </c>
      <c r="N16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70" spans="1:14" ht="15" customHeight="1" x14ac:dyDescent="0.25">
      <c r="A170" s="33">
        <f t="shared" si="2"/>
        <v>1169</v>
      </c>
      <c r="B170" s="23" t="s">
        <v>29</v>
      </c>
      <c r="C170" s="23" t="str">
        <f>VLOOKUP(Squads[[#This Row],[National Team]],Qualified[],3,TRUE)</f>
        <v>Costa Rica (CRC)</v>
      </c>
      <c r="D170" s="25">
        <v>13</v>
      </c>
      <c r="E170" s="23" t="s">
        <v>139</v>
      </c>
      <c r="F170" s="23" t="s">
        <v>551</v>
      </c>
      <c r="G170" s="26">
        <v>35670</v>
      </c>
      <c r="H170" s="65">
        <f>DATEDIF(Squads[[#This Row],[Date Of Birth]],World_Cup_Start_Date,"Y")</f>
        <v>25</v>
      </c>
      <c r="I170" s="27">
        <v>13</v>
      </c>
      <c r="J170" s="27">
        <v>1</v>
      </c>
      <c r="K170" s="78" t="s">
        <v>1684</v>
      </c>
      <c r="L170" s="27" t="str">
        <f>_xlfn.XLOOKUP(Squads[[#This Row],[Current Club]],Clubs[Current Club],Clubs[Club_ID])</f>
        <v>CRA-01</v>
      </c>
      <c r="M170" s="27" t="str">
        <f>_xlfn.XLOOKUP(Squads[[#This Row],[National Team]],Football_Associations[Football Association],Football_Associations[World Cup Result])</f>
        <v>Group stage</v>
      </c>
      <c r="N17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71" spans="1:14" ht="15" customHeight="1" x14ac:dyDescent="0.25">
      <c r="A171" s="33">
        <f t="shared" si="2"/>
        <v>1170</v>
      </c>
      <c r="B171" s="23" t="s">
        <v>29</v>
      </c>
      <c r="C171" s="23" t="str">
        <f>VLOOKUP(Squads[[#This Row],[National Team]],Qualified[],3,TRUE)</f>
        <v>Costa Rica (CRC)</v>
      </c>
      <c r="D171" s="25">
        <v>14</v>
      </c>
      <c r="E171" s="23" t="s">
        <v>139</v>
      </c>
      <c r="F171" s="23" t="s">
        <v>552</v>
      </c>
      <c r="G171" s="26">
        <v>35233</v>
      </c>
      <c r="H171" s="65">
        <f>DATEDIF(Squads[[#This Row],[Date Of Birth]],World_Cup_Start_Date,"Y")</f>
        <v>26</v>
      </c>
      <c r="I171" s="27">
        <v>4</v>
      </c>
      <c r="J171" s="27">
        <v>0</v>
      </c>
      <c r="K171" s="78" t="s">
        <v>1746</v>
      </c>
      <c r="L171" s="27" t="str">
        <f>_xlfn.XLOOKUP(Squads[[#This Row],[Current Club]],Clubs[Current Club],Clubs[Club_ID])</f>
        <v>CRA-03</v>
      </c>
      <c r="M171" s="27" t="str">
        <f>_xlfn.XLOOKUP(Squads[[#This Row],[National Team]],Football_Associations[Football Association],Football_Associations[World Cup Result])</f>
        <v>Group stage</v>
      </c>
      <c r="N17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72" spans="1:14" ht="15" customHeight="1" x14ac:dyDescent="0.25">
      <c r="A172" s="33">
        <f t="shared" si="2"/>
        <v>1171</v>
      </c>
      <c r="B172" s="23" t="s">
        <v>29</v>
      </c>
      <c r="C172" s="23" t="str">
        <f>VLOOKUP(Squads[[#This Row],[National Team]],Qualified[],3,TRUE)</f>
        <v>Costa Rica (CRC)</v>
      </c>
      <c r="D172" s="25">
        <v>15</v>
      </c>
      <c r="E172" s="23" t="s">
        <v>135</v>
      </c>
      <c r="F172" s="23" t="s">
        <v>553</v>
      </c>
      <c r="G172" s="26">
        <v>33793</v>
      </c>
      <c r="H172" s="65">
        <f>DATEDIF(Squads[[#This Row],[Date Of Birth]],World_Cup_Start_Date,"Y")</f>
        <v>30</v>
      </c>
      <c r="I172" s="27">
        <v>75</v>
      </c>
      <c r="J172" s="27">
        <v>8</v>
      </c>
      <c r="K172" s="78" t="s">
        <v>1880</v>
      </c>
      <c r="L172" s="27" t="str">
        <f>_xlfn.XLOOKUP(Squads[[#This Row],[Current Club]],Clubs[Current Club],Clubs[Club_ID])</f>
        <v>TUR-10</v>
      </c>
      <c r="M172" s="27" t="str">
        <f>_xlfn.XLOOKUP(Squads[[#This Row],[National Team]],Football_Associations[Football Association],Football_Associations[World Cup Result])</f>
        <v>Group stage</v>
      </c>
      <c r="N17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73" spans="1:14" ht="15" customHeight="1" x14ac:dyDescent="0.25">
      <c r="A173" s="33">
        <f t="shared" si="2"/>
        <v>1172</v>
      </c>
      <c r="B173" s="23" t="s">
        <v>29</v>
      </c>
      <c r="C173" s="23" t="str">
        <f>VLOOKUP(Squads[[#This Row],[National Team]],Qualified[],3,TRUE)</f>
        <v>Costa Rica (CRC)</v>
      </c>
      <c r="D173" s="25">
        <v>16</v>
      </c>
      <c r="E173" s="23" t="s">
        <v>135</v>
      </c>
      <c r="F173" s="23" t="s">
        <v>554</v>
      </c>
      <c r="G173" s="26">
        <v>36249</v>
      </c>
      <c r="H173" s="65">
        <f>DATEDIF(Squads[[#This Row],[Date Of Birth]],World_Cup_Start_Date,"Y")</f>
        <v>23</v>
      </c>
      <c r="I173" s="27">
        <v>7</v>
      </c>
      <c r="J173" s="27">
        <v>0</v>
      </c>
      <c r="K173" s="78" t="s">
        <v>1918</v>
      </c>
      <c r="L173" s="27" t="str">
        <f>_xlfn.XLOOKUP(Squads[[#This Row],[Current Club]],Clubs[Current Club],Clubs[Club_ID])</f>
        <v>CRA-08</v>
      </c>
      <c r="M173" s="27" t="str">
        <f>_xlfn.XLOOKUP(Squads[[#This Row],[National Team]],Football_Associations[Football Association],Football_Associations[World Cup Result])</f>
        <v>Group stage</v>
      </c>
      <c r="N17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74" spans="1:14" ht="15" customHeight="1" x14ac:dyDescent="0.25">
      <c r="A174" s="33">
        <f t="shared" si="2"/>
        <v>1173</v>
      </c>
      <c r="B174" s="23" t="s">
        <v>29</v>
      </c>
      <c r="C174" s="23" t="str">
        <f>VLOOKUP(Squads[[#This Row],[National Team]],Qualified[],3,TRUE)</f>
        <v>Costa Rica (CRC)</v>
      </c>
      <c r="D174" s="25">
        <v>17</v>
      </c>
      <c r="E174" s="23" t="s">
        <v>139</v>
      </c>
      <c r="F174" s="23" t="s">
        <v>555</v>
      </c>
      <c r="G174" s="26">
        <v>33680</v>
      </c>
      <c r="H174" s="65">
        <f>DATEDIF(Squads[[#This Row],[Date Of Birth]],World_Cup_Start_Date,"Y")</f>
        <v>30</v>
      </c>
      <c r="I174" s="27">
        <v>73</v>
      </c>
      <c r="J174" s="27">
        <v>0</v>
      </c>
      <c r="K174" s="78" t="s">
        <v>1684</v>
      </c>
      <c r="L174" s="27" t="str">
        <f>_xlfn.XLOOKUP(Squads[[#This Row],[Current Club]],Clubs[Current Club],Clubs[Club_ID])</f>
        <v>CRA-01</v>
      </c>
      <c r="M174" s="27" t="str">
        <f>_xlfn.XLOOKUP(Squads[[#This Row],[National Team]],Football_Associations[Football Association],Football_Associations[World Cup Result])</f>
        <v>Group stage</v>
      </c>
      <c r="N17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75" spans="1:14" ht="15" customHeight="1" x14ac:dyDescent="0.25">
      <c r="A175" s="33">
        <f t="shared" si="2"/>
        <v>1174</v>
      </c>
      <c r="B175" s="23" t="s">
        <v>29</v>
      </c>
      <c r="C175" s="23" t="str">
        <f>VLOOKUP(Squads[[#This Row],[National Team]],Qualified[],3,TRUE)</f>
        <v>Costa Rica (CRC)</v>
      </c>
      <c r="D175" s="25">
        <v>18</v>
      </c>
      <c r="E175" s="23" t="s">
        <v>133</v>
      </c>
      <c r="F175" s="23" t="s">
        <v>556</v>
      </c>
      <c r="G175" s="26">
        <v>32626</v>
      </c>
      <c r="H175" s="65">
        <f>DATEDIF(Squads[[#This Row],[Date Of Birth]],World_Cup_Start_Date,"Y")</f>
        <v>33</v>
      </c>
      <c r="I175" s="27">
        <v>25</v>
      </c>
      <c r="J175" s="27">
        <v>0</v>
      </c>
      <c r="K175" s="78" t="s">
        <v>1684</v>
      </c>
      <c r="L175" s="27" t="str">
        <f>_xlfn.XLOOKUP(Squads[[#This Row],[Current Club]],Clubs[Current Club],Clubs[Club_ID])</f>
        <v>CRA-01</v>
      </c>
      <c r="M175" s="27" t="str">
        <f>_xlfn.XLOOKUP(Squads[[#This Row],[National Team]],Football_Associations[Football Association],Football_Associations[World Cup Result])</f>
        <v>Group stage</v>
      </c>
      <c r="N17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76" spans="1:14" ht="15" customHeight="1" x14ac:dyDescent="0.25">
      <c r="A176" s="33">
        <f t="shared" si="2"/>
        <v>1175</v>
      </c>
      <c r="B176" s="23" t="s">
        <v>29</v>
      </c>
      <c r="C176" s="23" t="str">
        <f>VLOOKUP(Squads[[#This Row],[National Team]],Qualified[],3,TRUE)</f>
        <v>Costa Rica (CRC)</v>
      </c>
      <c r="D176" s="25">
        <v>19</v>
      </c>
      <c r="E176" s="23" t="s">
        <v>135</v>
      </c>
      <c r="F176" s="23" t="s">
        <v>557</v>
      </c>
      <c r="G176" s="26">
        <v>32143</v>
      </c>
      <c r="H176" s="65">
        <f>DATEDIF(Squads[[#This Row],[Date Of Birth]],World_Cup_Start_Date,"Y")</f>
        <v>34</v>
      </c>
      <c r="I176" s="27">
        <v>63</v>
      </c>
      <c r="J176" s="27">
        <v>9</v>
      </c>
      <c r="K176" s="78" t="s">
        <v>1746</v>
      </c>
      <c r="L176" s="27" t="str">
        <f>_xlfn.XLOOKUP(Squads[[#This Row],[Current Club]],Clubs[Current Club],Clubs[Club_ID])</f>
        <v>CRA-03</v>
      </c>
      <c r="M176" s="27" t="str">
        <f>_xlfn.XLOOKUP(Squads[[#This Row],[National Team]],Football_Associations[Football Association],Football_Associations[World Cup Result])</f>
        <v>Group stage</v>
      </c>
      <c r="N17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77" spans="1:14" ht="15" customHeight="1" x14ac:dyDescent="0.25">
      <c r="A177" s="33">
        <f t="shared" si="2"/>
        <v>1176</v>
      </c>
      <c r="B177" s="23" t="s">
        <v>29</v>
      </c>
      <c r="C177" s="23" t="str">
        <f>VLOOKUP(Squads[[#This Row],[National Team]],Qualified[],3,TRUE)</f>
        <v>Costa Rica (CRC)</v>
      </c>
      <c r="D177" s="25">
        <v>20</v>
      </c>
      <c r="E177" s="23" t="s">
        <v>139</v>
      </c>
      <c r="F177" s="23" t="s">
        <v>558</v>
      </c>
      <c r="G177" s="26">
        <v>37800</v>
      </c>
      <c r="H177" s="65">
        <f>DATEDIF(Squads[[#This Row],[Date Of Birth]],World_Cup_Start_Date,"Y")</f>
        <v>19</v>
      </c>
      <c r="I177" s="27">
        <v>4</v>
      </c>
      <c r="J177" s="27">
        <v>0</v>
      </c>
      <c r="K177" s="78" t="s">
        <v>1865</v>
      </c>
      <c r="L177" s="27" t="str">
        <f>_xlfn.XLOOKUP(Squads[[#This Row],[Current Club]],Clubs[Current Club],Clubs[Club_ID])</f>
        <v>CRA-05</v>
      </c>
      <c r="M177" s="27" t="str">
        <f>_xlfn.XLOOKUP(Squads[[#This Row],[National Team]],Football_Associations[Football Association],Football_Associations[World Cup Result])</f>
        <v>Group stage</v>
      </c>
      <c r="N17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78" spans="1:14" ht="15" customHeight="1" x14ac:dyDescent="0.25">
      <c r="A178" s="33">
        <f t="shared" si="2"/>
        <v>1177</v>
      </c>
      <c r="B178" s="23" t="s">
        <v>29</v>
      </c>
      <c r="C178" s="23" t="str">
        <f>VLOOKUP(Squads[[#This Row],[National Team]],Qualified[],3,TRUE)</f>
        <v>Costa Rica (CRC)</v>
      </c>
      <c r="D178" s="25">
        <v>21</v>
      </c>
      <c r="E178" s="23" t="s">
        <v>139</v>
      </c>
      <c r="F178" s="23" t="s">
        <v>559</v>
      </c>
      <c r="G178" s="26">
        <v>36059</v>
      </c>
      <c r="H178" s="65">
        <f>DATEDIF(Squads[[#This Row],[Date Of Birth]],World_Cup_Start_Date,"Y")</f>
        <v>24</v>
      </c>
      <c r="I178" s="27">
        <v>3</v>
      </c>
      <c r="J178" s="27">
        <v>0</v>
      </c>
      <c r="K178" s="78" t="s">
        <v>1684</v>
      </c>
      <c r="L178" s="27" t="str">
        <f>_xlfn.XLOOKUP(Squads[[#This Row],[Current Club]],Clubs[Current Club],Clubs[Club_ID])</f>
        <v>CRA-01</v>
      </c>
      <c r="M178" s="27" t="str">
        <f>_xlfn.XLOOKUP(Squads[[#This Row],[National Team]],Football_Associations[Football Association],Football_Associations[World Cup Result])</f>
        <v>Group stage</v>
      </c>
      <c r="N17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79" spans="1:14" ht="15" customHeight="1" x14ac:dyDescent="0.25">
      <c r="A179" s="33">
        <f t="shared" si="2"/>
        <v>1178</v>
      </c>
      <c r="B179" s="23" t="s">
        <v>29</v>
      </c>
      <c r="C179" s="23" t="str">
        <f>VLOOKUP(Squads[[#This Row],[National Team]],Qualified[],3,TRUE)</f>
        <v>Costa Rica (CRC)</v>
      </c>
      <c r="D179" s="25">
        <v>22</v>
      </c>
      <c r="E179" s="23" t="s">
        <v>135</v>
      </c>
      <c r="F179" s="23" t="s">
        <v>560</v>
      </c>
      <c r="G179" s="26">
        <v>34524</v>
      </c>
      <c r="H179" s="65">
        <f>DATEDIF(Squads[[#This Row],[Date Of Birth]],World_Cup_Start_Date,"Y")</f>
        <v>28</v>
      </c>
      <c r="I179" s="27">
        <v>52</v>
      </c>
      <c r="J179" s="27">
        <v>3</v>
      </c>
      <c r="K179" s="78" t="s">
        <v>1856</v>
      </c>
      <c r="L179" s="27" t="str">
        <f>_xlfn.XLOOKUP(Squads[[#This Row],[Current Club]],Clubs[Current Club],Clubs[Club_ID])</f>
        <v>USA-10</v>
      </c>
      <c r="M179" s="27" t="str">
        <f>_xlfn.XLOOKUP(Squads[[#This Row],[National Team]],Football_Associations[Football Association],Football_Associations[World Cup Result])</f>
        <v>Group stage</v>
      </c>
      <c r="N17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80" spans="1:14" ht="15" customHeight="1" x14ac:dyDescent="0.25">
      <c r="A180" s="33">
        <f t="shared" si="2"/>
        <v>1179</v>
      </c>
      <c r="B180" s="23" t="s">
        <v>29</v>
      </c>
      <c r="C180" s="23" t="str">
        <f>VLOOKUP(Squads[[#This Row],[National Team]],Qualified[],3,TRUE)</f>
        <v>Costa Rica (CRC)</v>
      </c>
      <c r="D180" s="25">
        <v>23</v>
      </c>
      <c r="E180" s="23" t="s">
        <v>133</v>
      </c>
      <c r="F180" s="23" t="s">
        <v>561</v>
      </c>
      <c r="G180" s="26">
        <v>36220</v>
      </c>
      <c r="H180" s="65">
        <f>DATEDIF(Squads[[#This Row],[Date Of Birth]],World_Cup_Start_Date,"Y")</f>
        <v>23</v>
      </c>
      <c r="I180" s="27">
        <v>2</v>
      </c>
      <c r="J180" s="27">
        <v>0</v>
      </c>
      <c r="K180" s="78" t="s">
        <v>1887</v>
      </c>
      <c r="L180" s="27" t="str">
        <f>_xlfn.XLOOKUP(Squads[[#This Row],[Current Club]],Clubs[Current Club],Clubs[Club_ID])</f>
        <v>MEX-09</v>
      </c>
      <c r="M180" s="27" t="str">
        <f>_xlfn.XLOOKUP(Squads[[#This Row],[National Team]],Football_Associations[Football Association],Football_Associations[World Cup Result])</f>
        <v>Group stage</v>
      </c>
      <c r="N18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81" spans="1:14" ht="15" customHeight="1" x14ac:dyDescent="0.25">
      <c r="A181" s="33">
        <f t="shared" si="2"/>
        <v>1180</v>
      </c>
      <c r="B181" s="23" t="s">
        <v>29</v>
      </c>
      <c r="C181" s="23" t="str">
        <f>VLOOKUP(Squads[[#This Row],[National Team]],Qualified[],3,TRUE)</f>
        <v>Costa Rica (CRC)</v>
      </c>
      <c r="D181" s="25">
        <v>24</v>
      </c>
      <c r="E181" s="23" t="s">
        <v>139</v>
      </c>
      <c r="F181" s="23" t="s">
        <v>562</v>
      </c>
      <c r="G181" s="26">
        <v>37377</v>
      </c>
      <c r="H181" s="65">
        <f>DATEDIF(Squads[[#This Row],[Date Of Birth]],World_Cup_Start_Date,"Y")</f>
        <v>20</v>
      </c>
      <c r="I181" s="27">
        <v>3</v>
      </c>
      <c r="J181" s="27">
        <v>0</v>
      </c>
      <c r="K181" s="78" t="s">
        <v>1893</v>
      </c>
      <c r="L181" s="27" t="str">
        <f>_xlfn.XLOOKUP(Squads[[#This Row],[Current Club]],Clubs[Current Club],Clubs[Club_ID])</f>
        <v>CRA-06</v>
      </c>
      <c r="M181" s="27" t="str">
        <f>_xlfn.XLOOKUP(Squads[[#This Row],[National Team]],Football_Associations[Football Association],Football_Associations[World Cup Result])</f>
        <v>Group stage</v>
      </c>
      <c r="N18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82" spans="1:14" ht="15" customHeight="1" x14ac:dyDescent="0.25">
      <c r="A182" s="33">
        <f t="shared" si="2"/>
        <v>1181</v>
      </c>
      <c r="B182" s="23" t="s">
        <v>29</v>
      </c>
      <c r="C182" s="23" t="str">
        <f>VLOOKUP(Squads[[#This Row],[National Team]],Qualified[],3,TRUE)</f>
        <v>Costa Rica (CRC)</v>
      </c>
      <c r="D182" s="25">
        <v>25</v>
      </c>
      <c r="E182" s="23" t="s">
        <v>139</v>
      </c>
      <c r="F182" s="23" t="s">
        <v>563</v>
      </c>
      <c r="G182" s="26">
        <v>37175</v>
      </c>
      <c r="H182" s="65">
        <f>DATEDIF(Squads[[#This Row],[Date Of Birth]],World_Cup_Start_Date,"Y")</f>
        <v>21</v>
      </c>
      <c r="I182" s="27">
        <v>3</v>
      </c>
      <c r="J182" s="27">
        <v>1</v>
      </c>
      <c r="K182" s="78" t="s">
        <v>1911</v>
      </c>
      <c r="L182" s="27" t="str">
        <f>_xlfn.XLOOKUP(Squads[[#This Row],[Current Club]],Clubs[Current Club],Clubs[Club_ID])</f>
        <v>CRA-07</v>
      </c>
      <c r="M182" s="27" t="str">
        <f>_xlfn.XLOOKUP(Squads[[#This Row],[National Team]],Football_Associations[Football Association],Football_Associations[World Cup Result])</f>
        <v>Group stage</v>
      </c>
      <c r="N18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83" spans="1:14" ht="15" customHeight="1" x14ac:dyDescent="0.25">
      <c r="A183" s="33">
        <f t="shared" si="2"/>
        <v>1182</v>
      </c>
      <c r="B183" s="23" t="s">
        <v>29</v>
      </c>
      <c r="C183" s="23" t="str">
        <f>VLOOKUP(Squads[[#This Row],[National Team]],Qualified[],3,TRUE)</f>
        <v>Costa Rica (CRC)</v>
      </c>
      <c r="D183" s="25">
        <v>26</v>
      </c>
      <c r="E183" s="23" t="s">
        <v>139</v>
      </c>
      <c r="F183" s="23" t="s">
        <v>564</v>
      </c>
      <c r="G183" s="26">
        <v>37324</v>
      </c>
      <c r="H183" s="65">
        <f>DATEDIF(Squads[[#This Row],[Date Of Birth]],World_Cup_Start_Date,"Y")</f>
        <v>20</v>
      </c>
      <c r="I183" s="27">
        <v>3</v>
      </c>
      <c r="J183" s="27">
        <v>0</v>
      </c>
      <c r="K183" s="78" t="s">
        <v>1746</v>
      </c>
      <c r="L183" s="27" t="str">
        <f>_xlfn.XLOOKUP(Squads[[#This Row],[Current Club]],Clubs[Current Club],Clubs[Club_ID])</f>
        <v>CRA-03</v>
      </c>
      <c r="M183" s="27" t="str">
        <f>_xlfn.XLOOKUP(Squads[[#This Row],[National Team]],Football_Associations[Football Association],Football_Associations[World Cup Result])</f>
        <v>Group stage</v>
      </c>
      <c r="N18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184" spans="1:14" ht="15" customHeight="1" x14ac:dyDescent="0.25">
      <c r="A184" s="33">
        <f t="shared" si="2"/>
        <v>1183</v>
      </c>
      <c r="B184" s="23" t="s">
        <v>24</v>
      </c>
      <c r="C184" s="23" t="str">
        <f>VLOOKUP(Squads[[#This Row],[National Team]],Qualified[],3,TRUE)</f>
        <v>Croatia (CRO)</v>
      </c>
      <c r="D184" s="25">
        <v>1</v>
      </c>
      <c r="E184" s="23" t="s">
        <v>133</v>
      </c>
      <c r="F184" s="23" t="s">
        <v>691</v>
      </c>
      <c r="G184" s="26">
        <v>34708</v>
      </c>
      <c r="H184" s="65">
        <f>DATEDIF(Squads[[#This Row],[Date Of Birth]],World_Cup_Start_Date,"Y")</f>
        <v>27</v>
      </c>
      <c r="I184" s="27">
        <v>34</v>
      </c>
      <c r="J184" s="27">
        <v>0</v>
      </c>
      <c r="K184" s="78" t="s">
        <v>1691</v>
      </c>
      <c r="L184" s="27" t="str">
        <f>_xlfn.XLOOKUP(Squads[[#This Row],[Current Club]],Clubs[Current Club],Clubs[Club_ID])</f>
        <v>CRO-01</v>
      </c>
      <c r="M184" s="27" t="str">
        <f>_xlfn.XLOOKUP(Squads[[#This Row],[National Team]],Football_Associations[Football Association],Football_Associations[World Cup Result])</f>
        <v>Third</v>
      </c>
      <c r="N184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85" spans="1:14" ht="15" customHeight="1" x14ac:dyDescent="0.25">
      <c r="A185" s="33">
        <f t="shared" si="2"/>
        <v>1184</v>
      </c>
      <c r="B185" s="23" t="s">
        <v>24</v>
      </c>
      <c r="C185" s="23" t="str">
        <f>VLOOKUP(Squads[[#This Row],[National Team]],Qualified[],3,TRUE)</f>
        <v>Croatia (CRO)</v>
      </c>
      <c r="D185" s="25">
        <v>2</v>
      </c>
      <c r="E185" s="23" t="s">
        <v>135</v>
      </c>
      <c r="F185" s="23" t="s">
        <v>692</v>
      </c>
      <c r="G185" s="26">
        <v>36618</v>
      </c>
      <c r="H185" s="65">
        <f>DATEDIF(Squads[[#This Row],[Date Of Birth]],World_Cup_Start_Date,"Y")</f>
        <v>22</v>
      </c>
      <c r="I185" s="27">
        <v>7</v>
      </c>
      <c r="J185" s="27">
        <v>0</v>
      </c>
      <c r="K185" s="78" t="s">
        <v>1654</v>
      </c>
      <c r="L185" s="27" t="str">
        <f>_xlfn.XLOOKUP(Squads[[#This Row],[Current Club]],Clubs[Current Club],Clubs[Club_ID])</f>
        <v>GER-01</v>
      </c>
      <c r="M185" s="27" t="str">
        <f>_xlfn.XLOOKUP(Squads[[#This Row],[National Team]],Football_Associations[Football Association],Football_Associations[World Cup Result])</f>
        <v>Third</v>
      </c>
      <c r="N185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86" spans="1:14" ht="15" customHeight="1" x14ac:dyDescent="0.25">
      <c r="A186" s="33">
        <f t="shared" si="2"/>
        <v>1185</v>
      </c>
      <c r="B186" s="23" t="s">
        <v>24</v>
      </c>
      <c r="C186" s="23" t="str">
        <f>VLOOKUP(Squads[[#This Row],[National Team]],Qualified[],3,TRUE)</f>
        <v>Croatia (CRO)</v>
      </c>
      <c r="D186" s="25">
        <v>3</v>
      </c>
      <c r="E186" s="23" t="s">
        <v>135</v>
      </c>
      <c r="F186" s="23" t="s">
        <v>693</v>
      </c>
      <c r="G186" s="26">
        <v>33918</v>
      </c>
      <c r="H186" s="65">
        <f>DATEDIF(Squads[[#This Row],[Date Of Birth]],World_Cup_Start_Date,"Y")</f>
        <v>30</v>
      </c>
      <c r="I186" s="27">
        <v>28</v>
      </c>
      <c r="J186" s="27">
        <v>1</v>
      </c>
      <c r="K186" s="78" t="s">
        <v>1913</v>
      </c>
      <c r="L186" s="27" t="str">
        <f>_xlfn.XLOOKUP(Squads[[#This Row],[Current Club]],Clubs[Current Club],Clubs[Club_ID])</f>
        <v>SCO-05</v>
      </c>
      <c r="M186" s="27" t="str">
        <f>_xlfn.XLOOKUP(Squads[[#This Row],[National Team]],Football_Associations[Football Association],Football_Associations[World Cup Result])</f>
        <v>Third</v>
      </c>
      <c r="N186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87" spans="1:14" ht="15" customHeight="1" x14ac:dyDescent="0.25">
      <c r="A187" s="33">
        <f t="shared" si="2"/>
        <v>1186</v>
      </c>
      <c r="B187" s="23" t="s">
        <v>24</v>
      </c>
      <c r="C187" s="23" t="str">
        <f>VLOOKUP(Squads[[#This Row],[National Team]],Qualified[],3,TRUE)</f>
        <v>Croatia (CRO)</v>
      </c>
      <c r="D187" s="25">
        <v>4</v>
      </c>
      <c r="E187" s="23" t="s">
        <v>146</v>
      </c>
      <c r="F187" s="23" t="s">
        <v>694</v>
      </c>
      <c r="G187" s="26">
        <v>32541</v>
      </c>
      <c r="H187" s="65">
        <f>DATEDIF(Squads[[#This Row],[Date Of Birth]],World_Cup_Start_Date,"Y")</f>
        <v>33</v>
      </c>
      <c r="I187" s="27">
        <v>116</v>
      </c>
      <c r="J187" s="27">
        <v>32</v>
      </c>
      <c r="K187" s="78" t="s">
        <v>1666</v>
      </c>
      <c r="L187" s="27" t="str">
        <f>_xlfn.XLOOKUP(Squads[[#This Row],[Current Club]],Clubs[Current Club],Clubs[Club_ID])</f>
        <v>ENG-04</v>
      </c>
      <c r="M187" s="27" t="str">
        <f>_xlfn.XLOOKUP(Squads[[#This Row],[National Team]],Football_Associations[Football Association],Football_Associations[World Cup Result])</f>
        <v>Third</v>
      </c>
      <c r="N187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88" spans="1:14" ht="15" customHeight="1" x14ac:dyDescent="0.25">
      <c r="A188" s="33">
        <f t="shared" si="2"/>
        <v>1187</v>
      </c>
      <c r="B188" s="23" t="s">
        <v>24</v>
      </c>
      <c r="C188" s="23" t="str">
        <f>VLOOKUP(Squads[[#This Row],[National Team]],Qualified[],3,TRUE)</f>
        <v>Croatia (CRO)</v>
      </c>
      <c r="D188" s="25">
        <v>5</v>
      </c>
      <c r="E188" s="23" t="s">
        <v>135</v>
      </c>
      <c r="F188" s="23" t="s">
        <v>695</v>
      </c>
      <c r="G188" s="26">
        <v>35819</v>
      </c>
      <c r="H188" s="65">
        <f>DATEDIF(Squads[[#This Row],[Date Of Birth]],World_Cup_Start_Date,"Y")</f>
        <v>24</v>
      </c>
      <c r="I188" s="27">
        <v>4</v>
      </c>
      <c r="J188" s="27">
        <v>0</v>
      </c>
      <c r="K188" s="78" t="s">
        <v>1920</v>
      </c>
      <c r="L188" s="27" t="str">
        <f>_xlfn.XLOOKUP(Squads[[#This Row],[Current Club]],Clubs[Current Club],Clubs[Club_ID])</f>
        <v>ITA-19</v>
      </c>
      <c r="M188" s="27" t="str">
        <f>_xlfn.XLOOKUP(Squads[[#This Row],[National Team]],Football_Associations[Football Association],Football_Associations[World Cup Result])</f>
        <v>Third</v>
      </c>
      <c r="N188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89" spans="1:14" ht="15" customHeight="1" x14ac:dyDescent="0.25">
      <c r="A189" s="33">
        <f t="shared" si="2"/>
        <v>1188</v>
      </c>
      <c r="B189" s="23" t="s">
        <v>24</v>
      </c>
      <c r="C189" s="23" t="str">
        <f>VLOOKUP(Squads[[#This Row],[National Team]],Qualified[],3,TRUE)</f>
        <v>Croatia (CRO)</v>
      </c>
      <c r="D189" s="25">
        <v>6</v>
      </c>
      <c r="E189" s="23" t="s">
        <v>135</v>
      </c>
      <c r="F189" s="23" t="s">
        <v>696</v>
      </c>
      <c r="G189" s="26">
        <v>32694</v>
      </c>
      <c r="H189" s="65">
        <f>DATEDIF(Squads[[#This Row],[Date Of Birth]],World_Cup_Start_Date,"Y")</f>
        <v>33</v>
      </c>
      <c r="I189" s="27">
        <v>72</v>
      </c>
      <c r="J189" s="27">
        <v>5</v>
      </c>
      <c r="K189" s="78" t="s">
        <v>1948</v>
      </c>
      <c r="L189" s="27" t="str">
        <f>_xlfn.XLOOKUP(Squads[[#This Row],[Current Club]],Clubs[Current Club],Clubs[Club_ID])</f>
        <v>RUS-02</v>
      </c>
      <c r="M189" s="27" t="str">
        <f>_xlfn.XLOOKUP(Squads[[#This Row],[National Team]],Football_Associations[Football Association],Football_Associations[World Cup Result])</f>
        <v>Third</v>
      </c>
      <c r="N189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90" spans="1:14" ht="15" customHeight="1" x14ac:dyDescent="0.25">
      <c r="A190" s="33">
        <f t="shared" si="2"/>
        <v>1189</v>
      </c>
      <c r="B190" s="23" t="s">
        <v>24</v>
      </c>
      <c r="C190" s="23" t="str">
        <f>VLOOKUP(Squads[[#This Row],[National Team]],Qualified[],3,TRUE)</f>
        <v>Croatia (CRO)</v>
      </c>
      <c r="D190" s="25">
        <v>7</v>
      </c>
      <c r="E190" s="23" t="s">
        <v>139</v>
      </c>
      <c r="F190" s="23" t="s">
        <v>697</v>
      </c>
      <c r="G190" s="26">
        <v>35812</v>
      </c>
      <c r="H190" s="65">
        <f>DATEDIF(Squads[[#This Row],[Date Of Birth]],World_Cup_Start_Date,"Y")</f>
        <v>24</v>
      </c>
      <c r="I190" s="27">
        <v>11</v>
      </c>
      <c r="J190" s="27">
        <v>3</v>
      </c>
      <c r="K190" s="78" t="s">
        <v>1671</v>
      </c>
      <c r="L190" s="27" t="str">
        <f>_xlfn.XLOOKUP(Squads[[#This Row],[Current Club]],Clubs[Current Club],Clubs[Club_ID])</f>
        <v>FRA-02</v>
      </c>
      <c r="M190" s="27" t="str">
        <f>_xlfn.XLOOKUP(Squads[[#This Row],[National Team]],Football_Associations[Football Association],Football_Associations[World Cup Result])</f>
        <v>Third</v>
      </c>
      <c r="N190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91" spans="1:14" ht="15" customHeight="1" x14ac:dyDescent="0.25">
      <c r="A191" s="33">
        <f t="shared" si="2"/>
        <v>1190</v>
      </c>
      <c r="B191" s="23" t="s">
        <v>24</v>
      </c>
      <c r="C191" s="23" t="str">
        <f>VLOOKUP(Squads[[#This Row],[National Team]],Qualified[],3,TRUE)</f>
        <v>Croatia (CRO)</v>
      </c>
      <c r="D191" s="25">
        <v>8</v>
      </c>
      <c r="E191" s="23" t="s">
        <v>139</v>
      </c>
      <c r="F191" s="23" t="s">
        <v>698</v>
      </c>
      <c r="G191" s="26">
        <v>34460</v>
      </c>
      <c r="H191" s="65">
        <f>DATEDIF(Squads[[#This Row],[Date Of Birth]],World_Cup_Start_Date,"Y")</f>
        <v>28</v>
      </c>
      <c r="I191" s="27">
        <v>84</v>
      </c>
      <c r="J191" s="27">
        <v>3</v>
      </c>
      <c r="K191" s="78" t="s">
        <v>1661</v>
      </c>
      <c r="L191" s="27" t="str">
        <f>_xlfn.XLOOKUP(Squads[[#This Row],[Current Club]],Clubs[Current Club],Clubs[Club_ID])</f>
        <v>ENG-03</v>
      </c>
      <c r="M191" s="27" t="str">
        <f>_xlfn.XLOOKUP(Squads[[#This Row],[National Team]],Football_Associations[Football Association],Football_Associations[World Cup Result])</f>
        <v>Third</v>
      </c>
      <c r="N191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92" spans="1:14" ht="15" customHeight="1" x14ac:dyDescent="0.25">
      <c r="A192" s="33">
        <f t="shared" si="2"/>
        <v>1191</v>
      </c>
      <c r="B192" s="23" t="s">
        <v>24</v>
      </c>
      <c r="C192" s="23" t="str">
        <f>VLOOKUP(Squads[[#This Row],[National Team]],Qualified[],3,TRUE)</f>
        <v>Croatia (CRO)</v>
      </c>
      <c r="D192" s="25">
        <v>9</v>
      </c>
      <c r="E192" s="23" t="s">
        <v>146</v>
      </c>
      <c r="F192" s="23" t="s">
        <v>699</v>
      </c>
      <c r="G192" s="26">
        <v>33408</v>
      </c>
      <c r="H192" s="65">
        <f>DATEDIF(Squads[[#This Row],[Date Of Birth]],World_Cup_Start_Date,"Y")</f>
        <v>31</v>
      </c>
      <c r="I192" s="27">
        <v>74</v>
      </c>
      <c r="J192" s="27">
        <v>20</v>
      </c>
      <c r="K192" s="78" t="s">
        <v>1754</v>
      </c>
      <c r="L192" s="27" t="str">
        <f>_xlfn.XLOOKUP(Squads[[#This Row],[Current Club]],Clubs[Current Club],Clubs[Club_ID])</f>
        <v>GER-12</v>
      </c>
      <c r="M192" s="27" t="str">
        <f>_xlfn.XLOOKUP(Squads[[#This Row],[National Team]],Football_Associations[Football Association],Football_Associations[World Cup Result])</f>
        <v>Third</v>
      </c>
      <c r="N192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93" spans="1:14" ht="15" customHeight="1" x14ac:dyDescent="0.25">
      <c r="A193" s="33">
        <f t="shared" si="2"/>
        <v>1192</v>
      </c>
      <c r="B193" s="23" t="s">
        <v>24</v>
      </c>
      <c r="C193" s="23" t="str">
        <f>VLOOKUP(Squads[[#This Row],[National Team]],Qualified[],3,TRUE)</f>
        <v>Croatia (CRO)</v>
      </c>
      <c r="D193" s="25">
        <v>10</v>
      </c>
      <c r="E193" s="23" t="s">
        <v>139</v>
      </c>
      <c r="F193" s="27" t="s">
        <v>998</v>
      </c>
      <c r="G193" s="26">
        <v>31299</v>
      </c>
      <c r="H193" s="65">
        <f>DATEDIF(Squads[[#This Row],[Date Of Birth]],World_Cup_Start_Date,"Y")</f>
        <v>37</v>
      </c>
      <c r="I193" s="27">
        <v>155</v>
      </c>
      <c r="J193" s="27">
        <v>23</v>
      </c>
      <c r="K193" s="78" t="s">
        <v>1658</v>
      </c>
      <c r="L193" s="27" t="str">
        <f>_xlfn.XLOOKUP(Squads[[#This Row],[Current Club]],Clubs[Current Club],Clubs[Club_ID])</f>
        <v>ESP-02</v>
      </c>
      <c r="M193" s="27" t="str">
        <f>_xlfn.XLOOKUP(Squads[[#This Row],[National Team]],Football_Associations[Football Association],Football_Associations[World Cup Result])</f>
        <v>Third</v>
      </c>
      <c r="N193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94" spans="1:14" ht="15" customHeight="1" x14ac:dyDescent="0.25">
      <c r="A194" s="33">
        <f t="shared" si="2"/>
        <v>1193</v>
      </c>
      <c r="B194" s="23" t="s">
        <v>24</v>
      </c>
      <c r="C194" s="23" t="str">
        <f>VLOOKUP(Squads[[#This Row],[National Team]],Qualified[],3,TRUE)</f>
        <v>Croatia (CRO)</v>
      </c>
      <c r="D194" s="25">
        <v>11</v>
      </c>
      <c r="E194" s="23" t="s">
        <v>139</v>
      </c>
      <c r="F194" s="23" t="s">
        <v>700</v>
      </c>
      <c r="G194" s="26">
        <v>33924</v>
      </c>
      <c r="H194" s="65">
        <f>DATEDIF(Squads[[#This Row],[Date Of Birth]],World_Cup_Start_Date,"Y")</f>
        <v>30</v>
      </c>
      <c r="I194" s="27">
        <v>77</v>
      </c>
      <c r="J194" s="27">
        <v>7</v>
      </c>
      <c r="K194" s="78" t="s">
        <v>1685</v>
      </c>
      <c r="L194" s="27" t="str">
        <f>_xlfn.XLOOKUP(Squads[[#This Row],[Current Club]],Clubs[Current Club],Clubs[Club_ID])</f>
        <v>ITA-03</v>
      </c>
      <c r="M194" s="27" t="str">
        <f>_xlfn.XLOOKUP(Squads[[#This Row],[National Team]],Football_Associations[Football Association],Football_Associations[World Cup Result])</f>
        <v>Third</v>
      </c>
      <c r="N194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95" spans="1:14" ht="15" customHeight="1" x14ac:dyDescent="0.25">
      <c r="A195" s="33">
        <f t="shared" ref="A195:A258" si="3">A194+1</f>
        <v>1194</v>
      </c>
      <c r="B195" s="23" t="s">
        <v>24</v>
      </c>
      <c r="C195" s="23" t="str">
        <f>VLOOKUP(Squads[[#This Row],[National Team]],Qualified[],3,TRUE)</f>
        <v>Croatia (CRO)</v>
      </c>
      <c r="D195" s="25">
        <v>12</v>
      </c>
      <c r="E195" s="23" t="s">
        <v>133</v>
      </c>
      <c r="F195" s="23" t="s">
        <v>701</v>
      </c>
      <c r="G195" s="26">
        <v>35082</v>
      </c>
      <c r="H195" s="65">
        <f>DATEDIF(Squads[[#This Row],[Date Of Birth]],World_Cup_Start_Date,"Y")</f>
        <v>26</v>
      </c>
      <c r="I195" s="27">
        <v>2</v>
      </c>
      <c r="J195" s="27">
        <v>0</v>
      </c>
      <c r="K195" s="78" t="s">
        <v>1660</v>
      </c>
      <c r="L195" s="27" t="str">
        <f>_xlfn.XLOOKUP(Squads[[#This Row],[Current Club]],Clubs[Current Club],Clubs[Club_ID])</f>
        <v>ESP-03</v>
      </c>
      <c r="M195" s="27" t="str">
        <f>_xlfn.XLOOKUP(Squads[[#This Row],[National Team]],Football_Associations[Football Association],Football_Associations[World Cup Result])</f>
        <v>Third</v>
      </c>
      <c r="N195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96" spans="1:14" ht="15" customHeight="1" x14ac:dyDescent="0.25">
      <c r="A196" s="33">
        <f t="shared" si="3"/>
        <v>1195</v>
      </c>
      <c r="B196" s="23" t="s">
        <v>24</v>
      </c>
      <c r="C196" s="23" t="str">
        <f>VLOOKUP(Squads[[#This Row],[National Team]],Qualified[],3,TRUE)</f>
        <v>Croatia (CRO)</v>
      </c>
      <c r="D196" s="25">
        <v>13</v>
      </c>
      <c r="E196" s="23" t="s">
        <v>139</v>
      </c>
      <c r="F196" s="23" t="s">
        <v>702</v>
      </c>
      <c r="G196" s="26">
        <v>35707</v>
      </c>
      <c r="H196" s="65">
        <f>DATEDIF(Squads[[#This Row],[Date Of Birth]],World_Cup_Start_Date,"Y")</f>
        <v>25</v>
      </c>
      <c r="I196" s="27">
        <v>42</v>
      </c>
      <c r="J196" s="27">
        <v>7</v>
      </c>
      <c r="K196" s="78" t="s">
        <v>1701</v>
      </c>
      <c r="L196" s="27" t="str">
        <f>_xlfn.XLOOKUP(Squads[[#This Row],[Current Club]],Clubs[Current Club],Clubs[Club_ID])</f>
        <v>ITA-05</v>
      </c>
      <c r="M196" s="27" t="str">
        <f>_xlfn.XLOOKUP(Squads[[#This Row],[National Team]],Football_Associations[Football Association],Football_Associations[World Cup Result])</f>
        <v>Third</v>
      </c>
      <c r="N196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97" spans="1:14" ht="15" customHeight="1" x14ac:dyDescent="0.25">
      <c r="A197" s="33">
        <f t="shared" si="3"/>
        <v>1196</v>
      </c>
      <c r="B197" s="23" t="s">
        <v>24</v>
      </c>
      <c r="C197" s="23" t="str">
        <f>VLOOKUP(Squads[[#This Row],[National Team]],Qualified[],3,TRUE)</f>
        <v>Croatia (CRO)</v>
      </c>
      <c r="D197" s="25">
        <v>14</v>
      </c>
      <c r="E197" s="23" t="s">
        <v>146</v>
      </c>
      <c r="F197" s="23" t="s">
        <v>703</v>
      </c>
      <c r="G197" s="26">
        <v>34207</v>
      </c>
      <c r="H197" s="65">
        <f>DATEDIF(Squads[[#This Row],[Date Of Birth]],World_Cup_Start_Date,"Y")</f>
        <v>29</v>
      </c>
      <c r="I197" s="27">
        <v>14</v>
      </c>
      <c r="J197" s="27">
        <v>3</v>
      </c>
      <c r="K197" s="78" t="s">
        <v>1866</v>
      </c>
      <c r="L197" s="27" t="str">
        <f>_xlfn.XLOOKUP(Squads[[#This Row],[Current Club]],Clubs[Current Club],Clubs[Club_ID])</f>
        <v>CRO-02</v>
      </c>
      <c r="M197" s="27" t="str">
        <f>_xlfn.XLOOKUP(Squads[[#This Row],[National Team]],Football_Associations[Football Association],Football_Associations[World Cup Result])</f>
        <v>Third</v>
      </c>
      <c r="N197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98" spans="1:14" ht="15" customHeight="1" x14ac:dyDescent="0.25">
      <c r="A198" s="33">
        <f t="shared" si="3"/>
        <v>1197</v>
      </c>
      <c r="B198" s="23" t="s">
        <v>24</v>
      </c>
      <c r="C198" s="23" t="str">
        <f>VLOOKUP(Squads[[#This Row],[National Team]],Qualified[],3,TRUE)</f>
        <v>Croatia (CRO)</v>
      </c>
      <c r="D198" s="25">
        <v>15</v>
      </c>
      <c r="E198" s="23" t="s">
        <v>139</v>
      </c>
      <c r="F198" s="23" t="s">
        <v>704</v>
      </c>
      <c r="G198" s="26">
        <v>34739</v>
      </c>
      <c r="H198" s="65">
        <f>DATEDIF(Squads[[#This Row],[Date Of Birth]],World_Cup_Start_Date,"Y")</f>
        <v>27</v>
      </c>
      <c r="I198" s="27">
        <v>43</v>
      </c>
      <c r="J198" s="27">
        <v>7</v>
      </c>
      <c r="K198" s="78" t="s">
        <v>1706</v>
      </c>
      <c r="L198" s="27" t="str">
        <f>_xlfn.XLOOKUP(Squads[[#This Row],[Current Club]],Clubs[Current Club],Clubs[Club_ID])</f>
        <v>ITA-06</v>
      </c>
      <c r="M198" s="27" t="str">
        <f>_xlfn.XLOOKUP(Squads[[#This Row],[National Team]],Football_Associations[Football Association],Football_Associations[World Cup Result])</f>
        <v>Third</v>
      </c>
      <c r="N198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199" spans="1:14" ht="15" customHeight="1" x14ac:dyDescent="0.25">
      <c r="A199" s="33">
        <f t="shared" si="3"/>
        <v>1198</v>
      </c>
      <c r="B199" s="23" t="s">
        <v>24</v>
      </c>
      <c r="C199" s="23" t="str">
        <f>VLOOKUP(Squads[[#This Row],[National Team]],Qualified[],3,TRUE)</f>
        <v>Croatia (CRO)</v>
      </c>
      <c r="D199" s="25">
        <v>16</v>
      </c>
      <c r="E199" s="23" t="s">
        <v>146</v>
      </c>
      <c r="F199" s="23" t="s">
        <v>705</v>
      </c>
      <c r="G199" s="26">
        <v>34593</v>
      </c>
      <c r="H199" s="65">
        <f>DATEDIF(Squads[[#This Row],[Date Of Birth]],World_Cup_Start_Date,"Y")</f>
        <v>28</v>
      </c>
      <c r="I199" s="27">
        <v>23</v>
      </c>
      <c r="J199" s="27">
        <v>6</v>
      </c>
      <c r="K199" s="78" t="s">
        <v>1691</v>
      </c>
      <c r="L199" s="27" t="str">
        <f>_xlfn.XLOOKUP(Squads[[#This Row],[Current Club]],Clubs[Current Club],Clubs[Club_ID])</f>
        <v>CRO-01</v>
      </c>
      <c r="M199" s="27" t="str">
        <f>_xlfn.XLOOKUP(Squads[[#This Row],[National Team]],Football_Associations[Football Association],Football_Associations[World Cup Result])</f>
        <v>Third</v>
      </c>
      <c r="N199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00" spans="1:14" ht="15" customHeight="1" x14ac:dyDescent="0.25">
      <c r="A200" s="33">
        <f t="shared" si="3"/>
        <v>1199</v>
      </c>
      <c r="B200" s="23" t="s">
        <v>24</v>
      </c>
      <c r="C200" s="23" t="str">
        <f>VLOOKUP(Squads[[#This Row],[National Team]],Qualified[],3,TRUE)</f>
        <v>Croatia (CRO)</v>
      </c>
      <c r="D200" s="25">
        <v>17</v>
      </c>
      <c r="E200" s="23" t="s">
        <v>146</v>
      </c>
      <c r="F200" s="23" t="s">
        <v>706</v>
      </c>
      <c r="G200" s="26">
        <v>33441</v>
      </c>
      <c r="H200" s="65">
        <f>DATEDIF(Squads[[#This Row],[Date Of Birth]],World_Cup_Start_Date,"Y")</f>
        <v>31</v>
      </c>
      <c r="I200" s="27">
        <v>15</v>
      </c>
      <c r="J200" s="27">
        <v>1</v>
      </c>
      <c r="K200" s="78" t="s">
        <v>1796</v>
      </c>
      <c r="L200" s="27" t="str">
        <f>_xlfn.XLOOKUP(Squads[[#This Row],[Current Club]],Clubs[Current Club],Clubs[Club_ID])</f>
        <v>ESP-12</v>
      </c>
      <c r="M200" s="27" t="str">
        <f>_xlfn.XLOOKUP(Squads[[#This Row],[National Team]],Football_Associations[Football Association],Football_Associations[World Cup Result])</f>
        <v>Third</v>
      </c>
      <c r="N200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01" spans="1:14" ht="15" customHeight="1" x14ac:dyDescent="0.25">
      <c r="A201" s="33">
        <f t="shared" si="3"/>
        <v>1200</v>
      </c>
      <c r="B201" s="23" t="s">
        <v>24</v>
      </c>
      <c r="C201" s="23" t="str">
        <f>VLOOKUP(Squads[[#This Row],[National Team]],Qualified[],3,TRUE)</f>
        <v>Croatia (CRO)</v>
      </c>
      <c r="D201" s="25">
        <v>18</v>
      </c>
      <c r="E201" s="23" t="s">
        <v>146</v>
      </c>
      <c r="F201" s="23" t="s">
        <v>707</v>
      </c>
      <c r="G201" s="26">
        <v>33967</v>
      </c>
      <c r="H201" s="65">
        <f>DATEDIF(Squads[[#This Row],[Date Of Birth]],World_Cup_Start_Date,"Y")</f>
        <v>29</v>
      </c>
      <c r="I201" s="27">
        <v>21</v>
      </c>
      <c r="J201" s="27">
        <v>1</v>
      </c>
      <c r="K201" s="78" t="s">
        <v>1691</v>
      </c>
      <c r="L201" s="27" t="str">
        <f>_xlfn.XLOOKUP(Squads[[#This Row],[Current Club]],Clubs[Current Club],Clubs[Club_ID])</f>
        <v>CRO-01</v>
      </c>
      <c r="M201" s="27" t="str">
        <f>_xlfn.XLOOKUP(Squads[[#This Row],[National Team]],Football_Associations[Football Association],Football_Associations[World Cup Result])</f>
        <v>Third</v>
      </c>
      <c r="N201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02" spans="1:14" ht="15" customHeight="1" x14ac:dyDescent="0.25">
      <c r="A202" s="33">
        <f t="shared" si="3"/>
        <v>1201</v>
      </c>
      <c r="B202" s="23" t="s">
        <v>24</v>
      </c>
      <c r="C202" s="23" t="str">
        <f>VLOOKUP(Squads[[#This Row],[National Team]],Qualified[],3,TRUE)</f>
        <v>Croatia (CRO)</v>
      </c>
      <c r="D202" s="25">
        <v>19</v>
      </c>
      <c r="E202" s="23" t="s">
        <v>135</v>
      </c>
      <c r="F202" s="23" t="s">
        <v>708</v>
      </c>
      <c r="G202" s="26">
        <v>35816</v>
      </c>
      <c r="H202" s="65">
        <f>DATEDIF(Squads[[#This Row],[Date Of Birth]],World_Cup_Start_Date,"Y")</f>
        <v>24</v>
      </c>
      <c r="I202" s="27">
        <v>8</v>
      </c>
      <c r="J202" s="27">
        <v>1</v>
      </c>
      <c r="K202" s="78" t="s">
        <v>1750</v>
      </c>
      <c r="L202" s="27" t="str">
        <f>_xlfn.XLOOKUP(Squads[[#This Row],[Current Club]],Clubs[Current Club],Clubs[Club_ID])</f>
        <v>GER-10</v>
      </c>
      <c r="M202" s="27" t="str">
        <f>_xlfn.XLOOKUP(Squads[[#This Row],[National Team]],Football_Associations[Football Association],Football_Associations[World Cup Result])</f>
        <v>Third</v>
      </c>
      <c r="N202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03" spans="1:14" ht="15" customHeight="1" x14ac:dyDescent="0.25">
      <c r="A203" s="33">
        <f t="shared" si="3"/>
        <v>1202</v>
      </c>
      <c r="B203" s="23" t="s">
        <v>24</v>
      </c>
      <c r="C203" s="23" t="str">
        <f>VLOOKUP(Squads[[#This Row],[National Team]],Qualified[],3,TRUE)</f>
        <v>Croatia (CRO)</v>
      </c>
      <c r="D203" s="25">
        <v>20</v>
      </c>
      <c r="E203" s="23" t="s">
        <v>135</v>
      </c>
      <c r="F203" s="23" t="s">
        <v>709</v>
      </c>
      <c r="G203" s="26">
        <v>37279</v>
      </c>
      <c r="H203" s="65">
        <f>DATEDIF(Squads[[#This Row],[Date Of Birth]],World_Cup_Start_Date,"Y")</f>
        <v>20</v>
      </c>
      <c r="I203" s="27">
        <v>12</v>
      </c>
      <c r="J203" s="27">
        <v>1</v>
      </c>
      <c r="K203" s="78" t="s">
        <v>1678</v>
      </c>
      <c r="L203" s="27" t="str">
        <f>_xlfn.XLOOKUP(Squads[[#This Row],[Current Club]],Clubs[Current Club],Clubs[Club_ID])</f>
        <v>GER-04</v>
      </c>
      <c r="M203" s="27" t="str">
        <f>_xlfn.XLOOKUP(Squads[[#This Row],[National Team]],Football_Associations[Football Association],Football_Associations[World Cup Result])</f>
        <v>Third</v>
      </c>
      <c r="N203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04" spans="1:14" ht="15" customHeight="1" x14ac:dyDescent="0.25">
      <c r="A204" s="33">
        <f t="shared" si="3"/>
        <v>1203</v>
      </c>
      <c r="B204" s="23" t="s">
        <v>24</v>
      </c>
      <c r="C204" s="23" t="str">
        <f>VLOOKUP(Squads[[#This Row],[National Team]],Qualified[],3,TRUE)</f>
        <v>Croatia (CRO)</v>
      </c>
      <c r="D204" s="25">
        <v>21</v>
      </c>
      <c r="E204" s="23" t="s">
        <v>135</v>
      </c>
      <c r="F204" s="23" t="s">
        <v>710</v>
      </c>
      <c r="G204" s="26">
        <v>32627</v>
      </c>
      <c r="H204" s="65">
        <f>DATEDIF(Squads[[#This Row],[Date Of Birth]],World_Cup_Start_Date,"Y")</f>
        <v>33</v>
      </c>
      <c r="I204" s="27">
        <v>100</v>
      </c>
      <c r="J204" s="27">
        <v>4</v>
      </c>
      <c r="K204" s="78" t="s">
        <v>1689</v>
      </c>
      <c r="L204" s="27" t="str">
        <f>_xlfn.XLOOKUP(Squads[[#This Row],[Current Club]],Clubs[Current Club],Clubs[Club_ID])</f>
        <v>GRE-01</v>
      </c>
      <c r="M204" s="27" t="str">
        <f>_xlfn.XLOOKUP(Squads[[#This Row],[National Team]],Football_Associations[Football Association],Football_Associations[World Cup Result])</f>
        <v>Third</v>
      </c>
      <c r="N204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05" spans="1:14" ht="15" customHeight="1" x14ac:dyDescent="0.25">
      <c r="A205" s="33">
        <f t="shared" si="3"/>
        <v>1204</v>
      </c>
      <c r="B205" s="23" t="s">
        <v>24</v>
      </c>
      <c r="C205" s="23" t="str">
        <f>VLOOKUP(Squads[[#This Row],[National Team]],Qualified[],3,TRUE)</f>
        <v>Croatia (CRO)</v>
      </c>
      <c r="D205" s="25">
        <v>22</v>
      </c>
      <c r="E205" s="23" t="s">
        <v>135</v>
      </c>
      <c r="F205" s="23" t="s">
        <v>711</v>
      </c>
      <c r="G205" s="26">
        <v>34927</v>
      </c>
      <c r="H205" s="65">
        <f>DATEDIF(Squads[[#This Row],[Date Of Birth]],World_Cup_Start_Date,"Y")</f>
        <v>27</v>
      </c>
      <c r="I205" s="27">
        <v>21</v>
      </c>
      <c r="J205" s="27">
        <v>0</v>
      </c>
      <c r="K205" s="78" t="s">
        <v>1709</v>
      </c>
      <c r="L205" s="27" t="str">
        <f>_xlfn.XLOOKUP(Squads[[#This Row],[Current Club]],Clubs[Current Club],Clubs[Club_ID])</f>
        <v>SCO-01</v>
      </c>
      <c r="M205" s="27" t="str">
        <f>_xlfn.XLOOKUP(Squads[[#This Row],[National Team]],Football_Associations[Football Association],Football_Associations[World Cup Result])</f>
        <v>Third</v>
      </c>
      <c r="N205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06" spans="1:14" ht="15" customHeight="1" x14ac:dyDescent="0.25">
      <c r="A206" s="33">
        <f t="shared" si="3"/>
        <v>1205</v>
      </c>
      <c r="B206" s="23" t="s">
        <v>24</v>
      </c>
      <c r="C206" s="23" t="str">
        <f>VLOOKUP(Squads[[#This Row],[National Team]],Qualified[],3,TRUE)</f>
        <v>Croatia (CRO)</v>
      </c>
      <c r="D206" s="25">
        <v>23</v>
      </c>
      <c r="E206" s="23" t="s">
        <v>133</v>
      </c>
      <c r="F206" s="23" t="s">
        <v>712</v>
      </c>
      <c r="G206" s="26">
        <v>34731</v>
      </c>
      <c r="H206" s="65">
        <f>DATEDIF(Squads[[#This Row],[Date Of Birth]],World_Cup_Start_Date,"Y")</f>
        <v>27</v>
      </c>
      <c r="I206" s="27">
        <v>5</v>
      </c>
      <c r="J206" s="27">
        <v>0</v>
      </c>
      <c r="K206" s="78" t="s">
        <v>1902</v>
      </c>
      <c r="L206" s="27" t="str">
        <f>_xlfn.XLOOKUP(Squads[[#This Row],[Current Club]],Clubs[Current Club],Clubs[Club_ID])</f>
        <v>CRO-03</v>
      </c>
      <c r="M206" s="27" t="str">
        <f>_xlfn.XLOOKUP(Squads[[#This Row],[National Team]],Football_Associations[Football Association],Football_Associations[World Cup Result])</f>
        <v>Third</v>
      </c>
      <c r="N206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07" spans="1:14" ht="15" customHeight="1" x14ac:dyDescent="0.25">
      <c r="A207" s="33">
        <f t="shared" si="3"/>
        <v>1206</v>
      </c>
      <c r="B207" s="23" t="s">
        <v>24</v>
      </c>
      <c r="C207" s="23" t="str">
        <f>VLOOKUP(Squads[[#This Row],[National Team]],Qualified[],3,TRUE)</f>
        <v>Croatia (CRO)</v>
      </c>
      <c r="D207" s="25">
        <v>24</v>
      </c>
      <c r="E207" s="23" t="s">
        <v>135</v>
      </c>
      <c r="F207" s="23" t="s">
        <v>713</v>
      </c>
      <c r="G207" s="26">
        <v>36584</v>
      </c>
      <c r="H207" s="65">
        <f>DATEDIF(Squads[[#This Row],[Date Of Birth]],World_Cup_Start_Date,"Y")</f>
        <v>22</v>
      </c>
      <c r="I207" s="27">
        <v>3</v>
      </c>
      <c r="J207" s="27">
        <v>0</v>
      </c>
      <c r="K207" s="78" t="s">
        <v>1691</v>
      </c>
      <c r="L207" s="27" t="str">
        <f>_xlfn.XLOOKUP(Squads[[#This Row],[Current Club]],Clubs[Current Club],Clubs[Club_ID])</f>
        <v>CRO-01</v>
      </c>
      <c r="M207" s="27" t="str">
        <f>_xlfn.XLOOKUP(Squads[[#This Row],[National Team]],Football_Associations[Football Association],Football_Associations[World Cup Result])</f>
        <v>Third</v>
      </c>
      <c r="N207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08" spans="1:14" ht="15" customHeight="1" x14ac:dyDescent="0.25">
      <c r="A208" s="33">
        <f t="shared" si="3"/>
        <v>1207</v>
      </c>
      <c r="B208" s="23" t="s">
        <v>24</v>
      </c>
      <c r="C208" s="23" t="str">
        <f>VLOOKUP(Squads[[#This Row],[National Team]],Qualified[],3,TRUE)</f>
        <v>Croatia (CRO)</v>
      </c>
      <c r="D208" s="25">
        <v>25</v>
      </c>
      <c r="E208" s="23" t="s">
        <v>139</v>
      </c>
      <c r="F208" s="23" t="s">
        <v>714</v>
      </c>
      <c r="G208" s="26">
        <v>37507</v>
      </c>
      <c r="H208" s="65">
        <f>DATEDIF(Squads[[#This Row],[Date Of Birth]],World_Cup_Start_Date,"Y")</f>
        <v>20</v>
      </c>
      <c r="I208" s="27">
        <v>4</v>
      </c>
      <c r="J208" s="27">
        <v>0</v>
      </c>
      <c r="K208" s="78" t="s">
        <v>1717</v>
      </c>
      <c r="L208" s="27" t="str">
        <f>_xlfn.XLOOKUP(Squads[[#This Row],[Current Club]],Clubs[Current Club],Clubs[Club_ID])</f>
        <v>AST-01</v>
      </c>
      <c r="M208" s="27" t="str">
        <f>_xlfn.XLOOKUP(Squads[[#This Row],[National Team]],Football_Associations[Football Association],Football_Associations[World Cup Result])</f>
        <v>Third</v>
      </c>
      <c r="N208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09" spans="1:14" ht="15" customHeight="1" x14ac:dyDescent="0.25">
      <c r="A209" s="33">
        <f t="shared" si="3"/>
        <v>1208</v>
      </c>
      <c r="B209" s="23" t="s">
        <v>24</v>
      </c>
      <c r="C209" s="23" t="str">
        <f>VLOOKUP(Squads[[#This Row],[National Team]],Qualified[],3,TRUE)</f>
        <v>Croatia (CRO)</v>
      </c>
      <c r="D209" s="25">
        <v>26</v>
      </c>
      <c r="E209" s="23" t="s">
        <v>139</v>
      </c>
      <c r="F209" s="23" t="s">
        <v>715</v>
      </c>
      <c r="G209" s="26">
        <v>35564</v>
      </c>
      <c r="H209" s="65">
        <f>DATEDIF(Squads[[#This Row],[Date Of Birth]],World_Cup_Start_Date,"Y")</f>
        <v>25</v>
      </c>
      <c r="I209" s="27">
        <v>4</v>
      </c>
      <c r="J209" s="27">
        <v>0</v>
      </c>
      <c r="K209" s="78" t="s">
        <v>1674</v>
      </c>
      <c r="L209" s="27" t="str">
        <f>_xlfn.XLOOKUP(Squads[[#This Row],[Current Club]],Clubs[Current Club],Clubs[Club_ID])</f>
        <v>GER-03</v>
      </c>
      <c r="M209" s="27" t="str">
        <f>_xlfn.XLOOKUP(Squads[[#This Row],[National Team]],Football_Associations[Football Association],Football_Associations[World Cup Result])</f>
        <v>Third</v>
      </c>
      <c r="N209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10" spans="1:14" ht="15" customHeight="1" x14ac:dyDescent="0.25">
      <c r="A210" s="33">
        <f t="shared" si="3"/>
        <v>1209</v>
      </c>
      <c r="B210" s="23" t="s">
        <v>16</v>
      </c>
      <c r="C210" s="23" t="str">
        <f>VLOOKUP(Squads[[#This Row],[National Team]],Qualified[],3,TRUE)</f>
        <v>Denmark (DEN)</v>
      </c>
      <c r="D210" s="25">
        <v>1</v>
      </c>
      <c r="E210" s="23" t="s">
        <v>133</v>
      </c>
      <c r="F210" s="23" t="s">
        <v>464</v>
      </c>
      <c r="G210" s="26">
        <v>31721</v>
      </c>
      <c r="H210" s="65">
        <f>DATEDIF(Squads[[#This Row],[Date Of Birth]],World_Cup_Start_Date,"Y")</f>
        <v>36</v>
      </c>
      <c r="I210" s="27">
        <v>86</v>
      </c>
      <c r="J210" s="27">
        <v>0</v>
      </c>
      <c r="K210" s="78" t="s">
        <v>1794</v>
      </c>
      <c r="L210" s="27" t="str">
        <f>_xlfn.XLOOKUP(Squads[[#This Row],[Current Club]],Clubs[Current Club],Clubs[Club_ID])</f>
        <v>FRA-11</v>
      </c>
      <c r="M210" s="27" t="str">
        <f>_xlfn.XLOOKUP(Squads[[#This Row],[National Team]],Football_Associations[Football Association],Football_Associations[World Cup Result])</f>
        <v>Group stage</v>
      </c>
      <c r="N21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11" spans="1:14" ht="15" customHeight="1" x14ac:dyDescent="0.25">
      <c r="A211" s="33">
        <f t="shared" si="3"/>
        <v>1210</v>
      </c>
      <c r="B211" s="23" t="s">
        <v>16</v>
      </c>
      <c r="C211" s="23" t="str">
        <f>VLOOKUP(Squads[[#This Row],[National Team]],Qualified[],3,TRUE)</f>
        <v>Denmark (DEN)</v>
      </c>
      <c r="D211" s="25">
        <v>2</v>
      </c>
      <c r="E211" s="23" t="s">
        <v>135</v>
      </c>
      <c r="F211" s="23" t="s">
        <v>465</v>
      </c>
      <c r="G211" s="26">
        <v>35216</v>
      </c>
      <c r="H211" s="65">
        <f>DATEDIF(Squads[[#This Row],[Date Of Birth]],World_Cup_Start_Date,"Y")</f>
        <v>26</v>
      </c>
      <c r="I211" s="27">
        <v>19</v>
      </c>
      <c r="J211" s="27">
        <v>0</v>
      </c>
      <c r="K211" s="78" t="s">
        <v>1775</v>
      </c>
      <c r="L211" s="27" t="str">
        <f>_xlfn.XLOOKUP(Squads[[#This Row],[Current Club]],Clubs[Current Club],Clubs[Club_ID])</f>
        <v>ENG-24</v>
      </c>
      <c r="M211" s="27" t="str">
        <f>_xlfn.XLOOKUP(Squads[[#This Row],[National Team]],Football_Associations[Football Association],Football_Associations[World Cup Result])</f>
        <v>Group stage</v>
      </c>
      <c r="N21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12" spans="1:14" ht="15" customHeight="1" x14ac:dyDescent="0.25">
      <c r="A212" s="33">
        <f t="shared" si="3"/>
        <v>1211</v>
      </c>
      <c r="B212" s="23" t="s">
        <v>16</v>
      </c>
      <c r="C212" s="23" t="str">
        <f>VLOOKUP(Squads[[#This Row],[National Team]],Qualified[],3,TRUE)</f>
        <v>Denmark (DEN)</v>
      </c>
      <c r="D212" s="25">
        <v>3</v>
      </c>
      <c r="E212" s="23" t="s">
        <v>135</v>
      </c>
      <c r="F212" s="23" t="s">
        <v>466</v>
      </c>
      <c r="G212" s="26">
        <v>36082</v>
      </c>
      <c r="H212" s="65">
        <f>DATEDIF(Squads[[#This Row],[Date Of Birth]],World_Cup_Start_Date,"Y")</f>
        <v>24</v>
      </c>
      <c r="I212" s="27">
        <v>7</v>
      </c>
      <c r="J212" s="27">
        <v>0</v>
      </c>
      <c r="K212" s="78" t="s">
        <v>1692</v>
      </c>
      <c r="L212" s="27" t="str">
        <f>_xlfn.XLOOKUP(Squads[[#This Row],[Current Club]],Clubs[Current Club],Clubs[Club_ID])</f>
        <v>TUR-01</v>
      </c>
      <c r="M212" s="27" t="str">
        <f>_xlfn.XLOOKUP(Squads[[#This Row],[National Team]],Football_Associations[Football Association],Football_Associations[World Cup Result])</f>
        <v>Group stage</v>
      </c>
      <c r="N21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13" spans="1:14" ht="15" customHeight="1" x14ac:dyDescent="0.25">
      <c r="A213" s="33">
        <f t="shared" si="3"/>
        <v>1212</v>
      </c>
      <c r="B213" s="23" t="s">
        <v>16</v>
      </c>
      <c r="C213" s="23" t="str">
        <f>VLOOKUP(Squads[[#This Row],[National Team]],Qualified[],3,TRUE)</f>
        <v>Denmark (DEN)</v>
      </c>
      <c r="D213" s="25">
        <v>4</v>
      </c>
      <c r="E213" s="23" t="s">
        <v>135</v>
      </c>
      <c r="F213" s="27" t="s">
        <v>986</v>
      </c>
      <c r="G213" s="26">
        <v>32593</v>
      </c>
      <c r="H213" s="65">
        <f>DATEDIF(Squads[[#This Row],[Date Of Birth]],World_Cup_Start_Date,"Y")</f>
        <v>33</v>
      </c>
      <c r="I213" s="27">
        <v>121</v>
      </c>
      <c r="J213" s="27">
        <v>5</v>
      </c>
      <c r="K213" s="78" t="s">
        <v>1677</v>
      </c>
      <c r="L213" s="27" t="str">
        <f>_xlfn.XLOOKUP(Squads[[#This Row],[Current Club]],Clubs[Current Club],Clubs[Club_ID])</f>
        <v>ITA-02</v>
      </c>
      <c r="M213" s="27" t="str">
        <f>_xlfn.XLOOKUP(Squads[[#This Row],[National Team]],Football_Associations[Football Association],Football_Associations[World Cup Result])</f>
        <v>Group stage</v>
      </c>
      <c r="N21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14" spans="1:14" ht="15" customHeight="1" x14ac:dyDescent="0.25">
      <c r="A214" s="33">
        <f t="shared" si="3"/>
        <v>1213</v>
      </c>
      <c r="B214" s="23" t="s">
        <v>16</v>
      </c>
      <c r="C214" s="23" t="str">
        <f>VLOOKUP(Squads[[#This Row],[National Team]],Qualified[],3,TRUE)</f>
        <v>Denmark (DEN)</v>
      </c>
      <c r="D214" s="25">
        <v>5</v>
      </c>
      <c r="E214" s="23" t="s">
        <v>135</v>
      </c>
      <c r="F214" s="23" t="s">
        <v>467</v>
      </c>
      <c r="G214" s="26">
        <v>35570</v>
      </c>
      <c r="H214" s="65">
        <f>DATEDIF(Squads[[#This Row],[Date Of Birth]],World_Cup_Start_Date,"Y")</f>
        <v>25</v>
      </c>
      <c r="I214" s="27">
        <v>31</v>
      </c>
      <c r="J214" s="27">
        <v>9</v>
      </c>
      <c r="K214" s="78" t="s">
        <v>1706</v>
      </c>
      <c r="L214" s="27" t="str">
        <f>_xlfn.XLOOKUP(Squads[[#This Row],[Current Club]],Clubs[Current Club],Clubs[Club_ID])</f>
        <v>ITA-06</v>
      </c>
      <c r="M214" s="27" t="str">
        <f>_xlfn.XLOOKUP(Squads[[#This Row],[National Team]],Football_Associations[Football Association],Football_Associations[World Cup Result])</f>
        <v>Group stage</v>
      </c>
      <c r="N21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15" spans="1:14" ht="15" customHeight="1" x14ac:dyDescent="0.25">
      <c r="A215" s="33">
        <f t="shared" si="3"/>
        <v>1214</v>
      </c>
      <c r="B215" s="23" t="s">
        <v>16</v>
      </c>
      <c r="C215" s="23" t="str">
        <f>VLOOKUP(Squads[[#This Row],[National Team]],Qualified[],3,TRUE)</f>
        <v>Denmark (DEN)</v>
      </c>
      <c r="D215" s="25">
        <v>6</v>
      </c>
      <c r="E215" s="23" t="s">
        <v>135</v>
      </c>
      <c r="F215" s="23" t="s">
        <v>468</v>
      </c>
      <c r="G215" s="26">
        <v>35165</v>
      </c>
      <c r="H215" s="65">
        <f>DATEDIF(Squads[[#This Row],[Date Of Birth]],World_Cup_Start_Date,"Y")</f>
        <v>26</v>
      </c>
      <c r="I215" s="27">
        <v>58</v>
      </c>
      <c r="J215" s="27">
        <v>2</v>
      </c>
      <c r="K215" s="78" t="s">
        <v>1653</v>
      </c>
      <c r="L215" s="27" t="str">
        <f>_xlfn.XLOOKUP(Squads[[#This Row],[Current Club]],Clubs[Current Club],Clubs[Club_ID])</f>
        <v>ESP-01</v>
      </c>
      <c r="M215" s="27" t="str">
        <f>_xlfn.XLOOKUP(Squads[[#This Row],[National Team]],Football_Associations[Football Association],Football_Associations[World Cup Result])</f>
        <v>Group stage</v>
      </c>
      <c r="N21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16" spans="1:14" ht="15" customHeight="1" x14ac:dyDescent="0.25">
      <c r="A216" s="33">
        <f t="shared" si="3"/>
        <v>1215</v>
      </c>
      <c r="B216" s="23" t="s">
        <v>16</v>
      </c>
      <c r="C216" s="23" t="str">
        <f>VLOOKUP(Squads[[#This Row],[National Team]],Qualified[],3,TRUE)</f>
        <v>Denmark (DEN)</v>
      </c>
      <c r="D216" s="25">
        <v>7</v>
      </c>
      <c r="E216" s="23" t="s">
        <v>139</v>
      </c>
      <c r="F216" s="23" t="s">
        <v>469</v>
      </c>
      <c r="G216" s="26">
        <v>35065</v>
      </c>
      <c r="H216" s="65">
        <f>DATEDIF(Squads[[#This Row],[Date Of Birth]],World_Cup_Start_Date,"Y")</f>
        <v>26</v>
      </c>
      <c r="I216" s="27">
        <v>20</v>
      </c>
      <c r="J216" s="27">
        <v>1</v>
      </c>
      <c r="K216" s="78" t="s">
        <v>1681</v>
      </c>
      <c r="L216" s="27" t="str">
        <f>_xlfn.XLOOKUP(Squads[[#This Row],[Current Club]],Clubs[Current Club],Clubs[Club_ID])</f>
        <v>ENG-09</v>
      </c>
      <c r="M216" s="27" t="str">
        <f>_xlfn.XLOOKUP(Squads[[#This Row],[National Team]],Football_Associations[Football Association],Football_Associations[World Cup Result])</f>
        <v>Group stage</v>
      </c>
      <c r="N21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17" spans="1:14" ht="15" customHeight="1" x14ac:dyDescent="0.25">
      <c r="A217" s="33">
        <f t="shared" si="3"/>
        <v>1216</v>
      </c>
      <c r="B217" s="23" t="s">
        <v>16</v>
      </c>
      <c r="C217" s="23" t="str">
        <f>VLOOKUP(Squads[[#This Row],[National Team]],Qualified[],3,TRUE)</f>
        <v>Denmark (DEN)</v>
      </c>
      <c r="D217" s="25">
        <v>8</v>
      </c>
      <c r="E217" s="23" t="s">
        <v>139</v>
      </c>
      <c r="F217" s="23" t="s">
        <v>470</v>
      </c>
      <c r="G217" s="26">
        <v>33484</v>
      </c>
      <c r="H217" s="65">
        <f>DATEDIF(Squads[[#This Row],[Date Of Birth]],World_Cup_Start_Date,"Y")</f>
        <v>31</v>
      </c>
      <c r="I217" s="27">
        <v>71</v>
      </c>
      <c r="J217" s="27">
        <v>7</v>
      </c>
      <c r="K217" s="78" t="s">
        <v>1668</v>
      </c>
      <c r="L217" s="27" t="str">
        <f>_xlfn.XLOOKUP(Squads[[#This Row],[Current Club]],Clubs[Current Club],Clubs[Club_ID])</f>
        <v>ESP-04</v>
      </c>
      <c r="M217" s="27" t="str">
        <f>_xlfn.XLOOKUP(Squads[[#This Row],[National Team]],Football_Associations[Football Association],Football_Associations[World Cup Result])</f>
        <v>Group stage</v>
      </c>
      <c r="N21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18" spans="1:14" ht="15" customHeight="1" x14ac:dyDescent="0.25">
      <c r="A218" s="33">
        <f t="shared" si="3"/>
        <v>1217</v>
      </c>
      <c r="B218" s="23" t="s">
        <v>16</v>
      </c>
      <c r="C218" s="23" t="str">
        <f>VLOOKUP(Squads[[#This Row],[National Team]],Qualified[],3,TRUE)</f>
        <v>Denmark (DEN)</v>
      </c>
      <c r="D218" s="25">
        <v>9</v>
      </c>
      <c r="E218" s="23" t="s">
        <v>146</v>
      </c>
      <c r="F218" s="23" t="s">
        <v>471</v>
      </c>
      <c r="G218" s="26">
        <v>33394</v>
      </c>
      <c r="H218" s="65">
        <f>DATEDIF(Squads[[#This Row],[Date Of Birth]],World_Cup_Start_Date,"Y")</f>
        <v>31</v>
      </c>
      <c r="I218" s="27">
        <v>62</v>
      </c>
      <c r="J218" s="27">
        <v>10</v>
      </c>
      <c r="K218" s="78" t="s">
        <v>1852</v>
      </c>
      <c r="L218" s="27" t="str">
        <f>_xlfn.XLOOKUP(Squads[[#This Row],[Current Club]],Clubs[Current Club],Clubs[Club_ID])</f>
        <v>ESP-16</v>
      </c>
      <c r="M218" s="27" t="str">
        <f>_xlfn.XLOOKUP(Squads[[#This Row],[National Team]],Football_Associations[Football Association],Football_Associations[World Cup Result])</f>
        <v>Group stage</v>
      </c>
      <c r="N21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19" spans="1:14" ht="15" customHeight="1" x14ac:dyDescent="0.25">
      <c r="A219" s="33">
        <f t="shared" si="3"/>
        <v>1218</v>
      </c>
      <c r="B219" s="23" t="s">
        <v>16</v>
      </c>
      <c r="C219" s="23" t="str">
        <f>VLOOKUP(Squads[[#This Row],[National Team]],Qualified[],3,TRUE)</f>
        <v>Denmark (DEN)</v>
      </c>
      <c r="D219" s="25">
        <v>10</v>
      </c>
      <c r="E219" s="23" t="s">
        <v>139</v>
      </c>
      <c r="F219" s="23" t="s">
        <v>472</v>
      </c>
      <c r="G219" s="26">
        <v>33648</v>
      </c>
      <c r="H219" s="65">
        <f>DATEDIF(Squads[[#This Row],[Date Of Birth]],World_Cup_Start_Date,"Y")</f>
        <v>30</v>
      </c>
      <c r="I219" s="27">
        <v>117</v>
      </c>
      <c r="J219" s="27">
        <v>39</v>
      </c>
      <c r="K219" s="78" t="s">
        <v>1657</v>
      </c>
      <c r="L219" s="27" t="str">
        <f>_xlfn.XLOOKUP(Squads[[#This Row],[Current Club]],Clubs[Current Club],Clubs[Club_ID])</f>
        <v>ENG-02</v>
      </c>
      <c r="M219" s="27" t="str">
        <f>_xlfn.XLOOKUP(Squads[[#This Row],[National Team]],Football_Associations[Football Association],Football_Associations[World Cup Result])</f>
        <v>Group stage</v>
      </c>
      <c r="N21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20" spans="1:14" ht="15" customHeight="1" x14ac:dyDescent="0.25">
      <c r="A220" s="33">
        <f t="shared" si="3"/>
        <v>1219</v>
      </c>
      <c r="B220" s="23" t="s">
        <v>16</v>
      </c>
      <c r="C220" s="23" t="str">
        <f>VLOOKUP(Squads[[#This Row],[National Team]],Qualified[],3,TRUE)</f>
        <v>Denmark (DEN)</v>
      </c>
      <c r="D220" s="25">
        <v>11</v>
      </c>
      <c r="E220" s="23" t="s">
        <v>139</v>
      </c>
      <c r="F220" s="23" t="s">
        <v>473</v>
      </c>
      <c r="G220" s="26">
        <v>36523</v>
      </c>
      <c r="H220" s="65">
        <f>DATEDIF(Squads[[#This Row],[Date Of Birth]],World_Cup_Start_Date,"Y")</f>
        <v>22</v>
      </c>
      <c r="I220" s="27">
        <v>23</v>
      </c>
      <c r="J220" s="27">
        <v>8</v>
      </c>
      <c r="K220" s="78" t="s">
        <v>1670</v>
      </c>
      <c r="L220" s="27" t="str">
        <f>_xlfn.XLOOKUP(Squads[[#This Row],[Current Club]],Clubs[Current Club],Clubs[Club_ID])</f>
        <v>BEL-01</v>
      </c>
      <c r="M220" s="27" t="str">
        <f>_xlfn.XLOOKUP(Squads[[#This Row],[National Team]],Football_Associations[Football Association],Football_Associations[World Cup Result])</f>
        <v>Group stage</v>
      </c>
      <c r="N22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21" spans="1:14" ht="15" customHeight="1" x14ac:dyDescent="0.25">
      <c r="A221" s="33">
        <f t="shared" si="3"/>
        <v>1220</v>
      </c>
      <c r="B221" s="23" t="s">
        <v>16</v>
      </c>
      <c r="C221" s="23" t="str">
        <f>VLOOKUP(Squads[[#This Row],[National Team]],Qualified[],3,TRUE)</f>
        <v>Denmark (DEN)</v>
      </c>
      <c r="D221" s="25">
        <v>12</v>
      </c>
      <c r="E221" s="23" t="s">
        <v>146</v>
      </c>
      <c r="F221" s="23" t="s">
        <v>474</v>
      </c>
      <c r="G221" s="26">
        <v>35709</v>
      </c>
      <c r="H221" s="65">
        <f>DATEDIF(Squads[[#This Row],[Date Of Birth]],World_Cup_Start_Date,"Y")</f>
        <v>25</v>
      </c>
      <c r="I221" s="27">
        <v>37</v>
      </c>
      <c r="J221" s="27">
        <v>11</v>
      </c>
      <c r="K221" s="78" t="s">
        <v>1668</v>
      </c>
      <c r="L221" s="27" t="str">
        <f>_xlfn.XLOOKUP(Squads[[#This Row],[Current Club]],Clubs[Current Club],Clubs[Club_ID])</f>
        <v>ESP-04</v>
      </c>
      <c r="M221" s="27" t="str">
        <f>_xlfn.XLOOKUP(Squads[[#This Row],[National Team]],Football_Associations[Football Association],Football_Associations[World Cup Result])</f>
        <v>Group stage</v>
      </c>
      <c r="N22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22" spans="1:14" ht="15" customHeight="1" x14ac:dyDescent="0.25">
      <c r="A222" s="33">
        <f t="shared" si="3"/>
        <v>1221</v>
      </c>
      <c r="B222" s="23" t="s">
        <v>16</v>
      </c>
      <c r="C222" s="23" t="str">
        <f>VLOOKUP(Squads[[#This Row],[National Team]],Qualified[],3,TRUE)</f>
        <v>Denmark (DEN)</v>
      </c>
      <c r="D222" s="25">
        <v>13</v>
      </c>
      <c r="E222" s="23" t="s">
        <v>135</v>
      </c>
      <c r="F222" s="23" t="s">
        <v>475</v>
      </c>
      <c r="G222" s="26">
        <v>35622</v>
      </c>
      <c r="H222" s="65">
        <f>DATEDIF(Squads[[#This Row],[Date Of Birth]],World_Cup_Start_Date,"Y")</f>
        <v>25</v>
      </c>
      <c r="I222" s="27">
        <v>10</v>
      </c>
      <c r="J222" s="27">
        <v>0</v>
      </c>
      <c r="K222" s="78" t="s">
        <v>1736</v>
      </c>
      <c r="L222" s="27" t="str">
        <f>_xlfn.XLOOKUP(Squads[[#This Row],[Current Club]],Clubs[Current Club],Clubs[Club_ID])</f>
        <v>ENG-17</v>
      </c>
      <c r="M222" s="27" t="str">
        <f>_xlfn.XLOOKUP(Squads[[#This Row],[National Team]],Football_Associations[Football Association],Football_Associations[World Cup Result])</f>
        <v>Group stage</v>
      </c>
      <c r="N22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23" spans="1:14" ht="15" customHeight="1" x14ac:dyDescent="0.25">
      <c r="A223" s="33">
        <f t="shared" si="3"/>
        <v>1222</v>
      </c>
      <c r="B223" s="23" t="s">
        <v>16</v>
      </c>
      <c r="C223" s="23" t="str">
        <f>VLOOKUP(Squads[[#This Row],[National Team]],Qualified[],3,TRUE)</f>
        <v>Denmark (DEN)</v>
      </c>
      <c r="D223" s="25">
        <v>14</v>
      </c>
      <c r="E223" s="23" t="s">
        <v>139</v>
      </c>
      <c r="F223" s="23" t="s">
        <v>476</v>
      </c>
      <c r="G223" s="26">
        <v>36710</v>
      </c>
      <c r="H223" s="65">
        <f>DATEDIF(Squads[[#This Row],[Date Of Birth]],World_Cup_Start_Date,"Y")</f>
        <v>22</v>
      </c>
      <c r="I223" s="27">
        <v>18</v>
      </c>
      <c r="J223" s="27">
        <v>4</v>
      </c>
      <c r="K223" s="78" t="s">
        <v>1681</v>
      </c>
      <c r="L223" s="27" t="str">
        <f>_xlfn.XLOOKUP(Squads[[#This Row],[Current Club]],Clubs[Current Club],Clubs[Club_ID])</f>
        <v>ENG-09</v>
      </c>
      <c r="M223" s="27" t="str">
        <f>_xlfn.XLOOKUP(Squads[[#This Row],[National Team]],Football_Associations[Football Association],Football_Associations[World Cup Result])</f>
        <v>Group stage</v>
      </c>
      <c r="N22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24" spans="1:14" ht="15" customHeight="1" x14ac:dyDescent="0.25">
      <c r="A224" s="33">
        <f t="shared" si="3"/>
        <v>1223</v>
      </c>
      <c r="B224" s="23" t="s">
        <v>16</v>
      </c>
      <c r="C224" s="23" t="str">
        <f>VLOOKUP(Squads[[#This Row],[National Team]],Qualified[],3,TRUE)</f>
        <v>Denmark (DEN)</v>
      </c>
      <c r="D224" s="25">
        <v>15</v>
      </c>
      <c r="E224" s="23" t="s">
        <v>139</v>
      </c>
      <c r="F224" s="23" t="s">
        <v>477</v>
      </c>
      <c r="G224" s="26">
        <v>34403</v>
      </c>
      <c r="H224" s="65">
        <f>DATEDIF(Squads[[#This Row],[Date Of Birth]],World_Cup_Start_Date,"Y")</f>
        <v>28</v>
      </c>
      <c r="I224" s="27">
        <v>17</v>
      </c>
      <c r="J224" s="27">
        <v>1</v>
      </c>
      <c r="K224" s="78" t="s">
        <v>1681</v>
      </c>
      <c r="L224" s="27" t="str">
        <f>_xlfn.XLOOKUP(Squads[[#This Row],[Current Club]],Clubs[Current Club],Clubs[Club_ID])</f>
        <v>ENG-09</v>
      </c>
      <c r="M224" s="27" t="str">
        <f>_xlfn.XLOOKUP(Squads[[#This Row],[National Team]],Football_Associations[Football Association],Football_Associations[World Cup Result])</f>
        <v>Group stage</v>
      </c>
      <c r="N22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25" spans="1:14" ht="15" customHeight="1" x14ac:dyDescent="0.25">
      <c r="A225" s="33">
        <f t="shared" si="3"/>
        <v>1224</v>
      </c>
      <c r="B225" s="23" t="s">
        <v>16</v>
      </c>
      <c r="C225" s="23" t="str">
        <f>VLOOKUP(Squads[[#This Row],[National Team]],Qualified[],3,TRUE)</f>
        <v>Denmark (DEN)</v>
      </c>
      <c r="D225" s="25">
        <v>16</v>
      </c>
      <c r="E225" s="23" t="s">
        <v>133</v>
      </c>
      <c r="F225" s="23" t="s">
        <v>478</v>
      </c>
      <c r="G225" s="26">
        <v>36241</v>
      </c>
      <c r="H225" s="65">
        <f>DATEDIF(Squads[[#This Row],[Date Of Birth]],World_Cup_Start_Date,"Y")</f>
        <v>23</v>
      </c>
      <c r="I225" s="27">
        <v>1</v>
      </c>
      <c r="J225" s="27">
        <v>0</v>
      </c>
      <c r="K225" s="78" t="s">
        <v>1871</v>
      </c>
      <c r="L225" s="27" t="str">
        <f>_xlfn.XLOOKUP(Squads[[#This Row],[Current Club]],Clubs[Current Club],Clubs[Club_ID])</f>
        <v>GER-18</v>
      </c>
      <c r="M225" s="27" t="str">
        <f>_xlfn.XLOOKUP(Squads[[#This Row],[National Team]],Football_Associations[Football Association],Football_Associations[World Cup Result])</f>
        <v>Group stage</v>
      </c>
      <c r="N22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26" spans="1:14" ht="15" customHeight="1" x14ac:dyDescent="0.25">
      <c r="A226" s="33">
        <f t="shared" si="3"/>
        <v>1225</v>
      </c>
      <c r="B226" s="23" t="s">
        <v>16</v>
      </c>
      <c r="C226" s="23" t="str">
        <f>VLOOKUP(Squads[[#This Row],[National Team]],Qualified[],3,TRUE)</f>
        <v>Denmark (DEN)</v>
      </c>
      <c r="D226" s="25">
        <v>17</v>
      </c>
      <c r="E226" s="23" t="s">
        <v>135</v>
      </c>
      <c r="F226" s="23" t="s">
        <v>479</v>
      </c>
      <c r="G226" s="26">
        <v>33290</v>
      </c>
      <c r="H226" s="65">
        <f>DATEDIF(Squads[[#This Row],[Date Of Birth]],World_Cup_Start_Date,"Y")</f>
        <v>31</v>
      </c>
      <c r="I226" s="27">
        <v>49</v>
      </c>
      <c r="J226" s="27">
        <v>3</v>
      </c>
      <c r="K226" s="78" t="s">
        <v>1806</v>
      </c>
      <c r="L226" s="27" t="str">
        <f>_xlfn.XLOOKUP(Squads[[#This Row],[Current Club]],Clubs[Current Club],Clubs[Club_ID])</f>
        <v>TUR-05</v>
      </c>
      <c r="M226" s="27" t="str">
        <f>_xlfn.XLOOKUP(Squads[[#This Row],[National Team]],Football_Associations[Football Association],Football_Associations[World Cup Result])</f>
        <v>Group stage</v>
      </c>
      <c r="N22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27" spans="1:14" ht="15" customHeight="1" x14ac:dyDescent="0.25">
      <c r="A227" s="33">
        <f t="shared" si="3"/>
        <v>1226</v>
      </c>
      <c r="B227" s="23" t="s">
        <v>16</v>
      </c>
      <c r="C227" s="23" t="str">
        <f>VLOOKUP(Squads[[#This Row],[National Team]],Qualified[],3,TRUE)</f>
        <v>Denmark (DEN)</v>
      </c>
      <c r="D227" s="25">
        <v>18</v>
      </c>
      <c r="E227" s="23" t="s">
        <v>135</v>
      </c>
      <c r="F227" s="23" t="s">
        <v>480</v>
      </c>
      <c r="G227" s="26">
        <v>32659</v>
      </c>
      <c r="H227" s="65">
        <f>DATEDIF(Squads[[#This Row],[Date Of Birth]],World_Cup_Start_Date,"Y")</f>
        <v>33</v>
      </c>
      <c r="I227" s="27">
        <v>44</v>
      </c>
      <c r="J227" s="27">
        <v>1</v>
      </c>
      <c r="K227" s="78" t="s">
        <v>1769</v>
      </c>
      <c r="L227" s="27" t="str">
        <f>_xlfn.XLOOKUP(Squads[[#This Row],[Current Club]],Clubs[Current Club],Clubs[Club_ID])</f>
        <v>DEN-02</v>
      </c>
      <c r="M227" s="27" t="str">
        <f>_xlfn.XLOOKUP(Squads[[#This Row],[National Team]],Football_Associations[Football Association],Football_Associations[World Cup Result])</f>
        <v>Group stage</v>
      </c>
      <c r="N22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28" spans="1:14" ht="15" customHeight="1" x14ac:dyDescent="0.25">
      <c r="A228" s="33">
        <f t="shared" si="3"/>
        <v>1227</v>
      </c>
      <c r="B228" s="23" t="s">
        <v>16</v>
      </c>
      <c r="C228" s="23" t="str">
        <f>VLOOKUP(Squads[[#This Row],[National Team]],Qualified[],3,TRUE)</f>
        <v>Denmark (DEN)</v>
      </c>
      <c r="D228" s="25">
        <v>19</v>
      </c>
      <c r="E228" s="23" t="s">
        <v>146</v>
      </c>
      <c r="F228" s="23" t="s">
        <v>481</v>
      </c>
      <c r="G228" s="26">
        <v>36198</v>
      </c>
      <c r="H228" s="65">
        <f>DATEDIF(Squads[[#This Row],[Date Of Birth]],World_Cup_Start_Date,"Y")</f>
        <v>23</v>
      </c>
      <c r="I228" s="27">
        <v>15</v>
      </c>
      <c r="J228" s="27">
        <v>5</v>
      </c>
      <c r="K228" s="78" t="s">
        <v>1751</v>
      </c>
      <c r="L228" s="27" t="str">
        <f>_xlfn.XLOOKUP(Squads[[#This Row],[Current Club]],Clubs[Current Club],Clubs[Club_ID])</f>
        <v>GER-11</v>
      </c>
      <c r="M228" s="27" t="str">
        <f>_xlfn.XLOOKUP(Squads[[#This Row],[National Team]],Football_Associations[Football Association],Football_Associations[World Cup Result])</f>
        <v>Group stage</v>
      </c>
      <c r="N22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29" spans="1:14" ht="15" customHeight="1" x14ac:dyDescent="0.25">
      <c r="A229" s="33">
        <f t="shared" si="3"/>
        <v>1228</v>
      </c>
      <c r="B229" s="23" t="s">
        <v>16</v>
      </c>
      <c r="C229" s="23" t="str">
        <f>VLOOKUP(Squads[[#This Row],[National Team]],Qualified[],3,TRUE)</f>
        <v>Denmark (DEN)</v>
      </c>
      <c r="D229" s="25">
        <v>20</v>
      </c>
      <c r="E229" s="23" t="s">
        <v>146</v>
      </c>
      <c r="F229" s="23" t="s">
        <v>482</v>
      </c>
      <c r="G229" s="26">
        <v>34500</v>
      </c>
      <c r="H229" s="65">
        <f>DATEDIF(Squads[[#This Row],[Date Of Birth]],World_Cup_Start_Date,"Y")</f>
        <v>28</v>
      </c>
      <c r="I229" s="27">
        <v>68</v>
      </c>
      <c r="J229" s="27">
        <v>11</v>
      </c>
      <c r="K229" s="78" t="s">
        <v>1678</v>
      </c>
      <c r="L229" s="27" t="str">
        <f>_xlfn.XLOOKUP(Squads[[#This Row],[Current Club]],Clubs[Current Club],Clubs[Club_ID])</f>
        <v>GER-04</v>
      </c>
      <c r="M229" s="27" t="str">
        <f>_xlfn.XLOOKUP(Squads[[#This Row],[National Team]],Football_Associations[Football Association],Football_Associations[World Cup Result])</f>
        <v>Group stage</v>
      </c>
      <c r="N22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30" spans="1:14" ht="15" customHeight="1" x14ac:dyDescent="0.25">
      <c r="A230" s="33">
        <f t="shared" si="3"/>
        <v>1229</v>
      </c>
      <c r="B230" s="23" t="s">
        <v>16</v>
      </c>
      <c r="C230" s="23" t="str">
        <f>VLOOKUP(Squads[[#This Row],[National Team]],Qualified[],3,TRUE)</f>
        <v>Denmark (DEN)</v>
      </c>
      <c r="D230" s="25">
        <v>21</v>
      </c>
      <c r="E230" s="23" t="s">
        <v>146</v>
      </c>
      <c r="F230" s="23" t="s">
        <v>483</v>
      </c>
      <c r="G230" s="26">
        <v>34044</v>
      </c>
      <c r="H230" s="65">
        <f>DATEDIF(Squads[[#This Row],[Date Of Birth]],World_Cup_Start_Date,"Y")</f>
        <v>29</v>
      </c>
      <c r="I230" s="27">
        <v>41</v>
      </c>
      <c r="J230" s="27">
        <v>9</v>
      </c>
      <c r="K230" s="78" t="s">
        <v>1728</v>
      </c>
      <c r="L230" s="27" t="str">
        <f>_xlfn.XLOOKUP(Squads[[#This Row],[Current Club]],Clubs[Current Club],Clubs[Club_ID])</f>
        <v>DEN-01</v>
      </c>
      <c r="M230" s="27" t="str">
        <f>_xlfn.XLOOKUP(Squads[[#This Row],[National Team]],Football_Associations[Football Association],Football_Associations[World Cup Result])</f>
        <v>Group stage</v>
      </c>
      <c r="N23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31" spans="1:14" ht="15" customHeight="1" x14ac:dyDescent="0.25">
      <c r="A231" s="33">
        <f t="shared" si="3"/>
        <v>1230</v>
      </c>
      <c r="B231" s="23" t="s">
        <v>16</v>
      </c>
      <c r="C231" s="23" t="str">
        <f>VLOOKUP(Squads[[#This Row],[National Team]],Qualified[],3,TRUE)</f>
        <v>Denmark (DEN)</v>
      </c>
      <c r="D231" s="25">
        <v>22</v>
      </c>
      <c r="E231" s="23" t="s">
        <v>133</v>
      </c>
      <c r="F231" s="23" t="s">
        <v>484</v>
      </c>
      <c r="G231" s="26">
        <v>33820</v>
      </c>
      <c r="H231" s="65">
        <f>DATEDIF(Squads[[#This Row],[Date Of Birth]],World_Cup_Start_Date,"Y")</f>
        <v>30</v>
      </c>
      <c r="I231" s="27">
        <v>8</v>
      </c>
      <c r="J231" s="27">
        <v>0</v>
      </c>
      <c r="K231" s="78" t="s">
        <v>1939</v>
      </c>
      <c r="L231" s="27" t="str">
        <f>_xlfn.XLOOKUP(Squads[[#This Row],[Current Club]],Clubs[Current Club],Clubs[Club_ID])</f>
        <v>GER-20</v>
      </c>
      <c r="M231" s="27" t="str">
        <f>_xlfn.XLOOKUP(Squads[[#This Row],[National Team]],Football_Associations[Football Association],Football_Associations[World Cup Result])</f>
        <v>Group stage</v>
      </c>
      <c r="N23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32" spans="1:14" ht="15" customHeight="1" x14ac:dyDescent="0.25">
      <c r="A232" s="33">
        <f t="shared" si="3"/>
        <v>1231</v>
      </c>
      <c r="B232" s="23" t="s">
        <v>16</v>
      </c>
      <c r="C232" s="23" t="str">
        <f>VLOOKUP(Squads[[#This Row],[National Team]],Qualified[],3,TRUE)</f>
        <v>Denmark (DEN)</v>
      </c>
      <c r="D232" s="25">
        <v>23</v>
      </c>
      <c r="E232" s="23" t="s">
        <v>139</v>
      </c>
      <c r="F232" s="23" t="s">
        <v>485</v>
      </c>
      <c r="G232" s="26">
        <v>34916</v>
      </c>
      <c r="H232" s="65">
        <f>DATEDIF(Squads[[#This Row],[Date Of Birth]],World_Cup_Start_Date,"Y")</f>
        <v>27</v>
      </c>
      <c r="I232" s="27">
        <v>60</v>
      </c>
      <c r="J232" s="27">
        <v>5</v>
      </c>
      <c r="K232" s="78" t="s">
        <v>1666</v>
      </c>
      <c r="L232" s="27" t="str">
        <f>_xlfn.XLOOKUP(Squads[[#This Row],[Current Club]],Clubs[Current Club],Clubs[Club_ID])</f>
        <v>ENG-04</v>
      </c>
      <c r="M232" s="27" t="str">
        <f>_xlfn.XLOOKUP(Squads[[#This Row],[National Team]],Football_Associations[Football Association],Football_Associations[World Cup Result])</f>
        <v>Group stage</v>
      </c>
      <c r="N23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33" spans="1:14" ht="15" customHeight="1" x14ac:dyDescent="0.25">
      <c r="A233" s="33">
        <f t="shared" si="3"/>
        <v>1232</v>
      </c>
      <c r="B233" s="23" t="s">
        <v>16</v>
      </c>
      <c r="C233" s="23" t="str">
        <f>VLOOKUP(Squads[[#This Row],[National Team]],Qualified[],3,TRUE)</f>
        <v>Denmark (DEN)</v>
      </c>
      <c r="D233" s="25">
        <v>24</v>
      </c>
      <c r="E233" s="23" t="s">
        <v>139</v>
      </c>
      <c r="F233" s="23" t="s">
        <v>486</v>
      </c>
      <c r="G233" s="26">
        <v>35205</v>
      </c>
      <c r="H233" s="65">
        <f>DATEDIF(Squads[[#This Row],[Date Of Birth]],World_Cup_Start_Date,"Y")</f>
        <v>26</v>
      </c>
      <c r="I233" s="27">
        <v>11</v>
      </c>
      <c r="J233" s="27">
        <v>5</v>
      </c>
      <c r="K233" s="78" t="s">
        <v>1754</v>
      </c>
      <c r="L233" s="27" t="str">
        <f>_xlfn.XLOOKUP(Squads[[#This Row],[Current Club]],Clubs[Current Club],Clubs[Club_ID])</f>
        <v>GER-12</v>
      </c>
      <c r="M233" s="27" t="str">
        <f>_xlfn.XLOOKUP(Squads[[#This Row],[National Team]],Football_Associations[Football Association],Football_Associations[World Cup Result])</f>
        <v>Group stage</v>
      </c>
      <c r="N23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34" spans="1:14" ht="15" customHeight="1" x14ac:dyDescent="0.25">
      <c r="A234" s="33">
        <f t="shared" si="3"/>
        <v>1233</v>
      </c>
      <c r="B234" s="23" t="s">
        <v>16</v>
      </c>
      <c r="C234" s="23" t="str">
        <f>VLOOKUP(Squads[[#This Row],[National Team]],Qualified[],3,TRUE)</f>
        <v>Denmark (DEN)</v>
      </c>
      <c r="D234" s="25">
        <v>25</v>
      </c>
      <c r="E234" s="23" t="s">
        <v>139</v>
      </c>
      <c r="F234" s="23" t="s">
        <v>487</v>
      </c>
      <c r="G234" s="26">
        <v>36585</v>
      </c>
      <c r="H234" s="65">
        <f>DATEDIF(Squads[[#This Row],[Date Of Birth]],World_Cup_Start_Date,"Y")</f>
        <v>22</v>
      </c>
      <c r="I234" s="27">
        <v>6</v>
      </c>
      <c r="J234" s="27">
        <v>1</v>
      </c>
      <c r="K234" s="78" t="s">
        <v>1674</v>
      </c>
      <c r="L234" s="27" t="str">
        <f>_xlfn.XLOOKUP(Squads[[#This Row],[Current Club]],Clubs[Current Club],Clubs[Club_ID])</f>
        <v>GER-03</v>
      </c>
      <c r="M234" s="27" t="str">
        <f>_xlfn.XLOOKUP(Squads[[#This Row],[National Team]],Football_Associations[Football Association],Football_Associations[World Cup Result])</f>
        <v>Group stage</v>
      </c>
      <c r="N23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35" spans="1:14" ht="15" customHeight="1" x14ac:dyDescent="0.25">
      <c r="A235" s="33">
        <f t="shared" si="3"/>
        <v>1234</v>
      </c>
      <c r="B235" s="23" t="s">
        <v>16</v>
      </c>
      <c r="C235" s="23" t="str">
        <f>VLOOKUP(Squads[[#This Row],[National Team]],Qualified[],3,TRUE)</f>
        <v>Denmark (DEN)</v>
      </c>
      <c r="D235" s="25">
        <v>26</v>
      </c>
      <c r="E235" s="23" t="s">
        <v>135</v>
      </c>
      <c r="F235" s="23" t="s">
        <v>488</v>
      </c>
      <c r="G235" s="26">
        <v>35773</v>
      </c>
      <c r="H235" s="65">
        <f>DATEDIF(Squads[[#This Row],[Date Of Birth]],World_Cup_Start_Date,"Y")</f>
        <v>24</v>
      </c>
      <c r="I235" s="27">
        <v>4</v>
      </c>
      <c r="J235" s="27">
        <v>1</v>
      </c>
      <c r="K235" s="78" t="s">
        <v>1679</v>
      </c>
      <c r="L235" s="27" t="str">
        <f>_xlfn.XLOOKUP(Squads[[#This Row],[Current Club]],Clubs[Current Club],Clubs[Club_ID])</f>
        <v>POR-01</v>
      </c>
      <c r="M235" s="27" t="str">
        <f>_xlfn.XLOOKUP(Squads[[#This Row],[National Team]],Football_Associations[Football Association],Football_Associations[World Cup Result])</f>
        <v>Group stage</v>
      </c>
      <c r="N23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36" spans="1:14" ht="15" customHeight="1" x14ac:dyDescent="0.25">
      <c r="A236" s="33">
        <f t="shared" si="3"/>
        <v>1235</v>
      </c>
      <c r="B236" s="23" t="s">
        <v>9</v>
      </c>
      <c r="C236" s="23" t="str">
        <f>VLOOKUP(Squads[[#This Row],[National Team]],Qualified[],3,TRUE)</f>
        <v>Ecuador (ECU)</v>
      </c>
      <c r="D236" s="25">
        <v>1</v>
      </c>
      <c r="E236" s="23" t="s">
        <v>133</v>
      </c>
      <c r="F236" s="23" t="s">
        <v>134</v>
      </c>
      <c r="G236" s="26">
        <v>31866</v>
      </c>
      <c r="H236" s="65">
        <f>DATEDIF(Squads[[#This Row],[Date Of Birth]],World_Cup_Start_Date,"Y")</f>
        <v>35</v>
      </c>
      <c r="I236" s="27">
        <v>12</v>
      </c>
      <c r="J236" s="27">
        <v>0</v>
      </c>
      <c r="K236" s="78" t="s">
        <v>1828</v>
      </c>
      <c r="L236" s="27" t="str">
        <f>_xlfn.XLOOKUP(Squads[[#This Row],[Current Club]],Clubs[Current Club],Clubs[Club_ID])</f>
        <v>ECU-01</v>
      </c>
      <c r="M236" s="27" t="str">
        <f>_xlfn.XLOOKUP(Squads[[#This Row],[National Team]],Football_Associations[Football Association],Football_Associations[World Cup Result])</f>
        <v>Group stage</v>
      </c>
      <c r="N23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37" spans="1:14" ht="15" customHeight="1" x14ac:dyDescent="0.25">
      <c r="A237" s="33">
        <f t="shared" si="3"/>
        <v>1236</v>
      </c>
      <c r="B237" s="23" t="s">
        <v>9</v>
      </c>
      <c r="C237" s="23" t="str">
        <f>VLOOKUP(Squads[[#This Row],[National Team]],Qualified[],3,TRUE)</f>
        <v>Ecuador (ECU)</v>
      </c>
      <c r="D237" s="25">
        <v>2</v>
      </c>
      <c r="E237" s="23" t="s">
        <v>135</v>
      </c>
      <c r="F237" s="23" t="s">
        <v>136</v>
      </c>
      <c r="G237" s="26">
        <v>35441</v>
      </c>
      <c r="H237" s="65">
        <f>DATEDIF(Squads[[#This Row],[Date Of Birth]],World_Cup_Start_Date,"Y")</f>
        <v>25</v>
      </c>
      <c r="I237" s="27">
        <v>17</v>
      </c>
      <c r="J237" s="27">
        <v>2</v>
      </c>
      <c r="K237" s="78" t="s">
        <v>1799</v>
      </c>
      <c r="L237" s="27" t="str">
        <f>_xlfn.XLOOKUP(Squads[[#This Row],[Current Club]],Clubs[Current Club],Clubs[Club_ID])</f>
        <v>MEX-07</v>
      </c>
      <c r="M237" s="27" t="str">
        <f>_xlfn.XLOOKUP(Squads[[#This Row],[National Team]],Football_Associations[Football Association],Football_Associations[World Cup Result])</f>
        <v>Group stage</v>
      </c>
      <c r="N23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38" spans="1:14" ht="15" customHeight="1" x14ac:dyDescent="0.25">
      <c r="A238" s="33">
        <f t="shared" si="3"/>
        <v>1237</v>
      </c>
      <c r="B238" s="23" t="s">
        <v>9</v>
      </c>
      <c r="C238" s="23" t="str">
        <f>VLOOKUP(Squads[[#This Row],[National Team]],Qualified[],3,TRUE)</f>
        <v>Ecuador (ECU)</v>
      </c>
      <c r="D238" s="25">
        <v>3</v>
      </c>
      <c r="E238" s="23" t="s">
        <v>135</v>
      </c>
      <c r="F238" s="23" t="s">
        <v>137</v>
      </c>
      <c r="G238" s="26">
        <v>37265</v>
      </c>
      <c r="H238" s="65">
        <f>DATEDIF(Squads[[#This Row],[Date Of Birth]],World_Cup_Start_Date,"Y")</f>
        <v>20</v>
      </c>
      <c r="I238" s="27">
        <v>21</v>
      </c>
      <c r="J238" s="27">
        <v>1</v>
      </c>
      <c r="K238" s="78" t="s">
        <v>1707</v>
      </c>
      <c r="L238" s="27" t="str">
        <f>_xlfn.XLOOKUP(Squads[[#This Row],[Current Club]],Clubs[Current Club],Clubs[Club_ID])</f>
        <v>GER-07</v>
      </c>
      <c r="M238" s="27" t="str">
        <f>_xlfn.XLOOKUP(Squads[[#This Row],[National Team]],Football_Associations[Football Association],Football_Associations[World Cup Result])</f>
        <v>Group stage</v>
      </c>
      <c r="N23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39" spans="1:14" ht="15" customHeight="1" x14ac:dyDescent="0.25">
      <c r="A239" s="33">
        <f t="shared" si="3"/>
        <v>1238</v>
      </c>
      <c r="B239" s="23" t="s">
        <v>9</v>
      </c>
      <c r="C239" s="23" t="str">
        <f>VLOOKUP(Squads[[#This Row],[National Team]],Qualified[],3,TRUE)</f>
        <v>Ecuador (ECU)</v>
      </c>
      <c r="D239" s="25">
        <v>4</v>
      </c>
      <c r="E239" s="23" t="s">
        <v>135</v>
      </c>
      <c r="F239" s="23" t="s">
        <v>138</v>
      </c>
      <c r="G239" s="26">
        <v>33533</v>
      </c>
      <c r="H239" s="65">
        <f>DATEDIF(Squads[[#This Row],[Date Of Birth]],World_Cup_Start_Date,"Y")</f>
        <v>31</v>
      </c>
      <c r="I239" s="27">
        <v>33</v>
      </c>
      <c r="J239" s="27">
        <v>2</v>
      </c>
      <c r="K239" s="78" t="s">
        <v>1919</v>
      </c>
      <c r="L239" s="27" t="str">
        <f>_xlfn.XLOOKUP(Squads[[#This Row],[Current Club]],Clubs[Current Club],Clubs[Club_ID])</f>
        <v>BRA-04</v>
      </c>
      <c r="M239" s="27" t="str">
        <f>_xlfn.XLOOKUP(Squads[[#This Row],[National Team]],Football_Associations[Football Association],Football_Associations[World Cup Result])</f>
        <v>Group stage</v>
      </c>
      <c r="N23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40" spans="1:14" ht="15" customHeight="1" x14ac:dyDescent="0.25">
      <c r="A240" s="33">
        <f t="shared" si="3"/>
        <v>1239</v>
      </c>
      <c r="B240" s="23" t="s">
        <v>9</v>
      </c>
      <c r="C240" s="23" t="str">
        <f>VLOOKUP(Squads[[#This Row],[National Team]],Qualified[],3,TRUE)</f>
        <v>Ecuador (ECU)</v>
      </c>
      <c r="D240" s="25">
        <v>5</v>
      </c>
      <c r="E240" s="23" t="s">
        <v>139</v>
      </c>
      <c r="F240" s="23" t="s">
        <v>140</v>
      </c>
      <c r="G240" s="26">
        <v>36231</v>
      </c>
      <c r="H240" s="65">
        <f>DATEDIF(Squads[[#This Row],[Date Of Birth]],World_Cup_Start_Date,"Y")</f>
        <v>23</v>
      </c>
      <c r="I240" s="27">
        <v>11</v>
      </c>
      <c r="J240" s="27">
        <v>0</v>
      </c>
      <c r="K240" s="78" t="s">
        <v>1693</v>
      </c>
      <c r="L240" s="27" t="str">
        <f>_xlfn.XLOOKUP(Squads[[#This Row],[Current Club]],Clubs[Current Club],Clubs[Club_ID])</f>
        <v>USA-02</v>
      </c>
      <c r="M240" s="27" t="str">
        <f>_xlfn.XLOOKUP(Squads[[#This Row],[National Team]],Football_Associations[Football Association],Football_Associations[World Cup Result])</f>
        <v>Group stage</v>
      </c>
      <c r="N24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41" spans="1:14" ht="15" customHeight="1" x14ac:dyDescent="0.25">
      <c r="A241" s="33">
        <f t="shared" si="3"/>
        <v>1240</v>
      </c>
      <c r="B241" s="23" t="s">
        <v>9</v>
      </c>
      <c r="C241" s="23" t="str">
        <f>VLOOKUP(Squads[[#This Row],[National Team]],Qualified[],3,TRUE)</f>
        <v>Ecuador (ECU)</v>
      </c>
      <c r="D241" s="25">
        <v>6</v>
      </c>
      <c r="E241" s="23" t="s">
        <v>135</v>
      </c>
      <c r="F241" s="23" t="s">
        <v>141</v>
      </c>
      <c r="G241" s="26">
        <v>37180</v>
      </c>
      <c r="H241" s="65">
        <f>DATEDIF(Squads[[#This Row],[Date Of Birth]],World_Cup_Start_Date,"Y")</f>
        <v>21</v>
      </c>
      <c r="I241" s="27">
        <v>0</v>
      </c>
      <c r="J241" s="27">
        <v>0</v>
      </c>
      <c r="K241" s="78" t="s">
        <v>1725</v>
      </c>
      <c r="L241" s="27" t="str">
        <f>_xlfn.XLOOKUP(Squads[[#This Row],[Current Club]],Clubs[Current Club],Clubs[Club_ID])</f>
        <v>BEL-02</v>
      </c>
      <c r="M241" s="27" t="str">
        <f>_xlfn.XLOOKUP(Squads[[#This Row],[National Team]],Football_Associations[Football Association],Football_Associations[World Cup Result])</f>
        <v>Group stage</v>
      </c>
      <c r="N24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42" spans="1:14" ht="15" customHeight="1" x14ac:dyDescent="0.25">
      <c r="A242" s="33">
        <f t="shared" si="3"/>
        <v>1241</v>
      </c>
      <c r="B242" s="23" t="s">
        <v>9</v>
      </c>
      <c r="C242" s="23" t="str">
        <f>VLOOKUP(Squads[[#This Row],[National Team]],Qualified[],3,TRUE)</f>
        <v>Ecuador (ECU)</v>
      </c>
      <c r="D242" s="25">
        <v>7</v>
      </c>
      <c r="E242" s="23" t="s">
        <v>135</v>
      </c>
      <c r="F242" s="23" t="s">
        <v>142</v>
      </c>
      <c r="G242" s="26">
        <v>35816</v>
      </c>
      <c r="H242" s="65">
        <f>DATEDIF(Squads[[#This Row],[Date Of Birth]],World_Cup_Start_Date,"Y")</f>
        <v>24</v>
      </c>
      <c r="I242" s="27">
        <v>28</v>
      </c>
      <c r="J242" s="27">
        <v>3</v>
      </c>
      <c r="K242" s="78" t="s">
        <v>1669</v>
      </c>
      <c r="L242" s="27" t="str">
        <f>_xlfn.XLOOKUP(Squads[[#This Row],[Current Club]],Clubs[Current Club],Clubs[Club_ID])</f>
        <v>ENG-06</v>
      </c>
      <c r="M242" s="27" t="str">
        <f>_xlfn.XLOOKUP(Squads[[#This Row],[National Team]],Football_Associations[Football Association],Football_Associations[World Cup Result])</f>
        <v>Group stage</v>
      </c>
      <c r="N24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43" spans="1:14" ht="15" customHeight="1" x14ac:dyDescent="0.25">
      <c r="A243" s="33">
        <f t="shared" si="3"/>
        <v>1242</v>
      </c>
      <c r="B243" s="23" t="s">
        <v>9</v>
      </c>
      <c r="C243" s="23" t="str">
        <f>VLOOKUP(Squads[[#This Row],[National Team]],Qualified[],3,TRUE)</f>
        <v>Ecuador (ECU)</v>
      </c>
      <c r="D243" s="25">
        <v>8</v>
      </c>
      <c r="E243" s="23" t="s">
        <v>139</v>
      </c>
      <c r="F243" s="23" t="s">
        <v>143</v>
      </c>
      <c r="G243" s="26">
        <v>34808</v>
      </c>
      <c r="H243" s="65">
        <f>DATEDIF(Squads[[#This Row],[Date Of Birth]],World_Cup_Start_Date,"Y")</f>
        <v>27</v>
      </c>
      <c r="I243" s="27">
        <v>46</v>
      </c>
      <c r="J243" s="27">
        <v>1</v>
      </c>
      <c r="K243" s="78" t="s">
        <v>1732</v>
      </c>
      <c r="L243" s="27" t="str">
        <f>_xlfn.XLOOKUP(Squads[[#This Row],[Current Club]],Clubs[Current Club],Clubs[Club_ID])</f>
        <v>GER-08</v>
      </c>
      <c r="M243" s="27" t="str">
        <f>_xlfn.XLOOKUP(Squads[[#This Row],[National Team]],Football_Associations[Football Association],Football_Associations[World Cup Result])</f>
        <v>Group stage</v>
      </c>
      <c r="N24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44" spans="1:14" ht="15" customHeight="1" x14ac:dyDescent="0.25">
      <c r="A244" s="33">
        <f t="shared" si="3"/>
        <v>1243</v>
      </c>
      <c r="B244" s="23" t="s">
        <v>9</v>
      </c>
      <c r="C244" s="23" t="str">
        <f>VLOOKUP(Squads[[#This Row],[National Team]],Qualified[],3,TRUE)</f>
        <v>Ecuador (ECU)</v>
      </c>
      <c r="D244" s="25">
        <v>9</v>
      </c>
      <c r="E244" s="23" t="s">
        <v>139</v>
      </c>
      <c r="F244" s="23" t="s">
        <v>144</v>
      </c>
      <c r="G244" s="26">
        <v>34532</v>
      </c>
      <c r="H244" s="65">
        <f>DATEDIF(Squads[[#This Row],[Date Of Birth]],World_Cup_Start_Date,"Y")</f>
        <v>28</v>
      </c>
      <c r="I244" s="27">
        <v>27</v>
      </c>
      <c r="J244" s="27">
        <v>3</v>
      </c>
      <c r="K244" s="78" t="s">
        <v>1799</v>
      </c>
      <c r="L244" s="27" t="str">
        <f>_xlfn.XLOOKUP(Squads[[#This Row],[Current Club]],Clubs[Current Club],Clubs[Club_ID])</f>
        <v>MEX-07</v>
      </c>
      <c r="M244" s="27" t="str">
        <f>_xlfn.XLOOKUP(Squads[[#This Row],[National Team]],Football_Associations[Football Association],Football_Associations[World Cup Result])</f>
        <v>Group stage</v>
      </c>
      <c r="N24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45" spans="1:14" ht="15" customHeight="1" x14ac:dyDescent="0.25">
      <c r="A245" s="33">
        <f t="shared" si="3"/>
        <v>1244</v>
      </c>
      <c r="B245" s="23" t="s">
        <v>9</v>
      </c>
      <c r="C245" s="23" t="str">
        <f>VLOOKUP(Squads[[#This Row],[National Team]],Qualified[],3,TRUE)</f>
        <v>Ecuador (ECU)</v>
      </c>
      <c r="D245" s="25">
        <v>10</v>
      </c>
      <c r="E245" s="23" t="s">
        <v>139</v>
      </c>
      <c r="F245" s="23" t="s">
        <v>145</v>
      </c>
      <c r="G245" s="26">
        <v>34601</v>
      </c>
      <c r="H245" s="65">
        <f>DATEDIF(Squads[[#This Row],[Date Of Birth]],World_Cup_Start_Date,"Y")</f>
        <v>28</v>
      </c>
      <c r="I245" s="27">
        <v>25</v>
      </c>
      <c r="J245" s="27">
        <v>3</v>
      </c>
      <c r="K245" s="78" t="s">
        <v>1741</v>
      </c>
      <c r="L245" s="27" t="str">
        <f>_xlfn.XLOOKUP(Squads[[#This Row],[Current Club]],Clubs[Current Club],Clubs[Club_ID])</f>
        <v>MEX-05</v>
      </c>
      <c r="M245" s="27" t="str">
        <f>_xlfn.XLOOKUP(Squads[[#This Row],[National Team]],Football_Associations[Football Association],Football_Associations[World Cup Result])</f>
        <v>Group stage</v>
      </c>
      <c r="N24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46" spans="1:14" ht="15" customHeight="1" x14ac:dyDescent="0.25">
      <c r="A246" s="33">
        <f t="shared" si="3"/>
        <v>1245</v>
      </c>
      <c r="B246" s="23" t="s">
        <v>9</v>
      </c>
      <c r="C246" s="23" t="str">
        <f>VLOOKUP(Squads[[#This Row],[National Team]],Qualified[],3,TRUE)</f>
        <v>Ecuador (ECU)</v>
      </c>
      <c r="D246" s="25">
        <v>11</v>
      </c>
      <c r="E246" s="23" t="s">
        <v>146</v>
      </c>
      <c r="F246" s="23" t="s">
        <v>147</v>
      </c>
      <c r="G246" s="26">
        <v>35162</v>
      </c>
      <c r="H246" s="65">
        <f>DATEDIF(Squads[[#This Row],[Date Of Birth]],World_Cup_Start_Date,"Y")</f>
        <v>26</v>
      </c>
      <c r="I246" s="27">
        <v>36</v>
      </c>
      <c r="J246" s="27">
        <v>8</v>
      </c>
      <c r="K246" s="78" t="s">
        <v>1729</v>
      </c>
      <c r="L246" s="27" t="str">
        <f>_xlfn.XLOOKUP(Squads[[#This Row],[Current Club]],Clubs[Current Club],Clubs[Club_ID])</f>
        <v>MEX-03</v>
      </c>
      <c r="M246" s="27" t="str">
        <f>_xlfn.XLOOKUP(Squads[[#This Row],[National Team]],Football_Associations[Football Association],Football_Associations[World Cup Result])</f>
        <v>Group stage</v>
      </c>
      <c r="N24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47" spans="1:14" ht="15" customHeight="1" x14ac:dyDescent="0.25">
      <c r="A247" s="33">
        <f t="shared" si="3"/>
        <v>1246</v>
      </c>
      <c r="B247" s="23" t="s">
        <v>9</v>
      </c>
      <c r="C247" s="23" t="str">
        <f>VLOOKUP(Squads[[#This Row],[National Team]],Qualified[],3,TRUE)</f>
        <v>Ecuador (ECU)</v>
      </c>
      <c r="D247" s="25">
        <v>12</v>
      </c>
      <c r="E247" s="23" t="s">
        <v>133</v>
      </c>
      <c r="F247" s="23" t="s">
        <v>148</v>
      </c>
      <c r="G247" s="26">
        <v>36778</v>
      </c>
      <c r="H247" s="65">
        <f>DATEDIF(Squads[[#This Row],[Date Of Birth]],World_Cup_Start_Date,"Y")</f>
        <v>22</v>
      </c>
      <c r="I247" s="27">
        <v>2</v>
      </c>
      <c r="J247" s="27">
        <v>0</v>
      </c>
      <c r="K247" s="78" t="s">
        <v>1877</v>
      </c>
      <c r="L247" s="27" t="str">
        <f>_xlfn.XLOOKUP(Squads[[#This Row],[Current Club]],Clubs[Current Club],Clubs[Club_ID])</f>
        <v>ECU-03</v>
      </c>
      <c r="M247" s="27" t="str">
        <f>_xlfn.XLOOKUP(Squads[[#This Row],[National Team]],Football_Associations[Football Association],Football_Associations[World Cup Result])</f>
        <v>Group stage</v>
      </c>
      <c r="N24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48" spans="1:14" ht="15" customHeight="1" x14ac:dyDescent="0.25">
      <c r="A248" s="33">
        <f t="shared" si="3"/>
        <v>1247</v>
      </c>
      <c r="B248" s="23" t="s">
        <v>9</v>
      </c>
      <c r="C248" s="23" t="str">
        <f>VLOOKUP(Squads[[#This Row],[National Team]],Qualified[],3,TRUE)</f>
        <v>Ecuador (ECU)</v>
      </c>
      <c r="D248" s="25">
        <v>13</v>
      </c>
      <c r="E248" s="23" t="s">
        <v>146</v>
      </c>
      <c r="F248" s="27" t="s">
        <v>944</v>
      </c>
      <c r="G248" s="26">
        <v>32816</v>
      </c>
      <c r="H248" s="65">
        <f>DATEDIF(Squads[[#This Row],[Date Of Birth]],World_Cup_Start_Date,"Y")</f>
        <v>33</v>
      </c>
      <c r="I248" s="27">
        <v>74</v>
      </c>
      <c r="J248" s="27">
        <v>35</v>
      </c>
      <c r="K248" s="78" t="s">
        <v>1778</v>
      </c>
      <c r="L248" s="27" t="str">
        <f>_xlfn.XLOOKUP(Squads[[#This Row],[Current Club]],Clubs[Current Club],Clubs[Club_ID])</f>
        <v>TUR-03</v>
      </c>
      <c r="M248" s="27" t="str">
        <f>_xlfn.XLOOKUP(Squads[[#This Row],[National Team]],Football_Associations[Football Association],Football_Associations[World Cup Result])</f>
        <v>Group stage</v>
      </c>
      <c r="N24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49" spans="1:14" ht="15" customHeight="1" x14ac:dyDescent="0.25">
      <c r="A249" s="33">
        <f t="shared" si="3"/>
        <v>1248</v>
      </c>
      <c r="B249" s="23" t="s">
        <v>9</v>
      </c>
      <c r="C249" s="23" t="str">
        <f>VLOOKUP(Squads[[#This Row],[National Team]],Qualified[],3,TRUE)</f>
        <v>Ecuador (ECU)</v>
      </c>
      <c r="D249" s="25">
        <v>14</v>
      </c>
      <c r="E249" s="23" t="s">
        <v>135</v>
      </c>
      <c r="F249" s="23" t="s">
        <v>149</v>
      </c>
      <c r="G249" s="26">
        <v>34605</v>
      </c>
      <c r="H249" s="65">
        <f>DATEDIF(Squads[[#This Row],[Date Of Birth]],World_Cup_Start_Date,"Y")</f>
        <v>28</v>
      </c>
      <c r="I249" s="27">
        <v>18</v>
      </c>
      <c r="J249" s="27">
        <v>1</v>
      </c>
      <c r="K249" s="78" t="s">
        <v>1719</v>
      </c>
      <c r="L249" s="27" t="str">
        <f>_xlfn.XLOOKUP(Squads[[#This Row],[Current Club]],Clubs[Current Club],Clubs[Club_ID])</f>
        <v>USA-03</v>
      </c>
      <c r="M249" s="27" t="str">
        <f>_xlfn.XLOOKUP(Squads[[#This Row],[National Team]],Football_Associations[Football Association],Football_Associations[World Cup Result])</f>
        <v>Group stage</v>
      </c>
      <c r="N24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50" spans="1:14" ht="15" customHeight="1" x14ac:dyDescent="0.25">
      <c r="A250" s="33">
        <f t="shared" si="3"/>
        <v>1249</v>
      </c>
      <c r="B250" s="23" t="s">
        <v>9</v>
      </c>
      <c r="C250" s="23" t="str">
        <f>VLOOKUP(Squads[[#This Row],[National Team]],Qualified[],3,TRUE)</f>
        <v>Ecuador (ECU)</v>
      </c>
      <c r="D250" s="25">
        <v>15</v>
      </c>
      <c r="E250" s="23" t="s">
        <v>139</v>
      </c>
      <c r="F250" s="23" t="s">
        <v>150</v>
      </c>
      <c r="G250" s="26">
        <v>32163</v>
      </c>
      <c r="H250" s="65">
        <f>DATEDIF(Squads[[#This Row],[Date Of Birth]],World_Cup_Start_Date,"Y")</f>
        <v>34</v>
      </c>
      <c r="I250" s="27">
        <v>46</v>
      </c>
      <c r="J250" s="27">
        <v>7</v>
      </c>
      <c r="K250" s="78" t="s">
        <v>1738</v>
      </c>
      <c r="L250" s="27" t="str">
        <f>_xlfn.XLOOKUP(Squads[[#This Row],[Current Club]],Clubs[Current Club],Clubs[Club_ID])</f>
        <v>MEX-04</v>
      </c>
      <c r="M250" s="27" t="str">
        <f>_xlfn.XLOOKUP(Squads[[#This Row],[National Team]],Football_Associations[Football Association],Football_Associations[World Cup Result])</f>
        <v>Group stage</v>
      </c>
      <c r="N25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51" spans="1:14" ht="15" customHeight="1" x14ac:dyDescent="0.25">
      <c r="A251" s="33">
        <f t="shared" si="3"/>
        <v>1250</v>
      </c>
      <c r="B251" s="23" t="s">
        <v>9</v>
      </c>
      <c r="C251" s="23" t="str">
        <f>VLOOKUP(Squads[[#This Row],[National Team]],Qualified[],3,TRUE)</f>
        <v>Ecuador (ECU)</v>
      </c>
      <c r="D251" s="25">
        <v>16</v>
      </c>
      <c r="E251" s="23" t="s">
        <v>139</v>
      </c>
      <c r="F251" s="23" t="s">
        <v>151</v>
      </c>
      <c r="G251" s="26">
        <v>37423</v>
      </c>
      <c r="H251" s="65">
        <f>DATEDIF(Squads[[#This Row],[Date Of Birth]],World_Cup_Start_Date,"Y")</f>
        <v>20</v>
      </c>
      <c r="I251" s="27">
        <v>9</v>
      </c>
      <c r="J251" s="27">
        <v>0</v>
      </c>
      <c r="K251" s="78" t="s">
        <v>1669</v>
      </c>
      <c r="L251" s="27" t="str">
        <f>_xlfn.XLOOKUP(Squads[[#This Row],[Current Club]],Clubs[Current Club],Clubs[Club_ID])</f>
        <v>ENG-06</v>
      </c>
      <c r="M251" s="27" t="str">
        <f>_xlfn.XLOOKUP(Squads[[#This Row],[National Team]],Football_Associations[Football Association],Football_Associations[World Cup Result])</f>
        <v>Group stage</v>
      </c>
      <c r="N25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52" spans="1:14" ht="15" customHeight="1" x14ac:dyDescent="0.25">
      <c r="A252" s="33">
        <f t="shared" si="3"/>
        <v>1251</v>
      </c>
      <c r="B252" s="23" t="s">
        <v>9</v>
      </c>
      <c r="C252" s="23" t="str">
        <f>VLOOKUP(Squads[[#This Row],[National Team]],Qualified[],3,TRUE)</f>
        <v>Ecuador (ECU)</v>
      </c>
      <c r="D252" s="25">
        <v>17</v>
      </c>
      <c r="E252" s="23" t="s">
        <v>135</v>
      </c>
      <c r="F252" s="23" t="s">
        <v>152</v>
      </c>
      <c r="G252" s="26">
        <v>35844</v>
      </c>
      <c r="H252" s="65">
        <f>DATEDIF(Squads[[#This Row],[Date Of Birth]],World_Cup_Start_Date,"Y")</f>
        <v>24</v>
      </c>
      <c r="I252" s="27">
        <v>24</v>
      </c>
      <c r="J252" s="27">
        <v>0</v>
      </c>
      <c r="K252" s="78" t="s">
        <v>1734</v>
      </c>
      <c r="L252" s="27" t="str">
        <f>_xlfn.XLOOKUP(Squads[[#This Row],[Current Club]],Clubs[Current Club],Clubs[Club_ID])</f>
        <v>BEL-03</v>
      </c>
      <c r="M252" s="27" t="str">
        <f>_xlfn.XLOOKUP(Squads[[#This Row],[National Team]],Football_Associations[Football Association],Football_Associations[World Cup Result])</f>
        <v>Group stage</v>
      </c>
      <c r="N25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53" spans="1:14" ht="15" customHeight="1" x14ac:dyDescent="0.25">
      <c r="A253" s="33">
        <f t="shared" si="3"/>
        <v>1252</v>
      </c>
      <c r="B253" s="23" t="s">
        <v>9</v>
      </c>
      <c r="C253" s="23" t="str">
        <f>VLOOKUP(Squads[[#This Row],[National Team]],Qualified[],3,TRUE)</f>
        <v>Ecuador (ECU)</v>
      </c>
      <c r="D253" s="25">
        <v>18</v>
      </c>
      <c r="E253" s="23" t="s">
        <v>135</v>
      </c>
      <c r="F253" s="23" t="s">
        <v>153</v>
      </c>
      <c r="G253" s="26">
        <v>36353</v>
      </c>
      <c r="H253" s="65">
        <f>DATEDIF(Squads[[#This Row],[Date Of Birth]],World_Cup_Start_Date,"Y")</f>
        <v>23</v>
      </c>
      <c r="I253" s="27">
        <v>12</v>
      </c>
      <c r="J253" s="27">
        <v>0</v>
      </c>
      <c r="K253" s="78" t="s">
        <v>1693</v>
      </c>
      <c r="L253" s="27" t="str">
        <f>_xlfn.XLOOKUP(Squads[[#This Row],[Current Club]],Clubs[Current Club],Clubs[Club_ID])</f>
        <v>USA-02</v>
      </c>
      <c r="M253" s="27" t="str">
        <f>_xlfn.XLOOKUP(Squads[[#This Row],[National Team]],Football_Associations[Football Association],Football_Associations[World Cup Result])</f>
        <v>Group stage</v>
      </c>
      <c r="N25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54" spans="1:14" ht="15" customHeight="1" x14ac:dyDescent="0.25">
      <c r="A254" s="33">
        <f t="shared" si="3"/>
        <v>1253</v>
      </c>
      <c r="B254" s="23" t="s">
        <v>9</v>
      </c>
      <c r="C254" s="23" t="str">
        <f>VLOOKUP(Squads[[#This Row],[National Team]],Qualified[],3,TRUE)</f>
        <v>Ecuador (ECU)</v>
      </c>
      <c r="D254" s="25">
        <v>19</v>
      </c>
      <c r="E254" s="23" t="s">
        <v>139</v>
      </c>
      <c r="F254" s="23" t="s">
        <v>154</v>
      </c>
      <c r="G254" s="26">
        <v>36831</v>
      </c>
      <c r="H254" s="65">
        <f>DATEDIF(Squads[[#This Row],[Date Of Birth]],World_Cup_Start_Date,"Y")</f>
        <v>22</v>
      </c>
      <c r="I254" s="27">
        <v>30</v>
      </c>
      <c r="J254" s="27">
        <v>5</v>
      </c>
      <c r="K254" s="78" t="s">
        <v>1808</v>
      </c>
      <c r="L254" s="27" t="str">
        <f>_xlfn.XLOOKUP(Squads[[#This Row],[Current Club]],Clubs[Current Club],Clubs[Club_ID])</f>
        <v>ESP-13</v>
      </c>
      <c r="M254" s="27" t="str">
        <f>_xlfn.XLOOKUP(Squads[[#This Row],[National Team]],Football_Associations[Football Association],Football_Associations[World Cup Result])</f>
        <v>Group stage</v>
      </c>
      <c r="N25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55" spans="1:14" ht="15" customHeight="1" x14ac:dyDescent="0.25">
      <c r="A255" s="33">
        <f t="shared" si="3"/>
        <v>1254</v>
      </c>
      <c r="B255" s="23" t="s">
        <v>9</v>
      </c>
      <c r="C255" s="23" t="str">
        <f>VLOOKUP(Squads[[#This Row],[National Team]],Qualified[],3,TRUE)</f>
        <v>Ecuador (ECU)</v>
      </c>
      <c r="D255" s="25">
        <v>20</v>
      </c>
      <c r="E255" s="23" t="s">
        <v>139</v>
      </c>
      <c r="F255" s="23" t="s">
        <v>1098</v>
      </c>
      <c r="G255" s="26">
        <v>35546</v>
      </c>
      <c r="H255" s="65">
        <f>DATEDIF(Squads[[#This Row],[Date Of Birth]],World_Cup_Start_Date,"Y")</f>
        <v>25</v>
      </c>
      <c r="I255" s="27">
        <v>32</v>
      </c>
      <c r="J255" s="27">
        <v>0</v>
      </c>
      <c r="K255" s="78" t="s">
        <v>1693</v>
      </c>
      <c r="L255" s="27" t="str">
        <f>_xlfn.XLOOKUP(Squads[[#This Row],[Current Club]],Clubs[Current Club],Clubs[Club_ID])</f>
        <v>USA-02</v>
      </c>
      <c r="M255" s="27" t="str">
        <f>_xlfn.XLOOKUP(Squads[[#This Row],[National Team]],Football_Associations[Football Association],Football_Associations[World Cup Result])</f>
        <v>Group stage</v>
      </c>
      <c r="N25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56" spans="1:14" ht="15" customHeight="1" x14ac:dyDescent="0.25">
      <c r="A256" s="33">
        <f t="shared" si="3"/>
        <v>1255</v>
      </c>
      <c r="B256" s="23" t="s">
        <v>9</v>
      </c>
      <c r="C256" s="23" t="str">
        <f>VLOOKUP(Squads[[#This Row],[National Team]],Qualified[],3,TRUE)</f>
        <v>Ecuador (ECU)</v>
      </c>
      <c r="D256" s="25">
        <v>21</v>
      </c>
      <c r="E256" s="23" t="s">
        <v>139</v>
      </c>
      <c r="F256" s="23" t="s">
        <v>155</v>
      </c>
      <c r="G256" s="26">
        <v>36028</v>
      </c>
      <c r="H256" s="65">
        <f>DATEDIF(Squads[[#This Row],[Date Of Birth]],World_Cup_Start_Date,"Y")</f>
        <v>24</v>
      </c>
      <c r="I256" s="27">
        <v>25</v>
      </c>
      <c r="J256" s="27">
        <v>1</v>
      </c>
      <c r="K256" s="78" t="s">
        <v>1935</v>
      </c>
      <c r="L256" s="27" t="str">
        <f>_xlfn.XLOOKUP(Squads[[#This Row],[Current Club]],Clubs[Current Club],Clubs[Club_ID])</f>
        <v>ARG-04</v>
      </c>
      <c r="M256" s="27" t="str">
        <f>_xlfn.XLOOKUP(Squads[[#This Row],[National Team]],Football_Associations[Football Association],Football_Associations[World Cup Result])</f>
        <v>Group stage</v>
      </c>
      <c r="N25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57" spans="1:14" ht="15" customHeight="1" x14ac:dyDescent="0.25">
      <c r="A257" s="33">
        <f t="shared" si="3"/>
        <v>1256</v>
      </c>
      <c r="B257" s="23" t="s">
        <v>9</v>
      </c>
      <c r="C257" s="23" t="str">
        <f>VLOOKUP(Squads[[#This Row],[National Team]],Qualified[],3,TRUE)</f>
        <v>Ecuador (ECU)</v>
      </c>
      <c r="D257" s="25">
        <v>22</v>
      </c>
      <c r="E257" s="23" t="s">
        <v>133</v>
      </c>
      <c r="F257" s="23" t="s">
        <v>156</v>
      </c>
      <c r="G257" s="26">
        <v>31933</v>
      </c>
      <c r="H257" s="65">
        <f>DATEDIF(Squads[[#This Row],[Date Of Birth]],World_Cup_Start_Date,"Y")</f>
        <v>35</v>
      </c>
      <c r="I257" s="27">
        <v>68</v>
      </c>
      <c r="J257" s="27">
        <v>0</v>
      </c>
      <c r="K257" s="78" t="s">
        <v>1882</v>
      </c>
      <c r="L257" s="27" t="str">
        <f>_xlfn.XLOOKUP(Squads[[#This Row],[Current Club]],Clubs[Current Club],Clubs[Club_ID])</f>
        <v>ECU-04</v>
      </c>
      <c r="M257" s="27" t="str">
        <f>_xlfn.XLOOKUP(Squads[[#This Row],[National Team]],Football_Associations[Football Association],Football_Associations[World Cup Result])</f>
        <v>Group stage</v>
      </c>
      <c r="N25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58" spans="1:14" ht="15" customHeight="1" x14ac:dyDescent="0.25">
      <c r="A258" s="33">
        <f t="shared" si="3"/>
        <v>1257</v>
      </c>
      <c r="B258" s="23" t="s">
        <v>9</v>
      </c>
      <c r="C258" s="23" t="str">
        <f>VLOOKUP(Squads[[#This Row],[National Team]],Qualified[],3,TRUE)</f>
        <v>Ecuador (ECU)</v>
      </c>
      <c r="D258" s="25">
        <v>23</v>
      </c>
      <c r="E258" s="23" t="s">
        <v>139</v>
      </c>
      <c r="F258" s="23" t="s">
        <v>157</v>
      </c>
      <c r="G258" s="26">
        <v>37197</v>
      </c>
      <c r="H258" s="65">
        <f>DATEDIF(Squads[[#This Row],[Date Of Birth]],World_Cup_Start_Date,"Y")</f>
        <v>21</v>
      </c>
      <c r="I258" s="27">
        <v>25</v>
      </c>
      <c r="J258" s="27">
        <v>2</v>
      </c>
      <c r="K258" s="78" t="s">
        <v>1669</v>
      </c>
      <c r="L258" s="27" t="str">
        <f>_xlfn.XLOOKUP(Squads[[#This Row],[Current Club]],Clubs[Current Club],Clubs[Club_ID])</f>
        <v>ENG-06</v>
      </c>
      <c r="M258" s="27" t="str">
        <f>_xlfn.XLOOKUP(Squads[[#This Row],[National Team]],Football_Associations[Football Association],Football_Associations[World Cup Result])</f>
        <v>Group stage</v>
      </c>
      <c r="N25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59" spans="1:14" ht="15" customHeight="1" x14ac:dyDescent="0.25">
      <c r="A259" s="33">
        <f t="shared" ref="A259:A322" si="4">A258+1</f>
        <v>1258</v>
      </c>
      <c r="B259" s="23" t="s">
        <v>9</v>
      </c>
      <c r="C259" s="23" t="str">
        <f>VLOOKUP(Squads[[#This Row],[National Team]],Qualified[],3,TRUE)</f>
        <v>Ecuador (ECU)</v>
      </c>
      <c r="D259" s="25">
        <v>24</v>
      </c>
      <c r="E259" s="23" t="s">
        <v>146</v>
      </c>
      <c r="F259" s="23" t="s">
        <v>158</v>
      </c>
      <c r="G259" s="26">
        <v>36178</v>
      </c>
      <c r="H259" s="65">
        <f>DATEDIF(Squads[[#This Row],[Date Of Birth]],World_Cup_Start_Date,"Y")</f>
        <v>23</v>
      </c>
      <c r="I259" s="27">
        <v>4</v>
      </c>
      <c r="J259" s="27">
        <v>0</v>
      </c>
      <c r="K259" s="78" t="s">
        <v>1898</v>
      </c>
      <c r="L259" s="27" t="str">
        <f>_xlfn.XLOOKUP(Squads[[#This Row],[Current Club]],Clubs[Current Club],Clubs[Club_ID])</f>
        <v>ARG-03</v>
      </c>
      <c r="M259" s="27" t="str">
        <f>_xlfn.XLOOKUP(Squads[[#This Row],[National Team]],Football_Associations[Football Association],Football_Associations[World Cup Result])</f>
        <v>Group stage</v>
      </c>
      <c r="N25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60" spans="1:14" ht="15" customHeight="1" x14ac:dyDescent="0.25">
      <c r="A260" s="33">
        <f t="shared" si="4"/>
        <v>1259</v>
      </c>
      <c r="B260" s="23" t="s">
        <v>9</v>
      </c>
      <c r="C260" s="23" t="str">
        <f>VLOOKUP(Squads[[#This Row],[National Team]],Qualified[],3,TRUE)</f>
        <v>Ecuador (ECU)</v>
      </c>
      <c r="D260" s="25">
        <v>25</v>
      </c>
      <c r="E260" s="23" t="s">
        <v>135</v>
      </c>
      <c r="F260" s="23" t="s">
        <v>159</v>
      </c>
      <c r="G260" s="26">
        <v>36742</v>
      </c>
      <c r="H260" s="65">
        <f>DATEDIF(Squads[[#This Row],[Date Of Birth]],World_Cup_Start_Date,"Y")</f>
        <v>22</v>
      </c>
      <c r="I260" s="27">
        <v>5</v>
      </c>
      <c r="J260" s="27">
        <v>0</v>
      </c>
      <c r="K260" s="78" t="s">
        <v>1807</v>
      </c>
      <c r="L260" s="27" t="str">
        <f>_xlfn.XLOOKUP(Squads[[#This Row],[Current Club]],Clubs[Current Club],Clubs[Club_ID])</f>
        <v>FRA-13</v>
      </c>
      <c r="M260" s="27" t="str">
        <f>_xlfn.XLOOKUP(Squads[[#This Row],[National Team]],Football_Associations[Football Association],Football_Associations[World Cup Result])</f>
        <v>Group stage</v>
      </c>
      <c r="N26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61" spans="1:14" ht="15" customHeight="1" x14ac:dyDescent="0.25">
      <c r="A261" s="33">
        <f t="shared" si="4"/>
        <v>1260</v>
      </c>
      <c r="B261" s="23" t="s">
        <v>9</v>
      </c>
      <c r="C261" s="23" t="str">
        <f>VLOOKUP(Squads[[#This Row],[National Team]],Qualified[],3,TRUE)</f>
        <v>Ecuador (ECU)</v>
      </c>
      <c r="D261" s="25">
        <v>26</v>
      </c>
      <c r="E261" s="23" t="s">
        <v>146</v>
      </c>
      <c r="F261" s="23" t="s">
        <v>160</v>
      </c>
      <c r="G261" s="26">
        <v>36589</v>
      </c>
      <c r="H261" s="65">
        <f>DATEDIF(Squads[[#This Row],[Date Of Birth]],World_Cup_Start_Date,"Y")</f>
        <v>22</v>
      </c>
      <c r="I261" s="27">
        <v>1</v>
      </c>
      <c r="J261" s="27">
        <v>0</v>
      </c>
      <c r="K261" s="78" t="s">
        <v>1875</v>
      </c>
      <c r="L261" s="27" t="str">
        <f>_xlfn.XLOOKUP(Squads[[#This Row],[Current Club]],Clubs[Current Club],Clubs[Club_ID])</f>
        <v>ECU-02</v>
      </c>
      <c r="M261" s="27" t="str">
        <f>_xlfn.XLOOKUP(Squads[[#This Row],[National Team]],Football_Associations[Football Association],Football_Associations[World Cup Result])</f>
        <v>Group stage</v>
      </c>
      <c r="N26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62" spans="1:14" ht="15" customHeight="1" x14ac:dyDescent="0.25">
      <c r="A262" s="33">
        <f t="shared" si="4"/>
        <v>1261</v>
      </c>
      <c r="B262" s="23" t="s">
        <v>6</v>
      </c>
      <c r="C262" s="23" t="str">
        <f>VLOOKUP(Squads[[#This Row],[National Team]],Qualified[],3,TRUE)</f>
        <v>England (ENG)</v>
      </c>
      <c r="D262" s="25">
        <v>1</v>
      </c>
      <c r="E262" s="23" t="s">
        <v>133</v>
      </c>
      <c r="F262" s="23" t="s">
        <v>238</v>
      </c>
      <c r="G262" s="26">
        <v>34400</v>
      </c>
      <c r="H262" s="65">
        <f>DATEDIF(Squads[[#This Row],[Date Of Birth]],World_Cup_Start_Date,"Y")</f>
        <v>28</v>
      </c>
      <c r="I262" s="27">
        <v>45</v>
      </c>
      <c r="J262" s="27">
        <v>0</v>
      </c>
      <c r="K262" s="78" t="s">
        <v>1710</v>
      </c>
      <c r="L262" s="27" t="str">
        <f>_xlfn.XLOOKUP(Squads[[#This Row],[Current Club]],Clubs[Current Club],Clubs[Club_ID])</f>
        <v>ENG-16</v>
      </c>
      <c r="M262" s="27" t="str">
        <f>_xlfn.XLOOKUP(Squads[[#This Row],[National Team]],Football_Associations[Football Association],Football_Associations[World Cup Result])</f>
        <v>Quarter Finals</v>
      </c>
      <c r="N26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63" spans="1:14" ht="15" customHeight="1" x14ac:dyDescent="0.25">
      <c r="A263" s="33">
        <f t="shared" si="4"/>
        <v>1262</v>
      </c>
      <c r="B263" s="23" t="s">
        <v>6</v>
      </c>
      <c r="C263" s="23" t="str">
        <f>VLOOKUP(Squads[[#This Row],[National Team]],Qualified[],3,TRUE)</f>
        <v>England (ENG)</v>
      </c>
      <c r="D263" s="25">
        <v>2</v>
      </c>
      <c r="E263" s="23" t="s">
        <v>135</v>
      </c>
      <c r="F263" s="23" t="s">
        <v>239</v>
      </c>
      <c r="G263" s="26">
        <v>33021</v>
      </c>
      <c r="H263" s="65">
        <f>DATEDIF(Squads[[#This Row],[Date Of Birth]],World_Cup_Start_Date,"Y")</f>
        <v>32</v>
      </c>
      <c r="I263" s="27">
        <v>70</v>
      </c>
      <c r="J263" s="27">
        <v>0</v>
      </c>
      <c r="K263" s="78" t="s">
        <v>1655</v>
      </c>
      <c r="L263" s="27" t="str">
        <f>_xlfn.XLOOKUP(Squads[[#This Row],[Current Club]],Clubs[Current Club],Clubs[Club_ID])</f>
        <v>ENG-01</v>
      </c>
      <c r="M263" s="27" t="str">
        <f>_xlfn.XLOOKUP(Squads[[#This Row],[National Team]],Football_Associations[Football Association],Football_Associations[World Cup Result])</f>
        <v>Quarter Finals</v>
      </c>
      <c r="N26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64" spans="1:14" ht="15" customHeight="1" x14ac:dyDescent="0.25">
      <c r="A264" s="33">
        <f t="shared" si="4"/>
        <v>1263</v>
      </c>
      <c r="B264" s="23" t="s">
        <v>6</v>
      </c>
      <c r="C264" s="23" t="str">
        <f>VLOOKUP(Squads[[#This Row],[National Team]],Qualified[],3,TRUE)</f>
        <v>England (ENG)</v>
      </c>
      <c r="D264" s="25">
        <v>3</v>
      </c>
      <c r="E264" s="23" t="s">
        <v>135</v>
      </c>
      <c r="F264" s="23" t="s">
        <v>240</v>
      </c>
      <c r="G264" s="26">
        <v>34892</v>
      </c>
      <c r="H264" s="65">
        <f>DATEDIF(Squads[[#This Row],[Date Of Birth]],World_Cup_Start_Date,"Y")</f>
        <v>27</v>
      </c>
      <c r="I264" s="27">
        <v>23</v>
      </c>
      <c r="J264" s="27">
        <v>3</v>
      </c>
      <c r="K264" s="78" t="s">
        <v>1657</v>
      </c>
      <c r="L264" s="27" t="str">
        <f>_xlfn.XLOOKUP(Squads[[#This Row],[Current Club]],Clubs[Current Club],Clubs[Club_ID])</f>
        <v>ENG-02</v>
      </c>
      <c r="M264" s="27" t="str">
        <f>_xlfn.XLOOKUP(Squads[[#This Row],[National Team]],Football_Associations[Football Association],Football_Associations[World Cup Result])</f>
        <v>Quarter Finals</v>
      </c>
      <c r="N26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65" spans="1:14" ht="15" customHeight="1" x14ac:dyDescent="0.25">
      <c r="A265" s="33">
        <f t="shared" si="4"/>
        <v>1264</v>
      </c>
      <c r="B265" s="23" t="s">
        <v>6</v>
      </c>
      <c r="C265" s="23" t="str">
        <f>VLOOKUP(Squads[[#This Row],[National Team]],Qualified[],3,TRUE)</f>
        <v>England (ENG)</v>
      </c>
      <c r="D265" s="25">
        <v>4</v>
      </c>
      <c r="E265" s="23" t="s">
        <v>139</v>
      </c>
      <c r="F265" s="23" t="s">
        <v>241</v>
      </c>
      <c r="G265" s="26">
        <v>36174</v>
      </c>
      <c r="H265" s="65">
        <f>DATEDIF(Squads[[#This Row],[Date Of Birth]],World_Cup_Start_Date,"Y")</f>
        <v>23</v>
      </c>
      <c r="I265" s="27">
        <v>34</v>
      </c>
      <c r="J265" s="27">
        <v>2</v>
      </c>
      <c r="K265" s="78" t="s">
        <v>1703</v>
      </c>
      <c r="L265" s="27" t="str">
        <f>_xlfn.XLOOKUP(Squads[[#This Row],[Current Club]],Clubs[Current Club],Clubs[Club_ID])</f>
        <v>ENG-13</v>
      </c>
      <c r="M265" s="27" t="str">
        <f>_xlfn.XLOOKUP(Squads[[#This Row],[National Team]],Football_Associations[Football Association],Football_Associations[World Cup Result])</f>
        <v>Quarter Finals</v>
      </c>
      <c r="N26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66" spans="1:14" ht="15" customHeight="1" x14ac:dyDescent="0.25">
      <c r="A266" s="33">
        <f t="shared" si="4"/>
        <v>1265</v>
      </c>
      <c r="B266" s="23" t="s">
        <v>6</v>
      </c>
      <c r="C266" s="23" t="str">
        <f>VLOOKUP(Squads[[#This Row],[National Team]],Qualified[],3,TRUE)</f>
        <v>England (ENG)</v>
      </c>
      <c r="D266" s="25">
        <v>5</v>
      </c>
      <c r="E266" s="23" t="s">
        <v>135</v>
      </c>
      <c r="F266" s="23" t="s">
        <v>242</v>
      </c>
      <c r="G266" s="26">
        <v>34482</v>
      </c>
      <c r="H266" s="65">
        <f>DATEDIF(Squads[[#This Row],[Date Of Birth]],World_Cup_Start_Date,"Y")</f>
        <v>28</v>
      </c>
      <c r="I266" s="27">
        <v>59</v>
      </c>
      <c r="J266" s="27">
        <v>3</v>
      </c>
      <c r="K266" s="78" t="s">
        <v>1655</v>
      </c>
      <c r="L266" s="27" t="str">
        <f>_xlfn.XLOOKUP(Squads[[#This Row],[Current Club]],Clubs[Current Club],Clubs[Club_ID])</f>
        <v>ENG-01</v>
      </c>
      <c r="M266" s="27" t="str">
        <f>_xlfn.XLOOKUP(Squads[[#This Row],[National Team]],Football_Associations[Football Association],Football_Associations[World Cup Result])</f>
        <v>Quarter Finals</v>
      </c>
      <c r="N26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67" spans="1:14" ht="15" customHeight="1" x14ac:dyDescent="0.25">
      <c r="A267" s="33">
        <f t="shared" si="4"/>
        <v>1266</v>
      </c>
      <c r="B267" s="23" t="s">
        <v>6</v>
      </c>
      <c r="C267" s="23" t="str">
        <f>VLOOKUP(Squads[[#This Row],[National Team]],Qualified[],3,TRUE)</f>
        <v>England (ENG)</v>
      </c>
      <c r="D267" s="25">
        <v>6</v>
      </c>
      <c r="E267" s="23" t="s">
        <v>135</v>
      </c>
      <c r="F267" s="23" t="s">
        <v>243</v>
      </c>
      <c r="G267" s="26">
        <v>34033</v>
      </c>
      <c r="H267" s="65">
        <f>DATEDIF(Squads[[#This Row],[Date Of Birth]],World_Cup_Start_Date,"Y")</f>
        <v>29</v>
      </c>
      <c r="I267" s="27">
        <v>48</v>
      </c>
      <c r="J267" s="27">
        <v>7</v>
      </c>
      <c r="K267" s="78" t="s">
        <v>1657</v>
      </c>
      <c r="L267" s="27" t="str">
        <f>_xlfn.XLOOKUP(Squads[[#This Row],[Current Club]],Clubs[Current Club],Clubs[Club_ID])</f>
        <v>ENG-02</v>
      </c>
      <c r="M267" s="27" t="str">
        <f>_xlfn.XLOOKUP(Squads[[#This Row],[National Team]],Football_Associations[Football Association],Football_Associations[World Cup Result])</f>
        <v>Quarter Finals</v>
      </c>
      <c r="N26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68" spans="1:14" ht="15" customHeight="1" x14ac:dyDescent="0.25">
      <c r="A268" s="33">
        <f t="shared" si="4"/>
        <v>1267</v>
      </c>
      <c r="B268" s="23" t="s">
        <v>6</v>
      </c>
      <c r="C268" s="23" t="str">
        <f>VLOOKUP(Squads[[#This Row],[National Team]],Qualified[],3,TRUE)</f>
        <v>England (ENG)</v>
      </c>
      <c r="D268" s="25">
        <v>7</v>
      </c>
      <c r="E268" s="23" t="s">
        <v>146</v>
      </c>
      <c r="F268" s="23" t="s">
        <v>244</v>
      </c>
      <c r="G268" s="26">
        <v>34952</v>
      </c>
      <c r="H268" s="65">
        <f>DATEDIF(Squads[[#This Row],[Date Of Birth]],World_Cup_Start_Date,"Y")</f>
        <v>27</v>
      </c>
      <c r="I268" s="27">
        <v>24</v>
      </c>
      <c r="J268" s="27">
        <v>1</v>
      </c>
      <c r="K268" s="78" t="s">
        <v>1655</v>
      </c>
      <c r="L268" s="27" t="str">
        <f>_xlfn.XLOOKUP(Squads[[#This Row],[Current Club]],Clubs[Current Club],Clubs[Club_ID])</f>
        <v>ENG-01</v>
      </c>
      <c r="M268" s="27" t="str">
        <f>_xlfn.XLOOKUP(Squads[[#This Row],[National Team]],Football_Associations[Football Association],Football_Associations[World Cup Result])</f>
        <v>Quarter Finals</v>
      </c>
      <c r="N26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69" spans="1:14" ht="15" customHeight="1" x14ac:dyDescent="0.25">
      <c r="A269" s="33">
        <f t="shared" si="4"/>
        <v>1268</v>
      </c>
      <c r="B269" s="23" t="s">
        <v>6</v>
      </c>
      <c r="C269" s="23" t="str">
        <f>VLOOKUP(Squads[[#This Row],[National Team]],Qualified[],3,TRUE)</f>
        <v>England (ENG)</v>
      </c>
      <c r="D269" s="25">
        <v>8</v>
      </c>
      <c r="E269" s="23" t="s">
        <v>139</v>
      </c>
      <c r="F269" s="23" t="s">
        <v>245</v>
      </c>
      <c r="G269" s="26">
        <v>33041</v>
      </c>
      <c r="H269" s="65">
        <f>DATEDIF(Squads[[#This Row],[Date Of Birth]],World_Cup_Start_Date,"Y")</f>
        <v>32</v>
      </c>
      <c r="I269" s="27">
        <v>70</v>
      </c>
      <c r="J269" s="27">
        <v>2</v>
      </c>
      <c r="K269" s="78" t="s">
        <v>1676</v>
      </c>
      <c r="L269" s="27" t="str">
        <f>_xlfn.XLOOKUP(Squads[[#This Row],[Current Club]],Clubs[Current Club],Clubs[Club_ID])</f>
        <v>ENG-08</v>
      </c>
      <c r="M269" s="27" t="str">
        <f>_xlfn.XLOOKUP(Squads[[#This Row],[National Team]],Football_Associations[Football Association],Football_Associations[World Cup Result])</f>
        <v>Quarter Finals</v>
      </c>
      <c r="N26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70" spans="1:14" ht="15" customHeight="1" x14ac:dyDescent="0.25">
      <c r="A270" s="33">
        <f t="shared" si="4"/>
        <v>1269</v>
      </c>
      <c r="B270" s="23" t="s">
        <v>6</v>
      </c>
      <c r="C270" s="23" t="str">
        <f>VLOOKUP(Squads[[#This Row],[National Team]],Qualified[],3,TRUE)</f>
        <v>England (ENG)</v>
      </c>
      <c r="D270" s="25">
        <v>9</v>
      </c>
      <c r="E270" s="23" t="s">
        <v>146</v>
      </c>
      <c r="F270" s="27" t="s">
        <v>970</v>
      </c>
      <c r="G270" s="26">
        <v>34178</v>
      </c>
      <c r="H270" s="65">
        <f>DATEDIF(Squads[[#This Row],[Date Of Birth]],World_Cup_Start_Date,"Y")</f>
        <v>29</v>
      </c>
      <c r="I270" s="27">
        <v>75</v>
      </c>
      <c r="J270" s="27">
        <v>51</v>
      </c>
      <c r="K270" s="78" t="s">
        <v>1666</v>
      </c>
      <c r="L270" s="27" t="str">
        <f>_xlfn.XLOOKUP(Squads[[#This Row],[Current Club]],Clubs[Current Club],Clubs[Club_ID])</f>
        <v>ENG-04</v>
      </c>
      <c r="M270" s="27" t="str">
        <f>_xlfn.XLOOKUP(Squads[[#This Row],[National Team]],Football_Associations[Football Association],Football_Associations[World Cup Result])</f>
        <v>Quarter Finals</v>
      </c>
      <c r="N27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71" spans="1:14" ht="15" customHeight="1" x14ac:dyDescent="0.25">
      <c r="A271" s="33">
        <f t="shared" si="4"/>
        <v>1270</v>
      </c>
      <c r="B271" s="23" t="s">
        <v>6</v>
      </c>
      <c r="C271" s="23" t="str">
        <f>VLOOKUP(Squads[[#This Row],[National Team]],Qualified[],3,TRUE)</f>
        <v>England (ENG)</v>
      </c>
      <c r="D271" s="25">
        <v>10</v>
      </c>
      <c r="E271" s="23" t="s">
        <v>146</v>
      </c>
      <c r="F271" s="23" t="s">
        <v>246</v>
      </c>
      <c r="G271" s="26">
        <v>34676</v>
      </c>
      <c r="H271" s="65">
        <f>DATEDIF(Squads[[#This Row],[Date Of Birth]],World_Cup_Start_Date,"Y")</f>
        <v>27</v>
      </c>
      <c r="I271" s="27">
        <v>79</v>
      </c>
      <c r="J271" s="27">
        <v>19</v>
      </c>
      <c r="K271" s="78" t="s">
        <v>1661</v>
      </c>
      <c r="L271" s="27" t="str">
        <f>_xlfn.XLOOKUP(Squads[[#This Row],[Current Club]],Clubs[Current Club],Clubs[Club_ID])</f>
        <v>ENG-03</v>
      </c>
      <c r="M271" s="27" t="str">
        <f>_xlfn.XLOOKUP(Squads[[#This Row],[National Team]],Football_Associations[Football Association],Football_Associations[World Cup Result])</f>
        <v>Quarter Finals</v>
      </c>
      <c r="N27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72" spans="1:14" ht="15" customHeight="1" x14ac:dyDescent="0.25">
      <c r="A272" s="33">
        <f t="shared" si="4"/>
        <v>1271</v>
      </c>
      <c r="B272" s="23" t="s">
        <v>6</v>
      </c>
      <c r="C272" s="23" t="str">
        <f>VLOOKUP(Squads[[#This Row],[National Team]],Qualified[],3,TRUE)</f>
        <v>England (ENG)</v>
      </c>
      <c r="D272" s="25">
        <v>11</v>
      </c>
      <c r="E272" s="23" t="s">
        <v>146</v>
      </c>
      <c r="F272" s="23" t="s">
        <v>247</v>
      </c>
      <c r="G272" s="26">
        <v>35734</v>
      </c>
      <c r="H272" s="65">
        <f>DATEDIF(Squads[[#This Row],[Date Of Birth]],World_Cup_Start_Date,"Y")</f>
        <v>25</v>
      </c>
      <c r="I272" s="27">
        <v>46</v>
      </c>
      <c r="J272" s="27">
        <v>12</v>
      </c>
      <c r="K272" s="78" t="s">
        <v>1657</v>
      </c>
      <c r="L272" s="27" t="str">
        <f>_xlfn.XLOOKUP(Squads[[#This Row],[Current Club]],Clubs[Current Club],Clubs[Club_ID])</f>
        <v>ENG-02</v>
      </c>
      <c r="M272" s="27" t="str">
        <f>_xlfn.XLOOKUP(Squads[[#This Row],[National Team]],Football_Associations[Football Association],Football_Associations[World Cup Result])</f>
        <v>Quarter Finals</v>
      </c>
      <c r="N27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73" spans="1:14" ht="15" customHeight="1" x14ac:dyDescent="0.25">
      <c r="A273" s="33">
        <f t="shared" si="4"/>
        <v>1272</v>
      </c>
      <c r="B273" s="23" t="s">
        <v>6</v>
      </c>
      <c r="C273" s="23" t="str">
        <f>VLOOKUP(Squads[[#This Row],[National Team]],Qualified[],3,TRUE)</f>
        <v>England (ENG)</v>
      </c>
      <c r="D273" s="25">
        <v>12</v>
      </c>
      <c r="E273" s="23" t="s">
        <v>135</v>
      </c>
      <c r="F273" s="23" t="s">
        <v>248</v>
      </c>
      <c r="G273" s="26">
        <v>33135</v>
      </c>
      <c r="H273" s="65">
        <f>DATEDIF(Squads[[#This Row],[Date Of Birth]],World_Cup_Start_Date,"Y")</f>
        <v>32</v>
      </c>
      <c r="I273" s="27">
        <v>37</v>
      </c>
      <c r="J273" s="27">
        <v>1</v>
      </c>
      <c r="K273" s="78" t="s">
        <v>1697</v>
      </c>
      <c r="L273" s="27" t="str">
        <f>_xlfn.XLOOKUP(Squads[[#This Row],[Current Club]],Clubs[Current Club],Clubs[Club_ID])</f>
        <v>ENG-11</v>
      </c>
      <c r="M273" s="27" t="str">
        <f>_xlfn.XLOOKUP(Squads[[#This Row],[National Team]],Football_Associations[Football Association],Football_Associations[World Cup Result])</f>
        <v>Quarter Finals</v>
      </c>
      <c r="N27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74" spans="1:14" ht="15" customHeight="1" x14ac:dyDescent="0.25">
      <c r="A274" s="33">
        <f t="shared" si="4"/>
        <v>1273</v>
      </c>
      <c r="B274" s="23" t="s">
        <v>6</v>
      </c>
      <c r="C274" s="23" t="str">
        <f>VLOOKUP(Squads[[#This Row],[National Team]],Qualified[],3,TRUE)</f>
        <v>England (ENG)</v>
      </c>
      <c r="D274" s="25">
        <v>13</v>
      </c>
      <c r="E274" s="23" t="s">
        <v>133</v>
      </c>
      <c r="F274" s="23" t="s">
        <v>249</v>
      </c>
      <c r="G274" s="26">
        <v>33713</v>
      </c>
      <c r="H274" s="65">
        <f>DATEDIF(Squads[[#This Row],[Date Of Birth]],World_Cup_Start_Date,"Y")</f>
        <v>30</v>
      </c>
      <c r="I274" s="27">
        <v>10</v>
      </c>
      <c r="J274" s="27">
        <v>0</v>
      </c>
      <c r="K274" s="78" t="s">
        <v>1697</v>
      </c>
      <c r="L274" s="27" t="str">
        <f>_xlfn.XLOOKUP(Squads[[#This Row],[Current Club]],Clubs[Current Club],Clubs[Club_ID])</f>
        <v>ENG-11</v>
      </c>
      <c r="M274" s="27" t="str">
        <f>_xlfn.XLOOKUP(Squads[[#This Row],[National Team]],Football_Associations[Football Association],Football_Associations[World Cup Result])</f>
        <v>Quarter Finals</v>
      </c>
      <c r="N27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75" spans="1:14" ht="15" customHeight="1" x14ac:dyDescent="0.25">
      <c r="A275" s="33">
        <f t="shared" si="4"/>
        <v>1274</v>
      </c>
      <c r="B275" s="23" t="s">
        <v>6</v>
      </c>
      <c r="C275" s="23" t="str">
        <f>VLOOKUP(Squads[[#This Row],[National Team]],Qualified[],3,TRUE)</f>
        <v>England (ENG)</v>
      </c>
      <c r="D275" s="25">
        <v>14</v>
      </c>
      <c r="E275" s="23" t="s">
        <v>139</v>
      </c>
      <c r="F275" s="23" t="s">
        <v>250</v>
      </c>
      <c r="G275" s="26">
        <v>35035</v>
      </c>
      <c r="H275" s="65">
        <f>DATEDIF(Squads[[#This Row],[Date Of Birth]],World_Cup_Start_Date,"Y")</f>
        <v>26</v>
      </c>
      <c r="I275" s="27">
        <v>23</v>
      </c>
      <c r="J275" s="27">
        <v>0</v>
      </c>
      <c r="K275" s="78" t="s">
        <v>1655</v>
      </c>
      <c r="L275" s="27" t="str">
        <f>_xlfn.XLOOKUP(Squads[[#This Row],[Current Club]],Clubs[Current Club],Clubs[Club_ID])</f>
        <v>ENG-01</v>
      </c>
      <c r="M275" s="27" t="str">
        <f>_xlfn.XLOOKUP(Squads[[#This Row],[National Team]],Football_Associations[Football Association],Football_Associations[World Cup Result])</f>
        <v>Quarter Finals</v>
      </c>
      <c r="N27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76" spans="1:14" ht="15" customHeight="1" x14ac:dyDescent="0.25">
      <c r="A276" s="33">
        <f t="shared" si="4"/>
        <v>1275</v>
      </c>
      <c r="B276" s="23" t="s">
        <v>6</v>
      </c>
      <c r="C276" s="23" t="str">
        <f>VLOOKUP(Squads[[#This Row],[National Team]],Qualified[],3,TRUE)</f>
        <v>England (ENG)</v>
      </c>
      <c r="D276" s="25">
        <v>15</v>
      </c>
      <c r="E276" s="23" t="s">
        <v>135</v>
      </c>
      <c r="F276" s="23" t="s">
        <v>251</v>
      </c>
      <c r="G276" s="26">
        <v>34349</v>
      </c>
      <c r="H276" s="65">
        <f>DATEDIF(Squads[[#This Row],[Date Of Birth]],World_Cup_Start_Date,"Y")</f>
        <v>28</v>
      </c>
      <c r="I276" s="27">
        <v>47</v>
      </c>
      <c r="J276" s="27">
        <v>3</v>
      </c>
      <c r="K276" s="78" t="s">
        <v>1666</v>
      </c>
      <c r="L276" s="27" t="str">
        <f>_xlfn.XLOOKUP(Squads[[#This Row],[Current Club]],Clubs[Current Club],Clubs[Club_ID])</f>
        <v>ENG-04</v>
      </c>
      <c r="M276" s="27" t="str">
        <f>_xlfn.XLOOKUP(Squads[[#This Row],[National Team]],Football_Associations[Football Association],Football_Associations[World Cup Result])</f>
        <v>Quarter Finals</v>
      </c>
      <c r="N27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77" spans="1:14" ht="15" customHeight="1" x14ac:dyDescent="0.25">
      <c r="A277" s="33">
        <f t="shared" si="4"/>
        <v>1276</v>
      </c>
      <c r="B277" s="23" t="s">
        <v>6</v>
      </c>
      <c r="C277" s="23" t="str">
        <f>VLOOKUP(Squads[[#This Row],[National Team]],Qualified[],3,TRUE)</f>
        <v>England (ENG)</v>
      </c>
      <c r="D277" s="25">
        <v>16</v>
      </c>
      <c r="E277" s="23" t="s">
        <v>135</v>
      </c>
      <c r="F277" s="23" t="s">
        <v>252</v>
      </c>
      <c r="G277" s="26">
        <v>34025</v>
      </c>
      <c r="H277" s="65">
        <f>DATEDIF(Squads[[#This Row],[Date Of Birth]],World_Cup_Start_Date,"Y")</f>
        <v>29</v>
      </c>
      <c r="I277" s="27">
        <v>10</v>
      </c>
      <c r="J277" s="27">
        <v>1</v>
      </c>
      <c r="K277" s="78" t="s">
        <v>1710</v>
      </c>
      <c r="L277" s="27" t="str">
        <f>_xlfn.XLOOKUP(Squads[[#This Row],[Current Club]],Clubs[Current Club],Clubs[Club_ID])</f>
        <v>ENG-16</v>
      </c>
      <c r="M277" s="27" t="str">
        <f>_xlfn.XLOOKUP(Squads[[#This Row],[National Team]],Football_Associations[Football Association],Football_Associations[World Cup Result])</f>
        <v>Quarter Finals</v>
      </c>
      <c r="N27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78" spans="1:14" ht="15" customHeight="1" x14ac:dyDescent="0.25">
      <c r="A278" s="33">
        <f t="shared" si="4"/>
        <v>1277</v>
      </c>
      <c r="B278" s="23" t="s">
        <v>6</v>
      </c>
      <c r="C278" s="23" t="str">
        <f>VLOOKUP(Squads[[#This Row],[National Team]],Qualified[],3,TRUE)</f>
        <v>England (ENG)</v>
      </c>
      <c r="D278" s="25">
        <v>17</v>
      </c>
      <c r="E278" s="23" t="s">
        <v>146</v>
      </c>
      <c r="F278" s="23" t="s">
        <v>253</v>
      </c>
      <c r="G278" s="26">
        <v>37139</v>
      </c>
      <c r="H278" s="65">
        <f>DATEDIF(Squads[[#This Row],[Date Of Birth]],World_Cup_Start_Date,"Y")</f>
        <v>21</v>
      </c>
      <c r="I278" s="27">
        <v>20</v>
      </c>
      <c r="J278" s="27">
        <v>4</v>
      </c>
      <c r="K278" s="78" t="s">
        <v>1667</v>
      </c>
      <c r="L278" s="27" t="str">
        <f>_xlfn.XLOOKUP(Squads[[#This Row],[Current Club]],Clubs[Current Club],Clubs[Club_ID])</f>
        <v>ENG-05</v>
      </c>
      <c r="M278" s="27" t="str">
        <f>_xlfn.XLOOKUP(Squads[[#This Row],[National Team]],Football_Associations[Football Association],Football_Associations[World Cup Result])</f>
        <v>Quarter Finals</v>
      </c>
      <c r="N27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79" spans="1:14" ht="15" customHeight="1" x14ac:dyDescent="0.25">
      <c r="A279" s="33">
        <f t="shared" si="4"/>
        <v>1278</v>
      </c>
      <c r="B279" s="23" t="s">
        <v>6</v>
      </c>
      <c r="C279" s="23" t="str">
        <f>VLOOKUP(Squads[[#This Row],[National Team]],Qualified[],3,TRUE)</f>
        <v>England (ENG)</v>
      </c>
      <c r="D279" s="25">
        <v>18</v>
      </c>
      <c r="E279" s="23" t="s">
        <v>135</v>
      </c>
      <c r="F279" s="23" t="s">
        <v>254</v>
      </c>
      <c r="G279" s="26">
        <v>36075</v>
      </c>
      <c r="H279" s="65">
        <f>DATEDIF(Squads[[#This Row],[Date Of Birth]],World_Cup_Start_Date,"Y")</f>
        <v>24</v>
      </c>
      <c r="I279" s="27">
        <v>17</v>
      </c>
      <c r="J279" s="27">
        <v>1</v>
      </c>
      <c r="K279" s="78" t="s">
        <v>1676</v>
      </c>
      <c r="L279" s="27" t="str">
        <f>_xlfn.XLOOKUP(Squads[[#This Row],[Current Club]],Clubs[Current Club],Clubs[Club_ID])</f>
        <v>ENG-08</v>
      </c>
      <c r="M279" s="27" t="str">
        <f>_xlfn.XLOOKUP(Squads[[#This Row],[National Team]],Football_Associations[Football Association],Football_Associations[World Cup Result])</f>
        <v>Quarter Finals</v>
      </c>
      <c r="N27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80" spans="1:14" ht="15" customHeight="1" x14ac:dyDescent="0.25">
      <c r="A280" s="33">
        <f t="shared" si="4"/>
        <v>1279</v>
      </c>
      <c r="B280" s="23" t="s">
        <v>6</v>
      </c>
      <c r="C280" s="23" t="str">
        <f>VLOOKUP(Squads[[#This Row],[National Team]],Qualified[],3,TRUE)</f>
        <v>England (ENG)</v>
      </c>
      <c r="D280" s="25">
        <v>19</v>
      </c>
      <c r="E280" s="23" t="s">
        <v>139</v>
      </c>
      <c r="F280" s="23" t="s">
        <v>255</v>
      </c>
      <c r="G280" s="26">
        <v>36170</v>
      </c>
      <c r="H280" s="65">
        <f>DATEDIF(Squads[[#This Row],[Date Of Birth]],World_Cup_Start_Date,"Y")</f>
        <v>23</v>
      </c>
      <c r="I280" s="27">
        <v>32</v>
      </c>
      <c r="J280" s="27">
        <v>5</v>
      </c>
      <c r="K280" s="78" t="s">
        <v>1661</v>
      </c>
      <c r="L280" s="27" t="str">
        <f>_xlfn.XLOOKUP(Squads[[#This Row],[Current Club]],Clubs[Current Club],Clubs[Club_ID])</f>
        <v>ENG-03</v>
      </c>
      <c r="M280" s="27" t="str">
        <f>_xlfn.XLOOKUP(Squads[[#This Row],[National Team]],Football_Associations[Football Association],Football_Associations[World Cup Result])</f>
        <v>Quarter Finals</v>
      </c>
      <c r="N28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81" spans="1:14" ht="15" customHeight="1" x14ac:dyDescent="0.25">
      <c r="A281" s="33">
        <f t="shared" si="4"/>
        <v>1280</v>
      </c>
      <c r="B281" s="23" t="s">
        <v>6</v>
      </c>
      <c r="C281" s="23" t="str">
        <f>VLOOKUP(Squads[[#This Row],[National Team]],Qualified[],3,TRUE)</f>
        <v>England (ENG)</v>
      </c>
      <c r="D281" s="25">
        <v>20</v>
      </c>
      <c r="E281" s="23" t="s">
        <v>139</v>
      </c>
      <c r="F281" s="23" t="s">
        <v>256</v>
      </c>
      <c r="G281" s="26">
        <v>36674</v>
      </c>
      <c r="H281" s="65">
        <f>DATEDIF(Squads[[#This Row],[Date Of Birth]],World_Cup_Start_Date,"Y")</f>
        <v>22</v>
      </c>
      <c r="I281" s="27">
        <v>18</v>
      </c>
      <c r="J281" s="27">
        <v>2</v>
      </c>
      <c r="K281" s="78" t="s">
        <v>1655</v>
      </c>
      <c r="L281" s="27" t="str">
        <f>_xlfn.XLOOKUP(Squads[[#This Row],[Current Club]],Clubs[Current Club],Clubs[Club_ID])</f>
        <v>ENG-01</v>
      </c>
      <c r="M281" s="27" t="str">
        <f>_xlfn.XLOOKUP(Squads[[#This Row],[National Team]],Football_Associations[Football Association],Football_Associations[World Cup Result])</f>
        <v>Quarter Finals</v>
      </c>
      <c r="N28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82" spans="1:14" ht="15" customHeight="1" x14ac:dyDescent="0.25">
      <c r="A282" s="33">
        <f t="shared" si="4"/>
        <v>1281</v>
      </c>
      <c r="B282" s="23" t="s">
        <v>6</v>
      </c>
      <c r="C282" s="23" t="str">
        <f>VLOOKUP(Squads[[#This Row],[National Team]],Qualified[],3,TRUE)</f>
        <v>England (ENG)</v>
      </c>
      <c r="D282" s="25">
        <v>21</v>
      </c>
      <c r="E282" s="23" t="s">
        <v>135</v>
      </c>
      <c r="F282" s="23" t="s">
        <v>257</v>
      </c>
      <c r="G282" s="26">
        <v>35711</v>
      </c>
      <c r="H282" s="65">
        <f>DATEDIF(Squads[[#This Row],[Date Of Birth]],World_Cup_Start_Date,"Y")</f>
        <v>25</v>
      </c>
      <c r="I282" s="27">
        <v>4</v>
      </c>
      <c r="J282" s="27">
        <v>0</v>
      </c>
      <c r="K282" s="78" t="s">
        <v>1667</v>
      </c>
      <c r="L282" s="27" t="str">
        <f>_xlfn.XLOOKUP(Squads[[#This Row],[Current Club]],Clubs[Current Club],Clubs[Club_ID])</f>
        <v>ENG-05</v>
      </c>
      <c r="M282" s="27" t="str">
        <f>_xlfn.XLOOKUP(Squads[[#This Row],[National Team]],Football_Associations[Football Association],Football_Associations[World Cup Result])</f>
        <v>Quarter Finals</v>
      </c>
      <c r="N28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83" spans="1:14" ht="15" customHeight="1" x14ac:dyDescent="0.25">
      <c r="A283" s="33">
        <f t="shared" si="4"/>
        <v>1282</v>
      </c>
      <c r="B283" s="23" t="s">
        <v>6</v>
      </c>
      <c r="C283" s="23" t="str">
        <f>VLOOKUP(Squads[[#This Row],[National Team]],Qualified[],3,TRUE)</f>
        <v>England (ENG)</v>
      </c>
      <c r="D283" s="25">
        <v>22</v>
      </c>
      <c r="E283" s="23" t="s">
        <v>139</v>
      </c>
      <c r="F283" s="23" t="s">
        <v>258</v>
      </c>
      <c r="G283" s="26">
        <v>37801</v>
      </c>
      <c r="H283" s="65">
        <f>DATEDIF(Squads[[#This Row],[Date Of Birth]],World_Cup_Start_Date,"Y")</f>
        <v>19</v>
      </c>
      <c r="I283" s="27">
        <v>17</v>
      </c>
      <c r="J283" s="27">
        <v>0</v>
      </c>
      <c r="K283" s="78" t="s">
        <v>1663</v>
      </c>
      <c r="L283" s="27" t="str">
        <f>_xlfn.XLOOKUP(Squads[[#This Row],[Current Club]],Clubs[Current Club],Clubs[Club_ID])</f>
        <v>GER-02</v>
      </c>
      <c r="M283" s="27" t="str">
        <f>_xlfn.XLOOKUP(Squads[[#This Row],[National Team]],Football_Associations[Football Association],Football_Associations[World Cup Result])</f>
        <v>Quarter Finals</v>
      </c>
      <c r="N28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84" spans="1:14" ht="15" customHeight="1" x14ac:dyDescent="0.25">
      <c r="A284" s="33">
        <f t="shared" si="4"/>
        <v>1283</v>
      </c>
      <c r="B284" s="23" t="s">
        <v>6</v>
      </c>
      <c r="C284" s="23" t="str">
        <f>VLOOKUP(Squads[[#This Row],[National Team]],Qualified[],3,TRUE)</f>
        <v>England (ENG)</v>
      </c>
      <c r="D284" s="25">
        <v>23</v>
      </c>
      <c r="E284" s="23" t="s">
        <v>133</v>
      </c>
      <c r="F284" s="23" t="s">
        <v>259</v>
      </c>
      <c r="G284" s="26">
        <v>35929</v>
      </c>
      <c r="H284" s="65">
        <f>DATEDIF(Squads[[#This Row],[Date Of Birth]],World_Cup_Start_Date,"Y")</f>
        <v>24</v>
      </c>
      <c r="I284" s="27">
        <v>3</v>
      </c>
      <c r="J284" s="27">
        <v>0</v>
      </c>
      <c r="K284" s="78" t="s">
        <v>1667</v>
      </c>
      <c r="L284" s="27" t="str">
        <f>_xlfn.XLOOKUP(Squads[[#This Row],[Current Club]],Clubs[Current Club],Clubs[Club_ID])</f>
        <v>ENG-05</v>
      </c>
      <c r="M284" s="27" t="str">
        <f>_xlfn.XLOOKUP(Squads[[#This Row],[National Team]],Football_Associations[Football Association],Football_Associations[World Cup Result])</f>
        <v>Quarter Finals</v>
      </c>
      <c r="N28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85" spans="1:14" ht="15" customHeight="1" x14ac:dyDescent="0.25">
      <c r="A285" s="33">
        <f t="shared" si="4"/>
        <v>1284</v>
      </c>
      <c r="B285" s="23" t="s">
        <v>6</v>
      </c>
      <c r="C285" s="23" t="str">
        <f>VLOOKUP(Squads[[#This Row],[National Team]],Qualified[],3,TRUE)</f>
        <v>England (ENG)</v>
      </c>
      <c r="D285" s="25">
        <v>24</v>
      </c>
      <c r="E285" s="23" t="s">
        <v>146</v>
      </c>
      <c r="F285" s="23" t="s">
        <v>260</v>
      </c>
      <c r="G285" s="26">
        <v>33661</v>
      </c>
      <c r="H285" s="65">
        <f>DATEDIF(Squads[[#This Row],[Date Of Birth]],World_Cup_Start_Date,"Y")</f>
        <v>30</v>
      </c>
      <c r="I285" s="27">
        <v>4</v>
      </c>
      <c r="J285" s="27">
        <v>1</v>
      </c>
      <c r="K285" s="78" t="s">
        <v>1697</v>
      </c>
      <c r="L285" s="27" t="str">
        <f>_xlfn.XLOOKUP(Squads[[#This Row],[Current Club]],Clubs[Current Club],Clubs[Club_ID])</f>
        <v>ENG-11</v>
      </c>
      <c r="M285" s="27" t="str">
        <f>_xlfn.XLOOKUP(Squads[[#This Row],[National Team]],Football_Associations[Football Association],Football_Associations[World Cup Result])</f>
        <v>Quarter Finals</v>
      </c>
      <c r="N28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86" spans="1:14" ht="15" customHeight="1" x14ac:dyDescent="0.25">
      <c r="A286" s="33">
        <f t="shared" si="4"/>
        <v>1285</v>
      </c>
      <c r="B286" s="23" t="s">
        <v>6</v>
      </c>
      <c r="C286" s="23" t="str">
        <f>VLOOKUP(Squads[[#This Row],[National Team]],Qualified[],3,TRUE)</f>
        <v>England (ENG)</v>
      </c>
      <c r="D286" s="25">
        <v>25</v>
      </c>
      <c r="E286" s="23" t="s">
        <v>139</v>
      </c>
      <c r="F286" s="23" t="s">
        <v>261</v>
      </c>
      <c r="G286" s="26">
        <v>35392</v>
      </c>
      <c r="H286" s="65">
        <f>DATEDIF(Squads[[#This Row],[Date Of Birth]],World_Cup_Start_Date,"Y")</f>
        <v>25</v>
      </c>
      <c r="I286" s="27">
        <v>1</v>
      </c>
      <c r="J286" s="27">
        <v>0</v>
      </c>
      <c r="K286" s="78" t="s">
        <v>1675</v>
      </c>
      <c r="L286" s="27" t="str">
        <f>_xlfn.XLOOKUP(Squads[[#This Row],[Current Club]],Clubs[Current Club],Clubs[Club_ID])</f>
        <v>ENG-07</v>
      </c>
      <c r="M286" s="27" t="str">
        <f>_xlfn.XLOOKUP(Squads[[#This Row],[National Team]],Football_Associations[Football Association],Football_Associations[World Cup Result])</f>
        <v>Quarter Finals</v>
      </c>
      <c r="N28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87" spans="1:14" ht="15" customHeight="1" x14ac:dyDescent="0.25">
      <c r="A287" s="33">
        <f t="shared" si="4"/>
        <v>1286</v>
      </c>
      <c r="B287" s="23" t="s">
        <v>6</v>
      </c>
      <c r="C287" s="23" t="str">
        <f>VLOOKUP(Squads[[#This Row],[National Team]],Qualified[],3,TRUE)</f>
        <v>England (ENG)</v>
      </c>
      <c r="D287" s="25">
        <v>26</v>
      </c>
      <c r="E287" s="23" t="s">
        <v>139</v>
      </c>
      <c r="F287" s="23" t="s">
        <v>262</v>
      </c>
      <c r="G287" s="26">
        <v>36562</v>
      </c>
      <c r="H287" s="65">
        <f>DATEDIF(Squads[[#This Row],[Date Of Birth]],World_Cup_Start_Date,"Y")</f>
        <v>22</v>
      </c>
      <c r="I287" s="27">
        <v>4</v>
      </c>
      <c r="J287" s="27">
        <v>0</v>
      </c>
      <c r="K287" s="78" t="s">
        <v>1661</v>
      </c>
      <c r="L287" s="27" t="str">
        <f>_xlfn.XLOOKUP(Squads[[#This Row],[Current Club]],Clubs[Current Club],Clubs[Club_ID])</f>
        <v>ENG-03</v>
      </c>
      <c r="M287" s="27" t="str">
        <f>_xlfn.XLOOKUP(Squads[[#This Row],[National Team]],Football_Associations[Football Association],Football_Associations[World Cup Result])</f>
        <v>Quarter Finals</v>
      </c>
      <c r="N28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288" spans="1:14" ht="15" customHeight="1" x14ac:dyDescent="0.25">
      <c r="A288" s="33">
        <f t="shared" si="4"/>
        <v>1287</v>
      </c>
      <c r="B288" s="23" t="s">
        <v>20</v>
      </c>
      <c r="C288" s="23" t="str">
        <f>VLOOKUP(Squads[[#This Row],[National Team]],Qualified[],3,TRUE)</f>
        <v>France (FRA)</v>
      </c>
      <c r="D288" s="25">
        <v>1</v>
      </c>
      <c r="E288" s="23" t="s">
        <v>133</v>
      </c>
      <c r="F288" s="27" t="s">
        <v>988</v>
      </c>
      <c r="G288" s="26">
        <v>31772</v>
      </c>
      <c r="H288" s="65">
        <f>DATEDIF(Squads[[#This Row],[Date Of Birth]],World_Cup_Start_Date,"Y")</f>
        <v>35</v>
      </c>
      <c r="I288" s="27">
        <v>139</v>
      </c>
      <c r="J288" s="27">
        <v>0</v>
      </c>
      <c r="K288" s="78" t="s">
        <v>1666</v>
      </c>
      <c r="L288" s="27" t="str">
        <f>_xlfn.XLOOKUP(Squads[[#This Row],[Current Club]],Clubs[Current Club],Clubs[Club_ID])</f>
        <v>ENG-04</v>
      </c>
      <c r="M288" s="27" t="str">
        <f>_xlfn.XLOOKUP(Squads[[#This Row],[National Team]],Football_Associations[Football Association],Football_Associations[World Cup Result])</f>
        <v>Runner Up</v>
      </c>
      <c r="N288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89" spans="1:14" ht="15" customHeight="1" x14ac:dyDescent="0.25">
      <c r="A289" s="33">
        <f t="shared" si="4"/>
        <v>1288</v>
      </c>
      <c r="B289" s="23" t="s">
        <v>20</v>
      </c>
      <c r="C289" s="23" t="str">
        <f>VLOOKUP(Squads[[#This Row],[National Team]],Qualified[],3,TRUE)</f>
        <v>France (FRA)</v>
      </c>
      <c r="D289" s="25">
        <v>2</v>
      </c>
      <c r="E289" s="23" t="s">
        <v>135</v>
      </c>
      <c r="F289" s="23" t="s">
        <v>489</v>
      </c>
      <c r="G289" s="26">
        <v>35152</v>
      </c>
      <c r="H289" s="65">
        <f>DATEDIF(Squads[[#This Row],[Date Of Birth]],World_Cup_Start_Date,"Y")</f>
        <v>26</v>
      </c>
      <c r="I289" s="27">
        <v>46</v>
      </c>
      <c r="J289" s="27">
        <v>2</v>
      </c>
      <c r="K289" s="78" t="s">
        <v>1654</v>
      </c>
      <c r="L289" s="27" t="str">
        <f>_xlfn.XLOOKUP(Squads[[#This Row],[Current Club]],Clubs[Current Club],Clubs[Club_ID])</f>
        <v>GER-01</v>
      </c>
      <c r="M289" s="27" t="str">
        <f>_xlfn.XLOOKUP(Squads[[#This Row],[National Team]],Football_Associations[Football Association],Football_Associations[World Cup Result])</f>
        <v>Runner Up</v>
      </c>
      <c r="N289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90" spans="1:14" ht="15" customHeight="1" x14ac:dyDescent="0.25">
      <c r="A290" s="33">
        <f t="shared" si="4"/>
        <v>1289</v>
      </c>
      <c r="B290" s="23" t="s">
        <v>20</v>
      </c>
      <c r="C290" s="23" t="str">
        <f>VLOOKUP(Squads[[#This Row],[National Team]],Qualified[],3,TRUE)</f>
        <v>France (FRA)</v>
      </c>
      <c r="D290" s="25">
        <v>3</v>
      </c>
      <c r="E290" s="23" t="s">
        <v>135</v>
      </c>
      <c r="F290" s="23" t="s">
        <v>490</v>
      </c>
      <c r="G290" s="26">
        <v>35865</v>
      </c>
      <c r="H290" s="65">
        <f>DATEDIF(Squads[[#This Row],[Date Of Birth]],World_Cup_Start_Date,"Y")</f>
        <v>24</v>
      </c>
      <c r="I290" s="27">
        <v>0</v>
      </c>
      <c r="J290" s="27">
        <v>0</v>
      </c>
      <c r="K290" s="78" t="s">
        <v>1687</v>
      </c>
      <c r="L290" s="27" t="str">
        <f>_xlfn.XLOOKUP(Squads[[#This Row],[Current Club]],Clubs[Current Club],Clubs[Club_ID])</f>
        <v>FRA-03</v>
      </c>
      <c r="M290" s="27" t="str">
        <f>_xlfn.XLOOKUP(Squads[[#This Row],[National Team]],Football_Associations[Football Association],Football_Associations[World Cup Result])</f>
        <v>Runner Up</v>
      </c>
      <c r="N290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91" spans="1:14" ht="15" customHeight="1" x14ac:dyDescent="0.25">
      <c r="A291" s="33">
        <f t="shared" si="4"/>
        <v>1290</v>
      </c>
      <c r="B291" s="23" t="s">
        <v>20</v>
      </c>
      <c r="C291" s="23" t="str">
        <f>VLOOKUP(Squads[[#This Row],[National Team]],Qualified[],3,TRUE)</f>
        <v>France (FRA)</v>
      </c>
      <c r="D291" s="25">
        <v>4</v>
      </c>
      <c r="E291" s="23" t="s">
        <v>135</v>
      </c>
      <c r="F291" s="23" t="s">
        <v>491</v>
      </c>
      <c r="G291" s="26">
        <v>34084</v>
      </c>
      <c r="H291" s="65">
        <f>DATEDIF(Squads[[#This Row],[Date Of Birth]],World_Cup_Start_Date,"Y")</f>
        <v>29</v>
      </c>
      <c r="I291" s="27">
        <v>87</v>
      </c>
      <c r="J291" s="27">
        <v>5</v>
      </c>
      <c r="K291" s="78" t="s">
        <v>1657</v>
      </c>
      <c r="L291" s="27" t="str">
        <f>_xlfn.XLOOKUP(Squads[[#This Row],[Current Club]],Clubs[Current Club],Clubs[Club_ID])</f>
        <v>ENG-02</v>
      </c>
      <c r="M291" s="27" t="str">
        <f>_xlfn.XLOOKUP(Squads[[#This Row],[National Team]],Football_Associations[Football Association],Football_Associations[World Cup Result])</f>
        <v>Runner Up</v>
      </c>
      <c r="N291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92" spans="1:14" ht="15" customHeight="1" x14ac:dyDescent="0.25">
      <c r="A292" s="33">
        <f t="shared" si="4"/>
        <v>1291</v>
      </c>
      <c r="B292" s="23" t="s">
        <v>20</v>
      </c>
      <c r="C292" s="23" t="str">
        <f>VLOOKUP(Squads[[#This Row],[National Team]],Qualified[],3,TRUE)</f>
        <v>France (FRA)</v>
      </c>
      <c r="D292" s="25">
        <v>5</v>
      </c>
      <c r="E292" s="23" t="s">
        <v>135</v>
      </c>
      <c r="F292" s="23" t="s">
        <v>492</v>
      </c>
      <c r="G292" s="26">
        <v>36111</v>
      </c>
      <c r="H292" s="65">
        <f>DATEDIF(Squads[[#This Row],[Date Of Birth]],World_Cup_Start_Date,"Y")</f>
        <v>24</v>
      </c>
      <c r="I292" s="27">
        <v>12</v>
      </c>
      <c r="J292" s="27">
        <v>0</v>
      </c>
      <c r="K292" s="78" t="s">
        <v>1653</v>
      </c>
      <c r="L292" s="27" t="str">
        <f>_xlfn.XLOOKUP(Squads[[#This Row],[Current Club]],Clubs[Current Club],Clubs[Club_ID])</f>
        <v>ESP-01</v>
      </c>
      <c r="M292" s="27" t="str">
        <f>_xlfn.XLOOKUP(Squads[[#This Row],[National Team]],Football_Associations[Football Association],Football_Associations[World Cup Result])</f>
        <v>Runner Up</v>
      </c>
      <c r="N292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93" spans="1:14" ht="15" customHeight="1" x14ac:dyDescent="0.25">
      <c r="A293" s="33">
        <f t="shared" si="4"/>
        <v>1292</v>
      </c>
      <c r="B293" s="23" t="s">
        <v>20</v>
      </c>
      <c r="C293" s="23" t="str">
        <f>VLOOKUP(Squads[[#This Row],[National Team]],Qualified[],3,TRUE)</f>
        <v>France (FRA)</v>
      </c>
      <c r="D293" s="25">
        <v>6</v>
      </c>
      <c r="E293" s="23" t="s">
        <v>139</v>
      </c>
      <c r="F293" s="23" t="s">
        <v>493</v>
      </c>
      <c r="G293" s="26">
        <v>36264</v>
      </c>
      <c r="H293" s="65">
        <f>DATEDIF(Squads[[#This Row],[Date Of Birth]],World_Cup_Start_Date,"Y")</f>
        <v>23</v>
      </c>
      <c r="I293" s="27">
        <v>6</v>
      </c>
      <c r="J293" s="27">
        <v>1</v>
      </c>
      <c r="K293" s="78" t="s">
        <v>1694</v>
      </c>
      <c r="L293" s="27" t="str">
        <f>_xlfn.XLOOKUP(Squads[[#This Row],[Current Club]],Clubs[Current Club],Clubs[Club_ID])</f>
        <v>FRA-04</v>
      </c>
      <c r="M293" s="27" t="str">
        <f>_xlfn.XLOOKUP(Squads[[#This Row],[National Team]],Football_Associations[Football Association],Football_Associations[World Cup Result])</f>
        <v>Runner Up</v>
      </c>
      <c r="N293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94" spans="1:14" ht="15" customHeight="1" x14ac:dyDescent="0.25">
      <c r="A294" s="33">
        <f t="shared" si="4"/>
        <v>1293</v>
      </c>
      <c r="B294" s="23" t="s">
        <v>20</v>
      </c>
      <c r="C294" s="23" t="str">
        <f>VLOOKUP(Squads[[#This Row],[National Team]],Qualified[],3,TRUE)</f>
        <v>France (FRA)</v>
      </c>
      <c r="D294" s="25">
        <v>7</v>
      </c>
      <c r="E294" s="23" t="s">
        <v>146</v>
      </c>
      <c r="F294" s="23" t="s">
        <v>494</v>
      </c>
      <c r="G294" s="26">
        <v>33318</v>
      </c>
      <c r="H294" s="65">
        <f>DATEDIF(Squads[[#This Row],[Date Of Birth]],World_Cup_Start_Date,"Y")</f>
        <v>31</v>
      </c>
      <c r="I294" s="27">
        <v>110</v>
      </c>
      <c r="J294" s="27">
        <v>42</v>
      </c>
      <c r="K294" s="78" t="s">
        <v>1660</v>
      </c>
      <c r="L294" s="27" t="str">
        <f>_xlfn.XLOOKUP(Squads[[#This Row],[Current Club]],Clubs[Current Club],Clubs[Club_ID])</f>
        <v>ESP-03</v>
      </c>
      <c r="M294" s="27" t="str">
        <f>_xlfn.XLOOKUP(Squads[[#This Row],[National Team]],Football_Associations[Football Association],Football_Associations[World Cup Result])</f>
        <v>Runner Up</v>
      </c>
      <c r="N294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95" spans="1:14" ht="15" customHeight="1" x14ac:dyDescent="0.25">
      <c r="A295" s="33">
        <f t="shared" si="4"/>
        <v>1294</v>
      </c>
      <c r="B295" s="23" t="s">
        <v>20</v>
      </c>
      <c r="C295" s="23" t="str">
        <f>VLOOKUP(Squads[[#This Row],[National Team]],Qualified[],3,TRUE)</f>
        <v>France (FRA)</v>
      </c>
      <c r="D295" s="25">
        <v>8</v>
      </c>
      <c r="E295" s="23" t="s">
        <v>139</v>
      </c>
      <c r="F295" s="23" t="s">
        <v>495</v>
      </c>
      <c r="G295" s="26">
        <v>36552</v>
      </c>
      <c r="H295" s="65">
        <f>DATEDIF(Squads[[#This Row],[Date Of Birth]],World_Cup_Start_Date,"Y")</f>
        <v>22</v>
      </c>
      <c r="I295" s="27">
        <v>14</v>
      </c>
      <c r="J295" s="27">
        <v>1</v>
      </c>
      <c r="K295" s="78" t="s">
        <v>1658</v>
      </c>
      <c r="L295" s="27" t="str">
        <f>_xlfn.XLOOKUP(Squads[[#This Row],[Current Club]],Clubs[Current Club],Clubs[Club_ID])</f>
        <v>ESP-02</v>
      </c>
      <c r="M295" s="27" t="str">
        <f>_xlfn.XLOOKUP(Squads[[#This Row],[National Team]],Football_Associations[Football Association],Football_Associations[World Cup Result])</f>
        <v>Runner Up</v>
      </c>
      <c r="N295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96" spans="1:14" ht="15" customHeight="1" x14ac:dyDescent="0.25">
      <c r="A296" s="33">
        <f t="shared" si="4"/>
        <v>1295</v>
      </c>
      <c r="B296" s="23" t="s">
        <v>20</v>
      </c>
      <c r="C296" s="23" t="str">
        <f>VLOOKUP(Squads[[#This Row],[National Team]],Qualified[],3,TRUE)</f>
        <v>France (FRA)</v>
      </c>
      <c r="D296" s="25">
        <v>9</v>
      </c>
      <c r="E296" s="23" t="s">
        <v>146</v>
      </c>
      <c r="F296" s="23" t="s">
        <v>496</v>
      </c>
      <c r="G296" s="26">
        <v>31685</v>
      </c>
      <c r="H296" s="65">
        <f>DATEDIF(Squads[[#This Row],[Date Of Birth]],World_Cup_Start_Date,"Y")</f>
        <v>36</v>
      </c>
      <c r="I296" s="27">
        <v>114</v>
      </c>
      <c r="J296" s="27">
        <v>49</v>
      </c>
      <c r="K296" s="78" t="s">
        <v>1677</v>
      </c>
      <c r="L296" s="27" t="str">
        <f>_xlfn.XLOOKUP(Squads[[#This Row],[Current Club]],Clubs[Current Club],Clubs[Club_ID])</f>
        <v>ITA-02</v>
      </c>
      <c r="M296" s="27" t="str">
        <f>_xlfn.XLOOKUP(Squads[[#This Row],[National Team]],Football_Associations[Football Association],Football_Associations[World Cup Result])</f>
        <v>Runner Up</v>
      </c>
      <c r="N296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97" spans="1:14" ht="15" customHeight="1" x14ac:dyDescent="0.25">
      <c r="A297" s="33">
        <f t="shared" si="4"/>
        <v>1296</v>
      </c>
      <c r="B297" s="23" t="s">
        <v>20</v>
      </c>
      <c r="C297" s="23" t="str">
        <f>VLOOKUP(Squads[[#This Row],[National Team]],Qualified[],3,TRUE)</f>
        <v>France (FRA)</v>
      </c>
      <c r="D297" s="25">
        <v>10</v>
      </c>
      <c r="E297" s="23" t="s">
        <v>146</v>
      </c>
      <c r="F297" s="23" t="s">
        <v>497</v>
      </c>
      <c r="G297" s="26">
        <v>36149</v>
      </c>
      <c r="H297" s="65">
        <f>DATEDIF(Squads[[#This Row],[Date Of Birth]],World_Cup_Start_Date,"Y")</f>
        <v>23</v>
      </c>
      <c r="I297" s="27">
        <v>59</v>
      </c>
      <c r="J297" s="27">
        <v>28</v>
      </c>
      <c r="K297" s="78" t="s">
        <v>1665</v>
      </c>
      <c r="L297" s="27" t="str">
        <f>_xlfn.XLOOKUP(Squads[[#This Row],[Current Club]],Clubs[Current Club],Clubs[Club_ID])</f>
        <v>FRA-01</v>
      </c>
      <c r="M297" s="27" t="str">
        <f>_xlfn.XLOOKUP(Squads[[#This Row],[National Team]],Football_Associations[Football Association],Football_Associations[World Cup Result])</f>
        <v>Runner Up</v>
      </c>
      <c r="N297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98" spans="1:14" ht="15" customHeight="1" x14ac:dyDescent="0.25">
      <c r="A298" s="33">
        <f t="shared" si="4"/>
        <v>1297</v>
      </c>
      <c r="B298" s="23" t="s">
        <v>20</v>
      </c>
      <c r="C298" s="23" t="str">
        <f>VLOOKUP(Squads[[#This Row],[National Team]],Qualified[],3,TRUE)</f>
        <v>France (FRA)</v>
      </c>
      <c r="D298" s="25">
        <v>11</v>
      </c>
      <c r="E298" s="23" t="s">
        <v>146</v>
      </c>
      <c r="F298" s="23" t="s">
        <v>498</v>
      </c>
      <c r="G298" s="26">
        <v>35565</v>
      </c>
      <c r="H298" s="65">
        <f>DATEDIF(Squads[[#This Row],[Date Of Birth]],World_Cup_Start_Date,"Y")</f>
        <v>25</v>
      </c>
      <c r="I298" s="27">
        <v>28</v>
      </c>
      <c r="J298" s="27">
        <v>4</v>
      </c>
      <c r="K298" s="78" t="s">
        <v>1653</v>
      </c>
      <c r="L298" s="27" t="str">
        <f>_xlfn.XLOOKUP(Squads[[#This Row],[Current Club]],Clubs[Current Club],Clubs[Club_ID])</f>
        <v>ESP-01</v>
      </c>
      <c r="M298" s="27" t="str">
        <f>_xlfn.XLOOKUP(Squads[[#This Row],[National Team]],Football_Associations[Football Association],Football_Associations[World Cup Result])</f>
        <v>Runner Up</v>
      </c>
      <c r="N298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299" spans="1:14" ht="15" customHeight="1" x14ac:dyDescent="0.25">
      <c r="A299" s="33">
        <f t="shared" si="4"/>
        <v>1298</v>
      </c>
      <c r="B299" s="23" t="s">
        <v>20</v>
      </c>
      <c r="C299" s="23" t="str">
        <f>VLOOKUP(Squads[[#This Row],[National Team]],Qualified[],3,TRUE)</f>
        <v>France (FRA)</v>
      </c>
      <c r="D299" s="25">
        <v>12</v>
      </c>
      <c r="E299" s="23" t="s">
        <v>146</v>
      </c>
      <c r="F299" s="23" t="s">
        <v>499</v>
      </c>
      <c r="G299" s="26">
        <v>36134</v>
      </c>
      <c r="H299" s="65">
        <f>DATEDIF(Squads[[#This Row],[Date Of Birth]],World_Cup_Start_Date,"Y")</f>
        <v>23</v>
      </c>
      <c r="I299" s="27">
        <v>2</v>
      </c>
      <c r="J299" s="27">
        <v>0</v>
      </c>
      <c r="K299" s="78" t="s">
        <v>1674</v>
      </c>
      <c r="L299" s="27" t="str">
        <f>_xlfn.XLOOKUP(Squads[[#This Row],[Current Club]],Clubs[Current Club],Clubs[Club_ID])</f>
        <v>GER-03</v>
      </c>
      <c r="M299" s="27" t="str">
        <f>_xlfn.XLOOKUP(Squads[[#This Row],[National Team]],Football_Associations[Football Association],Football_Associations[World Cup Result])</f>
        <v>Runner Up</v>
      </c>
      <c r="N299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300" spans="1:14" ht="15" customHeight="1" x14ac:dyDescent="0.25">
      <c r="A300" s="33">
        <f t="shared" si="4"/>
        <v>1299</v>
      </c>
      <c r="B300" s="23" t="s">
        <v>20</v>
      </c>
      <c r="C300" s="23" t="str">
        <f>VLOOKUP(Squads[[#This Row],[National Team]],Qualified[],3,TRUE)</f>
        <v>France (FRA)</v>
      </c>
      <c r="D300" s="25">
        <v>13</v>
      </c>
      <c r="E300" s="23" t="s">
        <v>139</v>
      </c>
      <c r="F300" s="23" t="s">
        <v>500</v>
      </c>
      <c r="G300" s="26">
        <v>36170</v>
      </c>
      <c r="H300" s="65">
        <f>DATEDIF(Squads[[#This Row],[Date Of Birth]],World_Cup_Start_Date,"Y")</f>
        <v>23</v>
      </c>
      <c r="I300" s="27">
        <v>2</v>
      </c>
      <c r="J300" s="27">
        <v>0</v>
      </c>
      <c r="K300" s="78" t="s">
        <v>1687</v>
      </c>
      <c r="L300" s="27" t="str">
        <f>_xlfn.XLOOKUP(Squads[[#This Row],[Current Club]],Clubs[Current Club],Clubs[Club_ID])</f>
        <v>FRA-03</v>
      </c>
      <c r="M300" s="27" t="str">
        <f>_xlfn.XLOOKUP(Squads[[#This Row],[National Team]],Football_Associations[Football Association],Football_Associations[World Cup Result])</f>
        <v>Runner Up</v>
      </c>
      <c r="N300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301" spans="1:14" ht="15" customHeight="1" x14ac:dyDescent="0.25">
      <c r="A301" s="33">
        <f t="shared" si="4"/>
        <v>1300</v>
      </c>
      <c r="B301" s="23" t="s">
        <v>20</v>
      </c>
      <c r="C301" s="23" t="str">
        <f>VLOOKUP(Squads[[#This Row],[National Team]],Qualified[],3,TRUE)</f>
        <v>France (FRA)</v>
      </c>
      <c r="D301" s="25">
        <v>14</v>
      </c>
      <c r="E301" s="23" t="s">
        <v>139</v>
      </c>
      <c r="F301" s="23" t="s">
        <v>501</v>
      </c>
      <c r="G301" s="26">
        <v>34792</v>
      </c>
      <c r="H301" s="65">
        <f>DATEDIF(Squads[[#This Row],[Date Of Birth]],World_Cup_Start_Date,"Y")</f>
        <v>27</v>
      </c>
      <c r="I301" s="27">
        <v>29</v>
      </c>
      <c r="J301" s="27">
        <v>2</v>
      </c>
      <c r="K301" s="78" t="s">
        <v>1664</v>
      </c>
      <c r="L301" s="27" t="str">
        <f>_xlfn.XLOOKUP(Squads[[#This Row],[Current Club]],Clubs[Current Club],Clubs[Club_ID])</f>
        <v>ITA-01</v>
      </c>
      <c r="M301" s="27" t="str">
        <f>_xlfn.XLOOKUP(Squads[[#This Row],[National Team]],Football_Associations[Football Association],Football_Associations[World Cup Result])</f>
        <v>Runner Up</v>
      </c>
      <c r="N301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302" spans="1:14" ht="15" customHeight="1" x14ac:dyDescent="0.25">
      <c r="A302" s="33">
        <f t="shared" si="4"/>
        <v>1301</v>
      </c>
      <c r="B302" s="23" t="s">
        <v>20</v>
      </c>
      <c r="C302" s="23" t="str">
        <f>VLOOKUP(Squads[[#This Row],[National Team]],Qualified[],3,TRUE)</f>
        <v>France (FRA)</v>
      </c>
      <c r="D302" s="25">
        <v>15</v>
      </c>
      <c r="E302" s="23" t="s">
        <v>139</v>
      </c>
      <c r="F302" s="23" t="s">
        <v>502</v>
      </c>
      <c r="G302" s="26">
        <v>34029</v>
      </c>
      <c r="H302" s="65">
        <f>DATEDIF(Squads[[#This Row],[Date Of Birth]],World_Cup_Start_Date,"Y")</f>
        <v>29</v>
      </c>
      <c r="I302" s="27">
        <v>5</v>
      </c>
      <c r="J302" s="27">
        <v>0</v>
      </c>
      <c r="K302" s="78" t="s">
        <v>1694</v>
      </c>
      <c r="L302" s="27" t="str">
        <f>_xlfn.XLOOKUP(Squads[[#This Row],[Current Club]],Clubs[Current Club],Clubs[Club_ID])</f>
        <v>FRA-04</v>
      </c>
      <c r="M302" s="27" t="str">
        <f>_xlfn.XLOOKUP(Squads[[#This Row],[National Team]],Football_Associations[Football Association],Football_Associations[World Cup Result])</f>
        <v>Runner Up</v>
      </c>
      <c r="N302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303" spans="1:14" ht="15" customHeight="1" x14ac:dyDescent="0.25">
      <c r="A303" s="33">
        <f t="shared" si="4"/>
        <v>1302</v>
      </c>
      <c r="B303" s="23" t="s">
        <v>20</v>
      </c>
      <c r="C303" s="23" t="str">
        <f>VLOOKUP(Squads[[#This Row],[National Team]],Qualified[],3,TRUE)</f>
        <v>France (FRA)</v>
      </c>
      <c r="D303" s="25">
        <v>16</v>
      </c>
      <c r="E303" s="23" t="s">
        <v>133</v>
      </c>
      <c r="F303" s="23" t="s">
        <v>503</v>
      </c>
      <c r="G303" s="26">
        <v>31134</v>
      </c>
      <c r="H303" s="65">
        <f>DATEDIF(Squads[[#This Row],[Date Of Birth]],World_Cup_Start_Date,"Y")</f>
        <v>37</v>
      </c>
      <c r="I303" s="27">
        <v>34</v>
      </c>
      <c r="J303" s="27">
        <v>0</v>
      </c>
      <c r="K303" s="78" t="s">
        <v>1671</v>
      </c>
      <c r="L303" s="27" t="str">
        <f>_xlfn.XLOOKUP(Squads[[#This Row],[Current Club]],Clubs[Current Club],Clubs[Club_ID])</f>
        <v>FRA-02</v>
      </c>
      <c r="M303" s="27" t="str">
        <f>_xlfn.XLOOKUP(Squads[[#This Row],[National Team]],Football_Associations[Football Association],Football_Associations[World Cup Result])</f>
        <v>Runner Up</v>
      </c>
      <c r="N303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304" spans="1:14" ht="15" customHeight="1" x14ac:dyDescent="0.25">
      <c r="A304" s="33">
        <f t="shared" si="4"/>
        <v>1303</v>
      </c>
      <c r="B304" s="23" t="s">
        <v>20</v>
      </c>
      <c r="C304" s="23" t="str">
        <f>VLOOKUP(Squads[[#This Row],[National Team]],Qualified[],3,TRUE)</f>
        <v>France (FRA)</v>
      </c>
      <c r="D304" s="25">
        <v>17</v>
      </c>
      <c r="E304" s="23" t="s">
        <v>135</v>
      </c>
      <c r="F304" s="23" t="s">
        <v>504</v>
      </c>
      <c r="G304" s="26">
        <v>36974</v>
      </c>
      <c r="H304" s="65">
        <f>DATEDIF(Squads[[#This Row],[Date Of Birth]],World_Cup_Start_Date,"Y")</f>
        <v>21</v>
      </c>
      <c r="I304" s="27">
        <v>7</v>
      </c>
      <c r="J304" s="27">
        <v>0</v>
      </c>
      <c r="K304" s="78" t="s">
        <v>1667</v>
      </c>
      <c r="L304" s="27" t="str">
        <f>_xlfn.XLOOKUP(Squads[[#This Row],[Current Club]],Clubs[Current Club],Clubs[Club_ID])</f>
        <v>ENG-05</v>
      </c>
      <c r="M304" s="27" t="str">
        <f>_xlfn.XLOOKUP(Squads[[#This Row],[National Team]],Football_Associations[Football Association],Football_Associations[World Cup Result])</f>
        <v>Runner Up</v>
      </c>
      <c r="N304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305" spans="1:14" ht="15" customHeight="1" x14ac:dyDescent="0.25">
      <c r="A305" s="33">
        <f t="shared" si="4"/>
        <v>1304</v>
      </c>
      <c r="B305" s="23" t="s">
        <v>20</v>
      </c>
      <c r="C305" s="23" t="str">
        <f>VLOOKUP(Squads[[#This Row],[National Team]],Qualified[],3,TRUE)</f>
        <v>France (FRA)</v>
      </c>
      <c r="D305" s="25">
        <v>18</v>
      </c>
      <c r="E305" s="23" t="s">
        <v>135</v>
      </c>
      <c r="F305" s="23" t="s">
        <v>505</v>
      </c>
      <c r="G305" s="26">
        <v>36095</v>
      </c>
      <c r="H305" s="65">
        <f>DATEDIF(Squads[[#This Row],[Date Of Birth]],World_Cup_Start_Date,"Y")</f>
        <v>24</v>
      </c>
      <c r="I305" s="27">
        <v>7</v>
      </c>
      <c r="J305" s="27">
        <v>1</v>
      </c>
      <c r="K305" s="78" t="s">
        <v>1654</v>
      </c>
      <c r="L305" s="27" t="str">
        <f>_xlfn.XLOOKUP(Squads[[#This Row],[Current Club]],Clubs[Current Club],Clubs[Club_ID])</f>
        <v>GER-01</v>
      </c>
      <c r="M305" s="27" t="str">
        <f>_xlfn.XLOOKUP(Squads[[#This Row],[National Team]],Football_Associations[Football Association],Football_Associations[World Cup Result])</f>
        <v>Runner Up</v>
      </c>
      <c r="N305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306" spans="1:14" ht="15" customHeight="1" x14ac:dyDescent="0.25">
      <c r="A306" s="33">
        <f t="shared" si="4"/>
        <v>1305</v>
      </c>
      <c r="B306" s="23" t="s">
        <v>20</v>
      </c>
      <c r="C306" s="23" t="str">
        <f>VLOOKUP(Squads[[#This Row],[National Team]],Qualified[],3,TRUE)</f>
        <v>France (FRA)</v>
      </c>
      <c r="D306" s="25">
        <v>19</v>
      </c>
      <c r="E306" s="23" t="s">
        <v>146</v>
      </c>
      <c r="F306" s="23" t="s">
        <v>506</v>
      </c>
      <c r="G306" s="26">
        <v>32130</v>
      </c>
      <c r="H306" s="65">
        <f>DATEDIF(Squads[[#This Row],[Date Of Birth]],World_Cup_Start_Date,"Y")</f>
        <v>34</v>
      </c>
      <c r="I306" s="27">
        <v>97</v>
      </c>
      <c r="J306" s="27">
        <v>37</v>
      </c>
      <c r="K306" s="78" t="s">
        <v>1658</v>
      </c>
      <c r="L306" s="27" t="str">
        <f>_xlfn.XLOOKUP(Squads[[#This Row],[Current Club]],Clubs[Current Club],Clubs[Club_ID])</f>
        <v>ESP-02</v>
      </c>
      <c r="M306" s="27" t="str">
        <f>_xlfn.XLOOKUP(Squads[[#This Row],[National Team]],Football_Associations[Football Association],Football_Associations[World Cup Result])</f>
        <v>Runner Up</v>
      </c>
      <c r="N306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307" spans="1:14" ht="15" customHeight="1" x14ac:dyDescent="0.25">
      <c r="A307" s="33">
        <f t="shared" si="4"/>
        <v>1306</v>
      </c>
      <c r="B307" s="23" t="s">
        <v>20</v>
      </c>
      <c r="C307" s="23" t="str">
        <f>VLOOKUP(Squads[[#This Row],[National Team]],Qualified[],3,TRUE)</f>
        <v>France (FRA)</v>
      </c>
      <c r="D307" s="25">
        <v>20</v>
      </c>
      <c r="E307" s="23" t="s">
        <v>146</v>
      </c>
      <c r="F307" s="23" t="s">
        <v>507</v>
      </c>
      <c r="G307" s="26">
        <v>35229</v>
      </c>
      <c r="H307" s="65">
        <f>DATEDIF(Squads[[#This Row],[Date Of Birth]],World_Cup_Start_Date,"Y")</f>
        <v>26</v>
      </c>
      <c r="I307" s="27">
        <v>40</v>
      </c>
      <c r="J307" s="27">
        <v>5</v>
      </c>
      <c r="K307" s="78" t="s">
        <v>1654</v>
      </c>
      <c r="L307" s="27" t="str">
        <f>_xlfn.XLOOKUP(Squads[[#This Row],[Current Club]],Clubs[Current Club],Clubs[Club_ID])</f>
        <v>GER-01</v>
      </c>
      <c r="M307" s="27" t="str">
        <f>_xlfn.XLOOKUP(Squads[[#This Row],[National Team]],Football_Associations[Football Association],Football_Associations[World Cup Result])</f>
        <v>Runner Up</v>
      </c>
      <c r="N307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308" spans="1:14" ht="15" customHeight="1" x14ac:dyDescent="0.25">
      <c r="A308" s="33">
        <f t="shared" si="4"/>
        <v>1307</v>
      </c>
      <c r="B308" s="23" t="s">
        <v>20</v>
      </c>
      <c r="C308" s="23" t="str">
        <f>VLOOKUP(Squads[[#This Row],[National Team]],Qualified[],3,TRUE)</f>
        <v>France (FRA)</v>
      </c>
      <c r="D308" s="25">
        <v>21</v>
      </c>
      <c r="E308" s="23" t="s">
        <v>135</v>
      </c>
      <c r="F308" s="23" t="s">
        <v>508</v>
      </c>
      <c r="G308" s="26">
        <v>35109</v>
      </c>
      <c r="H308" s="65">
        <f>DATEDIF(Squads[[#This Row],[Date Of Birth]],World_Cup_Start_Date,"Y")</f>
        <v>26</v>
      </c>
      <c r="I308" s="27">
        <v>32</v>
      </c>
      <c r="J308" s="27">
        <v>0</v>
      </c>
      <c r="K308" s="78" t="s">
        <v>1654</v>
      </c>
      <c r="L308" s="27" t="str">
        <f>_xlfn.XLOOKUP(Squads[[#This Row],[Current Club]],Clubs[Current Club],Clubs[Club_ID])</f>
        <v>GER-01</v>
      </c>
      <c r="M308" s="27" t="str">
        <f>_xlfn.XLOOKUP(Squads[[#This Row],[National Team]],Football_Associations[Football Association],Football_Associations[World Cup Result])</f>
        <v>Runner Up</v>
      </c>
      <c r="N308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309" spans="1:14" ht="15" customHeight="1" x14ac:dyDescent="0.25">
      <c r="A309" s="33">
        <f t="shared" si="4"/>
        <v>1308</v>
      </c>
      <c r="B309" s="23" t="s">
        <v>20</v>
      </c>
      <c r="C309" s="23" t="str">
        <f>VLOOKUP(Squads[[#This Row],[National Team]],Qualified[],3,TRUE)</f>
        <v>France (FRA)</v>
      </c>
      <c r="D309" s="25">
        <v>22</v>
      </c>
      <c r="E309" s="23" t="s">
        <v>135</v>
      </c>
      <c r="F309" s="23" t="s">
        <v>509</v>
      </c>
      <c r="G309" s="26">
        <v>35709</v>
      </c>
      <c r="H309" s="65">
        <f>DATEDIF(Squads[[#This Row],[Date Of Birth]],World_Cup_Start_Date,"Y")</f>
        <v>25</v>
      </c>
      <c r="I309" s="27">
        <v>7</v>
      </c>
      <c r="J309" s="27">
        <v>1</v>
      </c>
      <c r="K309" s="78" t="s">
        <v>1677</v>
      </c>
      <c r="L309" s="27" t="str">
        <f>_xlfn.XLOOKUP(Squads[[#This Row],[Current Club]],Clubs[Current Club],Clubs[Club_ID])</f>
        <v>ITA-02</v>
      </c>
      <c r="M309" s="27" t="str">
        <f>_xlfn.XLOOKUP(Squads[[#This Row],[National Team]],Football_Associations[Football Association],Football_Associations[World Cup Result])</f>
        <v>Runner Up</v>
      </c>
      <c r="N309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310" spans="1:14" ht="15" customHeight="1" x14ac:dyDescent="0.25">
      <c r="A310" s="33">
        <f t="shared" si="4"/>
        <v>1309</v>
      </c>
      <c r="B310" s="23" t="s">
        <v>20</v>
      </c>
      <c r="C310" s="23" t="str">
        <f>VLOOKUP(Squads[[#This Row],[National Team]],Qualified[],3,TRUE)</f>
        <v>France (FRA)</v>
      </c>
      <c r="D310" s="25">
        <v>23</v>
      </c>
      <c r="E310" s="23" t="s">
        <v>133</v>
      </c>
      <c r="F310" s="23" t="s">
        <v>510</v>
      </c>
      <c r="G310" s="26">
        <v>34027</v>
      </c>
      <c r="H310" s="65">
        <f>DATEDIF(Squads[[#This Row],[Date Of Birth]],World_Cup_Start_Date,"Y")</f>
        <v>29</v>
      </c>
      <c r="I310" s="27">
        <v>5</v>
      </c>
      <c r="J310" s="27">
        <v>0</v>
      </c>
      <c r="K310" s="78" t="s">
        <v>1703</v>
      </c>
      <c r="L310" s="27" t="str">
        <f>_xlfn.XLOOKUP(Squads[[#This Row],[Current Club]],Clubs[Current Club],Clubs[Club_ID])</f>
        <v>ENG-13</v>
      </c>
      <c r="M310" s="27" t="str">
        <f>_xlfn.XLOOKUP(Squads[[#This Row],[National Team]],Football_Associations[Football Association],Football_Associations[World Cup Result])</f>
        <v>Runner Up</v>
      </c>
      <c r="N310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311" spans="1:14" ht="15" customHeight="1" x14ac:dyDescent="0.25">
      <c r="A311" s="33">
        <f t="shared" si="4"/>
        <v>1310</v>
      </c>
      <c r="B311" s="23" t="s">
        <v>20</v>
      </c>
      <c r="C311" s="23" t="str">
        <f>VLOOKUP(Squads[[#This Row],[National Team]],Qualified[],3,TRUE)</f>
        <v>France (FRA)</v>
      </c>
      <c r="D311" s="25">
        <v>24</v>
      </c>
      <c r="E311" s="23" t="s">
        <v>135</v>
      </c>
      <c r="F311" s="23" t="s">
        <v>511</v>
      </c>
      <c r="G311" s="26">
        <v>36305</v>
      </c>
      <c r="H311" s="65">
        <f>DATEDIF(Squads[[#This Row],[Date Of Birth]],World_Cup_Start_Date,"Y")</f>
        <v>23</v>
      </c>
      <c r="I311" s="27">
        <v>2</v>
      </c>
      <c r="J311" s="27">
        <v>0</v>
      </c>
      <c r="K311" s="78" t="s">
        <v>1676</v>
      </c>
      <c r="L311" s="27" t="str">
        <f>_xlfn.XLOOKUP(Squads[[#This Row],[Current Club]],Clubs[Current Club],Clubs[Club_ID])</f>
        <v>ENG-08</v>
      </c>
      <c r="M311" s="27" t="str">
        <f>_xlfn.XLOOKUP(Squads[[#This Row],[National Team]],Football_Associations[Football Association],Football_Associations[World Cup Result])</f>
        <v>Runner Up</v>
      </c>
      <c r="N311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312" spans="1:14" ht="15" customHeight="1" x14ac:dyDescent="0.25">
      <c r="A312" s="33">
        <f t="shared" si="4"/>
        <v>1311</v>
      </c>
      <c r="B312" s="23" t="s">
        <v>20</v>
      </c>
      <c r="C312" s="23" t="str">
        <f>VLOOKUP(Squads[[#This Row],[National Team]],Qualified[],3,TRUE)</f>
        <v>France (FRA)</v>
      </c>
      <c r="D312" s="25">
        <v>25</v>
      </c>
      <c r="E312" s="23" t="s">
        <v>139</v>
      </c>
      <c r="F312" s="23" t="s">
        <v>512</v>
      </c>
      <c r="G312" s="26">
        <v>37570</v>
      </c>
      <c r="H312" s="65">
        <f>DATEDIF(Squads[[#This Row],[Date Of Birth]],World_Cup_Start_Date,"Y")</f>
        <v>20</v>
      </c>
      <c r="I312" s="27">
        <v>4</v>
      </c>
      <c r="J312" s="27">
        <v>1</v>
      </c>
      <c r="K312" s="78" t="s">
        <v>1658</v>
      </c>
      <c r="L312" s="27" t="str">
        <f>_xlfn.XLOOKUP(Squads[[#This Row],[Current Club]],Clubs[Current Club],Clubs[Club_ID])</f>
        <v>ESP-02</v>
      </c>
      <c r="M312" s="27" t="str">
        <f>_xlfn.XLOOKUP(Squads[[#This Row],[National Team]],Football_Associations[Football Association],Football_Associations[World Cup Result])</f>
        <v>Runner Up</v>
      </c>
      <c r="N312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313" spans="1:14" ht="15" customHeight="1" x14ac:dyDescent="0.25">
      <c r="A313" s="33">
        <f t="shared" si="4"/>
        <v>1312</v>
      </c>
      <c r="B313" s="23" t="s">
        <v>20</v>
      </c>
      <c r="C313" s="23" t="str">
        <f>VLOOKUP(Squads[[#This Row],[National Team]],Qualified[],3,TRUE)</f>
        <v>France (FRA)</v>
      </c>
      <c r="D313" s="25">
        <v>26</v>
      </c>
      <c r="E313" s="23" t="s">
        <v>146</v>
      </c>
      <c r="F313" s="23" t="s">
        <v>513</v>
      </c>
      <c r="G313" s="26">
        <v>35648</v>
      </c>
      <c r="H313" s="65">
        <f>DATEDIF(Squads[[#This Row],[Date Of Birth]],World_Cup_Start_Date,"Y")</f>
        <v>25</v>
      </c>
      <c r="I313" s="27">
        <v>4</v>
      </c>
      <c r="J313" s="27">
        <v>0</v>
      </c>
      <c r="K313" s="78" t="s">
        <v>1680</v>
      </c>
      <c r="L313" s="27" t="str">
        <f>_xlfn.XLOOKUP(Squads[[#This Row],[Current Club]],Clubs[Current Club],Clubs[Club_ID])</f>
        <v>GER-05</v>
      </c>
      <c r="M313" s="27" t="str">
        <f>_xlfn.XLOOKUP(Squads[[#This Row],[National Team]],Football_Associations[Football Association],Football_Associations[World Cup Result])</f>
        <v>Runner Up</v>
      </c>
      <c r="N313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314" spans="1:14" ht="15" customHeight="1" x14ac:dyDescent="0.25">
      <c r="A314" s="33">
        <f t="shared" si="4"/>
        <v>1313</v>
      </c>
      <c r="B314" s="23" t="s">
        <v>26</v>
      </c>
      <c r="C314" s="23" t="str">
        <f>VLOOKUP(Squads[[#This Row],[National Team]],Qualified[],3,TRUE)</f>
        <v>Germany (GER)</v>
      </c>
      <c r="D314" s="25">
        <v>1</v>
      </c>
      <c r="E314" s="23" t="s">
        <v>133</v>
      </c>
      <c r="F314" s="27" t="s">
        <v>992</v>
      </c>
      <c r="G314" s="26">
        <v>31498</v>
      </c>
      <c r="H314" s="65">
        <f>DATEDIF(Squads[[#This Row],[Date Of Birth]],World_Cup_Start_Date,"Y")</f>
        <v>36</v>
      </c>
      <c r="I314" s="27">
        <v>114</v>
      </c>
      <c r="J314" s="27">
        <v>0</v>
      </c>
      <c r="K314" s="78" t="s">
        <v>1654</v>
      </c>
      <c r="L314" s="27" t="str">
        <f>_xlfn.XLOOKUP(Squads[[#This Row],[Current Club]],Clubs[Current Club],Clubs[Club_ID])</f>
        <v>GER-01</v>
      </c>
      <c r="M314" s="27" t="str">
        <f>_xlfn.XLOOKUP(Squads[[#This Row],[National Team]],Football_Associations[Football Association],Football_Associations[World Cup Result])</f>
        <v>Group Stage</v>
      </c>
      <c r="N31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15" spans="1:14" ht="15" customHeight="1" x14ac:dyDescent="0.25">
      <c r="A315" s="33">
        <f t="shared" si="4"/>
        <v>1314</v>
      </c>
      <c r="B315" s="23" t="s">
        <v>26</v>
      </c>
      <c r="C315" s="23" t="str">
        <f>VLOOKUP(Squads[[#This Row],[National Team]],Qualified[],3,TRUE)</f>
        <v>Germany (GER)</v>
      </c>
      <c r="D315" s="25">
        <v>2</v>
      </c>
      <c r="E315" s="23" t="s">
        <v>135</v>
      </c>
      <c r="F315" s="23" t="s">
        <v>565</v>
      </c>
      <c r="G315" s="26">
        <v>34031</v>
      </c>
      <c r="H315" s="65">
        <f>DATEDIF(Squads[[#This Row],[Date Of Birth]],World_Cup_Start_Date,"Y")</f>
        <v>29</v>
      </c>
      <c r="I315" s="27">
        <v>54</v>
      </c>
      <c r="J315" s="27">
        <v>2</v>
      </c>
      <c r="K315" s="78" t="s">
        <v>1658</v>
      </c>
      <c r="L315" s="27" t="str">
        <f>_xlfn.XLOOKUP(Squads[[#This Row],[Current Club]],Clubs[Current Club],Clubs[Club_ID])</f>
        <v>ESP-02</v>
      </c>
      <c r="M315" s="27" t="str">
        <f>_xlfn.XLOOKUP(Squads[[#This Row],[National Team]],Football_Associations[Football Association],Football_Associations[World Cup Result])</f>
        <v>Group Stage</v>
      </c>
      <c r="N31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16" spans="1:14" ht="15" customHeight="1" x14ac:dyDescent="0.25">
      <c r="A316" s="33">
        <f t="shared" si="4"/>
        <v>1315</v>
      </c>
      <c r="B316" s="23" t="s">
        <v>26</v>
      </c>
      <c r="C316" s="23" t="str">
        <f>VLOOKUP(Squads[[#This Row],[National Team]],Qualified[],3,TRUE)</f>
        <v>Germany (GER)</v>
      </c>
      <c r="D316" s="25">
        <v>3</v>
      </c>
      <c r="E316" s="23" t="s">
        <v>135</v>
      </c>
      <c r="F316" s="23" t="s">
        <v>566</v>
      </c>
      <c r="G316" s="26">
        <v>35907</v>
      </c>
      <c r="H316" s="65">
        <f>DATEDIF(Squads[[#This Row],[Date Of Birth]],World_Cup_Start_Date,"Y")</f>
        <v>24</v>
      </c>
      <c r="I316" s="27">
        <v>12</v>
      </c>
      <c r="J316" s="27">
        <v>0</v>
      </c>
      <c r="K316" s="78" t="s">
        <v>1678</v>
      </c>
      <c r="L316" s="27" t="str">
        <f>_xlfn.XLOOKUP(Squads[[#This Row],[Current Club]],Clubs[Current Club],Clubs[Club_ID])</f>
        <v>GER-04</v>
      </c>
      <c r="M316" s="27" t="str">
        <f>_xlfn.XLOOKUP(Squads[[#This Row],[National Team]],Football_Associations[Football Association],Football_Associations[World Cup Result])</f>
        <v>Group Stage</v>
      </c>
      <c r="N31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17" spans="1:14" ht="15" customHeight="1" x14ac:dyDescent="0.25">
      <c r="A317" s="33">
        <f t="shared" si="4"/>
        <v>1316</v>
      </c>
      <c r="B317" s="23" t="s">
        <v>26</v>
      </c>
      <c r="C317" s="23" t="str">
        <f>VLOOKUP(Squads[[#This Row],[National Team]],Qualified[],3,TRUE)</f>
        <v>Germany (GER)</v>
      </c>
      <c r="D317" s="25">
        <v>4</v>
      </c>
      <c r="E317" s="23" t="s">
        <v>135</v>
      </c>
      <c r="F317" s="23" t="s">
        <v>567</v>
      </c>
      <c r="G317" s="26">
        <v>34353</v>
      </c>
      <c r="H317" s="65">
        <f>DATEDIF(Squads[[#This Row],[Date Of Birth]],World_Cup_Start_Date,"Y")</f>
        <v>28</v>
      </c>
      <c r="I317" s="27">
        <v>47</v>
      </c>
      <c r="J317" s="27">
        <v>2</v>
      </c>
      <c r="K317" s="78" t="s">
        <v>1700</v>
      </c>
      <c r="L317" s="27" t="str">
        <f>_xlfn.XLOOKUP(Squads[[#This Row],[Current Club]],Clubs[Current Club],Clubs[Club_ID])</f>
        <v>GER-06</v>
      </c>
      <c r="M317" s="27" t="str">
        <f>_xlfn.XLOOKUP(Squads[[#This Row],[National Team]],Football_Associations[Football Association],Football_Associations[World Cup Result])</f>
        <v>Group Stage</v>
      </c>
      <c r="N31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18" spans="1:14" ht="15" customHeight="1" x14ac:dyDescent="0.25">
      <c r="A318" s="33">
        <f t="shared" si="4"/>
        <v>1317</v>
      </c>
      <c r="B318" s="23" t="s">
        <v>26</v>
      </c>
      <c r="C318" s="23" t="str">
        <f>VLOOKUP(Squads[[#This Row],[National Team]],Qualified[],3,TRUE)</f>
        <v>Germany (GER)</v>
      </c>
      <c r="D318" s="25">
        <v>5</v>
      </c>
      <c r="E318" s="23" t="s">
        <v>135</v>
      </c>
      <c r="F318" s="23" t="s">
        <v>568</v>
      </c>
      <c r="G318" s="26">
        <v>35329</v>
      </c>
      <c r="H318" s="65">
        <f>DATEDIF(Squads[[#This Row],[Date Of Birth]],World_Cup_Start_Date,"Y")</f>
        <v>26</v>
      </c>
      <c r="I318" s="27">
        <v>23</v>
      </c>
      <c r="J318" s="27">
        <v>0</v>
      </c>
      <c r="K318" s="78" t="s">
        <v>1703</v>
      </c>
      <c r="L318" s="27" t="str">
        <f>_xlfn.XLOOKUP(Squads[[#This Row],[Current Club]],Clubs[Current Club],Clubs[Club_ID])</f>
        <v>ENG-13</v>
      </c>
      <c r="M318" s="27" t="str">
        <f>_xlfn.XLOOKUP(Squads[[#This Row],[National Team]],Football_Associations[Football Association],Football_Associations[World Cup Result])</f>
        <v>Group Stage</v>
      </c>
      <c r="N31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19" spans="1:14" ht="15" customHeight="1" x14ac:dyDescent="0.25">
      <c r="A319" s="33">
        <f t="shared" si="4"/>
        <v>1318</v>
      </c>
      <c r="B319" s="23" t="s">
        <v>26</v>
      </c>
      <c r="C319" s="23" t="str">
        <f>VLOOKUP(Squads[[#This Row],[National Team]],Qualified[],3,TRUE)</f>
        <v>Germany (GER)</v>
      </c>
      <c r="D319" s="25">
        <v>6</v>
      </c>
      <c r="E319" s="23" t="s">
        <v>139</v>
      </c>
      <c r="F319" s="23" t="s">
        <v>569</v>
      </c>
      <c r="G319" s="26">
        <v>34738</v>
      </c>
      <c r="H319" s="65">
        <f>DATEDIF(Squads[[#This Row],[Date Of Birth]],World_Cup_Start_Date,"Y")</f>
        <v>27</v>
      </c>
      <c r="I319" s="27">
        <v>71</v>
      </c>
      <c r="J319" s="27">
        <v>5</v>
      </c>
      <c r="K319" s="78" t="s">
        <v>1654</v>
      </c>
      <c r="L319" s="27" t="str">
        <f>_xlfn.XLOOKUP(Squads[[#This Row],[Current Club]],Clubs[Current Club],Clubs[Club_ID])</f>
        <v>GER-01</v>
      </c>
      <c r="M319" s="27" t="str">
        <f>_xlfn.XLOOKUP(Squads[[#This Row],[National Team]],Football_Associations[Football Association],Football_Associations[World Cup Result])</f>
        <v>Group Stage</v>
      </c>
      <c r="N31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20" spans="1:14" ht="15" customHeight="1" x14ac:dyDescent="0.25">
      <c r="A320" s="33">
        <f t="shared" si="4"/>
        <v>1319</v>
      </c>
      <c r="B320" s="23" t="s">
        <v>26</v>
      </c>
      <c r="C320" s="23" t="str">
        <f>VLOOKUP(Squads[[#This Row],[National Team]],Qualified[],3,TRUE)</f>
        <v>Germany (GER)</v>
      </c>
      <c r="D320" s="25">
        <v>7</v>
      </c>
      <c r="E320" s="23" t="s">
        <v>146</v>
      </c>
      <c r="F320" s="23" t="s">
        <v>570</v>
      </c>
      <c r="G320" s="26">
        <v>36322</v>
      </c>
      <c r="H320" s="65">
        <f>DATEDIF(Squads[[#This Row],[Date Of Birth]],World_Cup_Start_Date,"Y")</f>
        <v>23</v>
      </c>
      <c r="I320" s="27">
        <v>31</v>
      </c>
      <c r="J320" s="27">
        <v>10</v>
      </c>
      <c r="K320" s="78" t="s">
        <v>1661</v>
      </c>
      <c r="L320" s="27" t="str">
        <f>_xlfn.XLOOKUP(Squads[[#This Row],[Current Club]],Clubs[Current Club],Clubs[Club_ID])</f>
        <v>ENG-03</v>
      </c>
      <c r="M320" s="27" t="str">
        <f>_xlfn.XLOOKUP(Squads[[#This Row],[National Team]],Football_Associations[Football Association],Football_Associations[World Cup Result])</f>
        <v>Group Stage</v>
      </c>
      <c r="N32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21" spans="1:14" ht="15" customHeight="1" x14ac:dyDescent="0.25">
      <c r="A321" s="33">
        <f t="shared" si="4"/>
        <v>1320</v>
      </c>
      <c r="B321" s="23" t="s">
        <v>26</v>
      </c>
      <c r="C321" s="23" t="str">
        <f>VLOOKUP(Squads[[#This Row],[National Team]],Qualified[],3,TRUE)</f>
        <v>Germany (GER)</v>
      </c>
      <c r="D321" s="25">
        <v>8</v>
      </c>
      <c r="E321" s="23" t="s">
        <v>139</v>
      </c>
      <c r="F321" s="23" t="s">
        <v>571</v>
      </c>
      <c r="G321" s="26">
        <v>34736</v>
      </c>
      <c r="H321" s="65">
        <f>DATEDIF(Squads[[#This Row],[Date Of Birth]],World_Cup_Start_Date,"Y")</f>
        <v>27</v>
      </c>
      <c r="I321" s="27">
        <v>45</v>
      </c>
      <c r="J321" s="27">
        <v>14</v>
      </c>
      <c r="K321" s="78" t="s">
        <v>1654</v>
      </c>
      <c r="L321" s="27" t="str">
        <f>_xlfn.XLOOKUP(Squads[[#This Row],[Current Club]],Clubs[Current Club],Clubs[Club_ID])</f>
        <v>GER-01</v>
      </c>
      <c r="M321" s="27" t="str">
        <f>_xlfn.XLOOKUP(Squads[[#This Row],[National Team]],Football_Associations[Football Association],Football_Associations[World Cup Result])</f>
        <v>Group Stage</v>
      </c>
      <c r="N32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22" spans="1:14" ht="15" customHeight="1" x14ac:dyDescent="0.25">
      <c r="A322" s="33">
        <f t="shared" si="4"/>
        <v>1321</v>
      </c>
      <c r="B322" s="23" t="s">
        <v>26</v>
      </c>
      <c r="C322" s="23" t="str">
        <f>VLOOKUP(Squads[[#This Row],[National Team]],Qualified[],3,TRUE)</f>
        <v>Germany (GER)</v>
      </c>
      <c r="D322" s="25">
        <v>9</v>
      </c>
      <c r="E322" s="23" t="s">
        <v>146</v>
      </c>
      <c r="F322" s="23" t="s">
        <v>572</v>
      </c>
      <c r="G322" s="26">
        <v>34009</v>
      </c>
      <c r="H322" s="65">
        <f>DATEDIF(Squads[[#This Row],[Date Of Birth]],World_Cup_Start_Date,"Y")</f>
        <v>29</v>
      </c>
      <c r="I322" s="27">
        <v>1</v>
      </c>
      <c r="J322" s="27">
        <v>1</v>
      </c>
      <c r="K322" s="78" t="s">
        <v>1809</v>
      </c>
      <c r="L322" s="27" t="str">
        <f>_xlfn.XLOOKUP(Squads[[#This Row],[Current Club]],Clubs[Current Club],Clubs[Club_ID])</f>
        <v>GER-13</v>
      </c>
      <c r="M322" s="27" t="str">
        <f>_xlfn.XLOOKUP(Squads[[#This Row],[National Team]],Football_Associations[Football Association],Football_Associations[World Cup Result])</f>
        <v>Group Stage</v>
      </c>
      <c r="N32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23" spans="1:14" ht="15" customHeight="1" x14ac:dyDescent="0.25">
      <c r="A323" s="33">
        <f t="shared" ref="A323:A386" si="5">A322+1</f>
        <v>1322</v>
      </c>
      <c r="B323" s="23" t="s">
        <v>26</v>
      </c>
      <c r="C323" s="23" t="str">
        <f>VLOOKUP(Squads[[#This Row],[National Team]],Qualified[],3,TRUE)</f>
        <v>Germany (GER)</v>
      </c>
      <c r="D323" s="25">
        <v>10</v>
      </c>
      <c r="E323" s="23" t="s">
        <v>146</v>
      </c>
      <c r="F323" s="23" t="s">
        <v>573</v>
      </c>
      <c r="G323" s="26">
        <v>34894</v>
      </c>
      <c r="H323" s="65">
        <f>DATEDIF(Squads[[#This Row],[Date Of Birth]],World_Cup_Start_Date,"Y")</f>
        <v>27</v>
      </c>
      <c r="I323" s="27">
        <v>36</v>
      </c>
      <c r="J323" s="27">
        <v>20</v>
      </c>
      <c r="K323" s="78" t="s">
        <v>1654</v>
      </c>
      <c r="L323" s="27" t="str">
        <f>_xlfn.XLOOKUP(Squads[[#This Row],[Current Club]],Clubs[Current Club],Clubs[Club_ID])</f>
        <v>GER-01</v>
      </c>
      <c r="M323" s="27" t="str">
        <f>_xlfn.XLOOKUP(Squads[[#This Row],[National Team]],Football_Associations[Football Association],Football_Associations[World Cup Result])</f>
        <v>Group Stage</v>
      </c>
      <c r="N32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24" spans="1:14" ht="15" customHeight="1" x14ac:dyDescent="0.25">
      <c r="A324" s="33">
        <f t="shared" si="5"/>
        <v>1323</v>
      </c>
      <c r="B324" s="23" t="s">
        <v>26</v>
      </c>
      <c r="C324" s="23" t="str">
        <f>VLOOKUP(Squads[[#This Row],[National Team]],Qualified[],3,TRUE)</f>
        <v>Germany (GER)</v>
      </c>
      <c r="D324" s="25">
        <v>11</v>
      </c>
      <c r="E324" s="23" t="s">
        <v>139</v>
      </c>
      <c r="F324" s="23" t="s">
        <v>574</v>
      </c>
      <c r="G324" s="26">
        <v>33758</v>
      </c>
      <c r="H324" s="65">
        <f>DATEDIF(Squads[[#This Row],[Date Of Birth]],World_Cup_Start_Date,"Y")</f>
        <v>30</v>
      </c>
      <c r="I324" s="27">
        <v>63</v>
      </c>
      <c r="J324" s="27">
        <v>17</v>
      </c>
      <c r="K324" s="78" t="s">
        <v>1674</v>
      </c>
      <c r="L324" s="27" t="str">
        <f>_xlfn.XLOOKUP(Squads[[#This Row],[Current Club]],Clubs[Current Club],Clubs[Club_ID])</f>
        <v>GER-03</v>
      </c>
      <c r="M324" s="27" t="str">
        <f>_xlfn.XLOOKUP(Squads[[#This Row],[National Team]],Football_Associations[Football Association],Football_Associations[World Cup Result])</f>
        <v>Group Stage</v>
      </c>
      <c r="N32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25" spans="1:14" ht="15" customHeight="1" x14ac:dyDescent="0.25">
      <c r="A325" s="33">
        <f t="shared" si="5"/>
        <v>1324</v>
      </c>
      <c r="B325" s="23" t="s">
        <v>26</v>
      </c>
      <c r="C325" s="23" t="str">
        <f>VLOOKUP(Squads[[#This Row],[National Team]],Qualified[],3,TRUE)</f>
        <v>Germany (GER)</v>
      </c>
      <c r="D325" s="25">
        <v>12</v>
      </c>
      <c r="E325" s="23" t="s">
        <v>133</v>
      </c>
      <c r="F325" s="23" t="s">
        <v>575</v>
      </c>
      <c r="G325" s="26">
        <v>33062</v>
      </c>
      <c r="H325" s="65">
        <f>DATEDIF(Squads[[#This Row],[Date Of Birth]],World_Cup_Start_Date,"Y")</f>
        <v>32</v>
      </c>
      <c r="I325" s="27">
        <v>6</v>
      </c>
      <c r="J325" s="27">
        <v>0</v>
      </c>
      <c r="K325" s="78" t="s">
        <v>1674</v>
      </c>
      <c r="L325" s="27" t="str">
        <f>_xlfn.XLOOKUP(Squads[[#This Row],[Current Club]],Clubs[Current Club],Clubs[Club_ID])</f>
        <v>GER-03</v>
      </c>
      <c r="M325" s="27" t="str">
        <f>_xlfn.XLOOKUP(Squads[[#This Row],[National Team]],Football_Associations[Football Association],Football_Associations[World Cup Result])</f>
        <v>Group Stage</v>
      </c>
      <c r="N32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26" spans="1:14" ht="15" customHeight="1" x14ac:dyDescent="0.25">
      <c r="A326" s="33">
        <f t="shared" si="5"/>
        <v>1325</v>
      </c>
      <c r="B326" s="23" t="s">
        <v>26</v>
      </c>
      <c r="C326" s="23" t="str">
        <f>VLOOKUP(Squads[[#This Row],[National Team]],Qualified[],3,TRUE)</f>
        <v>Germany (GER)</v>
      </c>
      <c r="D326" s="25">
        <v>13</v>
      </c>
      <c r="E326" s="23" t="s">
        <v>139</v>
      </c>
      <c r="F326" s="23" t="s">
        <v>576</v>
      </c>
      <c r="G326" s="26">
        <v>32764</v>
      </c>
      <c r="H326" s="65">
        <f>DATEDIF(Squads[[#This Row],[Date Of Birth]],World_Cup_Start_Date,"Y")</f>
        <v>33</v>
      </c>
      <c r="I326" s="27">
        <v>118</v>
      </c>
      <c r="J326" s="27">
        <v>44</v>
      </c>
      <c r="K326" s="78" t="s">
        <v>1654</v>
      </c>
      <c r="L326" s="27" t="str">
        <f>_xlfn.XLOOKUP(Squads[[#This Row],[Current Club]],Clubs[Current Club],Clubs[Club_ID])</f>
        <v>GER-01</v>
      </c>
      <c r="M326" s="27" t="str">
        <f>_xlfn.XLOOKUP(Squads[[#This Row],[National Team]],Football_Associations[Football Association],Football_Associations[World Cup Result])</f>
        <v>Group Stage</v>
      </c>
      <c r="N32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27" spans="1:14" ht="15" customHeight="1" x14ac:dyDescent="0.25">
      <c r="A327" s="33">
        <f t="shared" si="5"/>
        <v>1326</v>
      </c>
      <c r="B327" s="23" t="s">
        <v>26</v>
      </c>
      <c r="C327" s="23" t="str">
        <f>VLOOKUP(Squads[[#This Row],[National Team]],Qualified[],3,TRUE)</f>
        <v>Germany (GER)</v>
      </c>
      <c r="D327" s="25">
        <v>14</v>
      </c>
      <c r="E327" s="23" t="s">
        <v>139</v>
      </c>
      <c r="F327" s="23" t="s">
        <v>577</v>
      </c>
      <c r="G327" s="26">
        <v>37678</v>
      </c>
      <c r="H327" s="65">
        <f>DATEDIF(Squads[[#This Row],[Date Of Birth]],World_Cup_Start_Date,"Y")</f>
        <v>19</v>
      </c>
      <c r="I327" s="27">
        <v>17</v>
      </c>
      <c r="J327" s="27">
        <v>1</v>
      </c>
      <c r="K327" s="78" t="s">
        <v>1654</v>
      </c>
      <c r="L327" s="27" t="str">
        <f>_xlfn.XLOOKUP(Squads[[#This Row],[Current Club]],Clubs[Current Club],Clubs[Club_ID])</f>
        <v>GER-01</v>
      </c>
      <c r="M327" s="27" t="str">
        <f>_xlfn.XLOOKUP(Squads[[#This Row],[National Team]],Football_Associations[Football Association],Football_Associations[World Cup Result])</f>
        <v>Group Stage</v>
      </c>
      <c r="N32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28" spans="1:14" ht="15" customHeight="1" x14ac:dyDescent="0.25">
      <c r="A328" s="33">
        <f t="shared" si="5"/>
        <v>1327</v>
      </c>
      <c r="B328" s="23" t="s">
        <v>26</v>
      </c>
      <c r="C328" s="23" t="str">
        <f>VLOOKUP(Squads[[#This Row],[National Team]],Qualified[],3,TRUE)</f>
        <v>Germany (GER)</v>
      </c>
      <c r="D328" s="25">
        <v>15</v>
      </c>
      <c r="E328" s="23" t="s">
        <v>135</v>
      </c>
      <c r="F328" s="23" t="s">
        <v>578</v>
      </c>
      <c r="G328" s="26">
        <v>34945</v>
      </c>
      <c r="H328" s="65">
        <f>DATEDIF(Squads[[#This Row],[Date Of Birth]],World_Cup_Start_Date,"Y")</f>
        <v>27</v>
      </c>
      <c r="I328" s="27">
        <v>42</v>
      </c>
      <c r="J328" s="27">
        <v>1</v>
      </c>
      <c r="K328" s="78" t="s">
        <v>1663</v>
      </c>
      <c r="L328" s="27" t="str">
        <f>_xlfn.XLOOKUP(Squads[[#This Row],[Current Club]],Clubs[Current Club],Clubs[Club_ID])</f>
        <v>GER-02</v>
      </c>
      <c r="M328" s="27" t="str">
        <f>_xlfn.XLOOKUP(Squads[[#This Row],[National Team]],Football_Associations[Football Association],Football_Associations[World Cup Result])</f>
        <v>Group Stage</v>
      </c>
      <c r="N32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29" spans="1:14" ht="15" customHeight="1" x14ac:dyDescent="0.25">
      <c r="A329" s="33">
        <f t="shared" si="5"/>
        <v>1328</v>
      </c>
      <c r="B329" s="23" t="s">
        <v>26</v>
      </c>
      <c r="C329" s="23" t="str">
        <f>VLOOKUP(Squads[[#This Row],[National Team]],Qualified[],3,TRUE)</f>
        <v>Germany (GER)</v>
      </c>
      <c r="D329" s="25">
        <v>16</v>
      </c>
      <c r="E329" s="23" t="s">
        <v>135</v>
      </c>
      <c r="F329" s="23" t="s">
        <v>579</v>
      </c>
      <c r="G329" s="26">
        <v>35219</v>
      </c>
      <c r="H329" s="65">
        <f>DATEDIF(Squads[[#This Row],[Date Of Birth]],World_Cup_Start_Date,"Y")</f>
        <v>26</v>
      </c>
      <c r="I329" s="27">
        <v>19</v>
      </c>
      <c r="J329" s="27">
        <v>0</v>
      </c>
      <c r="K329" s="78" t="s">
        <v>1678</v>
      </c>
      <c r="L329" s="27" t="str">
        <f>_xlfn.XLOOKUP(Squads[[#This Row],[Current Club]],Clubs[Current Club],Clubs[Club_ID])</f>
        <v>GER-04</v>
      </c>
      <c r="M329" s="27" t="str">
        <f>_xlfn.XLOOKUP(Squads[[#This Row],[National Team]],Football_Associations[Football Association],Football_Associations[World Cup Result])</f>
        <v>Group Stage</v>
      </c>
      <c r="N32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30" spans="1:14" ht="15" customHeight="1" x14ac:dyDescent="0.25">
      <c r="A330" s="33">
        <f t="shared" si="5"/>
        <v>1329</v>
      </c>
      <c r="B330" s="23" t="s">
        <v>26</v>
      </c>
      <c r="C330" s="23" t="str">
        <f>VLOOKUP(Squads[[#This Row],[National Team]],Qualified[],3,TRUE)</f>
        <v>Germany (GER)</v>
      </c>
      <c r="D330" s="25">
        <v>17</v>
      </c>
      <c r="E330" s="23" t="s">
        <v>139</v>
      </c>
      <c r="F330" s="23" t="s">
        <v>580</v>
      </c>
      <c r="G330" s="26">
        <v>35187</v>
      </c>
      <c r="H330" s="65">
        <f>DATEDIF(Squads[[#This Row],[Date Of Birth]],World_Cup_Start_Date,"Y")</f>
        <v>26</v>
      </c>
      <c r="I330" s="27">
        <v>39</v>
      </c>
      <c r="J330" s="27">
        <v>3</v>
      </c>
      <c r="K330" s="78" t="s">
        <v>1663</v>
      </c>
      <c r="L330" s="27" t="str">
        <f>_xlfn.XLOOKUP(Squads[[#This Row],[Current Club]],Clubs[Current Club],Clubs[Club_ID])</f>
        <v>GER-02</v>
      </c>
      <c r="M330" s="27" t="str">
        <f>_xlfn.XLOOKUP(Squads[[#This Row],[National Team]],Football_Associations[Football Association],Football_Associations[World Cup Result])</f>
        <v>Group Stage</v>
      </c>
      <c r="N33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31" spans="1:14" ht="15" customHeight="1" x14ac:dyDescent="0.25">
      <c r="A331" s="33">
        <f t="shared" si="5"/>
        <v>1330</v>
      </c>
      <c r="B331" s="23" t="s">
        <v>26</v>
      </c>
      <c r="C331" s="23" t="str">
        <f>VLOOKUP(Squads[[#This Row],[National Team]],Qualified[],3,TRUE)</f>
        <v>Germany (GER)</v>
      </c>
      <c r="D331" s="25">
        <v>18</v>
      </c>
      <c r="E331" s="23" t="s">
        <v>139</v>
      </c>
      <c r="F331" s="23" t="s">
        <v>581</v>
      </c>
      <c r="G331" s="26">
        <v>33799</v>
      </c>
      <c r="H331" s="65">
        <f>DATEDIF(Squads[[#This Row],[Date Of Birth]],World_Cup_Start_Date,"Y")</f>
        <v>30</v>
      </c>
      <c r="I331" s="27">
        <v>17</v>
      </c>
      <c r="J331" s="27">
        <v>4</v>
      </c>
      <c r="K331" s="78" t="s">
        <v>1680</v>
      </c>
      <c r="L331" s="27" t="str">
        <f>_xlfn.XLOOKUP(Squads[[#This Row],[Current Club]],Clubs[Current Club],Clubs[Club_ID])</f>
        <v>GER-05</v>
      </c>
      <c r="M331" s="27" t="str">
        <f>_xlfn.XLOOKUP(Squads[[#This Row],[National Team]],Football_Associations[Football Association],Football_Associations[World Cup Result])</f>
        <v>Group Stage</v>
      </c>
      <c r="N33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32" spans="1:14" ht="15" customHeight="1" x14ac:dyDescent="0.25">
      <c r="A332" s="33">
        <f t="shared" si="5"/>
        <v>1331</v>
      </c>
      <c r="B332" s="23" t="s">
        <v>26</v>
      </c>
      <c r="C332" s="23" t="str">
        <f>VLOOKUP(Squads[[#This Row],[National Team]],Qualified[],3,TRUE)</f>
        <v>Germany (GER)</v>
      </c>
      <c r="D332" s="25">
        <v>19</v>
      </c>
      <c r="E332" s="23" t="s">
        <v>139</v>
      </c>
      <c r="F332" s="23" t="s">
        <v>582</v>
      </c>
      <c r="G332" s="26">
        <v>35075</v>
      </c>
      <c r="H332" s="65">
        <f>DATEDIF(Squads[[#This Row],[Date Of Birth]],World_Cup_Start_Date,"Y")</f>
        <v>26</v>
      </c>
      <c r="I332" s="27">
        <v>48</v>
      </c>
      <c r="J332" s="27">
        <v>11</v>
      </c>
      <c r="K332" s="78" t="s">
        <v>1654</v>
      </c>
      <c r="L332" s="27" t="str">
        <f>_xlfn.XLOOKUP(Squads[[#This Row],[Current Club]],Clubs[Current Club],Clubs[Club_ID])</f>
        <v>GER-01</v>
      </c>
      <c r="M332" s="27" t="str">
        <f>_xlfn.XLOOKUP(Squads[[#This Row],[National Team]],Football_Associations[Football Association],Football_Associations[World Cup Result])</f>
        <v>Group Stage</v>
      </c>
      <c r="N33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33" spans="1:14" ht="15" customHeight="1" x14ac:dyDescent="0.25">
      <c r="A333" s="33">
        <f t="shared" si="5"/>
        <v>1332</v>
      </c>
      <c r="B333" s="23" t="s">
        <v>26</v>
      </c>
      <c r="C333" s="23" t="str">
        <f>VLOOKUP(Squads[[#This Row],[National Team]],Qualified[],3,TRUE)</f>
        <v>Germany (GER)</v>
      </c>
      <c r="D333" s="25">
        <v>20</v>
      </c>
      <c r="E333" s="23" t="s">
        <v>135</v>
      </c>
      <c r="F333" s="23" t="s">
        <v>583</v>
      </c>
      <c r="G333" s="26">
        <v>34028</v>
      </c>
      <c r="H333" s="65">
        <f>DATEDIF(Squads[[#This Row],[Date Of Birth]],World_Cup_Start_Date,"Y")</f>
        <v>29</v>
      </c>
      <c r="I333" s="27">
        <v>7</v>
      </c>
      <c r="J333" s="27">
        <v>0</v>
      </c>
      <c r="K333" s="78" t="s">
        <v>1700</v>
      </c>
      <c r="L333" s="27" t="str">
        <f>_xlfn.XLOOKUP(Squads[[#This Row],[Current Club]],Clubs[Current Club],Clubs[Club_ID])</f>
        <v>GER-06</v>
      </c>
      <c r="M333" s="27" t="str">
        <f>_xlfn.XLOOKUP(Squads[[#This Row],[National Team]],Football_Associations[Football Association],Football_Associations[World Cup Result])</f>
        <v>Group Stage</v>
      </c>
      <c r="N33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34" spans="1:14" ht="15" customHeight="1" x14ac:dyDescent="0.25">
      <c r="A334" s="33">
        <f t="shared" si="5"/>
        <v>1333</v>
      </c>
      <c r="B334" s="23" t="s">
        <v>26</v>
      </c>
      <c r="C334" s="23" t="str">
        <f>VLOOKUP(Squads[[#This Row],[National Team]],Qualified[],3,TRUE)</f>
        <v>Germany (GER)</v>
      </c>
      <c r="D334" s="25">
        <v>21</v>
      </c>
      <c r="E334" s="23" t="s">
        <v>139</v>
      </c>
      <c r="F334" s="23" t="s">
        <v>584</v>
      </c>
      <c r="G334" s="26">
        <v>33170</v>
      </c>
      <c r="H334" s="65">
        <f>DATEDIF(Squads[[#This Row],[Date Of Birth]],World_Cup_Start_Date,"Y")</f>
        <v>32</v>
      </c>
      <c r="I334" s="27">
        <v>63</v>
      </c>
      <c r="J334" s="27">
        <v>16</v>
      </c>
      <c r="K334" s="78" t="s">
        <v>1655</v>
      </c>
      <c r="L334" s="27" t="str">
        <f>_xlfn.XLOOKUP(Squads[[#This Row],[Current Club]],Clubs[Current Club],Clubs[Club_ID])</f>
        <v>ENG-01</v>
      </c>
      <c r="M334" s="27" t="str">
        <f>_xlfn.XLOOKUP(Squads[[#This Row],[National Team]],Football_Associations[Football Association],Football_Associations[World Cup Result])</f>
        <v>Group Stage</v>
      </c>
      <c r="N33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35" spans="1:14" ht="15" customHeight="1" x14ac:dyDescent="0.25">
      <c r="A335" s="33">
        <f t="shared" si="5"/>
        <v>1334</v>
      </c>
      <c r="B335" s="23" t="s">
        <v>26</v>
      </c>
      <c r="C335" s="23" t="str">
        <f>VLOOKUP(Squads[[#This Row],[National Team]],Qualified[],3,TRUE)</f>
        <v>Germany (GER)</v>
      </c>
      <c r="D335" s="25">
        <v>22</v>
      </c>
      <c r="E335" s="23" t="s">
        <v>133</v>
      </c>
      <c r="F335" s="23" t="s">
        <v>585</v>
      </c>
      <c r="G335" s="26">
        <v>33724</v>
      </c>
      <c r="H335" s="65">
        <f>DATEDIF(Squads[[#This Row],[Date Of Birth]],World_Cup_Start_Date,"Y")</f>
        <v>30</v>
      </c>
      <c r="I335" s="27">
        <v>30</v>
      </c>
      <c r="J335" s="27">
        <v>0</v>
      </c>
      <c r="K335" s="78" t="s">
        <v>1653</v>
      </c>
      <c r="L335" s="27" t="str">
        <f>_xlfn.XLOOKUP(Squads[[#This Row],[Current Club]],Clubs[Current Club],Clubs[Club_ID])</f>
        <v>ESP-01</v>
      </c>
      <c r="M335" s="27" t="str">
        <f>_xlfn.XLOOKUP(Squads[[#This Row],[National Team]],Football_Associations[Football Association],Football_Associations[World Cup Result])</f>
        <v>Group Stage</v>
      </c>
      <c r="N33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36" spans="1:14" ht="15" customHeight="1" x14ac:dyDescent="0.25">
      <c r="A336" s="33">
        <f t="shared" si="5"/>
        <v>1335</v>
      </c>
      <c r="B336" s="23" t="s">
        <v>26</v>
      </c>
      <c r="C336" s="23" t="str">
        <f>VLOOKUP(Squads[[#This Row],[National Team]],Qualified[],3,TRUE)</f>
        <v>Germany (GER)</v>
      </c>
      <c r="D336" s="25">
        <v>23</v>
      </c>
      <c r="E336" s="23" t="s">
        <v>135</v>
      </c>
      <c r="F336" s="23" t="s">
        <v>586</v>
      </c>
      <c r="G336" s="26">
        <v>36495</v>
      </c>
      <c r="H336" s="65">
        <f>DATEDIF(Squads[[#This Row],[Date Of Birth]],World_Cup_Start_Date,"Y")</f>
        <v>22</v>
      </c>
      <c r="I336" s="27">
        <v>6</v>
      </c>
      <c r="J336" s="27">
        <v>0</v>
      </c>
      <c r="K336" s="78" t="s">
        <v>1663</v>
      </c>
      <c r="L336" s="27" t="str">
        <f>_xlfn.XLOOKUP(Squads[[#This Row],[Current Club]],Clubs[Current Club],Clubs[Club_ID])</f>
        <v>GER-02</v>
      </c>
      <c r="M336" s="27" t="str">
        <f>_xlfn.XLOOKUP(Squads[[#This Row],[National Team]],Football_Associations[Football Association],Football_Associations[World Cup Result])</f>
        <v>Group Stage</v>
      </c>
      <c r="N33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37" spans="1:14" ht="15" customHeight="1" x14ac:dyDescent="0.25">
      <c r="A337" s="33">
        <f t="shared" si="5"/>
        <v>1336</v>
      </c>
      <c r="B337" s="23" t="s">
        <v>26</v>
      </c>
      <c r="C337" s="23" t="str">
        <f>VLOOKUP(Squads[[#This Row],[National Team]],Qualified[],3,TRUE)</f>
        <v>Germany (GER)</v>
      </c>
      <c r="D337" s="25">
        <v>24</v>
      </c>
      <c r="E337" s="23" t="s">
        <v>146</v>
      </c>
      <c r="F337" s="23" t="s">
        <v>587</v>
      </c>
      <c r="G337" s="26">
        <v>37274</v>
      </c>
      <c r="H337" s="65">
        <f>DATEDIF(Squads[[#This Row],[Date Of Birth]],World_Cup_Start_Date,"Y")</f>
        <v>20</v>
      </c>
      <c r="I337" s="27">
        <v>4</v>
      </c>
      <c r="J337" s="27">
        <v>1</v>
      </c>
      <c r="K337" s="78" t="s">
        <v>1663</v>
      </c>
      <c r="L337" s="27" t="str">
        <f>_xlfn.XLOOKUP(Squads[[#This Row],[Current Club]],Clubs[Current Club],Clubs[Club_ID])</f>
        <v>GER-02</v>
      </c>
      <c r="M337" s="27" t="str">
        <f>_xlfn.XLOOKUP(Squads[[#This Row],[National Team]],Football_Associations[Football Association],Football_Associations[World Cup Result])</f>
        <v>Group Stage</v>
      </c>
      <c r="N33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38" spans="1:14" ht="15" customHeight="1" x14ac:dyDescent="0.25">
      <c r="A338" s="33">
        <f t="shared" si="5"/>
        <v>1337</v>
      </c>
      <c r="B338" s="23" t="s">
        <v>26</v>
      </c>
      <c r="C338" s="23" t="str">
        <f>VLOOKUP(Squads[[#This Row],[National Team]],Qualified[],3,TRUE)</f>
        <v>Germany (GER)</v>
      </c>
      <c r="D338" s="25">
        <v>25</v>
      </c>
      <c r="E338" s="23" t="s">
        <v>135</v>
      </c>
      <c r="F338" s="23" t="s">
        <v>588</v>
      </c>
      <c r="G338" s="26">
        <v>37236</v>
      </c>
      <c r="H338" s="65">
        <f>DATEDIF(Squads[[#This Row],[Date Of Birth]],World_Cup_Start_Date,"Y")</f>
        <v>20</v>
      </c>
      <c r="I338" s="27">
        <v>2</v>
      </c>
      <c r="J338" s="27">
        <v>0</v>
      </c>
      <c r="K338" s="78" t="s">
        <v>1802</v>
      </c>
      <c r="L338" s="27" t="str">
        <f>_xlfn.XLOOKUP(Squads[[#This Row],[Current Club]],Clubs[Current Club],Clubs[Club_ID])</f>
        <v>ENG-28</v>
      </c>
      <c r="M338" s="27" t="str">
        <f>_xlfn.XLOOKUP(Squads[[#This Row],[National Team]],Football_Associations[Football Association],Football_Associations[World Cup Result])</f>
        <v>Group Stage</v>
      </c>
      <c r="N33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39" spans="1:14" ht="15" customHeight="1" x14ac:dyDescent="0.25">
      <c r="A339" s="33">
        <f t="shared" si="5"/>
        <v>1338</v>
      </c>
      <c r="B339" s="23" t="s">
        <v>26</v>
      </c>
      <c r="C339" s="23" t="str">
        <f>VLOOKUP(Squads[[#This Row],[National Team]],Qualified[],3,TRUE)</f>
        <v>Germany (GER)</v>
      </c>
      <c r="D339" s="25">
        <v>26</v>
      </c>
      <c r="E339" s="23" t="s">
        <v>146</v>
      </c>
      <c r="F339" s="23" t="s">
        <v>589</v>
      </c>
      <c r="G339" s="26">
        <v>38311</v>
      </c>
      <c r="H339" s="65">
        <f>DATEDIF(Squads[[#This Row],[Date Of Birth]],World_Cup_Start_Date,"Y")</f>
        <v>18</v>
      </c>
      <c r="I339" s="27">
        <v>1</v>
      </c>
      <c r="J339" s="27">
        <v>0</v>
      </c>
      <c r="K339" s="78" t="s">
        <v>1663</v>
      </c>
      <c r="L339" s="27" t="str">
        <f>_xlfn.XLOOKUP(Squads[[#This Row],[Current Club]],Clubs[Current Club],Clubs[Club_ID])</f>
        <v>GER-02</v>
      </c>
      <c r="M339" s="27" t="str">
        <f>_xlfn.XLOOKUP(Squads[[#This Row],[National Team]],Football_Associations[Football Association],Football_Associations[World Cup Result])</f>
        <v>Group Stage</v>
      </c>
      <c r="N33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40" spans="1:14" ht="15" customHeight="1" x14ac:dyDescent="0.25">
      <c r="A340" s="33">
        <f t="shared" si="5"/>
        <v>1339</v>
      </c>
      <c r="B340" s="23" t="s">
        <v>39</v>
      </c>
      <c r="C340" s="23" t="str">
        <f>VLOOKUP(Squads[[#This Row],[National Team]],Qualified[],3,TRUE)</f>
        <v>Ghana (GHA)</v>
      </c>
      <c r="D340" s="25">
        <v>1</v>
      </c>
      <c r="E340" s="23" t="s">
        <v>133</v>
      </c>
      <c r="F340" s="23" t="s">
        <v>841</v>
      </c>
      <c r="G340" s="26">
        <v>35398</v>
      </c>
      <c r="H340" s="65">
        <f>DATEDIF(Squads[[#This Row],[Date Of Birth]],World_Cup_Start_Date,"Y")</f>
        <v>25</v>
      </c>
      <c r="I340" s="27">
        <v>11</v>
      </c>
      <c r="J340" s="27">
        <v>0</v>
      </c>
      <c r="K340" s="78" t="s">
        <v>1930</v>
      </c>
      <c r="L340" s="27" t="str">
        <f>_xlfn.XLOOKUP(Squads[[#This Row],[Current Club]],Clubs[Current Club],Clubs[Club_ID])</f>
        <v>SWI-05</v>
      </c>
      <c r="M340" s="27" t="str">
        <f>_xlfn.XLOOKUP(Squads[[#This Row],[National Team]],Football_Associations[Football Association],Football_Associations[World Cup Result])</f>
        <v>Group Stage</v>
      </c>
      <c r="N34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41" spans="1:14" ht="15" customHeight="1" x14ac:dyDescent="0.25">
      <c r="A341" s="33">
        <f t="shared" si="5"/>
        <v>1340</v>
      </c>
      <c r="B341" s="23" t="s">
        <v>39</v>
      </c>
      <c r="C341" s="23" t="str">
        <f>VLOOKUP(Squads[[#This Row],[National Team]],Qualified[],3,TRUE)</f>
        <v>Ghana (GHA)</v>
      </c>
      <c r="D341" s="25">
        <v>2</v>
      </c>
      <c r="E341" s="23" t="s">
        <v>135</v>
      </c>
      <c r="F341" s="23" t="s">
        <v>842</v>
      </c>
      <c r="G341" s="26">
        <v>36799</v>
      </c>
      <c r="H341" s="65">
        <f>DATEDIF(Squads[[#This Row],[Date Of Birth]],World_Cup_Start_Date,"Y")</f>
        <v>22</v>
      </c>
      <c r="I341" s="27">
        <v>2</v>
      </c>
      <c r="J341" s="27">
        <v>0</v>
      </c>
      <c r="K341" s="78" t="s">
        <v>1669</v>
      </c>
      <c r="L341" s="27" t="str">
        <f>_xlfn.XLOOKUP(Squads[[#This Row],[Current Club]],Clubs[Current Club],Clubs[Club_ID])</f>
        <v>ENG-06</v>
      </c>
      <c r="M341" s="27" t="str">
        <f>_xlfn.XLOOKUP(Squads[[#This Row],[National Team]],Football_Associations[Football Association],Football_Associations[World Cup Result])</f>
        <v>Group Stage</v>
      </c>
      <c r="N34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42" spans="1:14" ht="15" customHeight="1" x14ac:dyDescent="0.25">
      <c r="A342" s="33">
        <f t="shared" si="5"/>
        <v>1341</v>
      </c>
      <c r="B342" s="23" t="s">
        <v>39</v>
      </c>
      <c r="C342" s="23" t="str">
        <f>VLOOKUP(Squads[[#This Row],[National Team]],Qualified[],3,TRUE)</f>
        <v>Ghana (GHA)</v>
      </c>
      <c r="D342" s="25">
        <v>3</v>
      </c>
      <c r="E342" s="23" t="s">
        <v>135</v>
      </c>
      <c r="F342" s="23" t="s">
        <v>843</v>
      </c>
      <c r="G342" s="26">
        <v>32290</v>
      </c>
      <c r="H342" s="65">
        <f>DATEDIF(Squads[[#This Row],[Date Of Birth]],World_Cup_Start_Date,"Y")</f>
        <v>34</v>
      </c>
      <c r="I342" s="27">
        <v>4</v>
      </c>
      <c r="J342" s="27">
        <v>0</v>
      </c>
      <c r="K342" s="78" t="s">
        <v>1670</v>
      </c>
      <c r="L342" s="27" t="str">
        <f>_xlfn.XLOOKUP(Squads[[#This Row],[Current Club]],Clubs[Current Club],Clubs[Club_ID])</f>
        <v>BEL-01</v>
      </c>
      <c r="M342" s="27" t="str">
        <f>_xlfn.XLOOKUP(Squads[[#This Row],[National Team]],Football_Associations[Football Association],Football_Associations[World Cup Result])</f>
        <v>Group Stage</v>
      </c>
      <c r="N34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43" spans="1:14" ht="15" customHeight="1" x14ac:dyDescent="0.25">
      <c r="A343" s="33">
        <f t="shared" si="5"/>
        <v>1342</v>
      </c>
      <c r="B343" s="23" t="s">
        <v>39</v>
      </c>
      <c r="C343" s="23" t="str">
        <f>VLOOKUP(Squads[[#This Row],[National Team]],Qualified[],3,TRUE)</f>
        <v>Ghana (GHA)</v>
      </c>
      <c r="D343" s="25">
        <v>4</v>
      </c>
      <c r="E343" s="23" t="s">
        <v>135</v>
      </c>
      <c r="F343" s="23" t="s">
        <v>844</v>
      </c>
      <c r="G343" s="26">
        <v>36267</v>
      </c>
      <c r="H343" s="65">
        <f>DATEDIF(Squads[[#This Row],[Date Of Birth]],World_Cup_Start_Date,"Y")</f>
        <v>23</v>
      </c>
      <c r="I343" s="27">
        <v>3</v>
      </c>
      <c r="J343" s="27">
        <v>1</v>
      </c>
      <c r="K343" s="78" t="s">
        <v>1802</v>
      </c>
      <c r="L343" s="27" t="str">
        <f>_xlfn.XLOOKUP(Squads[[#This Row],[Current Club]],Clubs[Current Club],Clubs[Club_ID])</f>
        <v>ENG-28</v>
      </c>
      <c r="M343" s="27" t="str">
        <f>_xlfn.XLOOKUP(Squads[[#This Row],[National Team]],Football_Associations[Football Association],Football_Associations[World Cup Result])</f>
        <v>Group Stage</v>
      </c>
      <c r="N34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44" spans="1:14" ht="15" customHeight="1" x14ac:dyDescent="0.25">
      <c r="A344" s="33">
        <f t="shared" si="5"/>
        <v>1343</v>
      </c>
      <c r="B344" s="23" t="s">
        <v>39</v>
      </c>
      <c r="C344" s="23" t="str">
        <f>VLOOKUP(Squads[[#This Row],[National Team]],Qualified[],3,TRUE)</f>
        <v>Ghana (GHA)</v>
      </c>
      <c r="D344" s="25">
        <v>5</v>
      </c>
      <c r="E344" s="23" t="s">
        <v>139</v>
      </c>
      <c r="F344" s="23" t="s">
        <v>845</v>
      </c>
      <c r="G344" s="26">
        <v>34133</v>
      </c>
      <c r="H344" s="65">
        <f>DATEDIF(Squads[[#This Row],[Date Of Birth]],World_Cup_Start_Date,"Y")</f>
        <v>29</v>
      </c>
      <c r="I344" s="27">
        <v>40</v>
      </c>
      <c r="J344" s="27">
        <v>13</v>
      </c>
      <c r="K344" s="78" t="s">
        <v>1667</v>
      </c>
      <c r="L344" s="27" t="str">
        <f>_xlfn.XLOOKUP(Squads[[#This Row],[Current Club]],Clubs[Current Club],Clubs[Club_ID])</f>
        <v>ENG-05</v>
      </c>
      <c r="M344" s="27" t="str">
        <f>_xlfn.XLOOKUP(Squads[[#This Row],[National Team]],Football_Associations[Football Association],Football_Associations[World Cup Result])</f>
        <v>Group Stage</v>
      </c>
      <c r="N34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45" spans="1:14" ht="15" customHeight="1" x14ac:dyDescent="0.25">
      <c r="A345" s="33">
        <f t="shared" si="5"/>
        <v>1344</v>
      </c>
      <c r="B345" s="23" t="s">
        <v>39</v>
      </c>
      <c r="C345" s="23" t="str">
        <f>VLOOKUP(Squads[[#This Row],[National Team]],Qualified[],3,TRUE)</f>
        <v>Ghana (GHA)</v>
      </c>
      <c r="D345" s="25">
        <v>6</v>
      </c>
      <c r="E345" s="23" t="s">
        <v>139</v>
      </c>
      <c r="F345" s="23" t="s">
        <v>846</v>
      </c>
      <c r="G345" s="26">
        <v>35741</v>
      </c>
      <c r="H345" s="65">
        <f>DATEDIF(Squads[[#This Row],[Date Of Birth]],World_Cup_Start_Date,"Y")</f>
        <v>25</v>
      </c>
      <c r="I345" s="27">
        <v>3</v>
      </c>
      <c r="J345" s="27">
        <v>0</v>
      </c>
      <c r="K345" s="78" t="s">
        <v>1863</v>
      </c>
      <c r="L345" s="27" t="str">
        <f>_xlfn.XLOOKUP(Squads[[#This Row],[Current Club]],Clubs[Current Club],Clubs[Club_ID])</f>
        <v>BEL-09</v>
      </c>
      <c r="M345" s="27" t="str">
        <f>_xlfn.XLOOKUP(Squads[[#This Row],[National Team]],Football_Associations[Football Association],Football_Associations[World Cup Result])</f>
        <v>Group Stage</v>
      </c>
      <c r="N34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46" spans="1:14" ht="15" customHeight="1" x14ac:dyDescent="0.25">
      <c r="A346" s="33">
        <f t="shared" si="5"/>
        <v>1345</v>
      </c>
      <c r="B346" s="23" t="s">
        <v>39</v>
      </c>
      <c r="C346" s="23" t="str">
        <f>VLOOKUP(Squads[[#This Row],[National Team]],Qualified[],3,TRUE)</f>
        <v>Ghana (GHA)</v>
      </c>
      <c r="D346" s="25">
        <v>7</v>
      </c>
      <c r="E346" s="23" t="s">
        <v>139</v>
      </c>
      <c r="F346" s="23" t="s">
        <v>847</v>
      </c>
      <c r="G346" s="26">
        <v>38054</v>
      </c>
      <c r="H346" s="65">
        <f>DATEDIF(Squads[[#This Row],[Date Of Birth]],World_Cup_Start_Date,"Y")</f>
        <v>18</v>
      </c>
      <c r="I346" s="27">
        <v>13</v>
      </c>
      <c r="J346" s="27">
        <v>1</v>
      </c>
      <c r="K346" s="78" t="s">
        <v>1720</v>
      </c>
      <c r="L346" s="27" t="str">
        <f>_xlfn.XLOOKUP(Squads[[#This Row],[Current Club]],Clubs[Current Club],Clubs[Club_ID])</f>
        <v>POR-03</v>
      </c>
      <c r="M346" s="27" t="str">
        <f>_xlfn.XLOOKUP(Squads[[#This Row],[National Team]],Football_Associations[Football Association],Football_Associations[World Cup Result])</f>
        <v>Group Stage</v>
      </c>
      <c r="N34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47" spans="1:14" ht="15" customHeight="1" x14ac:dyDescent="0.25">
      <c r="A347" s="33">
        <f t="shared" si="5"/>
        <v>1346</v>
      </c>
      <c r="B347" s="23" t="s">
        <v>39</v>
      </c>
      <c r="C347" s="23" t="str">
        <f>VLOOKUP(Squads[[#This Row],[National Team]],Qualified[],3,TRUE)</f>
        <v>Ghana (GHA)</v>
      </c>
      <c r="D347" s="25">
        <v>8</v>
      </c>
      <c r="E347" s="23" t="s">
        <v>139</v>
      </c>
      <c r="F347" s="23" t="s">
        <v>848</v>
      </c>
      <c r="G347" s="26">
        <v>35132</v>
      </c>
      <c r="H347" s="65">
        <f>DATEDIF(Squads[[#This Row],[Date Of Birth]],World_Cup_Start_Date,"Y")</f>
        <v>26</v>
      </c>
      <c r="I347" s="27">
        <v>15</v>
      </c>
      <c r="J347" s="27">
        <v>0</v>
      </c>
      <c r="K347" s="78" t="s">
        <v>1700</v>
      </c>
      <c r="L347" s="27" t="str">
        <f>_xlfn.XLOOKUP(Squads[[#This Row],[Current Club]],Clubs[Current Club],Clubs[Club_ID])</f>
        <v>GER-06</v>
      </c>
      <c r="M347" s="27" t="str">
        <f>_xlfn.XLOOKUP(Squads[[#This Row],[National Team]],Football_Associations[Football Association],Football_Associations[World Cup Result])</f>
        <v>Group Stage</v>
      </c>
      <c r="N34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48" spans="1:14" ht="15" customHeight="1" x14ac:dyDescent="0.25">
      <c r="A348" s="33">
        <f t="shared" si="5"/>
        <v>1347</v>
      </c>
      <c r="B348" s="23" t="s">
        <v>39</v>
      </c>
      <c r="C348" s="23" t="str">
        <f>VLOOKUP(Squads[[#This Row],[National Team]],Qualified[],3,TRUE)</f>
        <v>Ghana (GHA)</v>
      </c>
      <c r="D348" s="25">
        <v>9</v>
      </c>
      <c r="E348" s="23" t="s">
        <v>146</v>
      </c>
      <c r="F348" s="23" t="s">
        <v>849</v>
      </c>
      <c r="G348" s="26">
        <v>33492</v>
      </c>
      <c r="H348" s="65">
        <f>DATEDIF(Squads[[#This Row],[Date Of Birth]],World_Cup_Start_Date,"Y")</f>
        <v>31</v>
      </c>
      <c r="I348" s="27">
        <v>84</v>
      </c>
      <c r="J348" s="27">
        <v>19</v>
      </c>
      <c r="K348" s="78" t="s">
        <v>1775</v>
      </c>
      <c r="L348" s="27" t="str">
        <f>_xlfn.XLOOKUP(Squads[[#This Row],[Current Club]],Clubs[Current Club],Clubs[Club_ID])</f>
        <v>ENG-24</v>
      </c>
      <c r="M348" s="27" t="str">
        <f>_xlfn.XLOOKUP(Squads[[#This Row],[National Team]],Football_Associations[Football Association],Football_Associations[World Cup Result])</f>
        <v>Group Stage</v>
      </c>
      <c r="N34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49" spans="1:14" ht="15" customHeight="1" x14ac:dyDescent="0.25">
      <c r="A349" s="33">
        <f t="shared" si="5"/>
        <v>1348</v>
      </c>
      <c r="B349" s="23" t="s">
        <v>39</v>
      </c>
      <c r="C349" s="23" t="str">
        <f>VLOOKUP(Squads[[#This Row],[National Team]],Qualified[],3,TRUE)</f>
        <v>Ghana (GHA)</v>
      </c>
      <c r="D349" s="25">
        <v>10</v>
      </c>
      <c r="E349" s="23" t="s">
        <v>146</v>
      </c>
      <c r="F349" s="27" t="s">
        <v>1003</v>
      </c>
      <c r="G349" s="26">
        <v>32859</v>
      </c>
      <c r="H349" s="65">
        <f>DATEDIF(Squads[[#This Row],[Date Of Birth]],World_Cup_Start_Date,"Y")</f>
        <v>32</v>
      </c>
      <c r="I349" s="27">
        <v>110</v>
      </c>
      <c r="J349" s="27">
        <v>23</v>
      </c>
      <c r="K349" s="78" t="s">
        <v>1656</v>
      </c>
      <c r="L349" s="27" t="str">
        <f>_xlfn.XLOOKUP(Squads[[#This Row],[Current Club]],Clubs[Current Club],Clubs[Club_ID])</f>
        <v>QTR-01</v>
      </c>
      <c r="M349" s="27" t="str">
        <f>_xlfn.XLOOKUP(Squads[[#This Row],[National Team]],Football_Associations[Football Association],Football_Associations[World Cup Result])</f>
        <v>Group Stage</v>
      </c>
      <c r="N34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50" spans="1:14" ht="15" customHeight="1" x14ac:dyDescent="0.25">
      <c r="A350" s="33">
        <f t="shared" si="5"/>
        <v>1349</v>
      </c>
      <c r="B350" s="23" t="s">
        <v>39</v>
      </c>
      <c r="C350" s="23" t="str">
        <f>VLOOKUP(Squads[[#This Row],[National Team]],Qualified[],3,TRUE)</f>
        <v>Ghana (GHA)</v>
      </c>
      <c r="D350" s="25">
        <v>11</v>
      </c>
      <c r="E350" s="23" t="s">
        <v>139</v>
      </c>
      <c r="F350" s="23" t="s">
        <v>850</v>
      </c>
      <c r="G350" s="26">
        <v>36142</v>
      </c>
      <c r="H350" s="65">
        <f>DATEDIF(Squads[[#This Row],[Date Of Birth]],World_Cup_Start_Date,"Y")</f>
        <v>23</v>
      </c>
      <c r="I350" s="27">
        <v>7</v>
      </c>
      <c r="J350" s="27">
        <v>1</v>
      </c>
      <c r="K350" s="78" t="s">
        <v>1743</v>
      </c>
      <c r="L350" s="27" t="str">
        <f>_xlfn.XLOOKUP(Squads[[#This Row],[Current Club]],Clubs[Current Club],Clubs[Club_ID])</f>
        <v>SER-01</v>
      </c>
      <c r="M350" s="27" t="str">
        <f>_xlfn.XLOOKUP(Squads[[#This Row],[National Team]],Football_Associations[Football Association],Football_Associations[World Cup Result])</f>
        <v>Group Stage</v>
      </c>
      <c r="N35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51" spans="1:14" ht="15" customHeight="1" x14ac:dyDescent="0.25">
      <c r="A351" s="33">
        <f t="shared" si="5"/>
        <v>1350</v>
      </c>
      <c r="B351" s="23" t="s">
        <v>39</v>
      </c>
      <c r="C351" s="23" t="str">
        <f>VLOOKUP(Squads[[#This Row],[National Team]],Qualified[],3,TRUE)</f>
        <v>Ghana (GHA)</v>
      </c>
      <c r="D351" s="25">
        <v>12</v>
      </c>
      <c r="E351" s="23" t="s">
        <v>133</v>
      </c>
      <c r="F351" s="23" t="s">
        <v>851</v>
      </c>
      <c r="G351" s="26">
        <v>37592</v>
      </c>
      <c r="H351" s="65">
        <f>DATEDIF(Squads[[#This Row],[Date Of Birth]],World_Cup_Start_Date,"Y")</f>
        <v>19</v>
      </c>
      <c r="I351" s="27">
        <v>4</v>
      </c>
      <c r="J351" s="27">
        <v>0</v>
      </c>
      <c r="K351" s="78" t="s">
        <v>1824</v>
      </c>
      <c r="L351" s="27" t="str">
        <f>_xlfn.XLOOKUP(Squads[[#This Row],[Current Club]],Clubs[Current Club],Clubs[Club_ID])</f>
        <v>GNA-01</v>
      </c>
      <c r="M351" s="27" t="str">
        <f>_xlfn.XLOOKUP(Squads[[#This Row],[National Team]],Football_Associations[Football Association],Football_Associations[World Cup Result])</f>
        <v>Group Stage</v>
      </c>
      <c r="N35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52" spans="1:14" ht="15" customHeight="1" x14ac:dyDescent="0.25">
      <c r="A352" s="33">
        <f t="shared" si="5"/>
        <v>1351</v>
      </c>
      <c r="B352" s="23" t="s">
        <v>39</v>
      </c>
      <c r="C352" s="23" t="str">
        <f>VLOOKUP(Squads[[#This Row],[National Team]],Qualified[],3,TRUE)</f>
        <v>Ghana (GHA)</v>
      </c>
      <c r="D352" s="25">
        <v>13</v>
      </c>
      <c r="E352" s="23" t="s">
        <v>139</v>
      </c>
      <c r="F352" s="23" t="s">
        <v>852</v>
      </c>
      <c r="G352" s="26">
        <v>37068</v>
      </c>
      <c r="H352" s="65">
        <f>DATEDIF(Squads[[#This Row],[Date Of Birth]],World_Cup_Start_Date,"Y")</f>
        <v>21</v>
      </c>
      <c r="I352" s="27">
        <v>7</v>
      </c>
      <c r="J352" s="27">
        <v>3</v>
      </c>
      <c r="K352" s="78" t="s">
        <v>1869</v>
      </c>
      <c r="L352" s="27" t="str">
        <f>_xlfn.XLOOKUP(Squads[[#This Row],[Current Club]],Clubs[Current Club],Clubs[Club_ID])</f>
        <v>GNA-02</v>
      </c>
      <c r="M352" s="27" t="str">
        <f>_xlfn.XLOOKUP(Squads[[#This Row],[National Team]],Football_Associations[Football Association],Football_Associations[World Cup Result])</f>
        <v>Group Stage</v>
      </c>
      <c r="N35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53" spans="1:14" ht="15" customHeight="1" x14ac:dyDescent="0.25">
      <c r="A353" s="33">
        <f t="shared" si="5"/>
        <v>1352</v>
      </c>
      <c r="B353" s="23" t="s">
        <v>39</v>
      </c>
      <c r="C353" s="23" t="str">
        <f>VLOOKUP(Squads[[#This Row],[National Team]],Qualified[],3,TRUE)</f>
        <v>Ghana (GHA)</v>
      </c>
      <c r="D353" s="25">
        <v>14</v>
      </c>
      <c r="E353" s="23" t="s">
        <v>135</v>
      </c>
      <c r="F353" s="23" t="s">
        <v>853</v>
      </c>
      <c r="G353" s="26">
        <v>35994</v>
      </c>
      <c r="H353" s="65">
        <f>DATEDIF(Squads[[#This Row],[Date Of Birth]],World_Cup_Start_Date,"Y")</f>
        <v>24</v>
      </c>
      <c r="I353" s="27">
        <v>12</v>
      </c>
      <c r="J353" s="27">
        <v>0</v>
      </c>
      <c r="K353" s="78" t="s">
        <v>1829</v>
      </c>
      <c r="L353" s="27" t="str">
        <f>_xlfn.XLOOKUP(Squads[[#This Row],[Current Club]],Clubs[Current Club],Clubs[Club_ID])</f>
        <v>FRA-15</v>
      </c>
      <c r="M353" s="27" t="str">
        <f>_xlfn.XLOOKUP(Squads[[#This Row],[National Team]],Football_Associations[Football Association],Football_Associations[World Cup Result])</f>
        <v>Group Stage</v>
      </c>
      <c r="N35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54" spans="1:14" ht="15" customHeight="1" x14ac:dyDescent="0.25">
      <c r="A354" s="33">
        <f t="shared" si="5"/>
        <v>1353</v>
      </c>
      <c r="B354" s="23" t="s">
        <v>39</v>
      </c>
      <c r="C354" s="23" t="str">
        <f>VLOOKUP(Squads[[#This Row],[National Team]],Qualified[],3,TRUE)</f>
        <v>Ghana (GHA)</v>
      </c>
      <c r="D354" s="25">
        <v>15</v>
      </c>
      <c r="E354" s="23" t="s">
        <v>135</v>
      </c>
      <c r="F354" s="23" t="s">
        <v>854</v>
      </c>
      <c r="G354" s="26">
        <v>34971</v>
      </c>
      <c r="H354" s="65">
        <f>DATEDIF(Squads[[#This Row],[Date Of Birth]],World_Cup_Start_Date,"Y")</f>
        <v>27</v>
      </c>
      <c r="I354" s="27">
        <v>11</v>
      </c>
      <c r="J354" s="27">
        <v>0</v>
      </c>
      <c r="K354" s="78" t="s">
        <v>1772</v>
      </c>
      <c r="L354" s="27" t="str">
        <f>_xlfn.XLOOKUP(Squads[[#This Row],[Current Club]],Clubs[Current Club],Clubs[Club_ID])</f>
        <v>ESP-09</v>
      </c>
      <c r="M354" s="27" t="str">
        <f>_xlfn.XLOOKUP(Squads[[#This Row],[National Team]],Football_Associations[Football Association],Football_Associations[World Cup Result])</f>
        <v>Group Stage</v>
      </c>
      <c r="N35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55" spans="1:14" ht="15" customHeight="1" x14ac:dyDescent="0.25">
      <c r="A355" s="33">
        <f t="shared" si="5"/>
        <v>1354</v>
      </c>
      <c r="B355" s="23" t="s">
        <v>39</v>
      </c>
      <c r="C355" s="23" t="str">
        <f>VLOOKUP(Squads[[#This Row],[National Team]],Qualified[],3,TRUE)</f>
        <v>Ghana (GHA)</v>
      </c>
      <c r="D355" s="25">
        <v>16</v>
      </c>
      <c r="E355" s="23" t="s">
        <v>133</v>
      </c>
      <c r="F355" s="23" t="s">
        <v>855</v>
      </c>
      <c r="G355" s="26">
        <v>36199</v>
      </c>
      <c r="H355" s="65">
        <f>DATEDIF(Squads[[#This Row],[Date Of Birth]],World_Cup_Start_Date,"Y")</f>
        <v>23</v>
      </c>
      <c r="I355" s="27">
        <v>2</v>
      </c>
      <c r="J355" s="27">
        <v>0</v>
      </c>
      <c r="K355" s="78" t="s">
        <v>1854</v>
      </c>
      <c r="L355" s="27" t="str">
        <f>_xlfn.XLOOKUP(Squads[[#This Row],[Current Club]],Clubs[Current Club],Clubs[Club_ID])</f>
        <v>BEL-08</v>
      </c>
      <c r="M355" s="27" t="str">
        <f>_xlfn.XLOOKUP(Squads[[#This Row],[National Team]],Football_Associations[Football Association],Football_Associations[World Cup Result])</f>
        <v>Group Stage</v>
      </c>
      <c r="N35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56" spans="1:14" ht="15" customHeight="1" x14ac:dyDescent="0.25">
      <c r="A356" s="33">
        <f t="shared" si="5"/>
        <v>1355</v>
      </c>
      <c r="B356" s="23" t="s">
        <v>39</v>
      </c>
      <c r="C356" s="23" t="str">
        <f>VLOOKUP(Squads[[#This Row],[National Team]],Qualified[],3,TRUE)</f>
        <v>Ghana (GHA)</v>
      </c>
      <c r="D356" s="25">
        <v>17</v>
      </c>
      <c r="E356" s="23" t="s">
        <v>135</v>
      </c>
      <c r="F356" s="23" t="s">
        <v>856</v>
      </c>
      <c r="G356" s="26">
        <v>34517</v>
      </c>
      <c r="H356" s="65">
        <f>DATEDIF(Squads[[#This Row],[Date Of Birth]],World_Cup_Start_Date,"Y")</f>
        <v>28</v>
      </c>
      <c r="I356" s="27">
        <v>48</v>
      </c>
      <c r="J356" s="27">
        <v>1</v>
      </c>
      <c r="K356" s="78" t="s">
        <v>1742</v>
      </c>
      <c r="L356" s="27" t="str">
        <f>_xlfn.XLOOKUP(Squads[[#This Row],[Current Club]],Clubs[Current Club],Clubs[Club_ID])</f>
        <v>ENG-18</v>
      </c>
      <c r="M356" s="27" t="str">
        <f>_xlfn.XLOOKUP(Squads[[#This Row],[National Team]],Football_Associations[Football Association],Football_Associations[World Cup Result])</f>
        <v>Group Stage</v>
      </c>
      <c r="N35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57" spans="1:14" ht="15" customHeight="1" x14ac:dyDescent="0.25">
      <c r="A357" s="33">
        <f t="shared" si="5"/>
        <v>1356</v>
      </c>
      <c r="B357" s="23" t="s">
        <v>39</v>
      </c>
      <c r="C357" s="23" t="str">
        <f>VLOOKUP(Squads[[#This Row],[National Team]],Qualified[],3,TRUE)</f>
        <v>Ghana (GHA)</v>
      </c>
      <c r="D357" s="25">
        <v>18</v>
      </c>
      <c r="E357" s="23" t="s">
        <v>135</v>
      </c>
      <c r="F357" s="23" t="s">
        <v>857</v>
      </c>
      <c r="G357" s="26">
        <v>34689</v>
      </c>
      <c r="H357" s="65">
        <f>DATEDIF(Squads[[#This Row],[Date Of Birth]],World_Cup_Start_Date,"Y")</f>
        <v>27</v>
      </c>
      <c r="I357" s="27">
        <v>46</v>
      </c>
      <c r="J357" s="27">
        <v>0</v>
      </c>
      <c r="K357" s="78" t="s">
        <v>1675</v>
      </c>
      <c r="L357" s="27" t="str">
        <f>_xlfn.XLOOKUP(Squads[[#This Row],[Current Club]],Clubs[Current Club],Clubs[Club_ID])</f>
        <v>ENG-07</v>
      </c>
      <c r="M357" s="27" t="str">
        <f>_xlfn.XLOOKUP(Squads[[#This Row],[National Team]],Football_Associations[Football Association],Football_Associations[World Cup Result])</f>
        <v>Group Stage</v>
      </c>
      <c r="N35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58" spans="1:14" ht="15" customHeight="1" x14ac:dyDescent="0.25">
      <c r="A358" s="33">
        <f t="shared" si="5"/>
        <v>1357</v>
      </c>
      <c r="B358" s="23" t="s">
        <v>39</v>
      </c>
      <c r="C358" s="23" t="str">
        <f>VLOOKUP(Squads[[#This Row],[National Team]],Qualified[],3,TRUE)</f>
        <v>Ghana (GHA)</v>
      </c>
      <c r="D358" s="25">
        <v>19</v>
      </c>
      <c r="E358" s="23" t="s">
        <v>146</v>
      </c>
      <c r="F358" s="23" t="s">
        <v>858</v>
      </c>
      <c r="G358" s="26">
        <v>34500</v>
      </c>
      <c r="H358" s="65">
        <f>DATEDIF(Squads[[#This Row],[Date Of Birth]],World_Cup_Start_Date,"Y")</f>
        <v>28</v>
      </c>
      <c r="I358" s="27">
        <v>3</v>
      </c>
      <c r="J358" s="27">
        <v>0</v>
      </c>
      <c r="K358" s="78" t="s">
        <v>1726</v>
      </c>
      <c r="L358" s="27" t="str">
        <f>_xlfn.XLOOKUP(Squads[[#This Row],[Current Club]],Clubs[Current Club],Clubs[Club_ID])</f>
        <v>ESP-08</v>
      </c>
      <c r="M358" s="27" t="str">
        <f>_xlfn.XLOOKUP(Squads[[#This Row],[National Team]],Football_Associations[Football Association],Football_Associations[World Cup Result])</f>
        <v>Group Stage</v>
      </c>
      <c r="N35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59" spans="1:14" ht="15" customHeight="1" x14ac:dyDescent="0.25">
      <c r="A359" s="33">
        <f t="shared" si="5"/>
        <v>1358</v>
      </c>
      <c r="B359" s="23" t="s">
        <v>39</v>
      </c>
      <c r="C359" s="23" t="str">
        <f>VLOOKUP(Squads[[#This Row],[National Team]],Qualified[],3,TRUE)</f>
        <v>Ghana (GHA)</v>
      </c>
      <c r="D359" s="25">
        <v>20</v>
      </c>
      <c r="E359" s="23" t="s">
        <v>139</v>
      </c>
      <c r="F359" s="23" t="s">
        <v>859</v>
      </c>
      <c r="G359" s="26">
        <v>36740</v>
      </c>
      <c r="H359" s="65">
        <f>DATEDIF(Squads[[#This Row],[Date Of Birth]],World_Cup_Start_Date,"Y")</f>
        <v>22</v>
      </c>
      <c r="I359" s="27">
        <v>18</v>
      </c>
      <c r="J359" s="27">
        <v>4</v>
      </c>
      <c r="K359" s="78" t="s">
        <v>1662</v>
      </c>
      <c r="L359" s="27" t="str">
        <f>_xlfn.XLOOKUP(Squads[[#This Row],[Current Club]],Clubs[Current Club],Clubs[Club_ID])</f>
        <v>NET-01</v>
      </c>
      <c r="M359" s="27" t="str">
        <f>_xlfn.XLOOKUP(Squads[[#This Row],[National Team]],Football_Associations[Football Association],Football_Associations[World Cup Result])</f>
        <v>Group Stage</v>
      </c>
      <c r="N35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60" spans="1:14" ht="15" customHeight="1" x14ac:dyDescent="0.25">
      <c r="A360" s="33">
        <f t="shared" si="5"/>
        <v>1359</v>
      </c>
      <c r="B360" s="23" t="s">
        <v>39</v>
      </c>
      <c r="C360" s="23" t="str">
        <f>VLOOKUP(Squads[[#This Row],[National Team]],Qualified[],3,TRUE)</f>
        <v>Ghana (GHA)</v>
      </c>
      <c r="D360" s="25">
        <v>21</v>
      </c>
      <c r="E360" s="23" t="s">
        <v>139</v>
      </c>
      <c r="F360" s="23" t="s">
        <v>860</v>
      </c>
      <c r="G360" s="26">
        <v>36611</v>
      </c>
      <c r="H360" s="65">
        <f>DATEDIF(Squads[[#This Row],[Date Of Birth]],World_Cup_Start_Date,"Y")</f>
        <v>22</v>
      </c>
      <c r="I360" s="27">
        <v>1</v>
      </c>
      <c r="J360" s="27">
        <v>0</v>
      </c>
      <c r="K360" s="78" t="s">
        <v>1737</v>
      </c>
      <c r="L360" s="27" t="str">
        <f>_xlfn.XLOOKUP(Squads[[#This Row],[Current Club]],Clubs[Current Club],Clubs[Club_ID])</f>
        <v>FRA-05</v>
      </c>
      <c r="M360" s="27" t="str">
        <f>_xlfn.XLOOKUP(Squads[[#This Row],[National Team]],Football_Associations[Football Association],Football_Associations[World Cup Result])</f>
        <v>Group Stage</v>
      </c>
      <c r="N36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61" spans="1:14" ht="15" customHeight="1" x14ac:dyDescent="0.25">
      <c r="A361" s="33">
        <f t="shared" si="5"/>
        <v>1360</v>
      </c>
      <c r="B361" s="23" t="s">
        <v>39</v>
      </c>
      <c r="C361" s="23" t="str">
        <f>VLOOKUP(Squads[[#This Row],[National Team]],Qualified[],3,TRUE)</f>
        <v>Ghana (GHA)</v>
      </c>
      <c r="D361" s="25">
        <v>22</v>
      </c>
      <c r="E361" s="23" t="s">
        <v>139</v>
      </c>
      <c r="F361" s="23" t="s">
        <v>861</v>
      </c>
      <c r="G361" s="26">
        <v>37302</v>
      </c>
      <c r="H361" s="65">
        <f>DATEDIF(Squads[[#This Row],[Date Of Birth]],World_Cup_Start_Date,"Y")</f>
        <v>20</v>
      </c>
      <c r="I361" s="27">
        <v>13</v>
      </c>
      <c r="J361" s="27">
        <v>0</v>
      </c>
      <c r="K361" s="78" t="s">
        <v>1671</v>
      </c>
      <c r="L361" s="27" t="str">
        <f>_xlfn.XLOOKUP(Squads[[#This Row],[Current Club]],Clubs[Current Club],Clubs[Club_ID])</f>
        <v>FRA-02</v>
      </c>
      <c r="M361" s="27" t="str">
        <f>_xlfn.XLOOKUP(Squads[[#This Row],[National Team]],Football_Associations[Football Association],Football_Associations[World Cup Result])</f>
        <v>Group Stage</v>
      </c>
      <c r="N36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62" spans="1:14" ht="15" customHeight="1" x14ac:dyDescent="0.25">
      <c r="A362" s="33">
        <f t="shared" si="5"/>
        <v>1361</v>
      </c>
      <c r="B362" s="23" t="s">
        <v>39</v>
      </c>
      <c r="C362" s="23" t="str">
        <f>VLOOKUP(Squads[[#This Row],[National Team]],Qualified[],3,TRUE)</f>
        <v>Ghana (GHA)</v>
      </c>
      <c r="D362" s="25">
        <v>23</v>
      </c>
      <c r="E362" s="23" t="s">
        <v>135</v>
      </c>
      <c r="F362" s="23" t="s">
        <v>862</v>
      </c>
      <c r="G362" s="26">
        <v>34555</v>
      </c>
      <c r="H362" s="65">
        <f>DATEDIF(Squads[[#This Row],[Date Of Birth]],World_Cup_Start_Date,"Y")</f>
        <v>28</v>
      </c>
      <c r="I362" s="27">
        <v>18</v>
      </c>
      <c r="J362" s="27">
        <v>1</v>
      </c>
      <c r="K362" s="78" t="s">
        <v>1804</v>
      </c>
      <c r="L362" s="27" t="str">
        <f>_xlfn.XLOOKUP(Squads[[#This Row],[Current Club]],Clubs[Current Club],Clubs[Club_ID])</f>
        <v>FRA-12</v>
      </c>
      <c r="M362" s="27" t="str">
        <f>_xlfn.XLOOKUP(Squads[[#This Row],[National Team]],Football_Associations[Football Association],Football_Associations[World Cup Result])</f>
        <v>Group Stage</v>
      </c>
      <c r="N36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63" spans="1:14" ht="15" customHeight="1" x14ac:dyDescent="0.25">
      <c r="A363" s="33">
        <f t="shared" si="5"/>
        <v>1362</v>
      </c>
      <c r="B363" s="23" t="s">
        <v>39</v>
      </c>
      <c r="C363" s="23" t="str">
        <f>VLOOKUP(Squads[[#This Row],[National Team]],Qualified[],3,TRUE)</f>
        <v>Ghana (GHA)</v>
      </c>
      <c r="D363" s="25">
        <v>24</v>
      </c>
      <c r="E363" s="23" t="s">
        <v>139</v>
      </c>
      <c r="F363" s="23" t="s">
        <v>863</v>
      </c>
      <c r="G363" s="26">
        <v>36534</v>
      </c>
      <c r="H363" s="65">
        <f>DATEDIF(Squads[[#This Row],[Date Of Birth]],World_Cup_Start_Date,"Y")</f>
        <v>22</v>
      </c>
      <c r="I363" s="27">
        <v>1</v>
      </c>
      <c r="J363" s="27">
        <v>0</v>
      </c>
      <c r="K363" s="78" t="s">
        <v>1670</v>
      </c>
      <c r="L363" s="27" t="str">
        <f>_xlfn.XLOOKUP(Squads[[#This Row],[Current Club]],Clubs[Current Club],Clubs[Club_ID])</f>
        <v>BEL-01</v>
      </c>
      <c r="M363" s="27" t="str">
        <f>_xlfn.XLOOKUP(Squads[[#This Row],[National Team]],Football_Associations[Football Association],Football_Associations[World Cup Result])</f>
        <v>Group Stage</v>
      </c>
      <c r="N36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64" spans="1:14" ht="15" customHeight="1" x14ac:dyDescent="0.25">
      <c r="A364" s="33">
        <f t="shared" si="5"/>
        <v>1363</v>
      </c>
      <c r="B364" s="23" t="s">
        <v>39</v>
      </c>
      <c r="C364" s="23" t="str">
        <f>VLOOKUP(Squads[[#This Row],[National Team]],Qualified[],3,TRUE)</f>
        <v>Ghana (GHA)</v>
      </c>
      <c r="D364" s="25">
        <v>25</v>
      </c>
      <c r="E364" s="23" t="s">
        <v>146</v>
      </c>
      <c r="F364" s="23" t="s">
        <v>864</v>
      </c>
      <c r="G364" s="26">
        <v>36532</v>
      </c>
      <c r="H364" s="65">
        <f>DATEDIF(Squads[[#This Row],[Date Of Birth]],World_Cup_Start_Date,"Y")</f>
        <v>22</v>
      </c>
      <c r="I364" s="27">
        <v>4</v>
      </c>
      <c r="J364" s="27">
        <v>1</v>
      </c>
      <c r="K364" s="78" t="s">
        <v>1834</v>
      </c>
      <c r="L364" s="27" t="str">
        <f>_xlfn.XLOOKUP(Squads[[#This Row],[Current Club]],Clubs[Current Club],Clubs[Club_ID])</f>
        <v>ENG-31</v>
      </c>
      <c r="M364" s="27" t="str">
        <f>_xlfn.XLOOKUP(Squads[[#This Row],[National Team]],Football_Associations[Football Association],Football_Associations[World Cup Result])</f>
        <v>Group Stage</v>
      </c>
      <c r="N36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65" spans="1:14" ht="15" customHeight="1" x14ac:dyDescent="0.25">
      <c r="A365" s="33">
        <f t="shared" si="5"/>
        <v>1364</v>
      </c>
      <c r="B365" s="23" t="s">
        <v>39</v>
      </c>
      <c r="C365" s="23" t="str">
        <f>VLOOKUP(Squads[[#This Row],[National Team]],Qualified[],3,TRUE)</f>
        <v>Ghana (GHA)</v>
      </c>
      <c r="D365" s="25">
        <v>26</v>
      </c>
      <c r="E365" s="23" t="s">
        <v>135</v>
      </c>
      <c r="F365" s="23" t="s">
        <v>865</v>
      </c>
      <c r="G365" s="26">
        <v>36681</v>
      </c>
      <c r="H365" s="65">
        <f>DATEDIF(Squads[[#This Row],[Date Of Birth]],World_Cup_Start_Date,"Y")</f>
        <v>22</v>
      </c>
      <c r="I365" s="27">
        <v>4</v>
      </c>
      <c r="J365" s="27">
        <v>0</v>
      </c>
      <c r="K365" s="78" t="s">
        <v>1773</v>
      </c>
      <c r="L365" s="27" t="str">
        <f>_xlfn.XLOOKUP(Squads[[#This Row],[Current Club]],Clubs[Current Club],Clubs[Club_ID])</f>
        <v>FRA-07</v>
      </c>
      <c r="M365" s="27" t="str">
        <f>_xlfn.XLOOKUP(Squads[[#This Row],[National Team]],Football_Associations[Football Association],Football_Associations[World Cup Result])</f>
        <v>Group Stage</v>
      </c>
      <c r="N36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66" spans="1:14" ht="15" customHeight="1" x14ac:dyDescent="0.25">
      <c r="A366" s="33">
        <f t="shared" si="5"/>
        <v>1365</v>
      </c>
      <c r="B366" s="23" t="s">
        <v>7</v>
      </c>
      <c r="C366" s="23" t="str">
        <f>VLOOKUP(Squads[[#This Row],[National Team]],Qualified[],3,TRUE)</f>
        <v>Iran (IRN)</v>
      </c>
      <c r="D366" s="25">
        <v>1</v>
      </c>
      <c r="E366" s="23" t="s">
        <v>133</v>
      </c>
      <c r="F366" s="23" t="s">
        <v>264</v>
      </c>
      <c r="G366" s="26">
        <v>33868</v>
      </c>
      <c r="H366" s="65">
        <f>DATEDIF(Squads[[#This Row],[Date Of Birth]],World_Cup_Start_Date,"Y")</f>
        <v>30</v>
      </c>
      <c r="I366" s="27">
        <v>52</v>
      </c>
      <c r="J366" s="27">
        <v>0</v>
      </c>
      <c r="K366" s="78" t="s">
        <v>1715</v>
      </c>
      <c r="L366" s="27" t="str">
        <f>_xlfn.XLOOKUP(Squads[[#This Row],[Current Club]],Clubs[Current Club],Clubs[Club_ID])</f>
        <v>IRN-01</v>
      </c>
      <c r="M366" s="27" t="str">
        <f>_xlfn.XLOOKUP(Squads[[#This Row],[National Team]],Football_Associations[Football Association],Football_Associations[World Cup Result])</f>
        <v>Group Stage</v>
      </c>
      <c r="N36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67" spans="1:14" ht="15" customHeight="1" x14ac:dyDescent="0.25">
      <c r="A367" s="33">
        <f t="shared" si="5"/>
        <v>1366</v>
      </c>
      <c r="B367" s="23" t="s">
        <v>7</v>
      </c>
      <c r="C367" s="23" t="str">
        <f>VLOOKUP(Squads[[#This Row],[National Team]],Qualified[],3,TRUE)</f>
        <v>Iran (IRN)</v>
      </c>
      <c r="D367" s="25">
        <v>2</v>
      </c>
      <c r="E367" s="23" t="s">
        <v>135</v>
      </c>
      <c r="F367" s="23" t="s">
        <v>265</v>
      </c>
      <c r="G367" s="26">
        <v>35125</v>
      </c>
      <c r="H367" s="65">
        <f>DATEDIF(Squads[[#This Row],[Date Of Birth]],World_Cup_Start_Date,"Y")</f>
        <v>26</v>
      </c>
      <c r="I367" s="27">
        <v>21</v>
      </c>
      <c r="J367" s="27">
        <v>0</v>
      </c>
      <c r="K367" s="78" t="s">
        <v>1691</v>
      </c>
      <c r="L367" s="27" t="str">
        <f>_xlfn.XLOOKUP(Squads[[#This Row],[Current Club]],Clubs[Current Club],Clubs[Club_ID])</f>
        <v>CRO-01</v>
      </c>
      <c r="M367" s="27" t="str">
        <f>_xlfn.XLOOKUP(Squads[[#This Row],[National Team]],Football_Associations[Football Association],Football_Associations[World Cup Result])</f>
        <v>Group Stage</v>
      </c>
      <c r="N36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68" spans="1:14" ht="15" customHeight="1" x14ac:dyDescent="0.25">
      <c r="A368" s="33">
        <f t="shared" si="5"/>
        <v>1367</v>
      </c>
      <c r="B368" s="23" t="s">
        <v>7</v>
      </c>
      <c r="C368" s="23" t="str">
        <f>VLOOKUP(Squads[[#This Row],[National Team]],Qualified[],3,TRUE)</f>
        <v>Iran (IRN)</v>
      </c>
      <c r="D368" s="25">
        <v>3</v>
      </c>
      <c r="E368" s="23" t="s">
        <v>135</v>
      </c>
      <c r="F368" s="27" t="s">
        <v>973</v>
      </c>
      <c r="G368" s="26">
        <v>32929</v>
      </c>
      <c r="H368" s="65">
        <f>DATEDIF(Squads[[#This Row],[Date Of Birth]],World_Cup_Start_Date,"Y")</f>
        <v>32</v>
      </c>
      <c r="I368" s="27">
        <v>121</v>
      </c>
      <c r="J368" s="27">
        <v>7</v>
      </c>
      <c r="K368" s="78" t="s">
        <v>1689</v>
      </c>
      <c r="L368" s="27" t="str">
        <f>_xlfn.XLOOKUP(Squads[[#This Row],[Current Club]],Clubs[Current Club],Clubs[Club_ID])</f>
        <v>GRE-01</v>
      </c>
      <c r="M368" s="27" t="str">
        <f>_xlfn.XLOOKUP(Squads[[#This Row],[National Team]],Football_Associations[Football Association],Football_Associations[World Cup Result])</f>
        <v>Group Stage</v>
      </c>
      <c r="N36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69" spans="1:14" ht="15" customHeight="1" x14ac:dyDescent="0.25">
      <c r="A369" s="33">
        <f t="shared" si="5"/>
        <v>1368</v>
      </c>
      <c r="B369" s="23" t="s">
        <v>7</v>
      </c>
      <c r="C369" s="23" t="str">
        <f>VLOOKUP(Squads[[#This Row],[National Team]],Qualified[],3,TRUE)</f>
        <v>Iran (IRN)</v>
      </c>
      <c r="D369" s="25">
        <v>4</v>
      </c>
      <c r="E369" s="23" t="s">
        <v>135</v>
      </c>
      <c r="F369" s="23" t="s">
        <v>266</v>
      </c>
      <c r="G369" s="26">
        <v>32642</v>
      </c>
      <c r="H369" s="65">
        <f>DATEDIF(Squads[[#This Row],[Date Of Birth]],World_Cup_Start_Date,"Y")</f>
        <v>33</v>
      </c>
      <c r="I369" s="27">
        <v>25</v>
      </c>
      <c r="J369" s="27">
        <v>1</v>
      </c>
      <c r="K369" s="78" t="s">
        <v>1757</v>
      </c>
      <c r="L369" s="27" t="str">
        <f>_xlfn.XLOOKUP(Squads[[#This Row],[Current Club]],Clubs[Current Club],Clubs[Club_ID])</f>
        <v>QTR-04</v>
      </c>
      <c r="M369" s="27" t="str">
        <f>_xlfn.XLOOKUP(Squads[[#This Row],[National Team]],Football_Associations[Football Association],Football_Associations[World Cup Result])</f>
        <v>Group Stage</v>
      </c>
      <c r="N36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70" spans="1:14" ht="15" customHeight="1" x14ac:dyDescent="0.25">
      <c r="A370" s="33">
        <f t="shared" si="5"/>
        <v>1369</v>
      </c>
      <c r="B370" s="23" t="s">
        <v>7</v>
      </c>
      <c r="C370" s="23" t="str">
        <f>VLOOKUP(Squads[[#This Row],[National Team]],Qualified[],3,TRUE)</f>
        <v>Iran (IRN)</v>
      </c>
      <c r="D370" s="25">
        <v>5</v>
      </c>
      <c r="E370" s="23" t="s">
        <v>135</v>
      </c>
      <c r="F370" s="23" t="s">
        <v>267</v>
      </c>
      <c r="G370" s="26">
        <v>34241</v>
      </c>
      <c r="H370" s="65">
        <f>DATEDIF(Squads[[#This Row],[Date Of Birth]],World_Cup_Start_Date,"Y")</f>
        <v>29</v>
      </c>
      <c r="I370" s="27">
        <v>45</v>
      </c>
      <c r="J370" s="27">
        <v>1</v>
      </c>
      <c r="K370" s="78" t="s">
        <v>1689</v>
      </c>
      <c r="L370" s="27" t="str">
        <f>_xlfn.XLOOKUP(Squads[[#This Row],[Current Club]],Clubs[Current Club],Clubs[Club_ID])</f>
        <v>GRE-01</v>
      </c>
      <c r="M370" s="27" t="str">
        <f>_xlfn.XLOOKUP(Squads[[#This Row],[National Team]],Football_Associations[Football Association],Football_Associations[World Cup Result])</f>
        <v>Group Stage</v>
      </c>
      <c r="N37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71" spans="1:14" ht="15" customHeight="1" x14ac:dyDescent="0.25">
      <c r="A371" s="33">
        <f t="shared" si="5"/>
        <v>1370</v>
      </c>
      <c r="B371" s="23" t="s">
        <v>7</v>
      </c>
      <c r="C371" s="23" t="str">
        <f>VLOOKUP(Squads[[#This Row],[National Team]],Qualified[],3,TRUE)</f>
        <v>Iran (IRN)</v>
      </c>
      <c r="D371" s="25">
        <v>6</v>
      </c>
      <c r="E371" s="23" t="s">
        <v>139</v>
      </c>
      <c r="F371" s="23" t="s">
        <v>268</v>
      </c>
      <c r="G371" s="26">
        <v>35339</v>
      </c>
      <c r="H371" s="65">
        <f>DATEDIF(Squads[[#This Row],[Date Of Birth]],World_Cup_Start_Date,"Y")</f>
        <v>26</v>
      </c>
      <c r="I371" s="27">
        <v>47</v>
      </c>
      <c r="J371" s="27">
        <v>1</v>
      </c>
      <c r="K371" s="78" t="s">
        <v>1943</v>
      </c>
      <c r="L371" s="27" t="str">
        <f>_xlfn.XLOOKUP(Squads[[#This Row],[Current Club]],Clubs[Current Club],Clubs[Club_ID])</f>
        <v>DEN-04</v>
      </c>
      <c r="M371" s="27" t="str">
        <f>_xlfn.XLOOKUP(Squads[[#This Row],[National Team]],Football_Associations[Football Association],Football_Associations[World Cup Result])</f>
        <v>Group Stage</v>
      </c>
      <c r="N37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72" spans="1:14" ht="15" customHeight="1" x14ac:dyDescent="0.25">
      <c r="A372" s="33">
        <f t="shared" si="5"/>
        <v>1371</v>
      </c>
      <c r="B372" s="23" t="s">
        <v>7</v>
      </c>
      <c r="C372" s="23" t="str">
        <f>VLOOKUP(Squads[[#This Row],[National Team]],Qualified[],3,TRUE)</f>
        <v>Iran (IRN)</v>
      </c>
      <c r="D372" s="25">
        <v>7</v>
      </c>
      <c r="E372" s="23" t="s">
        <v>139</v>
      </c>
      <c r="F372" s="23" t="s">
        <v>269</v>
      </c>
      <c r="G372" s="26">
        <v>34192</v>
      </c>
      <c r="H372" s="65">
        <f>DATEDIF(Squads[[#This Row],[Date Of Birth]],World_Cup_Start_Date,"Y")</f>
        <v>29</v>
      </c>
      <c r="I372" s="27">
        <v>64</v>
      </c>
      <c r="J372" s="27">
        <v>13</v>
      </c>
      <c r="K372" s="78" t="s">
        <v>1733</v>
      </c>
      <c r="L372" s="27" t="str">
        <f>_xlfn.XLOOKUP(Squads[[#This Row],[Current Club]],Clubs[Current Club],Clubs[Club_ID])</f>
        <v>NET-03</v>
      </c>
      <c r="M372" s="27" t="str">
        <f>_xlfn.XLOOKUP(Squads[[#This Row],[National Team]],Football_Associations[Football Association],Football_Associations[World Cup Result])</f>
        <v>Group Stage</v>
      </c>
      <c r="N37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73" spans="1:14" ht="15" customHeight="1" x14ac:dyDescent="0.25">
      <c r="A373" s="33">
        <f t="shared" si="5"/>
        <v>1372</v>
      </c>
      <c r="B373" s="23" t="s">
        <v>7</v>
      </c>
      <c r="C373" s="23" t="str">
        <f>VLOOKUP(Squads[[#This Row],[National Team]],Qualified[],3,TRUE)</f>
        <v>Iran (IRN)</v>
      </c>
      <c r="D373" s="25">
        <v>8</v>
      </c>
      <c r="E373" s="23" t="s">
        <v>135</v>
      </c>
      <c r="F373" s="23" t="s">
        <v>270</v>
      </c>
      <c r="G373" s="26">
        <v>33713</v>
      </c>
      <c r="H373" s="65">
        <f>DATEDIF(Squads[[#This Row],[Date Of Birth]],World_Cup_Start_Date,"Y")</f>
        <v>30</v>
      </c>
      <c r="I373" s="27">
        <v>46</v>
      </c>
      <c r="J373" s="27">
        <v>3</v>
      </c>
      <c r="K373" s="78" t="s">
        <v>1715</v>
      </c>
      <c r="L373" s="27" t="str">
        <f>_xlfn.XLOOKUP(Squads[[#This Row],[Current Club]],Clubs[Current Club],Clubs[Club_ID])</f>
        <v>IRN-01</v>
      </c>
      <c r="M373" s="27" t="str">
        <f>_xlfn.XLOOKUP(Squads[[#This Row],[National Team]],Football_Associations[Football Association],Football_Associations[World Cup Result])</f>
        <v>Group Stage</v>
      </c>
      <c r="N37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74" spans="1:14" ht="15" customHeight="1" x14ac:dyDescent="0.25">
      <c r="A374" s="33">
        <f t="shared" si="5"/>
        <v>1373</v>
      </c>
      <c r="B374" s="23" t="s">
        <v>7</v>
      </c>
      <c r="C374" s="23" t="str">
        <f>VLOOKUP(Squads[[#This Row],[National Team]],Qualified[],3,TRUE)</f>
        <v>Iran (IRN)</v>
      </c>
      <c r="D374" s="25">
        <v>9</v>
      </c>
      <c r="E374" s="23" t="s">
        <v>146</v>
      </c>
      <c r="F374" s="23" t="s">
        <v>271</v>
      </c>
      <c r="G374" s="26">
        <v>33803</v>
      </c>
      <c r="H374" s="65">
        <f>DATEDIF(Squads[[#This Row],[Date Of Birth]],World_Cup_Start_Date,"Y")</f>
        <v>30</v>
      </c>
      <c r="I374" s="27">
        <v>60</v>
      </c>
      <c r="J374" s="27">
        <v>28</v>
      </c>
      <c r="K374" s="78" t="s">
        <v>1688</v>
      </c>
      <c r="L374" s="27" t="str">
        <f>_xlfn.XLOOKUP(Squads[[#This Row],[Current Club]],Clubs[Current Club],Clubs[Club_ID])</f>
        <v>POR-02</v>
      </c>
      <c r="M374" s="27" t="str">
        <f>_xlfn.XLOOKUP(Squads[[#This Row],[National Team]],Football_Associations[Football Association],Football_Associations[World Cup Result])</f>
        <v>Group Stage</v>
      </c>
      <c r="N37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75" spans="1:14" ht="15" customHeight="1" x14ac:dyDescent="0.25">
      <c r="A375" s="33">
        <f t="shared" si="5"/>
        <v>1374</v>
      </c>
      <c r="B375" s="23" t="s">
        <v>7</v>
      </c>
      <c r="C375" s="23" t="str">
        <f>VLOOKUP(Squads[[#This Row],[National Team]],Qualified[],3,TRUE)</f>
        <v>Iran (IRN)</v>
      </c>
      <c r="D375" s="25">
        <v>10</v>
      </c>
      <c r="E375" s="23" t="s">
        <v>146</v>
      </c>
      <c r="F375" s="23" t="s">
        <v>272</v>
      </c>
      <c r="G375" s="26">
        <v>32966</v>
      </c>
      <c r="H375" s="65">
        <f>DATEDIF(Squads[[#This Row],[Date Of Birth]],World_Cup_Start_Date,"Y")</f>
        <v>32</v>
      </c>
      <c r="I375" s="27">
        <v>94</v>
      </c>
      <c r="J375" s="27">
        <v>29</v>
      </c>
      <c r="K375" s="78" t="s">
        <v>1900</v>
      </c>
      <c r="L375" s="27" t="str">
        <f>_xlfn.XLOOKUP(Squads[[#This Row],[Current Club]],Clubs[Current Club],Clubs[Club_ID])</f>
        <v>CYP-01</v>
      </c>
      <c r="M375" s="27" t="str">
        <f>_xlfn.XLOOKUP(Squads[[#This Row],[National Team]],Football_Associations[Football Association],Football_Associations[World Cup Result])</f>
        <v>Group Stage</v>
      </c>
      <c r="N37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76" spans="1:14" ht="15" customHeight="1" x14ac:dyDescent="0.25">
      <c r="A376" s="33">
        <f t="shared" si="5"/>
        <v>1375</v>
      </c>
      <c r="B376" s="23" t="s">
        <v>7</v>
      </c>
      <c r="C376" s="23" t="str">
        <f>VLOOKUP(Squads[[#This Row],[National Team]],Qualified[],3,TRUE)</f>
        <v>Iran (IRN)</v>
      </c>
      <c r="D376" s="25">
        <v>11</v>
      </c>
      <c r="E376" s="23" t="s">
        <v>139</v>
      </c>
      <c r="F376" s="23" t="s">
        <v>273</v>
      </c>
      <c r="G376" s="26">
        <v>32235</v>
      </c>
      <c r="H376" s="65">
        <f>DATEDIF(Squads[[#This Row],[Date Of Birth]],World_Cup_Start_Date,"Y")</f>
        <v>34</v>
      </c>
      <c r="I376" s="27">
        <v>68</v>
      </c>
      <c r="J376" s="27">
        <v>2</v>
      </c>
      <c r="K376" s="78" t="s">
        <v>1715</v>
      </c>
      <c r="L376" s="27" t="str">
        <f>_xlfn.XLOOKUP(Squads[[#This Row],[Current Club]],Clubs[Current Club],Clubs[Club_ID])</f>
        <v>IRN-01</v>
      </c>
      <c r="M376" s="27" t="str">
        <f>_xlfn.XLOOKUP(Squads[[#This Row],[National Team]],Football_Associations[Football Association],Football_Associations[World Cup Result])</f>
        <v>Group Stage</v>
      </c>
      <c r="N37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77" spans="1:14" ht="15" customHeight="1" x14ac:dyDescent="0.25">
      <c r="A377" s="33">
        <f t="shared" si="5"/>
        <v>1376</v>
      </c>
      <c r="B377" s="23" t="s">
        <v>7</v>
      </c>
      <c r="C377" s="23" t="str">
        <f>VLOOKUP(Squads[[#This Row],[National Team]],Qualified[],3,TRUE)</f>
        <v>Iran (IRN)</v>
      </c>
      <c r="D377" s="25">
        <v>12</v>
      </c>
      <c r="E377" s="23" t="s">
        <v>133</v>
      </c>
      <c r="F377" s="23" t="s">
        <v>274</v>
      </c>
      <c r="G377" s="26">
        <v>34795</v>
      </c>
      <c r="H377" s="65">
        <f>DATEDIF(Squads[[#This Row],[Date Of Birth]],World_Cup_Start_Date,"Y")</f>
        <v>27</v>
      </c>
      <c r="I377" s="27">
        <v>1</v>
      </c>
      <c r="J377" s="27">
        <v>0</v>
      </c>
      <c r="K377" s="78" t="s">
        <v>1800</v>
      </c>
      <c r="L377" s="27" t="str">
        <f>_xlfn.XLOOKUP(Squads[[#This Row],[Current Club]],Clubs[Current Club],Clubs[Club_ID])</f>
        <v>IRN-03</v>
      </c>
      <c r="M377" s="27" t="str">
        <f>_xlfn.XLOOKUP(Squads[[#This Row],[National Team]],Football_Associations[Football Association],Football_Associations[World Cup Result])</f>
        <v>Group Stage</v>
      </c>
      <c r="N37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78" spans="1:14" ht="15" customHeight="1" x14ac:dyDescent="0.25">
      <c r="A378" s="33">
        <f t="shared" si="5"/>
        <v>1377</v>
      </c>
      <c r="B378" s="23" t="s">
        <v>7</v>
      </c>
      <c r="C378" s="23" t="str">
        <f>VLOOKUP(Squads[[#This Row],[National Team]],Qualified[],3,TRUE)</f>
        <v>Iran (IRN)</v>
      </c>
      <c r="D378" s="25">
        <v>13</v>
      </c>
      <c r="E378" s="23" t="s">
        <v>135</v>
      </c>
      <c r="F378" s="23" t="s">
        <v>275</v>
      </c>
      <c r="G378" s="26">
        <v>34416</v>
      </c>
      <c r="H378" s="65">
        <f>DATEDIF(Squads[[#This Row],[Date Of Birth]],World_Cup_Start_Date,"Y")</f>
        <v>28</v>
      </c>
      <c r="I378" s="27">
        <v>35</v>
      </c>
      <c r="J378" s="27">
        <v>2</v>
      </c>
      <c r="K378" s="78" t="s">
        <v>1757</v>
      </c>
      <c r="L378" s="27" t="str">
        <f>_xlfn.XLOOKUP(Squads[[#This Row],[Current Club]],Clubs[Current Club],Clubs[Club_ID])</f>
        <v>QTR-04</v>
      </c>
      <c r="M378" s="27" t="str">
        <f>_xlfn.XLOOKUP(Squads[[#This Row],[National Team]],Football_Associations[Football Association],Football_Associations[World Cup Result])</f>
        <v>Group Stage</v>
      </c>
      <c r="N37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79" spans="1:14" ht="15" customHeight="1" x14ac:dyDescent="0.25">
      <c r="A379" s="33">
        <f t="shared" si="5"/>
        <v>1378</v>
      </c>
      <c r="B379" s="23" t="s">
        <v>7</v>
      </c>
      <c r="C379" s="23" t="str">
        <f>VLOOKUP(Squads[[#This Row],[National Team]],Qualified[],3,TRUE)</f>
        <v>Iran (IRN)</v>
      </c>
      <c r="D379" s="25">
        <v>14</v>
      </c>
      <c r="E379" s="23" t="s">
        <v>139</v>
      </c>
      <c r="F379" s="23" t="s">
        <v>276</v>
      </c>
      <c r="G379" s="26">
        <v>34218</v>
      </c>
      <c r="H379" s="65">
        <f>DATEDIF(Squads[[#This Row],[Date Of Birth]],World_Cup_Start_Date,"Y")</f>
        <v>29</v>
      </c>
      <c r="I379" s="27">
        <v>33</v>
      </c>
      <c r="J379" s="27">
        <v>2</v>
      </c>
      <c r="K379" s="78" t="s">
        <v>1681</v>
      </c>
      <c r="L379" s="27" t="str">
        <f>_xlfn.XLOOKUP(Squads[[#This Row],[Current Club]],Clubs[Current Club],Clubs[Club_ID])</f>
        <v>ENG-09</v>
      </c>
      <c r="M379" s="27" t="str">
        <f>_xlfn.XLOOKUP(Squads[[#This Row],[National Team]],Football_Associations[Football Association],Football_Associations[World Cup Result])</f>
        <v>Group Stage</v>
      </c>
      <c r="N37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80" spans="1:14" ht="15" customHeight="1" x14ac:dyDescent="0.25">
      <c r="A380" s="33">
        <f t="shared" si="5"/>
        <v>1379</v>
      </c>
      <c r="B380" s="23" t="s">
        <v>7</v>
      </c>
      <c r="C380" s="23" t="str">
        <f>VLOOKUP(Squads[[#This Row],[National Team]],Qualified[],3,TRUE)</f>
        <v>Iran (IRN)</v>
      </c>
      <c r="D380" s="25">
        <v>15</v>
      </c>
      <c r="E380" s="23" t="s">
        <v>135</v>
      </c>
      <c r="F380" s="23" t="s">
        <v>277</v>
      </c>
      <c r="G380" s="26">
        <v>34174</v>
      </c>
      <c r="H380" s="65">
        <f>DATEDIF(Squads[[#This Row],[Date Of Birth]],World_Cup_Start_Date,"Y")</f>
        <v>29</v>
      </c>
      <c r="I380" s="27">
        <v>19</v>
      </c>
      <c r="J380" s="27">
        <v>1</v>
      </c>
      <c r="K380" s="78" t="s">
        <v>1731</v>
      </c>
      <c r="L380" s="27" t="str">
        <f>_xlfn.XLOOKUP(Squads[[#This Row],[Current Club]],Clubs[Current Club],Clubs[Club_ID])</f>
        <v>IRN-02</v>
      </c>
      <c r="M380" s="27" t="str">
        <f>_xlfn.XLOOKUP(Squads[[#This Row],[National Team]],Football_Associations[Football Association],Football_Associations[World Cup Result])</f>
        <v>Group Stage</v>
      </c>
      <c r="N38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81" spans="1:14" ht="15" customHeight="1" x14ac:dyDescent="0.25">
      <c r="A381" s="33">
        <f t="shared" si="5"/>
        <v>1380</v>
      </c>
      <c r="B381" s="23" t="s">
        <v>7</v>
      </c>
      <c r="C381" s="23" t="str">
        <f>VLOOKUP(Squads[[#This Row],[National Team]],Qualified[],3,TRUE)</f>
        <v>Iran (IRN)</v>
      </c>
      <c r="D381" s="25">
        <v>16</v>
      </c>
      <c r="E381" s="23" t="s">
        <v>139</v>
      </c>
      <c r="F381" s="23" t="s">
        <v>278</v>
      </c>
      <c r="G381" s="26">
        <v>34587</v>
      </c>
      <c r="H381" s="65">
        <f>DATEDIF(Squads[[#This Row],[Date Of Birth]],World_Cup_Start_Date,"Y")</f>
        <v>28</v>
      </c>
      <c r="I381" s="27">
        <v>36</v>
      </c>
      <c r="J381" s="27">
        <v>7</v>
      </c>
      <c r="K381" s="78" t="s">
        <v>1715</v>
      </c>
      <c r="L381" s="27" t="str">
        <f>_xlfn.XLOOKUP(Squads[[#This Row],[Current Club]],Clubs[Current Club],Clubs[Club_ID])</f>
        <v>IRN-01</v>
      </c>
      <c r="M381" s="27" t="str">
        <f>_xlfn.XLOOKUP(Squads[[#This Row],[National Team]],Football_Associations[Football Association],Football_Associations[World Cup Result])</f>
        <v>Group Stage</v>
      </c>
      <c r="N38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82" spans="1:14" ht="15" customHeight="1" x14ac:dyDescent="0.25">
      <c r="A382" s="33">
        <f t="shared" si="5"/>
        <v>1381</v>
      </c>
      <c r="B382" s="23" t="s">
        <v>7</v>
      </c>
      <c r="C382" s="23" t="str">
        <f>VLOOKUP(Squads[[#This Row],[National Team]],Qualified[],3,TRUE)</f>
        <v>Iran (IRN)</v>
      </c>
      <c r="D382" s="25">
        <v>17</v>
      </c>
      <c r="E382" s="23" t="s">
        <v>139</v>
      </c>
      <c r="F382" s="23" t="s">
        <v>279</v>
      </c>
      <c r="G382" s="26">
        <v>35134</v>
      </c>
      <c r="H382" s="65">
        <f>DATEDIF(Squads[[#This Row],[Date Of Birth]],World_Cup_Start_Date,"Y")</f>
        <v>26</v>
      </c>
      <c r="I382" s="27">
        <v>26</v>
      </c>
      <c r="J382" s="27">
        <v>6</v>
      </c>
      <c r="K382" s="78" t="s">
        <v>1839</v>
      </c>
      <c r="L382" s="27" t="str">
        <f>_xlfn.XLOOKUP(Squads[[#This Row],[Current Club]],Clubs[Current Club],Clubs[Club_ID])</f>
        <v>BEL-06</v>
      </c>
      <c r="M382" s="27" t="str">
        <f>_xlfn.XLOOKUP(Squads[[#This Row],[National Team]],Football_Associations[Football Association],Football_Associations[World Cup Result])</f>
        <v>Group Stage</v>
      </c>
      <c r="N38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83" spans="1:14" ht="15" customHeight="1" x14ac:dyDescent="0.25">
      <c r="A383" s="33">
        <f t="shared" si="5"/>
        <v>1382</v>
      </c>
      <c r="B383" s="23" t="s">
        <v>7</v>
      </c>
      <c r="C383" s="23" t="str">
        <f>VLOOKUP(Squads[[#This Row],[National Team]],Qualified[],3,TRUE)</f>
        <v>Iran (IRN)</v>
      </c>
      <c r="D383" s="25">
        <v>18</v>
      </c>
      <c r="E383" s="23" t="s">
        <v>139</v>
      </c>
      <c r="F383" s="23" t="s">
        <v>280</v>
      </c>
      <c r="G383" s="26">
        <v>34376</v>
      </c>
      <c r="H383" s="65">
        <f>DATEDIF(Squads[[#This Row],[Date Of Birth]],World_Cup_Start_Date,"Y")</f>
        <v>28</v>
      </c>
      <c r="I383" s="27">
        <v>13</v>
      </c>
      <c r="J383" s="27">
        <v>0</v>
      </c>
      <c r="K383" s="78" t="s">
        <v>1782</v>
      </c>
      <c r="L383" s="27" t="str">
        <f>_xlfn.XLOOKUP(Squads[[#This Row],[Current Club]],Clubs[Current Club],Clubs[Club_ID])</f>
        <v>TUR-04</v>
      </c>
      <c r="M383" s="27" t="str">
        <f>_xlfn.XLOOKUP(Squads[[#This Row],[National Team]],Football_Associations[Football Association],Football_Associations[World Cup Result])</f>
        <v>Group Stage</v>
      </c>
      <c r="N38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84" spans="1:14" ht="15" customHeight="1" x14ac:dyDescent="0.25">
      <c r="A384" s="33">
        <f t="shared" si="5"/>
        <v>1383</v>
      </c>
      <c r="B384" s="23" t="s">
        <v>7</v>
      </c>
      <c r="C384" s="23" t="str">
        <f>VLOOKUP(Squads[[#This Row],[National Team]],Qualified[],3,TRUE)</f>
        <v>Iran (IRN)</v>
      </c>
      <c r="D384" s="25">
        <v>19</v>
      </c>
      <c r="E384" s="23" t="s">
        <v>135</v>
      </c>
      <c r="F384" s="23" t="s">
        <v>281</v>
      </c>
      <c r="G384" s="26">
        <v>35236</v>
      </c>
      <c r="H384" s="65">
        <f>DATEDIF(Squads[[#This Row],[Date Of Birth]],World_Cup_Start_Date,"Y")</f>
        <v>26</v>
      </c>
      <c r="I384" s="27">
        <v>18</v>
      </c>
      <c r="J384" s="27">
        <v>0</v>
      </c>
      <c r="K384" s="78" t="s">
        <v>1782</v>
      </c>
      <c r="L384" s="27" t="str">
        <f>_xlfn.XLOOKUP(Squads[[#This Row],[Current Club]],Clubs[Current Club],Clubs[Club_ID])</f>
        <v>TUR-04</v>
      </c>
      <c r="M384" s="27" t="str">
        <f>_xlfn.XLOOKUP(Squads[[#This Row],[National Team]],Football_Associations[Football Association],Football_Associations[World Cup Result])</f>
        <v>Group Stage</v>
      </c>
      <c r="N38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85" spans="1:14" ht="15" customHeight="1" x14ac:dyDescent="0.25">
      <c r="A385" s="33">
        <f t="shared" si="5"/>
        <v>1384</v>
      </c>
      <c r="B385" s="23" t="s">
        <v>7</v>
      </c>
      <c r="C385" s="23" t="str">
        <f>VLOOKUP(Squads[[#This Row],[National Team]],Qualified[],3,TRUE)</f>
        <v>Iran (IRN)</v>
      </c>
      <c r="D385" s="25">
        <v>20</v>
      </c>
      <c r="E385" s="23" t="s">
        <v>146</v>
      </c>
      <c r="F385" s="23" t="s">
        <v>282</v>
      </c>
      <c r="G385" s="26">
        <v>34700</v>
      </c>
      <c r="H385" s="65">
        <f>DATEDIF(Squads[[#This Row],[Date Of Birth]],World_Cup_Start_Date,"Y")</f>
        <v>27</v>
      </c>
      <c r="I385" s="27">
        <v>65</v>
      </c>
      <c r="J385" s="27">
        <v>41</v>
      </c>
      <c r="K385" s="78" t="s">
        <v>1707</v>
      </c>
      <c r="L385" s="27" t="str">
        <f>_xlfn.XLOOKUP(Squads[[#This Row],[Current Club]],Clubs[Current Club],Clubs[Club_ID])</f>
        <v>GER-07</v>
      </c>
      <c r="M385" s="27" t="str">
        <f>_xlfn.XLOOKUP(Squads[[#This Row],[National Team]],Football_Associations[Football Association],Football_Associations[World Cup Result])</f>
        <v>Group Stage</v>
      </c>
      <c r="N38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86" spans="1:14" ht="15" customHeight="1" x14ac:dyDescent="0.25">
      <c r="A386" s="33">
        <f t="shared" si="5"/>
        <v>1385</v>
      </c>
      <c r="B386" s="23" t="s">
        <v>7</v>
      </c>
      <c r="C386" s="23" t="str">
        <f>VLOOKUP(Squads[[#This Row],[National Team]],Qualified[],3,TRUE)</f>
        <v>Iran (IRN)</v>
      </c>
      <c r="D386" s="25">
        <v>21</v>
      </c>
      <c r="E386" s="23" t="s">
        <v>139</v>
      </c>
      <c r="F386" s="23" t="s">
        <v>283</v>
      </c>
      <c r="G386" s="26">
        <v>34001</v>
      </c>
      <c r="H386" s="65">
        <f>DATEDIF(Squads[[#This Row],[Date Of Birth]],World_Cup_Start_Date,"Y")</f>
        <v>29</v>
      </c>
      <c r="I386" s="27">
        <v>25</v>
      </c>
      <c r="J386" s="27">
        <v>3</v>
      </c>
      <c r="K386" s="78" t="s">
        <v>1922</v>
      </c>
      <c r="L386" s="27" t="str">
        <f>_xlfn.XLOOKUP(Squads[[#This Row],[Current Club]],Clubs[Current Club],Clubs[Club_ID])</f>
        <v>UAE-01</v>
      </c>
      <c r="M386" s="27" t="str">
        <f>_xlfn.XLOOKUP(Squads[[#This Row],[National Team]],Football_Associations[Football Association],Football_Associations[World Cup Result])</f>
        <v>Group Stage</v>
      </c>
      <c r="N38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87" spans="1:14" ht="15" customHeight="1" x14ac:dyDescent="0.25">
      <c r="A387" s="33">
        <f t="shared" ref="A387:A450" si="6">A386+1</f>
        <v>1386</v>
      </c>
      <c r="B387" s="23" t="s">
        <v>7</v>
      </c>
      <c r="C387" s="23" t="str">
        <f>VLOOKUP(Squads[[#This Row],[National Team]],Qualified[],3,TRUE)</f>
        <v>Iran (IRN)</v>
      </c>
      <c r="D387" s="25">
        <v>22</v>
      </c>
      <c r="E387" s="23" t="s">
        <v>133</v>
      </c>
      <c r="F387" s="23" t="s">
        <v>284</v>
      </c>
      <c r="G387" s="26">
        <v>34085</v>
      </c>
      <c r="H387" s="65">
        <f>DATEDIF(Squads[[#This Row],[Date Of Birth]],World_Cup_Start_Date,"Y")</f>
        <v>29</v>
      </c>
      <c r="I387" s="27">
        <v>11</v>
      </c>
      <c r="J387" s="27">
        <v>0</v>
      </c>
      <c r="K387" s="78" t="s">
        <v>1909</v>
      </c>
      <c r="L387" s="27" t="str">
        <f>_xlfn.XLOOKUP(Squads[[#This Row],[Current Club]],Clubs[Current Club],Clubs[Club_ID])</f>
        <v>ESP-18</v>
      </c>
      <c r="M387" s="27" t="str">
        <f>_xlfn.XLOOKUP(Squads[[#This Row],[National Team]],Football_Associations[Football Association],Football_Associations[World Cup Result])</f>
        <v>Group Stage</v>
      </c>
      <c r="N38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88" spans="1:14" ht="15" customHeight="1" x14ac:dyDescent="0.25">
      <c r="A388" s="33">
        <f t="shared" si="6"/>
        <v>1387</v>
      </c>
      <c r="B388" s="23" t="s">
        <v>7</v>
      </c>
      <c r="C388" s="23" t="str">
        <f>VLOOKUP(Squads[[#This Row],[National Team]],Qualified[],3,TRUE)</f>
        <v>Iran (IRN)</v>
      </c>
      <c r="D388" s="25">
        <v>23</v>
      </c>
      <c r="E388" s="23" t="s">
        <v>135</v>
      </c>
      <c r="F388" s="23" t="s">
        <v>285</v>
      </c>
      <c r="G388" s="26">
        <v>32953</v>
      </c>
      <c r="H388" s="65">
        <f>DATEDIF(Squads[[#This Row],[Date Of Birth]],World_Cup_Start_Date,"Y")</f>
        <v>32</v>
      </c>
      <c r="I388" s="27">
        <v>46</v>
      </c>
      <c r="J388" s="27">
        <v>2</v>
      </c>
      <c r="K388" s="78" t="s">
        <v>1800</v>
      </c>
      <c r="L388" s="27" t="str">
        <f>_xlfn.XLOOKUP(Squads[[#This Row],[Current Club]],Clubs[Current Club],Clubs[Club_ID])</f>
        <v>IRN-03</v>
      </c>
      <c r="M388" s="27" t="str">
        <f>_xlfn.XLOOKUP(Squads[[#This Row],[National Team]],Football_Associations[Football Association],Football_Associations[World Cup Result])</f>
        <v>Group Stage</v>
      </c>
      <c r="N38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89" spans="1:14" ht="15" customHeight="1" x14ac:dyDescent="0.25">
      <c r="A389" s="33">
        <f t="shared" si="6"/>
        <v>1388</v>
      </c>
      <c r="B389" s="23" t="s">
        <v>7</v>
      </c>
      <c r="C389" s="23" t="str">
        <f>VLOOKUP(Squads[[#This Row],[National Team]],Qualified[],3,TRUE)</f>
        <v>Iran (IRN)</v>
      </c>
      <c r="D389" s="25">
        <v>24</v>
      </c>
      <c r="E389" s="23" t="s">
        <v>133</v>
      </c>
      <c r="F389" s="23" t="s">
        <v>286</v>
      </c>
      <c r="G389" s="26">
        <v>33785</v>
      </c>
      <c r="H389" s="65">
        <f>DATEDIF(Squads[[#This Row],[Date Of Birth]],World_Cup_Start_Date,"Y")</f>
        <v>30</v>
      </c>
      <c r="I389" s="27">
        <v>6</v>
      </c>
      <c r="J389" s="27">
        <v>0</v>
      </c>
      <c r="K389" s="78" t="s">
        <v>1731</v>
      </c>
      <c r="L389" s="27" t="str">
        <f>_xlfn.XLOOKUP(Squads[[#This Row],[Current Club]],Clubs[Current Club],Clubs[Club_ID])</f>
        <v>IRN-02</v>
      </c>
      <c r="M389" s="27" t="str">
        <f>_xlfn.XLOOKUP(Squads[[#This Row],[National Team]],Football_Associations[Football Association],Football_Associations[World Cup Result])</f>
        <v>Group Stage</v>
      </c>
      <c r="N38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90" spans="1:14" ht="15" customHeight="1" x14ac:dyDescent="0.25">
      <c r="A390" s="33">
        <f t="shared" si="6"/>
        <v>1389</v>
      </c>
      <c r="B390" s="23" t="s">
        <v>7</v>
      </c>
      <c r="C390" s="23" t="str">
        <f>VLOOKUP(Squads[[#This Row],[National Team]],Qualified[],3,TRUE)</f>
        <v>Iran (IRN)</v>
      </c>
      <c r="D390" s="25">
        <v>25</v>
      </c>
      <c r="E390" s="23" t="s">
        <v>135</v>
      </c>
      <c r="F390" s="23" t="s">
        <v>287</v>
      </c>
      <c r="G390" s="26">
        <v>35972</v>
      </c>
      <c r="H390" s="65">
        <f>DATEDIF(Squads[[#This Row],[Date Of Birth]],World_Cup_Start_Date,"Y")</f>
        <v>24</v>
      </c>
      <c r="I390" s="27">
        <v>3</v>
      </c>
      <c r="J390" s="27">
        <v>0</v>
      </c>
      <c r="K390" s="78" t="s">
        <v>1731</v>
      </c>
      <c r="L390" s="27" t="str">
        <f>_xlfn.XLOOKUP(Squads[[#This Row],[Current Club]],Clubs[Current Club],Clubs[Club_ID])</f>
        <v>IRN-02</v>
      </c>
      <c r="M390" s="27" t="str">
        <f>_xlfn.XLOOKUP(Squads[[#This Row],[National Team]],Football_Associations[Football Association],Football_Associations[World Cup Result])</f>
        <v>Group Stage</v>
      </c>
      <c r="N39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91" spans="1:14" ht="15" customHeight="1" x14ac:dyDescent="0.25">
      <c r="A391" s="33">
        <f t="shared" si="6"/>
        <v>1390</v>
      </c>
      <c r="B391" s="23" t="s">
        <v>27</v>
      </c>
      <c r="C391" s="23" t="str">
        <f>VLOOKUP(Squads[[#This Row],[National Team]],Qualified[],3,TRUE)</f>
        <v>Japan (JPN)</v>
      </c>
      <c r="D391" s="25">
        <v>1</v>
      </c>
      <c r="E391" s="23" t="s">
        <v>133</v>
      </c>
      <c r="F391" s="23" t="s">
        <v>590</v>
      </c>
      <c r="G391" s="26">
        <v>30395</v>
      </c>
      <c r="H391" s="65">
        <f>DATEDIF(Squads[[#This Row],[Date Of Birth]],World_Cup_Start_Date,"Y")</f>
        <v>39</v>
      </c>
      <c r="I391" s="27">
        <v>95</v>
      </c>
      <c r="J391" s="27">
        <v>0</v>
      </c>
      <c r="K391" s="78" t="s">
        <v>1804</v>
      </c>
      <c r="L391" s="27" t="str">
        <f>_xlfn.XLOOKUP(Squads[[#This Row],[Current Club]],Clubs[Current Club],Clubs[Club_ID])</f>
        <v>FRA-12</v>
      </c>
      <c r="M391" s="27" t="str">
        <f>_xlfn.XLOOKUP(Squads[[#This Row],[National Team]],Football_Associations[Football Association],Football_Associations[World Cup Result])</f>
        <v>Last 16</v>
      </c>
      <c r="N39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92" spans="1:14" ht="15" customHeight="1" x14ac:dyDescent="0.25">
      <c r="A392" s="33">
        <f t="shared" si="6"/>
        <v>1391</v>
      </c>
      <c r="B392" s="23" t="s">
        <v>27</v>
      </c>
      <c r="C392" s="23" t="str">
        <f>VLOOKUP(Squads[[#This Row],[National Team]],Qualified[],3,TRUE)</f>
        <v>Japan (JPN)</v>
      </c>
      <c r="D392" s="25">
        <v>2</v>
      </c>
      <c r="E392" s="23" t="s">
        <v>135</v>
      </c>
      <c r="F392" s="23" t="s">
        <v>591</v>
      </c>
      <c r="G392" s="26">
        <v>34325</v>
      </c>
      <c r="H392" s="65">
        <f>DATEDIF(Squads[[#This Row],[Date Of Birth]],World_Cup_Start_Date,"Y")</f>
        <v>28</v>
      </c>
      <c r="I392" s="27">
        <v>15</v>
      </c>
      <c r="J392" s="27">
        <v>2</v>
      </c>
      <c r="K392" s="78" t="s">
        <v>1781</v>
      </c>
      <c r="L392" s="27" t="str">
        <f>_xlfn.XLOOKUP(Squads[[#This Row],[Current Club]],Clubs[Current Club],Clubs[Club_ID])</f>
        <v>JPN-01</v>
      </c>
      <c r="M392" s="27" t="str">
        <f>_xlfn.XLOOKUP(Squads[[#This Row],[National Team]],Football_Associations[Football Association],Football_Associations[World Cup Result])</f>
        <v>Last 16</v>
      </c>
      <c r="N39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93" spans="1:14" ht="15" customHeight="1" x14ac:dyDescent="0.25">
      <c r="A393" s="33">
        <f t="shared" si="6"/>
        <v>1392</v>
      </c>
      <c r="B393" s="23" t="s">
        <v>27</v>
      </c>
      <c r="C393" s="23" t="str">
        <f>VLOOKUP(Squads[[#This Row],[National Team]],Qualified[],3,TRUE)</f>
        <v>Japan (JPN)</v>
      </c>
      <c r="D393" s="25">
        <v>3</v>
      </c>
      <c r="E393" s="23" t="s">
        <v>135</v>
      </c>
      <c r="F393" s="23" t="s">
        <v>592</v>
      </c>
      <c r="G393" s="26">
        <v>33434</v>
      </c>
      <c r="H393" s="65">
        <f>DATEDIF(Squads[[#This Row],[Date Of Birth]],World_Cup_Start_Date,"Y")</f>
        <v>31</v>
      </c>
      <c r="I393" s="27">
        <v>14</v>
      </c>
      <c r="J393" s="27">
        <v>0</v>
      </c>
      <c r="K393" s="78" t="s">
        <v>1781</v>
      </c>
      <c r="L393" s="27" t="str">
        <f>_xlfn.XLOOKUP(Squads[[#This Row],[Current Club]],Clubs[Current Club],Clubs[Club_ID])</f>
        <v>JPN-01</v>
      </c>
      <c r="M393" s="27" t="str">
        <f>_xlfn.XLOOKUP(Squads[[#This Row],[National Team]],Football_Associations[Football Association],Football_Associations[World Cup Result])</f>
        <v>Last 16</v>
      </c>
      <c r="N39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94" spans="1:14" ht="15" customHeight="1" x14ac:dyDescent="0.25">
      <c r="A394" s="33">
        <f t="shared" si="6"/>
        <v>1393</v>
      </c>
      <c r="B394" s="23" t="s">
        <v>27</v>
      </c>
      <c r="C394" s="23" t="str">
        <f>VLOOKUP(Squads[[#This Row],[National Team]],Qualified[],3,TRUE)</f>
        <v>Japan (JPN)</v>
      </c>
      <c r="D394" s="25">
        <v>4</v>
      </c>
      <c r="E394" s="23" t="s">
        <v>135</v>
      </c>
      <c r="F394" s="23" t="s">
        <v>593</v>
      </c>
      <c r="G394" s="26">
        <v>35457</v>
      </c>
      <c r="H394" s="65">
        <f>DATEDIF(Squads[[#This Row],[Date Of Birth]],World_Cup_Start_Date,"Y")</f>
        <v>25</v>
      </c>
      <c r="I394" s="27">
        <v>13</v>
      </c>
      <c r="J394" s="27">
        <v>1</v>
      </c>
      <c r="K394" s="78" t="s">
        <v>1680</v>
      </c>
      <c r="L394" s="27" t="str">
        <f>_xlfn.XLOOKUP(Squads[[#This Row],[Current Club]],Clubs[Current Club],Clubs[Club_ID])</f>
        <v>GER-05</v>
      </c>
      <c r="M394" s="27" t="str">
        <f>_xlfn.XLOOKUP(Squads[[#This Row],[National Team]],Football_Associations[Football Association],Football_Associations[World Cup Result])</f>
        <v>Last 16</v>
      </c>
      <c r="N39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95" spans="1:14" ht="15" customHeight="1" x14ac:dyDescent="0.25">
      <c r="A395" s="33">
        <f t="shared" si="6"/>
        <v>1394</v>
      </c>
      <c r="B395" s="23" t="s">
        <v>27</v>
      </c>
      <c r="C395" s="23" t="str">
        <f>VLOOKUP(Squads[[#This Row],[National Team]],Qualified[],3,TRUE)</f>
        <v>Japan (JPN)</v>
      </c>
      <c r="D395" s="25">
        <v>5</v>
      </c>
      <c r="E395" s="23" t="s">
        <v>135</v>
      </c>
      <c r="F395" s="23" t="s">
        <v>594</v>
      </c>
      <c r="G395" s="26">
        <v>31667</v>
      </c>
      <c r="H395" s="65">
        <f>DATEDIF(Squads[[#This Row],[Date Of Birth]],World_Cup_Start_Date,"Y")</f>
        <v>36</v>
      </c>
      <c r="I395" s="27">
        <v>138</v>
      </c>
      <c r="J395" s="27">
        <v>4</v>
      </c>
      <c r="K395" s="78" t="s">
        <v>1859</v>
      </c>
      <c r="L395" s="27" t="str">
        <f>_xlfn.XLOOKUP(Squads[[#This Row],[Current Club]],Clubs[Current Club],Clubs[Club_ID])</f>
        <v>JPN-04</v>
      </c>
      <c r="M395" s="27" t="str">
        <f>_xlfn.XLOOKUP(Squads[[#This Row],[National Team]],Football_Associations[Football Association],Football_Associations[World Cup Result])</f>
        <v>Last 16</v>
      </c>
      <c r="N39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96" spans="1:14" ht="15" customHeight="1" x14ac:dyDescent="0.25">
      <c r="A396" s="33">
        <f t="shared" si="6"/>
        <v>1395</v>
      </c>
      <c r="B396" s="23" t="s">
        <v>27</v>
      </c>
      <c r="C396" s="23" t="str">
        <f>VLOOKUP(Squads[[#This Row],[National Team]],Qualified[],3,TRUE)</f>
        <v>Japan (JPN)</v>
      </c>
      <c r="D396" s="25">
        <v>6</v>
      </c>
      <c r="E396" s="23" t="s">
        <v>139</v>
      </c>
      <c r="F396" s="23" t="s">
        <v>595</v>
      </c>
      <c r="G396" s="26">
        <v>34009</v>
      </c>
      <c r="H396" s="65">
        <f>DATEDIF(Squads[[#This Row],[Date Of Birth]],World_Cup_Start_Date,"Y")</f>
        <v>29</v>
      </c>
      <c r="I396" s="27">
        <v>43</v>
      </c>
      <c r="J396" s="27">
        <v>2</v>
      </c>
      <c r="K396" s="78" t="s">
        <v>1750</v>
      </c>
      <c r="L396" s="27" t="str">
        <f>_xlfn.XLOOKUP(Squads[[#This Row],[Current Club]],Clubs[Current Club],Clubs[Club_ID])</f>
        <v>GER-10</v>
      </c>
      <c r="M396" s="27" t="str">
        <f>_xlfn.XLOOKUP(Squads[[#This Row],[National Team]],Football_Associations[Football Association],Football_Associations[World Cup Result])</f>
        <v>Last 16</v>
      </c>
      <c r="N39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97" spans="1:14" ht="15" customHeight="1" x14ac:dyDescent="0.25">
      <c r="A397" s="33">
        <f t="shared" si="6"/>
        <v>1396</v>
      </c>
      <c r="B397" s="23" t="s">
        <v>27</v>
      </c>
      <c r="C397" s="23" t="str">
        <f>VLOOKUP(Squads[[#This Row],[National Team]],Qualified[],3,TRUE)</f>
        <v>Japan (JPN)</v>
      </c>
      <c r="D397" s="25">
        <v>7</v>
      </c>
      <c r="E397" s="23" t="s">
        <v>139</v>
      </c>
      <c r="F397" s="23" t="s">
        <v>596</v>
      </c>
      <c r="G397" s="26">
        <v>33752</v>
      </c>
      <c r="H397" s="65">
        <f>DATEDIF(Squads[[#This Row],[Date Of Birth]],World_Cup_Start_Date,"Y")</f>
        <v>30</v>
      </c>
      <c r="I397" s="27">
        <v>60</v>
      </c>
      <c r="J397" s="27">
        <v>3</v>
      </c>
      <c r="K397" s="78" t="s">
        <v>1884</v>
      </c>
      <c r="L397" s="27" t="str">
        <f>_xlfn.XLOOKUP(Squads[[#This Row],[Current Club]],Clubs[Current Club],Clubs[Club_ID])</f>
        <v>ESP-17</v>
      </c>
      <c r="M397" s="27" t="str">
        <f>_xlfn.XLOOKUP(Squads[[#This Row],[National Team]],Football_Associations[Football Association],Football_Associations[World Cup Result])</f>
        <v>Last 16</v>
      </c>
      <c r="N39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98" spans="1:14" ht="15" customHeight="1" x14ac:dyDescent="0.25">
      <c r="A398" s="33">
        <f t="shared" si="6"/>
        <v>1397</v>
      </c>
      <c r="B398" s="23" t="s">
        <v>27</v>
      </c>
      <c r="C398" s="23" t="str">
        <f>VLOOKUP(Squads[[#This Row],[National Team]],Qualified[],3,TRUE)</f>
        <v>Japan (JPN)</v>
      </c>
      <c r="D398" s="25">
        <v>8</v>
      </c>
      <c r="E398" s="23" t="s">
        <v>139</v>
      </c>
      <c r="F398" s="23" t="s">
        <v>597</v>
      </c>
      <c r="G398" s="26">
        <v>35962</v>
      </c>
      <c r="H398" s="65">
        <f>DATEDIF(Squads[[#This Row],[Date Of Birth]],World_Cup_Start_Date,"Y")</f>
        <v>24</v>
      </c>
      <c r="I398" s="27">
        <v>29</v>
      </c>
      <c r="J398" s="27">
        <v>3</v>
      </c>
      <c r="K398" s="78" t="s">
        <v>1700</v>
      </c>
      <c r="L398" s="27" t="str">
        <f>_xlfn.XLOOKUP(Squads[[#This Row],[Current Club]],Clubs[Current Club],Clubs[Club_ID])</f>
        <v>GER-06</v>
      </c>
      <c r="M398" s="27" t="str">
        <f>_xlfn.XLOOKUP(Squads[[#This Row],[National Team]],Football_Associations[Football Association],Football_Associations[World Cup Result])</f>
        <v>Last 16</v>
      </c>
      <c r="N39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399" spans="1:14" ht="15" customHeight="1" x14ac:dyDescent="0.25">
      <c r="A399" s="33">
        <f t="shared" si="6"/>
        <v>1398</v>
      </c>
      <c r="B399" s="23" t="s">
        <v>27</v>
      </c>
      <c r="C399" s="23" t="str">
        <f>VLOOKUP(Squads[[#This Row],[National Team]],Qualified[],3,TRUE)</f>
        <v>Japan (JPN)</v>
      </c>
      <c r="D399" s="25">
        <v>9</v>
      </c>
      <c r="E399" s="23" t="s">
        <v>139</v>
      </c>
      <c r="F399" s="23" t="s">
        <v>598</v>
      </c>
      <c r="G399" s="26">
        <v>35570</v>
      </c>
      <c r="H399" s="65">
        <f>DATEDIF(Squads[[#This Row],[Date Of Birth]],World_Cup_Start_Date,"Y")</f>
        <v>25</v>
      </c>
      <c r="I399" s="27">
        <v>9</v>
      </c>
      <c r="J399" s="27">
        <v>5</v>
      </c>
      <c r="K399" s="78" t="s">
        <v>1669</v>
      </c>
      <c r="L399" s="27" t="str">
        <f>_xlfn.XLOOKUP(Squads[[#This Row],[Current Club]],Clubs[Current Club],Clubs[Club_ID])</f>
        <v>ENG-06</v>
      </c>
      <c r="M399" s="27" t="str">
        <f>_xlfn.XLOOKUP(Squads[[#This Row],[National Team]],Football_Associations[Football Association],Football_Associations[World Cup Result])</f>
        <v>Last 16</v>
      </c>
      <c r="N39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00" spans="1:14" ht="15" customHeight="1" x14ac:dyDescent="0.25">
      <c r="A400" s="33">
        <f t="shared" si="6"/>
        <v>1399</v>
      </c>
      <c r="B400" s="23" t="s">
        <v>27</v>
      </c>
      <c r="C400" s="23" t="str">
        <f>VLOOKUP(Squads[[#This Row],[National Team]],Qualified[],3,TRUE)</f>
        <v>Japan (JPN)</v>
      </c>
      <c r="D400" s="25">
        <v>10</v>
      </c>
      <c r="E400" s="23" t="s">
        <v>139</v>
      </c>
      <c r="F400" s="23" t="s">
        <v>599</v>
      </c>
      <c r="G400" s="26">
        <v>34715</v>
      </c>
      <c r="H400" s="65">
        <f>DATEDIF(Squads[[#This Row],[Date Of Birth]],World_Cup_Start_Date,"Y")</f>
        <v>27</v>
      </c>
      <c r="I400" s="27">
        <v>44</v>
      </c>
      <c r="J400" s="27">
        <v>17</v>
      </c>
      <c r="K400" s="78" t="s">
        <v>1687</v>
      </c>
      <c r="L400" s="27" t="str">
        <f>_xlfn.XLOOKUP(Squads[[#This Row],[Current Club]],Clubs[Current Club],Clubs[Club_ID])</f>
        <v>FRA-03</v>
      </c>
      <c r="M400" s="27" t="str">
        <f>_xlfn.XLOOKUP(Squads[[#This Row],[National Team]],Football_Associations[Football Association],Football_Associations[World Cup Result])</f>
        <v>Last 16</v>
      </c>
      <c r="N40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01" spans="1:14" ht="15" customHeight="1" x14ac:dyDescent="0.25">
      <c r="A401" s="33">
        <f t="shared" si="6"/>
        <v>1400</v>
      </c>
      <c r="B401" s="23" t="s">
        <v>27</v>
      </c>
      <c r="C401" s="23" t="str">
        <f>VLOOKUP(Squads[[#This Row],[National Team]],Qualified[],3,TRUE)</f>
        <v>Japan (JPN)</v>
      </c>
      <c r="D401" s="25">
        <v>11</v>
      </c>
      <c r="E401" s="23" t="s">
        <v>139</v>
      </c>
      <c r="F401" s="23" t="s">
        <v>600</v>
      </c>
      <c r="G401" s="26">
        <v>37046</v>
      </c>
      <c r="H401" s="65">
        <f>DATEDIF(Squads[[#This Row],[Date Of Birth]],World_Cup_Start_Date,"Y")</f>
        <v>21</v>
      </c>
      <c r="I401" s="27">
        <v>20</v>
      </c>
      <c r="J401" s="27">
        <v>1</v>
      </c>
      <c r="K401" s="78" t="s">
        <v>1916</v>
      </c>
      <c r="L401" s="27" t="str">
        <f>_xlfn.XLOOKUP(Squads[[#This Row],[Current Club]],Clubs[Current Club],Clubs[Club_ID])</f>
        <v>ESP-20</v>
      </c>
      <c r="M401" s="27" t="str">
        <f>_xlfn.XLOOKUP(Squads[[#This Row],[National Team]],Football_Associations[Football Association],Football_Associations[World Cup Result])</f>
        <v>Last 16</v>
      </c>
      <c r="N40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02" spans="1:14" ht="15" customHeight="1" x14ac:dyDescent="0.25">
      <c r="A402" s="33">
        <f t="shared" si="6"/>
        <v>1401</v>
      </c>
      <c r="B402" s="23" t="s">
        <v>27</v>
      </c>
      <c r="C402" s="23" t="str">
        <f>VLOOKUP(Squads[[#This Row],[National Team]],Qualified[],3,TRUE)</f>
        <v>Japan (JPN)</v>
      </c>
      <c r="D402" s="25">
        <v>12</v>
      </c>
      <c r="E402" s="23" t="s">
        <v>133</v>
      </c>
      <c r="F402" s="23" t="s">
        <v>601</v>
      </c>
      <c r="G402" s="26">
        <v>32570</v>
      </c>
      <c r="H402" s="65">
        <f>DATEDIF(Squads[[#This Row],[Date Of Birth]],World_Cup_Start_Date,"Y")</f>
        <v>33</v>
      </c>
      <c r="I402" s="27">
        <v>34</v>
      </c>
      <c r="J402" s="27">
        <v>0</v>
      </c>
      <c r="K402" s="78" t="s">
        <v>1925</v>
      </c>
      <c r="L402" s="27" t="str">
        <f>_xlfn.XLOOKUP(Squads[[#This Row],[Current Club]],Clubs[Current Club],Clubs[Club_ID])</f>
        <v>JPN-07</v>
      </c>
      <c r="M402" s="27" t="str">
        <f>_xlfn.XLOOKUP(Squads[[#This Row],[National Team]],Football_Associations[Football Association],Football_Associations[World Cup Result])</f>
        <v>Last 16</v>
      </c>
      <c r="N40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03" spans="1:14" ht="15" customHeight="1" x14ac:dyDescent="0.25">
      <c r="A403" s="33">
        <f t="shared" si="6"/>
        <v>1402</v>
      </c>
      <c r="B403" s="23" t="s">
        <v>27</v>
      </c>
      <c r="C403" s="23" t="str">
        <f>VLOOKUP(Squads[[#This Row],[National Team]],Qualified[],3,TRUE)</f>
        <v>Japan (JPN)</v>
      </c>
      <c r="D403" s="25">
        <v>13</v>
      </c>
      <c r="E403" s="23" t="s">
        <v>139</v>
      </c>
      <c r="F403" s="23" t="s">
        <v>602</v>
      </c>
      <c r="G403" s="26">
        <v>34829</v>
      </c>
      <c r="H403" s="65">
        <f>DATEDIF(Squads[[#This Row],[Date Of Birth]],World_Cup_Start_Date,"Y")</f>
        <v>27</v>
      </c>
      <c r="I403" s="27">
        <v>17</v>
      </c>
      <c r="J403" s="27">
        <v>2</v>
      </c>
      <c r="K403" s="78" t="s">
        <v>1720</v>
      </c>
      <c r="L403" s="27" t="str">
        <f>_xlfn.XLOOKUP(Squads[[#This Row],[Current Club]],Clubs[Current Club],Clubs[Club_ID])</f>
        <v>POR-03</v>
      </c>
      <c r="M403" s="27" t="str">
        <f>_xlfn.XLOOKUP(Squads[[#This Row],[National Team]],Football_Associations[Football Association],Football_Associations[World Cup Result])</f>
        <v>Last 16</v>
      </c>
      <c r="N40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04" spans="1:14" ht="15" customHeight="1" x14ac:dyDescent="0.25">
      <c r="A404" s="33">
        <f t="shared" si="6"/>
        <v>1403</v>
      </c>
      <c r="B404" s="23" t="s">
        <v>27</v>
      </c>
      <c r="C404" s="23" t="str">
        <f>VLOOKUP(Squads[[#This Row],[National Team]],Qualified[],3,TRUE)</f>
        <v>Japan (JPN)</v>
      </c>
      <c r="D404" s="25">
        <v>14</v>
      </c>
      <c r="E404" s="23" t="s">
        <v>139</v>
      </c>
      <c r="F404" s="23" t="s">
        <v>603</v>
      </c>
      <c r="G404" s="26">
        <v>34037</v>
      </c>
      <c r="H404" s="65">
        <f>DATEDIF(Squads[[#This Row],[Date Of Birth]],World_Cup_Start_Date,"Y")</f>
        <v>29</v>
      </c>
      <c r="I404" s="27">
        <v>38</v>
      </c>
      <c r="J404" s="27">
        <v>9</v>
      </c>
      <c r="K404" s="78" t="s">
        <v>1917</v>
      </c>
      <c r="L404" s="27" t="str">
        <f>_xlfn.XLOOKUP(Squads[[#This Row],[Current Club]],Clubs[Current Club],Clubs[Club_ID])</f>
        <v>FRA-20</v>
      </c>
      <c r="M404" s="27" t="str">
        <f>_xlfn.XLOOKUP(Squads[[#This Row],[National Team]],Football_Associations[Football Association],Football_Associations[World Cup Result])</f>
        <v>Last 16</v>
      </c>
      <c r="N40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05" spans="1:14" ht="15" customHeight="1" x14ac:dyDescent="0.25">
      <c r="A405" s="33">
        <f t="shared" si="6"/>
        <v>1404</v>
      </c>
      <c r="B405" s="23" t="s">
        <v>27</v>
      </c>
      <c r="C405" s="23" t="str">
        <f>VLOOKUP(Squads[[#This Row],[National Team]],Qualified[],3,TRUE)</f>
        <v>Japan (JPN)</v>
      </c>
      <c r="D405" s="25">
        <v>15</v>
      </c>
      <c r="E405" s="23" t="s">
        <v>139</v>
      </c>
      <c r="F405" s="23" t="s">
        <v>604</v>
      </c>
      <c r="G405" s="26">
        <v>35282</v>
      </c>
      <c r="H405" s="65">
        <f>DATEDIF(Squads[[#This Row],[Date Of Birth]],World_Cup_Start_Date,"Y")</f>
        <v>26</v>
      </c>
      <c r="I405" s="27">
        <v>22</v>
      </c>
      <c r="J405" s="27">
        <v>6</v>
      </c>
      <c r="K405" s="78" t="s">
        <v>1674</v>
      </c>
      <c r="L405" s="27" t="str">
        <f>_xlfn.XLOOKUP(Squads[[#This Row],[Current Club]],Clubs[Current Club],Clubs[Club_ID])</f>
        <v>GER-03</v>
      </c>
      <c r="M405" s="27" t="str">
        <f>_xlfn.XLOOKUP(Squads[[#This Row],[National Team]],Football_Associations[Football Association],Football_Associations[World Cup Result])</f>
        <v>Last 16</v>
      </c>
      <c r="N40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06" spans="1:14" ht="15" customHeight="1" x14ac:dyDescent="0.25">
      <c r="A406" s="33">
        <f t="shared" si="6"/>
        <v>1405</v>
      </c>
      <c r="B406" s="23" t="s">
        <v>27</v>
      </c>
      <c r="C406" s="23" t="str">
        <f>VLOOKUP(Squads[[#This Row],[National Team]],Qualified[],3,TRUE)</f>
        <v>Japan (JPN)</v>
      </c>
      <c r="D406" s="25">
        <v>16</v>
      </c>
      <c r="E406" s="23" t="s">
        <v>135</v>
      </c>
      <c r="F406" s="23" t="s">
        <v>605</v>
      </c>
      <c r="G406" s="26">
        <v>36104</v>
      </c>
      <c r="H406" s="65">
        <f>DATEDIF(Squads[[#This Row],[Date Of Birth]],World_Cup_Start_Date,"Y")</f>
        <v>24</v>
      </c>
      <c r="I406" s="27">
        <v>29</v>
      </c>
      <c r="J406" s="27">
        <v>1</v>
      </c>
      <c r="K406" s="78" t="s">
        <v>1667</v>
      </c>
      <c r="L406" s="27" t="str">
        <f>_xlfn.XLOOKUP(Squads[[#This Row],[Current Club]],Clubs[Current Club],Clubs[Club_ID])</f>
        <v>ENG-05</v>
      </c>
      <c r="M406" s="27" t="str">
        <f>_xlfn.XLOOKUP(Squads[[#This Row],[National Team]],Football_Associations[Football Association],Football_Associations[World Cup Result])</f>
        <v>Last 16</v>
      </c>
      <c r="N40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07" spans="1:14" ht="15" customHeight="1" x14ac:dyDescent="0.25">
      <c r="A407" s="33">
        <f t="shared" si="6"/>
        <v>1406</v>
      </c>
      <c r="B407" s="23" t="s">
        <v>27</v>
      </c>
      <c r="C407" s="23" t="str">
        <f>VLOOKUP(Squads[[#This Row],[National Team]],Qualified[],3,TRUE)</f>
        <v>Japan (JPN)</v>
      </c>
      <c r="D407" s="25">
        <v>17</v>
      </c>
      <c r="E407" s="23" t="s">
        <v>139</v>
      </c>
      <c r="F407" s="23" t="s">
        <v>606</v>
      </c>
      <c r="G407" s="26">
        <v>36048</v>
      </c>
      <c r="H407" s="65">
        <f>DATEDIF(Squads[[#This Row],[Date Of Birth]],World_Cup_Start_Date,"Y")</f>
        <v>24</v>
      </c>
      <c r="I407" s="27">
        <v>15</v>
      </c>
      <c r="J407" s="27">
        <v>2</v>
      </c>
      <c r="K407" s="78" t="s">
        <v>1861</v>
      </c>
      <c r="L407" s="27" t="str">
        <f>_xlfn.XLOOKUP(Squads[[#This Row],[Current Club]],Clubs[Current Club],Clubs[Club_ID])</f>
        <v>GER-16</v>
      </c>
      <c r="M407" s="27" t="str">
        <f>_xlfn.XLOOKUP(Squads[[#This Row],[National Team]],Football_Associations[Football Association],Football_Associations[World Cup Result])</f>
        <v>Last 16</v>
      </c>
      <c r="N40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08" spans="1:14" ht="15" customHeight="1" x14ac:dyDescent="0.25">
      <c r="A408" s="33">
        <f t="shared" si="6"/>
        <v>1407</v>
      </c>
      <c r="B408" s="23" t="s">
        <v>27</v>
      </c>
      <c r="C408" s="23" t="str">
        <f>VLOOKUP(Squads[[#This Row],[National Team]],Qualified[],3,TRUE)</f>
        <v>Japan (JPN)</v>
      </c>
      <c r="D408" s="25">
        <v>18</v>
      </c>
      <c r="E408" s="23" t="s">
        <v>146</v>
      </c>
      <c r="F408" s="23" t="s">
        <v>607</v>
      </c>
      <c r="G408" s="26">
        <v>34648</v>
      </c>
      <c r="H408" s="65">
        <f>DATEDIF(Squads[[#This Row],[Date Of Birth]],World_Cup_Start_Date,"Y")</f>
        <v>28</v>
      </c>
      <c r="I408" s="27">
        <v>37</v>
      </c>
      <c r="J408" s="27">
        <v>7</v>
      </c>
      <c r="K408" s="78" t="s">
        <v>1945</v>
      </c>
      <c r="L408" s="27" t="str">
        <f>_xlfn.XLOOKUP(Squads[[#This Row],[Current Club]],Clubs[Current Club],Clubs[Club_ID])</f>
        <v>GER-21</v>
      </c>
      <c r="M408" s="27" t="str">
        <f>_xlfn.XLOOKUP(Squads[[#This Row],[National Team]],Football_Associations[Football Association],Football_Associations[World Cup Result])</f>
        <v>Last 16</v>
      </c>
      <c r="N40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09" spans="1:14" ht="15" customHeight="1" x14ac:dyDescent="0.25">
      <c r="A409" s="33">
        <f t="shared" si="6"/>
        <v>1408</v>
      </c>
      <c r="B409" s="23" t="s">
        <v>27</v>
      </c>
      <c r="C409" s="23" t="str">
        <f>VLOOKUP(Squads[[#This Row],[National Team]],Qualified[],3,TRUE)</f>
        <v>Japan (JPN)</v>
      </c>
      <c r="D409" s="25">
        <v>19</v>
      </c>
      <c r="E409" s="23" t="s">
        <v>135</v>
      </c>
      <c r="F409" s="23" t="s">
        <v>608</v>
      </c>
      <c r="G409" s="26">
        <v>32975</v>
      </c>
      <c r="H409" s="65">
        <f>DATEDIF(Squads[[#This Row],[Date Of Birth]],World_Cup_Start_Date,"Y")</f>
        <v>32</v>
      </c>
      <c r="I409" s="27">
        <v>72</v>
      </c>
      <c r="J409" s="27">
        <v>1</v>
      </c>
      <c r="K409" s="78" t="s">
        <v>1940</v>
      </c>
      <c r="L409" s="27" t="str">
        <f>_xlfn.XLOOKUP(Squads[[#This Row],[Current Club]],Clubs[Current Club],Clubs[Club_ID])</f>
        <v>JPN-09</v>
      </c>
      <c r="M409" s="27" t="str">
        <f>_xlfn.XLOOKUP(Squads[[#This Row],[National Team]],Football_Associations[Football Association],Football_Associations[World Cup Result])</f>
        <v>Last 16</v>
      </c>
      <c r="N40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10" spans="1:14" ht="15" customHeight="1" x14ac:dyDescent="0.25">
      <c r="A410" s="33">
        <f t="shared" si="6"/>
        <v>1409</v>
      </c>
      <c r="B410" s="23" t="s">
        <v>27</v>
      </c>
      <c r="C410" s="23" t="str">
        <f>VLOOKUP(Squads[[#This Row],[National Team]],Qualified[],3,TRUE)</f>
        <v>Japan (JPN)</v>
      </c>
      <c r="D410" s="25">
        <v>20</v>
      </c>
      <c r="E410" s="23" t="s">
        <v>146</v>
      </c>
      <c r="F410" s="23" t="s">
        <v>609</v>
      </c>
      <c r="G410" s="26">
        <v>36433</v>
      </c>
      <c r="H410" s="65">
        <f>DATEDIF(Squads[[#This Row],[Date Of Birth]],World_Cup_Start_Date,"Y")</f>
        <v>23</v>
      </c>
      <c r="I410" s="27">
        <v>4</v>
      </c>
      <c r="J410" s="27">
        <v>3</v>
      </c>
      <c r="K410" s="78" t="s">
        <v>1926</v>
      </c>
      <c r="L410" s="27" t="str">
        <f>_xlfn.XLOOKUP(Squads[[#This Row],[Current Club]],Clubs[Current Club],Clubs[Club_ID])</f>
        <v>JPN-08</v>
      </c>
      <c r="M410" s="27" t="str">
        <f>_xlfn.XLOOKUP(Squads[[#This Row],[National Team]],Football_Associations[Football Association],Football_Associations[World Cup Result])</f>
        <v>Last 16</v>
      </c>
      <c r="N41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11" spans="1:14" ht="15" customHeight="1" x14ac:dyDescent="0.25">
      <c r="A411" s="33">
        <f t="shared" si="6"/>
        <v>1410</v>
      </c>
      <c r="B411" s="23" t="s">
        <v>27</v>
      </c>
      <c r="C411" s="23" t="str">
        <f>VLOOKUP(Squads[[#This Row],[National Team]],Qualified[],3,TRUE)</f>
        <v>Japan (JPN)</v>
      </c>
      <c r="D411" s="25">
        <v>21</v>
      </c>
      <c r="E411" s="23" t="s">
        <v>146</v>
      </c>
      <c r="F411" s="23" t="s">
        <v>610</v>
      </c>
      <c r="G411" s="26">
        <v>36035</v>
      </c>
      <c r="H411" s="65">
        <f>DATEDIF(Squads[[#This Row],[Date Of Birth]],World_Cup_Start_Date,"Y")</f>
        <v>24</v>
      </c>
      <c r="I411" s="27">
        <v>11</v>
      </c>
      <c r="J411" s="27">
        <v>0</v>
      </c>
      <c r="K411" s="78" t="s">
        <v>1838</v>
      </c>
      <c r="L411" s="27" t="str">
        <f>_xlfn.XLOOKUP(Squads[[#This Row],[Current Club]],Clubs[Current Club],Clubs[Club_ID])</f>
        <v>BEL-05</v>
      </c>
      <c r="M411" s="27" t="str">
        <f>_xlfn.XLOOKUP(Squads[[#This Row],[National Team]],Football_Associations[Football Association],Football_Associations[World Cup Result])</f>
        <v>Last 16</v>
      </c>
      <c r="N41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12" spans="1:14" ht="15" customHeight="1" x14ac:dyDescent="0.25">
      <c r="A412" s="33">
        <f t="shared" si="6"/>
        <v>1411</v>
      </c>
      <c r="B412" s="23" t="s">
        <v>27</v>
      </c>
      <c r="C412" s="23" t="str">
        <f>VLOOKUP(Squads[[#This Row],[National Team]],Qualified[],3,TRUE)</f>
        <v>Japan (JPN)</v>
      </c>
      <c r="D412" s="25">
        <v>22</v>
      </c>
      <c r="E412" s="23" t="s">
        <v>135</v>
      </c>
      <c r="F412" s="27" t="s">
        <v>993</v>
      </c>
      <c r="G412" s="26">
        <v>32379</v>
      </c>
      <c r="H412" s="65">
        <f>DATEDIF(Squads[[#This Row],[Date Of Birth]],World_Cup_Start_Date,"Y")</f>
        <v>34</v>
      </c>
      <c r="I412" s="27">
        <v>122</v>
      </c>
      <c r="J412" s="27">
        <v>12</v>
      </c>
      <c r="K412" s="78" t="s">
        <v>1921</v>
      </c>
      <c r="L412" s="27" t="str">
        <f>_xlfn.XLOOKUP(Squads[[#This Row],[Current Club]],Clubs[Current Club],Clubs[Club_ID])</f>
        <v>GER-19</v>
      </c>
      <c r="M412" s="27" t="str">
        <f>_xlfn.XLOOKUP(Squads[[#This Row],[National Team]],Football_Associations[Football Association],Football_Associations[World Cup Result])</f>
        <v>Last 16</v>
      </c>
      <c r="N41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13" spans="1:14" ht="15" customHeight="1" x14ac:dyDescent="0.25">
      <c r="A413" s="33">
        <f t="shared" si="6"/>
        <v>1412</v>
      </c>
      <c r="B413" s="23" t="s">
        <v>27</v>
      </c>
      <c r="C413" s="23" t="str">
        <f>VLOOKUP(Squads[[#This Row],[National Team]],Qualified[],3,TRUE)</f>
        <v>Japan (JPN)</v>
      </c>
      <c r="D413" s="25">
        <v>23</v>
      </c>
      <c r="E413" s="23" t="s">
        <v>133</v>
      </c>
      <c r="F413" s="23" t="s">
        <v>611</v>
      </c>
      <c r="G413" s="26">
        <v>33637</v>
      </c>
      <c r="H413" s="65">
        <f>DATEDIF(Squads[[#This Row],[Date Of Birth]],World_Cup_Start_Date,"Y")</f>
        <v>30</v>
      </c>
      <c r="I413" s="27">
        <v>11</v>
      </c>
      <c r="J413" s="27">
        <v>0</v>
      </c>
      <c r="K413" s="78" t="s">
        <v>1927</v>
      </c>
      <c r="L413" s="27" t="str">
        <f>_xlfn.XLOOKUP(Squads[[#This Row],[Current Club]],Clubs[Current Club],Clubs[Club_ID])</f>
        <v>BEL-11</v>
      </c>
      <c r="M413" s="27" t="str">
        <f>_xlfn.XLOOKUP(Squads[[#This Row],[National Team]],Football_Associations[Football Association],Football_Associations[World Cup Result])</f>
        <v>Last 16</v>
      </c>
      <c r="N41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14" spans="1:14" ht="15" customHeight="1" x14ac:dyDescent="0.25">
      <c r="A414" s="33">
        <f t="shared" si="6"/>
        <v>1413</v>
      </c>
      <c r="B414" s="23" t="s">
        <v>27</v>
      </c>
      <c r="C414" s="23" t="str">
        <f>VLOOKUP(Squads[[#This Row],[National Team]],Qualified[],3,TRUE)</f>
        <v>Japan (JPN)</v>
      </c>
      <c r="D414" s="25">
        <v>24</v>
      </c>
      <c r="E414" s="23" t="s">
        <v>139</v>
      </c>
      <c r="F414" s="23" t="s">
        <v>612</v>
      </c>
      <c r="G414" s="26">
        <v>35486</v>
      </c>
      <c r="H414" s="65">
        <f>DATEDIF(Squads[[#This Row],[Date Of Birth]],World_Cup_Start_Date,"Y")</f>
        <v>25</v>
      </c>
      <c r="I414" s="27">
        <v>8</v>
      </c>
      <c r="J414" s="27">
        <v>4</v>
      </c>
      <c r="K414" s="78" t="s">
        <v>1894</v>
      </c>
      <c r="L414" s="27" t="str">
        <f>_xlfn.XLOOKUP(Squads[[#This Row],[Current Club]],Clubs[Current Club],Clubs[Club_ID])</f>
        <v>JPN-06</v>
      </c>
      <c r="M414" s="27" t="str">
        <f>_xlfn.XLOOKUP(Squads[[#This Row],[National Team]],Football_Associations[Football Association],Football_Associations[World Cup Result])</f>
        <v>Last 16</v>
      </c>
      <c r="N41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15" spans="1:14" ht="15" customHeight="1" x14ac:dyDescent="0.25">
      <c r="A415" s="33">
        <f t="shared" si="6"/>
        <v>1414</v>
      </c>
      <c r="B415" s="23" t="s">
        <v>27</v>
      </c>
      <c r="C415" s="23" t="str">
        <f>VLOOKUP(Squads[[#This Row],[National Team]],Qualified[],3,TRUE)</f>
        <v>Japan (JPN)</v>
      </c>
      <c r="D415" s="25">
        <v>25</v>
      </c>
      <c r="E415" s="23" t="s">
        <v>146</v>
      </c>
      <c r="F415" s="23" t="s">
        <v>613</v>
      </c>
      <c r="G415" s="26">
        <v>35723</v>
      </c>
      <c r="H415" s="65">
        <f>DATEDIF(Squads[[#This Row],[Date Of Birth]],World_Cup_Start_Date,"Y")</f>
        <v>25</v>
      </c>
      <c r="I415" s="27">
        <v>8</v>
      </c>
      <c r="J415" s="27">
        <v>1</v>
      </c>
      <c r="K415" s="78" t="s">
        <v>1709</v>
      </c>
      <c r="L415" s="27" t="str">
        <f>_xlfn.XLOOKUP(Squads[[#This Row],[Current Club]],Clubs[Current Club],Clubs[Club_ID])</f>
        <v>SCO-01</v>
      </c>
      <c r="M415" s="27" t="str">
        <f>_xlfn.XLOOKUP(Squads[[#This Row],[National Team]],Football_Associations[Football Association],Football_Associations[World Cup Result])</f>
        <v>Last 16</v>
      </c>
      <c r="N41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16" spans="1:14" ht="15" customHeight="1" x14ac:dyDescent="0.25">
      <c r="A416" s="33">
        <f t="shared" si="6"/>
        <v>1415</v>
      </c>
      <c r="B416" s="23" t="s">
        <v>27</v>
      </c>
      <c r="C416" s="23" t="str">
        <f>VLOOKUP(Squads[[#This Row],[National Team]],Qualified[],3,TRUE)</f>
        <v>Japan (JPN)</v>
      </c>
      <c r="D416" s="25">
        <v>26</v>
      </c>
      <c r="E416" s="23" t="s">
        <v>135</v>
      </c>
      <c r="F416" s="23" t="s">
        <v>614</v>
      </c>
      <c r="G416" s="26">
        <v>36292</v>
      </c>
      <c r="H416" s="65">
        <f>DATEDIF(Squads[[#This Row],[Date Of Birth]],World_Cup_Start_Date,"Y")</f>
        <v>23</v>
      </c>
      <c r="I416" s="27">
        <v>6</v>
      </c>
      <c r="J416" s="27">
        <v>0</v>
      </c>
      <c r="K416" s="78" t="s">
        <v>1750</v>
      </c>
      <c r="L416" s="27" t="str">
        <f>_xlfn.XLOOKUP(Squads[[#This Row],[Current Club]],Clubs[Current Club],Clubs[Club_ID])</f>
        <v>GER-10</v>
      </c>
      <c r="M416" s="27" t="str">
        <f>_xlfn.XLOOKUP(Squads[[#This Row],[National Team]],Football_Associations[Football Association],Football_Associations[World Cup Result])</f>
        <v>Last 16</v>
      </c>
      <c r="N41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17" spans="1:14" ht="15" customHeight="1" x14ac:dyDescent="0.25">
      <c r="A417" s="33">
        <f t="shared" si="6"/>
        <v>1416</v>
      </c>
      <c r="B417" s="23" t="s">
        <v>37</v>
      </c>
      <c r="C417" s="23" t="str">
        <f>VLOOKUP(Squads[[#This Row],[National Team]],Qualified[],3,TRUE)</f>
        <v>Korea Rep (KOR)</v>
      </c>
      <c r="D417" s="25">
        <v>1</v>
      </c>
      <c r="E417" s="23" t="s">
        <v>133</v>
      </c>
      <c r="F417" s="23" t="s">
        <v>891</v>
      </c>
      <c r="G417" s="26">
        <v>33146</v>
      </c>
      <c r="H417" s="65">
        <f>DATEDIF(Squads[[#This Row],[Date Of Birth]],World_Cup_Start_Date,"Y")</f>
        <v>32</v>
      </c>
      <c r="I417" s="27">
        <v>67</v>
      </c>
      <c r="J417" s="27">
        <v>0</v>
      </c>
      <c r="K417" s="78" t="s">
        <v>1690</v>
      </c>
      <c r="L417" s="27" t="str">
        <f>_xlfn.XLOOKUP(Squads[[#This Row],[Current Club]],Clubs[Current Club],Clubs[Club_ID])</f>
        <v>SAU-03</v>
      </c>
      <c r="M417" s="27" t="str">
        <f>_xlfn.XLOOKUP(Squads[[#This Row],[National Team]],Football_Associations[Football Association],Football_Associations[World Cup Result])</f>
        <v>Last 16</v>
      </c>
      <c r="N41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18" spans="1:14" ht="15" customHeight="1" x14ac:dyDescent="0.25">
      <c r="A418" s="33">
        <f t="shared" si="6"/>
        <v>1417</v>
      </c>
      <c r="B418" s="23" t="s">
        <v>37</v>
      </c>
      <c r="C418" s="23" t="str">
        <f>VLOOKUP(Squads[[#This Row],[National Team]],Qualified[],3,TRUE)</f>
        <v>Korea Rep (KOR)</v>
      </c>
      <c r="D418" s="25">
        <v>2</v>
      </c>
      <c r="E418" s="23" t="s">
        <v>135</v>
      </c>
      <c r="F418" s="23" t="s">
        <v>892</v>
      </c>
      <c r="G418" s="26">
        <v>35874</v>
      </c>
      <c r="H418" s="65">
        <f>DATEDIF(Squads[[#This Row],[Date Of Birth]],World_Cup_Start_Date,"Y")</f>
        <v>24</v>
      </c>
      <c r="I418" s="27">
        <v>4</v>
      </c>
      <c r="J418" s="27">
        <v>0</v>
      </c>
      <c r="K418" s="78" t="s">
        <v>1777</v>
      </c>
      <c r="L418" s="27" t="str">
        <f>_xlfn.XLOOKUP(Squads[[#This Row],[Current Club]],Clubs[Current Club],Clubs[Club_ID])</f>
        <v>KOR-03</v>
      </c>
      <c r="M418" s="27" t="str">
        <f>_xlfn.XLOOKUP(Squads[[#This Row],[National Team]],Football_Associations[Football Association],Football_Associations[World Cup Result])</f>
        <v>Last 16</v>
      </c>
      <c r="N41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19" spans="1:14" ht="15" customHeight="1" x14ac:dyDescent="0.25">
      <c r="A419" s="33">
        <f t="shared" si="6"/>
        <v>1418</v>
      </c>
      <c r="B419" s="23" t="s">
        <v>37</v>
      </c>
      <c r="C419" s="23" t="str">
        <f>VLOOKUP(Squads[[#This Row],[National Team]],Qualified[],3,TRUE)</f>
        <v>Korea Rep (KOR)</v>
      </c>
      <c r="D419" s="25">
        <v>3</v>
      </c>
      <c r="E419" s="23" t="s">
        <v>135</v>
      </c>
      <c r="F419" s="23" t="s">
        <v>893</v>
      </c>
      <c r="G419" s="26">
        <v>33768</v>
      </c>
      <c r="H419" s="65">
        <f>DATEDIF(Squads[[#This Row],[Date Of Birth]],World_Cup_Start_Date,"Y")</f>
        <v>30</v>
      </c>
      <c r="I419" s="27">
        <v>61</v>
      </c>
      <c r="J419" s="27">
        <v>2</v>
      </c>
      <c r="K419" s="78" t="s">
        <v>1686</v>
      </c>
      <c r="L419" s="27" t="str">
        <f>_xlfn.XLOOKUP(Squads[[#This Row],[Current Club]],Clubs[Current Club],Clubs[Club_ID])</f>
        <v>KOR-01</v>
      </c>
      <c r="M419" s="27" t="str">
        <f>_xlfn.XLOOKUP(Squads[[#This Row],[National Team]],Football_Associations[Football Association],Football_Associations[World Cup Result])</f>
        <v>Last 16</v>
      </c>
      <c r="N41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20" spans="1:14" ht="15" customHeight="1" x14ac:dyDescent="0.25">
      <c r="A420" s="33">
        <f t="shared" si="6"/>
        <v>1419</v>
      </c>
      <c r="B420" s="23" t="s">
        <v>37</v>
      </c>
      <c r="C420" s="23" t="str">
        <f>VLOOKUP(Squads[[#This Row],[National Team]],Qualified[],3,TRUE)</f>
        <v>Korea Rep (KOR)</v>
      </c>
      <c r="D420" s="25">
        <v>4</v>
      </c>
      <c r="E420" s="23" t="s">
        <v>135</v>
      </c>
      <c r="F420" s="23" t="s">
        <v>894</v>
      </c>
      <c r="G420" s="26">
        <v>35384</v>
      </c>
      <c r="H420" s="65">
        <f>DATEDIF(Squads[[#This Row],[Date Of Birth]],World_Cup_Start_Date,"Y")</f>
        <v>26</v>
      </c>
      <c r="I420" s="27">
        <v>44</v>
      </c>
      <c r="J420" s="27">
        <v>3</v>
      </c>
      <c r="K420" s="78" t="s">
        <v>1696</v>
      </c>
      <c r="L420" s="27" t="str">
        <f>_xlfn.XLOOKUP(Squads[[#This Row],[Current Club]],Clubs[Current Club],Clubs[Club_ID])</f>
        <v>ITA-04</v>
      </c>
      <c r="M420" s="27" t="str">
        <f>_xlfn.XLOOKUP(Squads[[#This Row],[National Team]],Football_Associations[Football Association],Football_Associations[World Cup Result])</f>
        <v>Last 16</v>
      </c>
      <c r="N42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21" spans="1:14" ht="15" customHeight="1" x14ac:dyDescent="0.25">
      <c r="A421" s="33">
        <f t="shared" si="6"/>
        <v>1420</v>
      </c>
      <c r="B421" s="23" t="s">
        <v>37</v>
      </c>
      <c r="C421" s="23" t="str">
        <f>VLOOKUP(Squads[[#This Row],[National Team]],Qualified[],3,TRUE)</f>
        <v>Korea Rep (KOR)</v>
      </c>
      <c r="D421" s="25">
        <v>5</v>
      </c>
      <c r="E421" s="23" t="s">
        <v>139</v>
      </c>
      <c r="F421" s="23" t="s">
        <v>895</v>
      </c>
      <c r="G421" s="26">
        <v>32856</v>
      </c>
      <c r="H421" s="65">
        <f>DATEDIF(Squads[[#This Row],[Date Of Birth]],World_Cup_Start_Date,"Y")</f>
        <v>32</v>
      </c>
      <c r="I421" s="27">
        <v>66</v>
      </c>
      <c r="J421" s="27">
        <v>3</v>
      </c>
      <c r="K421" s="78" t="s">
        <v>1656</v>
      </c>
      <c r="L421" s="27" t="str">
        <f>_xlfn.XLOOKUP(Squads[[#This Row],[Current Club]],Clubs[Current Club],Clubs[Club_ID])</f>
        <v>QTR-01</v>
      </c>
      <c r="M421" s="27" t="str">
        <f>_xlfn.XLOOKUP(Squads[[#This Row],[National Team]],Football_Associations[Football Association],Football_Associations[World Cup Result])</f>
        <v>Last 16</v>
      </c>
      <c r="N42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22" spans="1:14" ht="15" customHeight="1" x14ac:dyDescent="0.25">
      <c r="A422" s="33">
        <f t="shared" si="6"/>
        <v>1421</v>
      </c>
      <c r="B422" s="23" t="s">
        <v>37</v>
      </c>
      <c r="C422" s="23" t="str">
        <f>VLOOKUP(Squads[[#This Row],[National Team]],Qualified[],3,TRUE)</f>
        <v>Korea Rep (KOR)</v>
      </c>
      <c r="D422" s="25">
        <v>6</v>
      </c>
      <c r="E422" s="23" t="s">
        <v>139</v>
      </c>
      <c r="F422" s="23" t="s">
        <v>896</v>
      </c>
      <c r="G422" s="26">
        <v>35328</v>
      </c>
      <c r="H422" s="65">
        <f>DATEDIF(Squads[[#This Row],[Date Of Birth]],World_Cup_Start_Date,"Y")</f>
        <v>26</v>
      </c>
      <c r="I422" s="27">
        <v>37</v>
      </c>
      <c r="J422" s="27">
        <v>4</v>
      </c>
      <c r="K422" s="78" t="s">
        <v>1714</v>
      </c>
      <c r="L422" s="27" t="str">
        <f>_xlfn.XLOOKUP(Squads[[#This Row],[Current Club]],Clubs[Current Club],Clubs[Club_ID])</f>
        <v>GRE-02</v>
      </c>
      <c r="M422" s="27" t="str">
        <f>_xlfn.XLOOKUP(Squads[[#This Row],[National Team]],Football_Associations[Football Association],Football_Associations[World Cup Result])</f>
        <v>Last 16</v>
      </c>
      <c r="N42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23" spans="1:14" ht="15" customHeight="1" x14ac:dyDescent="0.25">
      <c r="A423" s="33">
        <f t="shared" si="6"/>
        <v>1422</v>
      </c>
      <c r="B423" s="23" t="s">
        <v>37</v>
      </c>
      <c r="C423" s="23" t="str">
        <f>VLOOKUP(Squads[[#This Row],[National Team]],Qualified[],3,TRUE)</f>
        <v>Korea Rep (KOR)</v>
      </c>
      <c r="D423" s="25">
        <v>7</v>
      </c>
      <c r="E423" s="23" t="s">
        <v>139</v>
      </c>
      <c r="F423" s="27" t="s">
        <v>1005</v>
      </c>
      <c r="G423" s="26">
        <v>33793</v>
      </c>
      <c r="H423" s="65">
        <f>DATEDIF(Squads[[#This Row],[Date Of Birth]],World_Cup_Start_Date,"Y")</f>
        <v>30</v>
      </c>
      <c r="I423" s="27">
        <v>104</v>
      </c>
      <c r="J423" s="27">
        <v>35</v>
      </c>
      <c r="K423" s="78" t="s">
        <v>1666</v>
      </c>
      <c r="L423" s="27" t="str">
        <f>_xlfn.XLOOKUP(Squads[[#This Row],[Current Club]],Clubs[Current Club],Clubs[Club_ID])</f>
        <v>ENG-04</v>
      </c>
      <c r="M423" s="27" t="str">
        <f>_xlfn.XLOOKUP(Squads[[#This Row],[National Team]],Football_Associations[Football Association],Football_Associations[World Cup Result])</f>
        <v>Last 16</v>
      </c>
      <c r="N42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24" spans="1:14" ht="15" customHeight="1" x14ac:dyDescent="0.25">
      <c r="A424" s="33">
        <f t="shared" si="6"/>
        <v>1423</v>
      </c>
      <c r="B424" s="23" t="s">
        <v>37</v>
      </c>
      <c r="C424" s="23" t="str">
        <f>VLOOKUP(Squads[[#This Row],[National Team]],Qualified[],3,TRUE)</f>
        <v>Korea Rep (KOR)</v>
      </c>
      <c r="D424" s="25">
        <v>8</v>
      </c>
      <c r="E424" s="23" t="s">
        <v>139</v>
      </c>
      <c r="F424" s="23" t="s">
        <v>897</v>
      </c>
      <c r="G424" s="26">
        <v>35506</v>
      </c>
      <c r="H424" s="65">
        <f>DATEDIF(Squads[[#This Row],[Date Of Birth]],World_Cup_Start_Date,"Y")</f>
        <v>25</v>
      </c>
      <c r="I424" s="27">
        <v>14</v>
      </c>
      <c r="J424" s="27">
        <v>2</v>
      </c>
      <c r="K424" s="78" t="s">
        <v>1686</v>
      </c>
      <c r="L424" s="27" t="str">
        <f>_xlfn.XLOOKUP(Squads[[#This Row],[Current Club]],Clubs[Current Club],Clubs[Club_ID])</f>
        <v>KOR-01</v>
      </c>
      <c r="M424" s="27" t="str">
        <f>_xlfn.XLOOKUP(Squads[[#This Row],[National Team]],Football_Associations[Football Association],Football_Associations[World Cup Result])</f>
        <v>Last 16</v>
      </c>
      <c r="N42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25" spans="1:14" ht="15" customHeight="1" x14ac:dyDescent="0.25">
      <c r="A425" s="33">
        <f t="shared" si="6"/>
        <v>1424</v>
      </c>
      <c r="B425" s="23" t="s">
        <v>37</v>
      </c>
      <c r="C425" s="23" t="str">
        <f>VLOOKUP(Squads[[#This Row],[National Team]],Qualified[],3,TRUE)</f>
        <v>Korea Rep (KOR)</v>
      </c>
      <c r="D425" s="25">
        <v>9</v>
      </c>
      <c r="E425" s="23" t="s">
        <v>146</v>
      </c>
      <c r="F425" s="23" t="s">
        <v>898</v>
      </c>
      <c r="G425" s="26">
        <v>35820</v>
      </c>
      <c r="H425" s="65">
        <f>DATEDIF(Squads[[#This Row],[Date Of Birth]],World_Cup_Start_Date,"Y")</f>
        <v>24</v>
      </c>
      <c r="I425" s="27">
        <v>16</v>
      </c>
      <c r="J425" s="27">
        <v>4</v>
      </c>
      <c r="K425" s="78" t="s">
        <v>1686</v>
      </c>
      <c r="L425" s="27" t="str">
        <f>_xlfn.XLOOKUP(Squads[[#This Row],[Current Club]],Clubs[Current Club],Clubs[Club_ID])</f>
        <v>KOR-01</v>
      </c>
      <c r="M425" s="27" t="str">
        <f>_xlfn.XLOOKUP(Squads[[#This Row],[National Team]],Football_Associations[Football Association],Football_Associations[World Cup Result])</f>
        <v>Last 16</v>
      </c>
      <c r="N42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26" spans="1:14" ht="15" customHeight="1" x14ac:dyDescent="0.25">
      <c r="A426" s="33">
        <f t="shared" si="6"/>
        <v>1425</v>
      </c>
      <c r="B426" s="23" t="s">
        <v>37</v>
      </c>
      <c r="C426" s="23" t="str">
        <f>VLOOKUP(Squads[[#This Row],[National Team]],Qualified[],3,TRUE)</f>
        <v>Korea Rep (KOR)</v>
      </c>
      <c r="D426" s="25">
        <v>10</v>
      </c>
      <c r="E426" s="23" t="s">
        <v>139</v>
      </c>
      <c r="F426" s="23" t="s">
        <v>899</v>
      </c>
      <c r="G426" s="26">
        <v>33826</v>
      </c>
      <c r="H426" s="65">
        <f>DATEDIF(Squads[[#This Row],[Date Of Birth]],World_Cup_Start_Date,"Y")</f>
        <v>30</v>
      </c>
      <c r="I426" s="27">
        <v>64</v>
      </c>
      <c r="J426" s="27">
        <v>9</v>
      </c>
      <c r="K426" s="78" t="s">
        <v>1739</v>
      </c>
      <c r="L426" s="27" t="str">
        <f>_xlfn.XLOOKUP(Squads[[#This Row],[Current Club]],Clubs[Current Club],Clubs[Club_ID])</f>
        <v>GER-09</v>
      </c>
      <c r="M426" s="27" t="str">
        <f>_xlfn.XLOOKUP(Squads[[#This Row],[National Team]],Football_Associations[Football Association],Football_Associations[World Cup Result])</f>
        <v>Last 16</v>
      </c>
      <c r="N42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27" spans="1:14" ht="15" customHeight="1" x14ac:dyDescent="0.25">
      <c r="A427" s="33">
        <f t="shared" si="6"/>
        <v>1426</v>
      </c>
      <c r="B427" s="23" t="s">
        <v>37</v>
      </c>
      <c r="C427" s="23" t="str">
        <f>VLOOKUP(Squads[[#This Row],[National Team]],Qualified[],3,TRUE)</f>
        <v>Korea Rep (KOR)</v>
      </c>
      <c r="D427" s="25">
        <v>11</v>
      </c>
      <c r="E427" s="23" t="s">
        <v>139</v>
      </c>
      <c r="F427" s="23" t="s">
        <v>900</v>
      </c>
      <c r="G427" s="26">
        <v>35090</v>
      </c>
      <c r="H427" s="65">
        <f>DATEDIF(Squads[[#This Row],[Date Of Birth]],World_Cup_Start_Date,"Y")</f>
        <v>26</v>
      </c>
      <c r="I427" s="27">
        <v>49</v>
      </c>
      <c r="J427" s="27">
        <v>9</v>
      </c>
      <c r="K427" s="78" t="s">
        <v>1704</v>
      </c>
      <c r="L427" s="27" t="str">
        <f>_xlfn.XLOOKUP(Squads[[#This Row],[Current Club]],Clubs[Current Club],Clubs[Club_ID])</f>
        <v>ENG-14</v>
      </c>
      <c r="M427" s="27" t="str">
        <f>_xlfn.XLOOKUP(Squads[[#This Row],[National Team]],Football_Associations[Football Association],Football_Associations[World Cup Result])</f>
        <v>Last 16</v>
      </c>
      <c r="N42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28" spans="1:14" ht="15" customHeight="1" x14ac:dyDescent="0.25">
      <c r="A428" s="33">
        <f t="shared" si="6"/>
        <v>1427</v>
      </c>
      <c r="B428" s="23" t="s">
        <v>37</v>
      </c>
      <c r="C428" s="23" t="str">
        <f>VLOOKUP(Squads[[#This Row],[National Team]],Qualified[],3,TRUE)</f>
        <v>Korea Rep (KOR)</v>
      </c>
      <c r="D428" s="25">
        <v>12</v>
      </c>
      <c r="E428" s="23" t="s">
        <v>133</v>
      </c>
      <c r="F428" s="23" t="s">
        <v>901</v>
      </c>
      <c r="G428" s="26">
        <v>35718</v>
      </c>
      <c r="H428" s="65">
        <f>DATEDIF(Squads[[#This Row],[Date Of Birth]],World_Cup_Start_Date,"Y")</f>
        <v>25</v>
      </c>
      <c r="I428" s="27">
        <v>1</v>
      </c>
      <c r="J428" s="27">
        <v>0</v>
      </c>
      <c r="K428" s="78" t="s">
        <v>1686</v>
      </c>
      <c r="L428" s="27" t="str">
        <f>_xlfn.XLOOKUP(Squads[[#This Row],[Current Club]],Clubs[Current Club],Clubs[Club_ID])</f>
        <v>KOR-01</v>
      </c>
      <c r="M428" s="27" t="str">
        <f>_xlfn.XLOOKUP(Squads[[#This Row],[National Team]],Football_Associations[Football Association],Football_Associations[World Cup Result])</f>
        <v>Last 16</v>
      </c>
      <c r="N42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29" spans="1:14" ht="15" customHeight="1" x14ac:dyDescent="0.25">
      <c r="A429" s="33">
        <f t="shared" si="6"/>
        <v>1428</v>
      </c>
      <c r="B429" s="23" t="s">
        <v>37</v>
      </c>
      <c r="C429" s="23" t="str">
        <f>VLOOKUP(Squads[[#This Row],[National Team]],Qualified[],3,TRUE)</f>
        <v>Korea Rep (KOR)</v>
      </c>
      <c r="D429" s="25">
        <v>13</v>
      </c>
      <c r="E429" s="23" t="s">
        <v>139</v>
      </c>
      <c r="F429" s="23" t="s">
        <v>902</v>
      </c>
      <c r="G429" s="26">
        <v>33736</v>
      </c>
      <c r="H429" s="65">
        <f>DATEDIF(Squads[[#This Row],[Date Of Birth]],World_Cup_Start_Date,"Y")</f>
        <v>30</v>
      </c>
      <c r="I429" s="27">
        <v>15</v>
      </c>
      <c r="J429" s="27">
        <v>0</v>
      </c>
      <c r="K429" s="78" t="s">
        <v>1923</v>
      </c>
      <c r="L429" s="27" t="str">
        <f>_xlfn.XLOOKUP(Squads[[#This Row],[Current Club]],Clubs[Current Club],Clubs[Club_ID])</f>
        <v>CHI-01</v>
      </c>
      <c r="M429" s="27" t="str">
        <f>_xlfn.XLOOKUP(Squads[[#This Row],[National Team]],Football_Associations[Football Association],Football_Associations[World Cup Result])</f>
        <v>Last 16</v>
      </c>
      <c r="N42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30" spans="1:14" ht="15" customHeight="1" x14ac:dyDescent="0.25">
      <c r="A430" s="33">
        <f t="shared" si="6"/>
        <v>1429</v>
      </c>
      <c r="B430" s="23" t="s">
        <v>37</v>
      </c>
      <c r="C430" s="23" t="str">
        <f>VLOOKUP(Squads[[#This Row],[National Team]],Qualified[],3,TRUE)</f>
        <v>Korea Rep (KOR)</v>
      </c>
      <c r="D430" s="25">
        <v>14</v>
      </c>
      <c r="E430" s="23" t="s">
        <v>135</v>
      </c>
      <c r="F430" s="23" t="s">
        <v>903</v>
      </c>
      <c r="G430" s="26">
        <v>33133</v>
      </c>
      <c r="H430" s="65">
        <f>DATEDIF(Squads[[#This Row],[Date Of Birth]],World_Cup_Start_Date,"Y")</f>
        <v>32</v>
      </c>
      <c r="I430" s="27">
        <v>46</v>
      </c>
      <c r="J430" s="27">
        <v>1</v>
      </c>
      <c r="K430" s="78" t="s">
        <v>1848</v>
      </c>
      <c r="L430" s="27" t="str">
        <f>_xlfn.XLOOKUP(Squads[[#This Row],[Current Club]],Clubs[Current Club],Clubs[Club_ID])</f>
        <v>KOR-04</v>
      </c>
      <c r="M430" s="27" t="str">
        <f>_xlfn.XLOOKUP(Squads[[#This Row],[National Team]],Football_Associations[Football Association],Football_Associations[World Cup Result])</f>
        <v>Last 16</v>
      </c>
      <c r="N43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31" spans="1:14" ht="15" customHeight="1" x14ac:dyDescent="0.25">
      <c r="A431" s="33">
        <f t="shared" si="6"/>
        <v>1430</v>
      </c>
      <c r="B431" s="23" t="s">
        <v>37</v>
      </c>
      <c r="C431" s="23" t="str">
        <f>VLOOKUP(Squads[[#This Row],[National Team]],Qualified[],3,TRUE)</f>
        <v>Korea Rep (KOR)</v>
      </c>
      <c r="D431" s="25">
        <v>15</v>
      </c>
      <c r="E431" s="23" t="s">
        <v>135</v>
      </c>
      <c r="F431" s="23" t="s">
        <v>904</v>
      </c>
      <c r="G431" s="26">
        <v>34912</v>
      </c>
      <c r="H431" s="65">
        <f>DATEDIF(Squads[[#This Row],[Date Of Birth]],World_Cup_Start_Date,"Y")</f>
        <v>27</v>
      </c>
      <c r="I431" s="27">
        <v>22</v>
      </c>
      <c r="J431" s="27">
        <v>0</v>
      </c>
      <c r="K431" s="78" t="s">
        <v>1686</v>
      </c>
      <c r="L431" s="27" t="str">
        <f>_xlfn.XLOOKUP(Squads[[#This Row],[Current Club]],Clubs[Current Club],Clubs[Club_ID])</f>
        <v>KOR-01</v>
      </c>
      <c r="M431" s="27" t="str">
        <f>_xlfn.XLOOKUP(Squads[[#This Row],[National Team]],Football_Associations[Football Association],Football_Associations[World Cup Result])</f>
        <v>Last 16</v>
      </c>
      <c r="N43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32" spans="1:14" ht="15" customHeight="1" x14ac:dyDescent="0.25">
      <c r="A432" s="33">
        <f t="shared" si="6"/>
        <v>1431</v>
      </c>
      <c r="B432" s="23" t="s">
        <v>37</v>
      </c>
      <c r="C432" s="23" t="str">
        <f>VLOOKUP(Squads[[#This Row],[National Team]],Qualified[],3,TRUE)</f>
        <v>Korea Rep (KOR)</v>
      </c>
      <c r="D432" s="25">
        <v>16</v>
      </c>
      <c r="E432" s="23" t="s">
        <v>146</v>
      </c>
      <c r="F432" s="23" t="s">
        <v>905</v>
      </c>
      <c r="G432" s="26">
        <v>33844</v>
      </c>
      <c r="H432" s="65">
        <f>DATEDIF(Squads[[#This Row],[Date Of Birth]],World_Cup_Start_Date,"Y")</f>
        <v>30</v>
      </c>
      <c r="I432" s="27">
        <v>49</v>
      </c>
      <c r="J432" s="27">
        <v>16</v>
      </c>
      <c r="K432" s="78" t="s">
        <v>1714</v>
      </c>
      <c r="L432" s="27" t="str">
        <f>_xlfn.XLOOKUP(Squads[[#This Row],[Current Club]],Clubs[Current Club],Clubs[Club_ID])</f>
        <v>GRE-02</v>
      </c>
      <c r="M432" s="27" t="str">
        <f>_xlfn.XLOOKUP(Squads[[#This Row],[National Team]],Football_Associations[Football Association],Football_Associations[World Cup Result])</f>
        <v>Last 16</v>
      </c>
      <c r="N43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33" spans="1:14" ht="15" customHeight="1" x14ac:dyDescent="0.25">
      <c r="A433" s="33">
        <f t="shared" si="6"/>
        <v>1432</v>
      </c>
      <c r="B433" s="23" t="s">
        <v>37</v>
      </c>
      <c r="C433" s="23" t="str">
        <f>VLOOKUP(Squads[[#This Row],[National Team]],Qualified[],3,TRUE)</f>
        <v>Korea Rep (KOR)</v>
      </c>
      <c r="D433" s="25">
        <v>17</v>
      </c>
      <c r="E433" s="23" t="s">
        <v>139</v>
      </c>
      <c r="F433" s="23" t="s">
        <v>906</v>
      </c>
      <c r="G433" s="26">
        <v>35289</v>
      </c>
      <c r="H433" s="65">
        <f>DATEDIF(Squads[[#This Row],[Date Of Birth]],World_Cup_Start_Date,"Y")</f>
        <v>26</v>
      </c>
      <c r="I433" s="27">
        <v>24</v>
      </c>
      <c r="J433" s="27">
        <v>2</v>
      </c>
      <c r="K433" s="78" t="s">
        <v>1777</v>
      </c>
      <c r="L433" s="27" t="str">
        <f>_xlfn.XLOOKUP(Squads[[#This Row],[Current Club]],Clubs[Current Club],Clubs[Club_ID])</f>
        <v>KOR-03</v>
      </c>
      <c r="M433" s="27" t="str">
        <f>_xlfn.XLOOKUP(Squads[[#This Row],[National Team]],Football_Associations[Football Association],Football_Associations[World Cup Result])</f>
        <v>Last 16</v>
      </c>
      <c r="N43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34" spans="1:14" ht="15" customHeight="1" x14ac:dyDescent="0.25">
      <c r="A434" s="33">
        <f t="shared" si="6"/>
        <v>1433</v>
      </c>
      <c r="B434" s="23" t="s">
        <v>37</v>
      </c>
      <c r="C434" s="23" t="str">
        <f>VLOOKUP(Squads[[#This Row],[National Team]],Qualified[],3,TRUE)</f>
        <v>Korea Rep (KOR)</v>
      </c>
      <c r="D434" s="25">
        <v>18</v>
      </c>
      <c r="E434" s="23" t="s">
        <v>139</v>
      </c>
      <c r="F434" s="23" t="s">
        <v>907</v>
      </c>
      <c r="G434" s="26">
        <v>36941</v>
      </c>
      <c r="H434" s="65">
        <f>DATEDIF(Squads[[#This Row],[Date Of Birth]],World_Cup_Start_Date,"Y")</f>
        <v>21</v>
      </c>
      <c r="I434" s="27">
        <v>6</v>
      </c>
      <c r="J434" s="27">
        <v>0</v>
      </c>
      <c r="K434" s="78" t="s">
        <v>1790</v>
      </c>
      <c r="L434" s="27" t="str">
        <f>_xlfn.XLOOKUP(Squads[[#This Row],[Current Club]],Clubs[Current Club],Clubs[Club_ID])</f>
        <v>ESP-11</v>
      </c>
      <c r="M434" s="27" t="str">
        <f>_xlfn.XLOOKUP(Squads[[#This Row],[National Team]],Football_Associations[Football Association],Football_Associations[World Cup Result])</f>
        <v>Last 16</v>
      </c>
      <c r="N43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35" spans="1:14" ht="15" customHeight="1" x14ac:dyDescent="0.25">
      <c r="A435" s="33">
        <f t="shared" si="6"/>
        <v>1434</v>
      </c>
      <c r="B435" s="23" t="s">
        <v>37</v>
      </c>
      <c r="C435" s="23" t="str">
        <f>VLOOKUP(Squads[[#This Row],[National Team]],Qualified[],3,TRUE)</f>
        <v>Korea Rep (KOR)</v>
      </c>
      <c r="D435" s="25">
        <v>19</v>
      </c>
      <c r="E435" s="23" t="s">
        <v>135</v>
      </c>
      <c r="F435" s="23" t="s">
        <v>908</v>
      </c>
      <c r="G435" s="26">
        <v>32931</v>
      </c>
      <c r="H435" s="65">
        <f>DATEDIF(Squads[[#This Row],[Date Of Birth]],World_Cup_Start_Date,"Y")</f>
        <v>32</v>
      </c>
      <c r="I435" s="27">
        <v>96</v>
      </c>
      <c r="J435" s="27">
        <v>6</v>
      </c>
      <c r="K435" s="78" t="s">
        <v>1749</v>
      </c>
      <c r="L435" s="27" t="str">
        <f>_xlfn.XLOOKUP(Squads[[#This Row],[Current Club]],Clubs[Current Club],Clubs[Club_ID])</f>
        <v>KOR-02</v>
      </c>
      <c r="M435" s="27" t="str">
        <f>_xlfn.XLOOKUP(Squads[[#This Row],[National Team]],Football_Associations[Football Association],Football_Associations[World Cup Result])</f>
        <v>Last 16</v>
      </c>
      <c r="N43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36" spans="1:14" ht="15" customHeight="1" x14ac:dyDescent="0.25">
      <c r="A436" s="33">
        <f t="shared" si="6"/>
        <v>1435</v>
      </c>
      <c r="B436" s="23" t="s">
        <v>37</v>
      </c>
      <c r="C436" s="23" t="str">
        <f>VLOOKUP(Squads[[#This Row],[National Team]],Qualified[],3,TRUE)</f>
        <v>Korea Rep (KOR)</v>
      </c>
      <c r="D436" s="25">
        <v>20</v>
      </c>
      <c r="E436" s="23" t="s">
        <v>135</v>
      </c>
      <c r="F436" s="23" t="s">
        <v>909</v>
      </c>
      <c r="G436" s="26">
        <v>33634</v>
      </c>
      <c r="H436" s="65">
        <f>DATEDIF(Squads[[#This Row],[Date Of Birth]],World_Cup_Start_Date,"Y")</f>
        <v>30</v>
      </c>
      <c r="I436" s="27">
        <v>28</v>
      </c>
      <c r="J436" s="27">
        <v>2</v>
      </c>
      <c r="K436" s="78" t="s">
        <v>1862</v>
      </c>
      <c r="L436" s="27" t="str">
        <f>_xlfn.XLOOKUP(Squads[[#This Row],[Current Club]],Clubs[Current Club],Clubs[Club_ID])</f>
        <v>JPN-05</v>
      </c>
      <c r="M436" s="27" t="str">
        <f>_xlfn.XLOOKUP(Squads[[#This Row],[National Team]],Football_Associations[Football Association],Football_Associations[World Cup Result])</f>
        <v>Last 16</v>
      </c>
      <c r="N43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37" spans="1:14" ht="15" customHeight="1" x14ac:dyDescent="0.25">
      <c r="A437" s="33">
        <f t="shared" si="6"/>
        <v>1436</v>
      </c>
      <c r="B437" s="23" t="s">
        <v>37</v>
      </c>
      <c r="C437" s="23" t="str">
        <f>VLOOKUP(Squads[[#This Row],[National Team]],Qualified[],3,TRUE)</f>
        <v>Korea Rep (KOR)</v>
      </c>
      <c r="D437" s="25">
        <v>21</v>
      </c>
      <c r="E437" s="23" t="s">
        <v>133</v>
      </c>
      <c r="F437" s="23" t="s">
        <v>910</v>
      </c>
      <c r="G437" s="26">
        <v>33506</v>
      </c>
      <c r="H437" s="65">
        <f>DATEDIF(Squads[[#This Row],[Date Of Birth]],World_Cup_Start_Date,"Y")</f>
        <v>31</v>
      </c>
      <c r="I437" s="27">
        <v>22</v>
      </c>
      <c r="J437" s="27">
        <v>0</v>
      </c>
      <c r="K437" s="78" t="s">
        <v>1749</v>
      </c>
      <c r="L437" s="27" t="str">
        <f>_xlfn.XLOOKUP(Squads[[#This Row],[Current Club]],Clubs[Current Club],Clubs[Club_ID])</f>
        <v>KOR-02</v>
      </c>
      <c r="M437" s="27" t="str">
        <f>_xlfn.XLOOKUP(Squads[[#This Row],[National Team]],Football_Associations[Football Association],Football_Associations[World Cup Result])</f>
        <v>Last 16</v>
      </c>
      <c r="N43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38" spans="1:14" ht="15" customHeight="1" x14ac:dyDescent="0.25">
      <c r="A438" s="33">
        <f t="shared" si="6"/>
        <v>1437</v>
      </c>
      <c r="B438" s="23" t="s">
        <v>37</v>
      </c>
      <c r="C438" s="23" t="str">
        <f>VLOOKUP(Squads[[#This Row],[National Team]],Qualified[],3,TRUE)</f>
        <v>Korea Rep (KOR)</v>
      </c>
      <c r="D438" s="25">
        <v>22</v>
      </c>
      <c r="E438" s="23" t="s">
        <v>139</v>
      </c>
      <c r="F438" s="23" t="s">
        <v>911</v>
      </c>
      <c r="G438" s="26">
        <v>34515</v>
      </c>
      <c r="H438" s="65">
        <f>DATEDIF(Squads[[#This Row],[Date Of Birth]],World_Cup_Start_Date,"Y")</f>
        <v>28</v>
      </c>
      <c r="I438" s="27">
        <v>42</v>
      </c>
      <c r="J438" s="27">
        <v>12</v>
      </c>
      <c r="K438" s="78" t="s">
        <v>1864</v>
      </c>
      <c r="L438" s="27" t="str">
        <f>_xlfn.XLOOKUP(Squads[[#This Row],[Current Club]],Clubs[Current Club],Clubs[Club_ID])</f>
        <v>KOR-06</v>
      </c>
      <c r="M438" s="27" t="str">
        <f>_xlfn.XLOOKUP(Squads[[#This Row],[National Team]],Football_Associations[Football Association],Football_Associations[World Cup Result])</f>
        <v>Last 16</v>
      </c>
      <c r="N43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39" spans="1:14" ht="15" customHeight="1" x14ac:dyDescent="0.25">
      <c r="A439" s="33">
        <f t="shared" si="6"/>
        <v>1438</v>
      </c>
      <c r="B439" s="23" t="s">
        <v>37</v>
      </c>
      <c r="C439" s="23" t="str">
        <f>VLOOKUP(Squads[[#This Row],[National Team]],Qualified[],3,TRUE)</f>
        <v>Korea Rep (KOR)</v>
      </c>
      <c r="D439" s="25">
        <v>23</v>
      </c>
      <c r="E439" s="23" t="s">
        <v>135</v>
      </c>
      <c r="F439" s="23" t="s">
        <v>912</v>
      </c>
      <c r="G439" s="26">
        <v>32713</v>
      </c>
      <c r="H439" s="65">
        <f>DATEDIF(Squads[[#This Row],[Date Of Birth]],World_Cup_Start_Date,"Y")</f>
        <v>33</v>
      </c>
      <c r="I439" s="27">
        <v>19</v>
      </c>
      <c r="J439" s="27">
        <v>0</v>
      </c>
      <c r="K439" s="78" t="s">
        <v>1749</v>
      </c>
      <c r="L439" s="27" t="str">
        <f>_xlfn.XLOOKUP(Squads[[#This Row],[Current Club]],Clubs[Current Club],Clubs[Club_ID])</f>
        <v>KOR-02</v>
      </c>
      <c r="M439" s="27" t="str">
        <f>_xlfn.XLOOKUP(Squads[[#This Row],[National Team]],Football_Associations[Football Association],Football_Associations[World Cup Result])</f>
        <v>Last 16</v>
      </c>
      <c r="N43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40" spans="1:14" ht="15" customHeight="1" x14ac:dyDescent="0.25">
      <c r="A440" s="33">
        <f t="shared" si="6"/>
        <v>1439</v>
      </c>
      <c r="B440" s="23" t="s">
        <v>37</v>
      </c>
      <c r="C440" s="23" t="str">
        <f>VLOOKUP(Squads[[#This Row],[National Team]],Qualified[],3,TRUE)</f>
        <v>Korea Rep (KOR)</v>
      </c>
      <c r="D440" s="25">
        <v>24</v>
      </c>
      <c r="E440" s="23" t="s">
        <v>135</v>
      </c>
      <c r="F440" s="23" t="s">
        <v>913</v>
      </c>
      <c r="G440" s="26">
        <v>35386</v>
      </c>
      <c r="H440" s="65">
        <f>DATEDIF(Squads[[#This Row],[Date Of Birth]],World_Cup_Start_Date,"Y")</f>
        <v>26</v>
      </c>
      <c r="I440" s="27">
        <v>4</v>
      </c>
      <c r="J440" s="27">
        <v>0</v>
      </c>
      <c r="K440" s="78" t="s">
        <v>1849</v>
      </c>
      <c r="L440" s="27" t="str">
        <f>_xlfn.XLOOKUP(Squads[[#This Row],[Current Club]],Clubs[Current Club],Clubs[Club_ID])</f>
        <v>KOR-05</v>
      </c>
      <c r="M440" s="27" t="str">
        <f>_xlfn.XLOOKUP(Squads[[#This Row],[National Team]],Football_Associations[Football Association],Football_Associations[World Cup Result])</f>
        <v>Last 16</v>
      </c>
      <c r="N44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41" spans="1:14" ht="15" customHeight="1" x14ac:dyDescent="0.25">
      <c r="A441" s="33">
        <f t="shared" si="6"/>
        <v>1440</v>
      </c>
      <c r="B441" s="23" t="s">
        <v>37</v>
      </c>
      <c r="C441" s="23" t="str">
        <f>VLOOKUP(Squads[[#This Row],[National Team]],Qualified[],3,TRUE)</f>
        <v>Korea Rep (KOR)</v>
      </c>
      <c r="D441" s="25">
        <v>25</v>
      </c>
      <c r="E441" s="23" t="s">
        <v>139</v>
      </c>
      <c r="F441" s="23" t="s">
        <v>914</v>
      </c>
      <c r="G441" s="26">
        <v>36423</v>
      </c>
      <c r="H441" s="65">
        <f>DATEDIF(Squads[[#This Row],[Date Of Birth]],World_Cup_Start_Date,"Y")</f>
        <v>23</v>
      </c>
      <c r="I441" s="27">
        <v>9</v>
      </c>
      <c r="J441" s="27">
        <v>2</v>
      </c>
      <c r="K441" s="78" t="s">
        <v>1700</v>
      </c>
      <c r="L441" s="27" t="str">
        <f>_xlfn.XLOOKUP(Squads[[#This Row],[Current Club]],Clubs[Current Club],Clubs[Club_ID])</f>
        <v>GER-06</v>
      </c>
      <c r="M441" s="27" t="str">
        <f>_xlfn.XLOOKUP(Squads[[#This Row],[National Team]],Football_Associations[Football Association],Football_Associations[World Cup Result])</f>
        <v>Last 16</v>
      </c>
      <c r="N44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42" spans="1:14" ht="15" customHeight="1" x14ac:dyDescent="0.25">
      <c r="A442" s="33">
        <f t="shared" si="6"/>
        <v>1441</v>
      </c>
      <c r="B442" s="23" t="s">
        <v>37</v>
      </c>
      <c r="C442" s="23" t="str">
        <f>VLOOKUP(Squads[[#This Row],[National Team]],Qualified[],3,TRUE)</f>
        <v>Korea Rep (KOR)</v>
      </c>
      <c r="D442" s="25">
        <v>26</v>
      </c>
      <c r="E442" s="23" t="s">
        <v>139</v>
      </c>
      <c r="F442" s="23" t="s">
        <v>915</v>
      </c>
      <c r="G442" s="26">
        <v>36415</v>
      </c>
      <c r="H442" s="65">
        <f>DATEDIF(Squads[[#This Row],[Date Of Birth]],World_Cup_Start_Date,"Y")</f>
        <v>23</v>
      </c>
      <c r="I442" s="27">
        <v>13</v>
      </c>
      <c r="J442" s="27">
        <v>1</v>
      </c>
      <c r="K442" s="78" t="s">
        <v>1686</v>
      </c>
      <c r="L442" s="27" t="str">
        <f>_xlfn.XLOOKUP(Squads[[#This Row],[Current Club]],Clubs[Current Club],Clubs[Club_ID])</f>
        <v>KOR-01</v>
      </c>
      <c r="M442" s="27" t="str">
        <f>_xlfn.XLOOKUP(Squads[[#This Row],[National Team]],Football_Associations[Football Association],Football_Associations[World Cup Result])</f>
        <v>Last 16</v>
      </c>
      <c r="N44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43" spans="1:14" ht="15" customHeight="1" x14ac:dyDescent="0.25">
      <c r="A443" s="33">
        <f t="shared" si="6"/>
        <v>1442</v>
      </c>
      <c r="B443" s="23" t="s">
        <v>18</v>
      </c>
      <c r="C443" s="23" t="str">
        <f>VLOOKUP(Squads[[#This Row],[National Team]],Qualified[],3,TRUE)</f>
        <v>Mexico (MEX)</v>
      </c>
      <c r="D443" s="25">
        <v>1</v>
      </c>
      <c r="E443" s="23" t="s">
        <v>133</v>
      </c>
      <c r="F443" s="23" t="s">
        <v>364</v>
      </c>
      <c r="G443" s="26">
        <v>30212</v>
      </c>
      <c r="H443" s="65">
        <f>DATEDIF(Squads[[#This Row],[Date Of Birth]],World_Cup_Start_Date,"Y")</f>
        <v>40</v>
      </c>
      <c r="I443" s="27">
        <v>40</v>
      </c>
      <c r="J443" s="27">
        <v>0</v>
      </c>
      <c r="K443" s="78" t="s">
        <v>1879</v>
      </c>
      <c r="L443" s="27" t="str">
        <f>_xlfn.XLOOKUP(Squads[[#This Row],[Current Club]],Clubs[Current Club],Clubs[Club_ID])</f>
        <v>MEX-08</v>
      </c>
      <c r="M443" s="27" t="str">
        <f>_xlfn.XLOOKUP(Squads[[#This Row],[National Team]],Football_Associations[Football Association],Football_Associations[World Cup Result])</f>
        <v>Group Stage</v>
      </c>
      <c r="N44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44" spans="1:14" ht="15" customHeight="1" x14ac:dyDescent="0.25">
      <c r="A444" s="33">
        <f t="shared" si="6"/>
        <v>1443</v>
      </c>
      <c r="B444" s="23" t="s">
        <v>18</v>
      </c>
      <c r="C444" s="23" t="str">
        <f>VLOOKUP(Squads[[#This Row],[National Team]],Qualified[],3,TRUE)</f>
        <v>Mexico (MEX)</v>
      </c>
      <c r="D444" s="25">
        <v>2</v>
      </c>
      <c r="E444" s="23" t="s">
        <v>135</v>
      </c>
      <c r="F444" s="23" t="s">
        <v>365</v>
      </c>
      <c r="G444" s="26">
        <v>33479</v>
      </c>
      <c r="H444" s="65">
        <f>DATEDIF(Squads[[#This Row],[Date Of Birth]],World_Cup_Start_Date,"Y")</f>
        <v>31</v>
      </c>
      <c r="I444" s="27">
        <v>63</v>
      </c>
      <c r="J444" s="27">
        <v>3</v>
      </c>
      <c r="K444" s="78" t="s">
        <v>1724</v>
      </c>
      <c r="L444" s="27" t="str">
        <f>_xlfn.XLOOKUP(Squads[[#This Row],[Current Club]],Clubs[Current Club],Clubs[Club_ID])</f>
        <v>MEX-02</v>
      </c>
      <c r="M444" s="27" t="str">
        <f>_xlfn.XLOOKUP(Squads[[#This Row],[National Team]],Football_Associations[Football Association],Football_Associations[World Cup Result])</f>
        <v>Group Stage</v>
      </c>
      <c r="N44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45" spans="1:14" ht="15" customHeight="1" x14ac:dyDescent="0.25">
      <c r="A445" s="33">
        <f t="shared" si="6"/>
        <v>1444</v>
      </c>
      <c r="B445" s="23" t="s">
        <v>18</v>
      </c>
      <c r="C445" s="23" t="str">
        <f>VLOOKUP(Squads[[#This Row],[National Team]],Qualified[],3,TRUE)</f>
        <v>Mexico (MEX)</v>
      </c>
      <c r="D445" s="25">
        <v>3</v>
      </c>
      <c r="E445" s="23" t="s">
        <v>135</v>
      </c>
      <c r="F445" s="23" t="s">
        <v>366</v>
      </c>
      <c r="G445" s="26">
        <v>35485</v>
      </c>
      <c r="H445" s="65">
        <f>DATEDIF(Squads[[#This Row],[Date Of Birth]],World_Cup_Start_Date,"Y")</f>
        <v>25</v>
      </c>
      <c r="I445" s="27">
        <v>30</v>
      </c>
      <c r="J445" s="27">
        <v>1</v>
      </c>
      <c r="K445" s="78" t="s">
        <v>1695</v>
      </c>
      <c r="L445" s="27" t="str">
        <f>_xlfn.XLOOKUP(Squads[[#This Row],[Current Club]],Clubs[Current Club],Clubs[Club_ID])</f>
        <v>MEX-01</v>
      </c>
      <c r="M445" s="27" t="str">
        <f>_xlfn.XLOOKUP(Squads[[#This Row],[National Team]],Football_Associations[Football Association],Football_Associations[World Cup Result])</f>
        <v>Group Stage</v>
      </c>
      <c r="N44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46" spans="1:14" ht="15" customHeight="1" x14ac:dyDescent="0.25">
      <c r="A446" s="33">
        <f t="shared" si="6"/>
        <v>1445</v>
      </c>
      <c r="B446" s="23" t="s">
        <v>18</v>
      </c>
      <c r="C446" s="23" t="str">
        <f>VLOOKUP(Squads[[#This Row],[National Team]],Qualified[],3,TRUE)</f>
        <v>Mexico (MEX)</v>
      </c>
      <c r="D446" s="25">
        <v>4</v>
      </c>
      <c r="E446" s="23" t="s">
        <v>135</v>
      </c>
      <c r="F446" s="23" t="s">
        <v>367</v>
      </c>
      <c r="G446" s="26">
        <v>35727</v>
      </c>
      <c r="H446" s="65">
        <f>DATEDIF(Squads[[#This Row],[Date Of Birth]],World_Cup_Start_Date,"Y")</f>
        <v>25</v>
      </c>
      <c r="I446" s="27">
        <v>58</v>
      </c>
      <c r="J446" s="27">
        <v>3</v>
      </c>
      <c r="K446" s="78" t="s">
        <v>1662</v>
      </c>
      <c r="L446" s="27" t="str">
        <f>_xlfn.XLOOKUP(Squads[[#This Row],[Current Club]],Clubs[Current Club],Clubs[Club_ID])</f>
        <v>NET-01</v>
      </c>
      <c r="M446" s="27" t="str">
        <f>_xlfn.XLOOKUP(Squads[[#This Row],[National Team]],Football_Associations[Football Association],Football_Associations[World Cup Result])</f>
        <v>Group Stage</v>
      </c>
      <c r="N44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47" spans="1:14" ht="15" customHeight="1" x14ac:dyDescent="0.25">
      <c r="A447" s="33">
        <f t="shared" si="6"/>
        <v>1446</v>
      </c>
      <c r="B447" s="23" t="s">
        <v>18</v>
      </c>
      <c r="C447" s="23" t="str">
        <f>VLOOKUP(Squads[[#This Row],[National Team]],Qualified[],3,TRUE)</f>
        <v>Mexico (MEX)</v>
      </c>
      <c r="D447" s="25">
        <v>5</v>
      </c>
      <c r="E447" s="23" t="s">
        <v>135</v>
      </c>
      <c r="F447" s="23" t="s">
        <v>368</v>
      </c>
      <c r="G447" s="26">
        <v>36090</v>
      </c>
      <c r="H447" s="65">
        <f>DATEDIF(Squads[[#This Row],[Date Of Birth]],World_Cup_Start_Date,"Y")</f>
        <v>24</v>
      </c>
      <c r="I447" s="27">
        <v>7</v>
      </c>
      <c r="J447" s="27">
        <v>0</v>
      </c>
      <c r="K447" s="78" t="s">
        <v>1846</v>
      </c>
      <c r="L447" s="27" t="str">
        <f>_xlfn.XLOOKUP(Squads[[#This Row],[Current Club]],Clubs[Current Club],Clubs[Club_ID])</f>
        <v>ITA-18</v>
      </c>
      <c r="M447" s="27" t="str">
        <f>_xlfn.XLOOKUP(Squads[[#This Row],[National Team]],Football_Associations[Football Association],Football_Associations[World Cup Result])</f>
        <v>Group Stage</v>
      </c>
      <c r="N44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48" spans="1:14" ht="15" customHeight="1" x14ac:dyDescent="0.25">
      <c r="A448" s="33">
        <f t="shared" si="6"/>
        <v>1447</v>
      </c>
      <c r="B448" s="23" t="s">
        <v>18</v>
      </c>
      <c r="C448" s="23" t="str">
        <f>VLOOKUP(Squads[[#This Row],[National Team]],Qualified[],3,TRUE)</f>
        <v>Mexico (MEX)</v>
      </c>
      <c r="D448" s="25">
        <v>6</v>
      </c>
      <c r="E448" s="23" t="s">
        <v>135</v>
      </c>
      <c r="F448" s="23" t="s">
        <v>369</v>
      </c>
      <c r="G448" s="26">
        <v>36045</v>
      </c>
      <c r="H448" s="65">
        <f>DATEDIF(Squads[[#This Row],[Date Of Birth]],World_Cup_Start_Date,"Y")</f>
        <v>24</v>
      </c>
      <c r="I448" s="27">
        <v>17</v>
      </c>
      <c r="J448" s="27">
        <v>1</v>
      </c>
      <c r="K448" s="78" t="s">
        <v>1734</v>
      </c>
      <c r="L448" s="27" t="str">
        <f>_xlfn.XLOOKUP(Squads[[#This Row],[Current Club]],Clubs[Current Club],Clubs[Club_ID])</f>
        <v>BEL-03</v>
      </c>
      <c r="M448" s="27" t="str">
        <f>_xlfn.XLOOKUP(Squads[[#This Row],[National Team]],Football_Associations[Football Association],Football_Associations[World Cup Result])</f>
        <v>Group Stage</v>
      </c>
      <c r="N44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49" spans="1:14" ht="15" customHeight="1" x14ac:dyDescent="0.25">
      <c r="A449" s="33">
        <f t="shared" si="6"/>
        <v>1448</v>
      </c>
      <c r="B449" s="23" t="s">
        <v>18</v>
      </c>
      <c r="C449" s="23" t="str">
        <f>VLOOKUP(Squads[[#This Row],[National Team]],Qualified[],3,TRUE)</f>
        <v>Mexico (MEX)</v>
      </c>
      <c r="D449" s="25">
        <v>7</v>
      </c>
      <c r="E449" s="23" t="s">
        <v>139</v>
      </c>
      <c r="F449" s="23" t="s">
        <v>370</v>
      </c>
      <c r="G449" s="26">
        <v>34855</v>
      </c>
      <c r="H449" s="65">
        <f>DATEDIF(Squads[[#This Row],[Date Of Birth]],World_Cup_Start_Date,"Y")</f>
        <v>27</v>
      </c>
      <c r="I449" s="27">
        <v>27</v>
      </c>
      <c r="J449" s="27">
        <v>1</v>
      </c>
      <c r="K449" s="78" t="s">
        <v>1695</v>
      </c>
      <c r="L449" s="27" t="str">
        <f>_xlfn.XLOOKUP(Squads[[#This Row],[Current Club]],Clubs[Current Club],Clubs[Club_ID])</f>
        <v>MEX-01</v>
      </c>
      <c r="M449" s="27" t="str">
        <f>_xlfn.XLOOKUP(Squads[[#This Row],[National Team]],Football_Associations[Football Association],Football_Associations[World Cup Result])</f>
        <v>Group Stage</v>
      </c>
      <c r="N44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50" spans="1:14" ht="15" customHeight="1" x14ac:dyDescent="0.25">
      <c r="A450" s="33">
        <f t="shared" si="6"/>
        <v>1449</v>
      </c>
      <c r="B450" s="23" t="s">
        <v>18</v>
      </c>
      <c r="C450" s="23" t="str">
        <f>VLOOKUP(Squads[[#This Row],[National Team]],Qualified[],3,TRUE)</f>
        <v>Mexico (MEX)</v>
      </c>
      <c r="D450" s="25">
        <v>8</v>
      </c>
      <c r="E450" s="23" t="s">
        <v>139</v>
      </c>
      <c r="F450" s="23" t="s">
        <v>371</v>
      </c>
      <c r="G450" s="26">
        <v>35433</v>
      </c>
      <c r="H450" s="65">
        <f>DATEDIF(Squads[[#This Row],[Date Of Birth]],World_Cup_Start_Date,"Y")</f>
        <v>25</v>
      </c>
      <c r="I450" s="27">
        <v>36</v>
      </c>
      <c r="J450" s="27">
        <v>0</v>
      </c>
      <c r="K450" s="78" t="s">
        <v>1729</v>
      </c>
      <c r="L450" s="27" t="str">
        <f>_xlfn.XLOOKUP(Squads[[#This Row],[Current Club]],Clubs[Current Club],Clubs[Club_ID])</f>
        <v>MEX-03</v>
      </c>
      <c r="M450" s="27" t="str">
        <f>_xlfn.XLOOKUP(Squads[[#This Row],[National Team]],Football_Associations[Football Association],Football_Associations[World Cup Result])</f>
        <v>Group Stage</v>
      </c>
      <c r="N45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51" spans="1:14" ht="15" customHeight="1" x14ac:dyDescent="0.25">
      <c r="A451" s="33">
        <f t="shared" ref="A451:A514" si="7">A450+1</f>
        <v>1450</v>
      </c>
      <c r="B451" s="23" t="s">
        <v>18</v>
      </c>
      <c r="C451" s="23" t="str">
        <f>VLOOKUP(Squads[[#This Row],[National Team]],Qualified[],3,TRUE)</f>
        <v>Mexico (MEX)</v>
      </c>
      <c r="D451" s="25">
        <v>9</v>
      </c>
      <c r="E451" s="23" t="s">
        <v>146</v>
      </c>
      <c r="F451" s="23" t="s">
        <v>372</v>
      </c>
      <c r="G451" s="26">
        <v>33363</v>
      </c>
      <c r="H451" s="65">
        <f>DATEDIF(Squads[[#This Row],[Date Of Birth]],World_Cup_Start_Date,"Y")</f>
        <v>31</v>
      </c>
      <c r="I451" s="27">
        <v>95</v>
      </c>
      <c r="J451" s="27">
        <v>29</v>
      </c>
      <c r="K451" s="78" t="s">
        <v>1704</v>
      </c>
      <c r="L451" s="27" t="str">
        <f>_xlfn.XLOOKUP(Squads[[#This Row],[Current Club]],Clubs[Current Club],Clubs[Club_ID])</f>
        <v>ENG-14</v>
      </c>
      <c r="M451" s="27" t="str">
        <f>_xlfn.XLOOKUP(Squads[[#This Row],[National Team]],Football_Associations[Football Association],Football_Associations[World Cup Result])</f>
        <v>Group Stage</v>
      </c>
      <c r="N45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52" spans="1:14" ht="15" customHeight="1" x14ac:dyDescent="0.25">
      <c r="A452" s="33">
        <f t="shared" si="7"/>
        <v>1451</v>
      </c>
      <c r="B452" s="23" t="s">
        <v>18</v>
      </c>
      <c r="C452" s="23" t="str">
        <f>VLOOKUP(Squads[[#This Row],[National Team]],Qualified[],3,TRUE)</f>
        <v>Mexico (MEX)</v>
      </c>
      <c r="D452" s="25">
        <v>10</v>
      </c>
      <c r="E452" s="23" t="s">
        <v>146</v>
      </c>
      <c r="F452" s="23" t="s">
        <v>373</v>
      </c>
      <c r="G452" s="26">
        <v>35759</v>
      </c>
      <c r="H452" s="65">
        <f>DATEDIF(Squads[[#This Row],[Date Of Birth]],World_Cup_Start_Date,"Y")</f>
        <v>24</v>
      </c>
      <c r="I452" s="27">
        <v>22</v>
      </c>
      <c r="J452" s="27">
        <v>6</v>
      </c>
      <c r="K452" s="78" t="s">
        <v>1780</v>
      </c>
      <c r="L452" s="27" t="str">
        <f>_xlfn.XLOOKUP(Squads[[#This Row],[Current Club]],Clubs[Current Club],Clubs[Club_ID])</f>
        <v>MEX-06</v>
      </c>
      <c r="M452" s="27" t="str">
        <f>_xlfn.XLOOKUP(Squads[[#This Row],[National Team]],Football_Associations[Football Association],Football_Associations[World Cup Result])</f>
        <v>Group Stage</v>
      </c>
      <c r="N45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53" spans="1:14" ht="15" customHeight="1" x14ac:dyDescent="0.25">
      <c r="A453" s="33">
        <f t="shared" si="7"/>
        <v>1452</v>
      </c>
      <c r="B453" s="23" t="s">
        <v>18</v>
      </c>
      <c r="C453" s="23" t="str">
        <f>VLOOKUP(Squads[[#This Row],[National Team]],Qualified[],3,TRUE)</f>
        <v>Mexico (MEX)</v>
      </c>
      <c r="D453" s="25">
        <v>11</v>
      </c>
      <c r="E453" s="23" t="s">
        <v>146</v>
      </c>
      <c r="F453" s="23" t="s">
        <v>374</v>
      </c>
      <c r="G453" s="26">
        <v>33302</v>
      </c>
      <c r="H453" s="65">
        <f>DATEDIF(Squads[[#This Row],[Date Of Birth]],World_Cup_Start_Date,"Y")</f>
        <v>31</v>
      </c>
      <c r="I453" s="27">
        <v>16</v>
      </c>
      <c r="J453" s="27">
        <v>6</v>
      </c>
      <c r="K453" s="78" t="s">
        <v>1695</v>
      </c>
      <c r="L453" s="27" t="str">
        <f>_xlfn.XLOOKUP(Squads[[#This Row],[Current Club]],Clubs[Current Club],Clubs[Club_ID])</f>
        <v>MEX-01</v>
      </c>
      <c r="M453" s="27" t="str">
        <f>_xlfn.XLOOKUP(Squads[[#This Row],[National Team]],Football_Associations[Football Association],Football_Associations[World Cup Result])</f>
        <v>Group Stage</v>
      </c>
      <c r="N45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54" spans="1:14" ht="15" customHeight="1" x14ac:dyDescent="0.25">
      <c r="A454" s="33">
        <f t="shared" si="7"/>
        <v>1453</v>
      </c>
      <c r="B454" s="23" t="s">
        <v>18</v>
      </c>
      <c r="C454" s="23" t="str">
        <f>VLOOKUP(Squads[[#This Row],[National Team]],Qualified[],3,TRUE)</f>
        <v>Mexico (MEX)</v>
      </c>
      <c r="D454" s="25">
        <v>12</v>
      </c>
      <c r="E454" s="23" t="s">
        <v>133</v>
      </c>
      <c r="F454" s="23" t="s">
        <v>375</v>
      </c>
      <c r="G454" s="26">
        <v>31961</v>
      </c>
      <c r="H454" s="65">
        <f>DATEDIF(Squads[[#This Row],[Date Of Birth]],World_Cup_Start_Date,"Y")</f>
        <v>35</v>
      </c>
      <c r="I454" s="27">
        <v>8</v>
      </c>
      <c r="J454" s="27">
        <v>0</v>
      </c>
      <c r="K454" s="78" t="s">
        <v>1738</v>
      </c>
      <c r="L454" s="27" t="str">
        <f>_xlfn.XLOOKUP(Squads[[#This Row],[Current Club]],Clubs[Current Club],Clubs[Club_ID])</f>
        <v>MEX-04</v>
      </c>
      <c r="M454" s="27" t="str">
        <f>_xlfn.XLOOKUP(Squads[[#This Row],[National Team]],Football_Associations[Football Association],Football_Associations[World Cup Result])</f>
        <v>Group Stage</v>
      </c>
      <c r="N45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55" spans="1:14" ht="15" customHeight="1" x14ac:dyDescent="0.25">
      <c r="A455" s="33">
        <f t="shared" si="7"/>
        <v>1454</v>
      </c>
      <c r="B455" s="23" t="s">
        <v>18</v>
      </c>
      <c r="C455" s="23" t="str">
        <f>VLOOKUP(Squads[[#This Row],[National Team]],Qualified[],3,TRUE)</f>
        <v>Mexico (MEX)</v>
      </c>
      <c r="D455" s="25">
        <v>13</v>
      </c>
      <c r="E455" s="23" t="s">
        <v>133</v>
      </c>
      <c r="F455" s="23" t="s">
        <v>376</v>
      </c>
      <c r="G455" s="26">
        <v>31241</v>
      </c>
      <c r="H455" s="65">
        <f>DATEDIF(Squads[[#This Row],[Date Of Birth]],World_Cup_Start_Date,"Y")</f>
        <v>37</v>
      </c>
      <c r="I455" s="27">
        <v>131</v>
      </c>
      <c r="J455" s="27">
        <v>0</v>
      </c>
      <c r="K455" s="78" t="s">
        <v>1724</v>
      </c>
      <c r="L455" s="27" t="str">
        <f>_xlfn.XLOOKUP(Squads[[#This Row],[Current Club]],Clubs[Current Club],Clubs[Club_ID])</f>
        <v>MEX-02</v>
      </c>
      <c r="M455" s="27" t="str">
        <f>_xlfn.XLOOKUP(Squads[[#This Row],[National Team]],Football_Associations[Football Association],Football_Associations[World Cup Result])</f>
        <v>Group Stage</v>
      </c>
      <c r="N45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56" spans="1:14" ht="15" customHeight="1" x14ac:dyDescent="0.25">
      <c r="A456" s="33">
        <f t="shared" si="7"/>
        <v>1455</v>
      </c>
      <c r="B456" s="23" t="s">
        <v>18</v>
      </c>
      <c r="C456" s="23" t="str">
        <f>VLOOKUP(Squads[[#This Row],[National Team]],Qualified[],3,TRUE)</f>
        <v>Mexico (MEX)</v>
      </c>
      <c r="D456" s="25">
        <v>14</v>
      </c>
      <c r="E456" s="23" t="s">
        <v>139</v>
      </c>
      <c r="F456" s="23" t="s">
        <v>377</v>
      </c>
      <c r="G456" s="26">
        <v>34865</v>
      </c>
      <c r="H456" s="65">
        <f>DATEDIF(Squads[[#This Row],[Date Of Birth]],World_Cup_Start_Date,"Y")</f>
        <v>27</v>
      </c>
      <c r="I456" s="27">
        <v>34</v>
      </c>
      <c r="J456" s="27">
        <v>1</v>
      </c>
      <c r="K456" s="78" t="s">
        <v>1716</v>
      </c>
      <c r="L456" s="27" t="str">
        <f>_xlfn.XLOOKUP(Squads[[#This Row],[Current Club]],Clubs[Current Club],Clubs[Club_ID])</f>
        <v>NET-02</v>
      </c>
      <c r="M456" s="27" t="str">
        <f>_xlfn.XLOOKUP(Squads[[#This Row],[National Team]],Football_Associations[Football Association],Football_Associations[World Cup Result])</f>
        <v>Group Stage</v>
      </c>
      <c r="N45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57" spans="1:14" ht="15" customHeight="1" x14ac:dyDescent="0.25">
      <c r="A457" s="33">
        <f t="shared" si="7"/>
        <v>1456</v>
      </c>
      <c r="B457" s="23" t="s">
        <v>18</v>
      </c>
      <c r="C457" s="23" t="str">
        <f>VLOOKUP(Squads[[#This Row],[National Team]],Qualified[],3,TRUE)</f>
        <v>Mexico (MEX)</v>
      </c>
      <c r="D457" s="25">
        <v>15</v>
      </c>
      <c r="E457" s="23" t="s">
        <v>135</v>
      </c>
      <c r="F457" s="23" t="s">
        <v>378</v>
      </c>
      <c r="G457" s="26">
        <v>32159</v>
      </c>
      <c r="H457" s="65">
        <f>DATEDIF(Squads[[#This Row],[Date Of Birth]],World_Cup_Start_Date,"Y")</f>
        <v>34</v>
      </c>
      <c r="I457" s="27">
        <v>128</v>
      </c>
      <c r="J457" s="27">
        <v>5</v>
      </c>
      <c r="K457" s="78" t="s">
        <v>1695</v>
      </c>
      <c r="L457" s="27" t="str">
        <f>_xlfn.XLOOKUP(Squads[[#This Row],[Current Club]],Clubs[Current Club],Clubs[Club_ID])</f>
        <v>MEX-01</v>
      </c>
      <c r="M457" s="27" t="str">
        <f>_xlfn.XLOOKUP(Squads[[#This Row],[National Team]],Football_Associations[Football Association],Football_Associations[World Cup Result])</f>
        <v>Group Stage</v>
      </c>
      <c r="N45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58" spans="1:14" ht="15" customHeight="1" x14ac:dyDescent="0.25">
      <c r="A458" s="33">
        <f t="shared" si="7"/>
        <v>1457</v>
      </c>
      <c r="B458" s="23" t="s">
        <v>18</v>
      </c>
      <c r="C458" s="23" t="str">
        <f>VLOOKUP(Squads[[#This Row],[National Team]],Qualified[],3,TRUE)</f>
        <v>Mexico (MEX)</v>
      </c>
      <c r="D458" s="25">
        <v>16</v>
      </c>
      <c r="E458" s="23" t="s">
        <v>139</v>
      </c>
      <c r="F458" s="23" t="s">
        <v>379</v>
      </c>
      <c r="G458" s="26">
        <v>32982</v>
      </c>
      <c r="H458" s="65">
        <f>DATEDIF(Squads[[#This Row],[Date Of Birth]],World_Cup_Start_Date,"Y")</f>
        <v>32</v>
      </c>
      <c r="I458" s="27">
        <v>102</v>
      </c>
      <c r="J458" s="27">
        <v>10</v>
      </c>
      <c r="K458" s="78" t="s">
        <v>1873</v>
      </c>
      <c r="L458" s="27" t="str">
        <f>_xlfn.XLOOKUP(Squads[[#This Row],[Current Club]],Clubs[Current Club],Clubs[Club_ID])</f>
        <v>USA-12</v>
      </c>
      <c r="M458" s="27" t="str">
        <f>_xlfn.XLOOKUP(Squads[[#This Row],[National Team]],Football_Associations[Football Association],Football_Associations[World Cup Result])</f>
        <v>Group Stage</v>
      </c>
      <c r="N45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59" spans="1:14" ht="15" customHeight="1" x14ac:dyDescent="0.25">
      <c r="A459" s="33">
        <f t="shared" si="7"/>
        <v>1458</v>
      </c>
      <c r="B459" s="23" t="s">
        <v>18</v>
      </c>
      <c r="C459" s="23" t="str">
        <f>VLOOKUP(Squads[[#This Row],[National Team]],Qualified[],3,TRUE)</f>
        <v>Mexico (MEX)</v>
      </c>
      <c r="D459" s="25">
        <v>17</v>
      </c>
      <c r="E459" s="23" t="s">
        <v>146</v>
      </c>
      <c r="F459" s="23" t="s">
        <v>380</v>
      </c>
      <c r="G459" s="26">
        <v>35148</v>
      </c>
      <c r="H459" s="65">
        <f>DATEDIF(Squads[[#This Row],[Date Of Birth]],World_Cup_Start_Date,"Y")</f>
        <v>26</v>
      </c>
      <c r="I459" s="27">
        <v>50</v>
      </c>
      <c r="J459" s="27">
        <v>6</v>
      </c>
      <c r="K459" s="78" t="s">
        <v>1689</v>
      </c>
      <c r="L459" s="27" t="str">
        <f>_xlfn.XLOOKUP(Squads[[#This Row],[Current Club]],Clubs[Current Club],Clubs[Club_ID])</f>
        <v>GRE-01</v>
      </c>
      <c r="M459" s="27" t="str">
        <f>_xlfn.XLOOKUP(Squads[[#This Row],[National Team]],Football_Associations[Football Association],Football_Associations[World Cup Result])</f>
        <v>Group Stage</v>
      </c>
      <c r="N45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60" spans="1:14" ht="15" customHeight="1" x14ac:dyDescent="0.25">
      <c r="A460" s="33">
        <f t="shared" si="7"/>
        <v>1459</v>
      </c>
      <c r="B460" s="23" t="s">
        <v>18</v>
      </c>
      <c r="C460" s="23" t="str">
        <f>VLOOKUP(Squads[[#This Row],[National Team]],Qualified[],3,TRUE)</f>
        <v>Mexico (MEX)</v>
      </c>
      <c r="D460" s="25">
        <v>18</v>
      </c>
      <c r="E460" s="23" t="s">
        <v>139</v>
      </c>
      <c r="F460" s="27" t="s">
        <v>982</v>
      </c>
      <c r="G460" s="26">
        <v>31683</v>
      </c>
      <c r="H460" s="65">
        <f>DATEDIF(Squads[[#This Row],[Date Of Birth]],World_Cup_Start_Date,"Y")</f>
        <v>36</v>
      </c>
      <c r="I460" s="27">
        <v>178</v>
      </c>
      <c r="J460" s="27">
        <v>28</v>
      </c>
      <c r="K460" s="78" t="s">
        <v>1699</v>
      </c>
      <c r="L460" s="27" t="str">
        <f>_xlfn.XLOOKUP(Squads[[#This Row],[Current Club]],Clubs[Current Club],Clubs[Club_ID])</f>
        <v>ESP-05</v>
      </c>
      <c r="M460" s="27" t="str">
        <f>_xlfn.XLOOKUP(Squads[[#This Row],[National Team]],Football_Associations[Football Association],Football_Associations[World Cup Result])</f>
        <v>Group Stage</v>
      </c>
      <c r="N46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61" spans="1:14" ht="15" customHeight="1" x14ac:dyDescent="0.25">
      <c r="A461" s="33">
        <f t="shared" si="7"/>
        <v>1460</v>
      </c>
      <c r="B461" s="23" t="s">
        <v>18</v>
      </c>
      <c r="C461" s="23" t="str">
        <f>VLOOKUP(Squads[[#This Row],[National Team]],Qualified[],3,TRUE)</f>
        <v>Mexico (MEX)</v>
      </c>
      <c r="D461" s="25">
        <v>19</v>
      </c>
      <c r="E461" s="23" t="s">
        <v>135</v>
      </c>
      <c r="F461" s="23" t="s">
        <v>381</v>
      </c>
      <c r="G461" s="26">
        <v>35774</v>
      </c>
      <c r="H461" s="65">
        <f>DATEDIF(Squads[[#This Row],[Date Of Birth]],World_Cup_Start_Date,"Y")</f>
        <v>24</v>
      </c>
      <c r="I461" s="27">
        <v>26</v>
      </c>
      <c r="J461" s="27">
        <v>1</v>
      </c>
      <c r="K461" s="78" t="s">
        <v>1662</v>
      </c>
      <c r="L461" s="27" t="str">
        <f>_xlfn.XLOOKUP(Squads[[#This Row],[Current Club]],Clubs[Current Club],Clubs[Club_ID])</f>
        <v>NET-01</v>
      </c>
      <c r="M461" s="27" t="str">
        <f>_xlfn.XLOOKUP(Squads[[#This Row],[National Team]],Football_Associations[Football Association],Football_Associations[World Cup Result])</f>
        <v>Group Stage</v>
      </c>
      <c r="N46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62" spans="1:14" ht="15" customHeight="1" x14ac:dyDescent="0.25">
      <c r="A462" s="33">
        <f t="shared" si="7"/>
        <v>1461</v>
      </c>
      <c r="B462" s="23" t="s">
        <v>18</v>
      </c>
      <c r="C462" s="23" t="str">
        <f>VLOOKUP(Squads[[#This Row],[National Team]],Qualified[],3,TRUE)</f>
        <v>Mexico (MEX)</v>
      </c>
      <c r="D462" s="25">
        <v>20</v>
      </c>
      <c r="E462" s="23" t="s">
        <v>146</v>
      </c>
      <c r="F462" s="23" t="s">
        <v>382</v>
      </c>
      <c r="G462" s="26">
        <v>33926</v>
      </c>
      <c r="H462" s="65">
        <f>DATEDIF(Squads[[#This Row],[Date Of Birth]],World_Cup_Start_Date,"Y")</f>
        <v>30</v>
      </c>
      <c r="I462" s="27">
        <v>27</v>
      </c>
      <c r="J462" s="27">
        <v>6</v>
      </c>
      <c r="K462" s="78" t="s">
        <v>1724</v>
      </c>
      <c r="L462" s="27" t="str">
        <f>_xlfn.XLOOKUP(Squads[[#This Row],[Current Club]],Clubs[Current Club],Clubs[Club_ID])</f>
        <v>MEX-02</v>
      </c>
      <c r="M462" s="27" t="str">
        <f>_xlfn.XLOOKUP(Squads[[#This Row],[National Team]],Football_Associations[Football Association],Football_Associations[World Cup Result])</f>
        <v>Group Stage</v>
      </c>
      <c r="N46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63" spans="1:14" ht="15" customHeight="1" x14ac:dyDescent="0.25">
      <c r="A463" s="33">
        <f t="shared" si="7"/>
        <v>1462</v>
      </c>
      <c r="B463" s="23" t="s">
        <v>18</v>
      </c>
      <c r="C463" s="23" t="str">
        <f>VLOOKUP(Squads[[#This Row],[National Team]],Qualified[],3,TRUE)</f>
        <v>Mexico (MEX)</v>
      </c>
      <c r="D463" s="25">
        <v>21</v>
      </c>
      <c r="E463" s="23" t="s">
        <v>146</v>
      </c>
      <c r="F463" s="23" t="s">
        <v>383</v>
      </c>
      <c r="G463" s="26">
        <v>35663</v>
      </c>
      <c r="H463" s="65">
        <f>DATEDIF(Squads[[#This Row],[Date Of Birth]],World_Cup_Start_Date,"Y")</f>
        <v>25</v>
      </c>
      <c r="I463" s="27">
        <v>36</v>
      </c>
      <c r="J463" s="27">
        <v>9</v>
      </c>
      <c r="K463" s="78" t="s">
        <v>1729</v>
      </c>
      <c r="L463" s="27" t="str">
        <f>_xlfn.XLOOKUP(Squads[[#This Row],[Current Club]],Clubs[Current Club],Clubs[Club_ID])</f>
        <v>MEX-03</v>
      </c>
      <c r="M463" s="27" t="str">
        <f>_xlfn.XLOOKUP(Squads[[#This Row],[National Team]],Football_Associations[Football Association],Football_Associations[World Cup Result])</f>
        <v>Group Stage</v>
      </c>
      <c r="N46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64" spans="1:14" ht="15" customHeight="1" x14ac:dyDescent="0.25">
      <c r="A464" s="33">
        <f t="shared" si="7"/>
        <v>1463</v>
      </c>
      <c r="B464" s="23" t="s">
        <v>18</v>
      </c>
      <c r="C464" s="23" t="str">
        <f>VLOOKUP(Squads[[#This Row],[National Team]],Qualified[],3,TRUE)</f>
        <v>Mexico (MEX)</v>
      </c>
      <c r="D464" s="25">
        <v>22</v>
      </c>
      <c r="E464" s="23" t="s">
        <v>146</v>
      </c>
      <c r="F464" s="23" t="s">
        <v>384</v>
      </c>
      <c r="G464" s="26">
        <v>34910</v>
      </c>
      <c r="H464" s="65">
        <f>DATEDIF(Squads[[#This Row],[Date Of Birth]],World_Cup_Start_Date,"Y")</f>
        <v>27</v>
      </c>
      <c r="I464" s="27">
        <v>60</v>
      </c>
      <c r="J464" s="27">
        <v>16</v>
      </c>
      <c r="K464" s="78" t="s">
        <v>1696</v>
      </c>
      <c r="L464" s="27" t="str">
        <f>_xlfn.XLOOKUP(Squads[[#This Row],[Current Club]],Clubs[Current Club],Clubs[Club_ID])</f>
        <v>ITA-04</v>
      </c>
      <c r="M464" s="27" t="str">
        <f>_xlfn.XLOOKUP(Squads[[#This Row],[National Team]],Football_Associations[Football Association],Football_Associations[World Cup Result])</f>
        <v>Group Stage</v>
      </c>
      <c r="N46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65" spans="1:14" ht="15" customHeight="1" x14ac:dyDescent="0.25">
      <c r="A465" s="33">
        <f t="shared" si="7"/>
        <v>1464</v>
      </c>
      <c r="B465" s="23" t="s">
        <v>18</v>
      </c>
      <c r="C465" s="23" t="str">
        <f>VLOOKUP(Squads[[#This Row],[National Team]],Qualified[],3,TRUE)</f>
        <v>Mexico (MEX)</v>
      </c>
      <c r="D465" s="25">
        <v>23</v>
      </c>
      <c r="E465" s="23" t="s">
        <v>135</v>
      </c>
      <c r="F465" s="23" t="s">
        <v>385</v>
      </c>
      <c r="G465" s="26">
        <v>34561</v>
      </c>
      <c r="H465" s="65">
        <f>DATEDIF(Squads[[#This Row],[Date Of Birth]],World_Cup_Start_Date,"Y")</f>
        <v>28</v>
      </c>
      <c r="I465" s="27">
        <v>78</v>
      </c>
      <c r="J465" s="27">
        <v>1</v>
      </c>
      <c r="K465" s="78" t="s">
        <v>1695</v>
      </c>
      <c r="L465" s="27" t="str">
        <f>_xlfn.XLOOKUP(Squads[[#This Row],[Current Club]],Clubs[Current Club],Clubs[Club_ID])</f>
        <v>MEX-01</v>
      </c>
      <c r="M465" s="27" t="str">
        <f>_xlfn.XLOOKUP(Squads[[#This Row],[National Team]],Football_Associations[Football Association],Football_Associations[World Cup Result])</f>
        <v>Group Stage</v>
      </c>
      <c r="N46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66" spans="1:14" ht="15" customHeight="1" x14ac:dyDescent="0.25">
      <c r="A466" s="33">
        <f t="shared" si="7"/>
        <v>1465</v>
      </c>
      <c r="B466" s="23" t="s">
        <v>18</v>
      </c>
      <c r="C466" s="23" t="str">
        <f>VLOOKUP(Squads[[#This Row],[National Team]],Qualified[],3,TRUE)</f>
        <v>Mexico (MEX)</v>
      </c>
      <c r="D466" s="25">
        <v>24</v>
      </c>
      <c r="E466" s="23" t="s">
        <v>139</v>
      </c>
      <c r="F466" s="23" t="s">
        <v>386</v>
      </c>
      <c r="G466" s="26">
        <v>35079</v>
      </c>
      <c r="H466" s="65">
        <f>DATEDIF(Squads[[#This Row],[Date Of Birth]],World_Cup_Start_Date,"Y")</f>
        <v>26</v>
      </c>
      <c r="I466" s="27">
        <v>9</v>
      </c>
      <c r="J466" s="27">
        <v>0</v>
      </c>
      <c r="K466" s="78" t="s">
        <v>1741</v>
      </c>
      <c r="L466" s="27" t="str">
        <f>_xlfn.XLOOKUP(Squads[[#This Row],[Current Club]],Clubs[Current Club],Clubs[Club_ID])</f>
        <v>MEX-05</v>
      </c>
      <c r="M466" s="27" t="str">
        <f>_xlfn.XLOOKUP(Squads[[#This Row],[National Team]],Football_Associations[Football Association],Football_Associations[World Cup Result])</f>
        <v>Group Stage</v>
      </c>
      <c r="N46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67" spans="1:14" ht="15" customHeight="1" x14ac:dyDescent="0.25">
      <c r="A467" s="33">
        <f t="shared" si="7"/>
        <v>1466</v>
      </c>
      <c r="B467" s="23" t="s">
        <v>18</v>
      </c>
      <c r="C467" s="23" t="str">
        <f>VLOOKUP(Squads[[#This Row],[National Team]],Qualified[],3,TRUE)</f>
        <v>Mexico (MEX)</v>
      </c>
      <c r="D467" s="25">
        <v>25</v>
      </c>
      <c r="E467" s="23" t="s">
        <v>146</v>
      </c>
      <c r="F467" s="23" t="s">
        <v>387</v>
      </c>
      <c r="G467" s="26">
        <v>36045</v>
      </c>
      <c r="H467" s="65">
        <f>DATEDIF(Squads[[#This Row],[Date Of Birth]],World_Cup_Start_Date,"Y")</f>
        <v>24</v>
      </c>
      <c r="I467" s="27">
        <v>31</v>
      </c>
      <c r="J467" s="27">
        <v>4</v>
      </c>
      <c r="K467" s="78" t="s">
        <v>1780</v>
      </c>
      <c r="L467" s="27" t="str">
        <f>_xlfn.XLOOKUP(Squads[[#This Row],[Current Club]],Clubs[Current Club],Clubs[Club_ID])</f>
        <v>MEX-06</v>
      </c>
      <c r="M467" s="27" t="str">
        <f>_xlfn.XLOOKUP(Squads[[#This Row],[National Team]],Football_Associations[Football Association],Football_Associations[World Cup Result])</f>
        <v>Group Stage</v>
      </c>
      <c r="N46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68" spans="1:14" ht="15" customHeight="1" x14ac:dyDescent="0.25">
      <c r="A468" s="33">
        <f t="shared" si="7"/>
        <v>1467</v>
      </c>
      <c r="B468" s="23" t="s">
        <v>18</v>
      </c>
      <c r="C468" s="23" t="str">
        <f>VLOOKUP(Squads[[#This Row],[National Team]],Qualified[],3,TRUE)</f>
        <v>Mexico (MEX)</v>
      </c>
      <c r="D468" s="25">
        <v>26</v>
      </c>
      <c r="E468" s="23" t="s">
        <v>135</v>
      </c>
      <c r="F468" s="23" t="s">
        <v>388</v>
      </c>
      <c r="G468" s="26">
        <v>36175</v>
      </c>
      <c r="H468" s="65">
        <f>DATEDIF(Squads[[#This Row],[Date Of Birth]],World_Cup_Start_Date,"Y")</f>
        <v>23</v>
      </c>
      <c r="I468" s="27">
        <v>8</v>
      </c>
      <c r="J468" s="27">
        <v>0</v>
      </c>
      <c r="K468" s="78" t="s">
        <v>1741</v>
      </c>
      <c r="L468" s="27" t="str">
        <f>_xlfn.XLOOKUP(Squads[[#This Row],[Current Club]],Clubs[Current Club],Clubs[Club_ID])</f>
        <v>MEX-05</v>
      </c>
      <c r="M468" s="27" t="str">
        <f>_xlfn.XLOOKUP(Squads[[#This Row],[National Team]],Football_Associations[Football Association],Football_Associations[World Cup Result])</f>
        <v>Group Stage</v>
      </c>
      <c r="N46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69" spans="1:14" ht="15" customHeight="1" x14ac:dyDescent="0.25">
      <c r="A469" s="33">
        <f t="shared" si="7"/>
        <v>1468</v>
      </c>
      <c r="B469" s="23" t="s">
        <v>23</v>
      </c>
      <c r="C469" s="23" t="str">
        <f>VLOOKUP(Squads[[#This Row],[National Team]],Qualified[],3,TRUE)</f>
        <v>Morocco (MAR)</v>
      </c>
      <c r="D469" s="25">
        <v>1</v>
      </c>
      <c r="E469" s="23" t="s">
        <v>133</v>
      </c>
      <c r="F469" s="23" t="s">
        <v>716</v>
      </c>
      <c r="G469" s="26">
        <v>33333</v>
      </c>
      <c r="H469" s="65">
        <f>DATEDIF(Squads[[#This Row],[Date Of Birth]],World_Cup_Start_Date,"Y")</f>
        <v>31</v>
      </c>
      <c r="I469" s="27">
        <v>46</v>
      </c>
      <c r="J469" s="27">
        <v>0</v>
      </c>
      <c r="K469" s="78" t="s">
        <v>1668</v>
      </c>
      <c r="L469" s="27" t="str">
        <f>_xlfn.XLOOKUP(Squads[[#This Row],[Current Club]],Clubs[Current Club],Clubs[Club_ID])</f>
        <v>ESP-04</v>
      </c>
      <c r="M469" s="27" t="str">
        <f>_xlfn.XLOOKUP(Squads[[#This Row],[National Team]],Football_Associations[Football Association],Football_Associations[World Cup Result])</f>
        <v>Fourth</v>
      </c>
      <c r="N469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70" spans="1:14" ht="15" customHeight="1" x14ac:dyDescent="0.25">
      <c r="A470" s="33">
        <f t="shared" si="7"/>
        <v>1469</v>
      </c>
      <c r="B470" s="23" t="s">
        <v>23</v>
      </c>
      <c r="C470" s="23" t="str">
        <f>VLOOKUP(Squads[[#This Row],[National Team]],Qualified[],3,TRUE)</f>
        <v>Morocco (MAR)</v>
      </c>
      <c r="D470" s="25">
        <v>2</v>
      </c>
      <c r="E470" s="23" t="s">
        <v>135</v>
      </c>
      <c r="F470" s="23" t="s">
        <v>717</v>
      </c>
      <c r="G470" s="26">
        <v>36103</v>
      </c>
      <c r="H470" s="65">
        <f>DATEDIF(Squads[[#This Row],[Date Of Birth]],World_Cup_Start_Date,"Y")</f>
        <v>24</v>
      </c>
      <c r="I470" s="27">
        <v>54</v>
      </c>
      <c r="J470" s="27">
        <v>8</v>
      </c>
      <c r="K470" s="78" t="s">
        <v>1665</v>
      </c>
      <c r="L470" s="27" t="str">
        <f>_xlfn.XLOOKUP(Squads[[#This Row],[Current Club]],Clubs[Current Club],Clubs[Club_ID])</f>
        <v>FRA-01</v>
      </c>
      <c r="M470" s="27" t="str">
        <f>_xlfn.XLOOKUP(Squads[[#This Row],[National Team]],Football_Associations[Football Association],Football_Associations[World Cup Result])</f>
        <v>Fourth</v>
      </c>
      <c r="N470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71" spans="1:14" ht="15" customHeight="1" x14ac:dyDescent="0.25">
      <c r="A471" s="33">
        <f t="shared" si="7"/>
        <v>1470</v>
      </c>
      <c r="B471" s="23" t="s">
        <v>23</v>
      </c>
      <c r="C471" s="23" t="str">
        <f>VLOOKUP(Squads[[#This Row],[National Team]],Qualified[],3,TRUE)</f>
        <v>Morocco (MAR)</v>
      </c>
      <c r="D471" s="25">
        <v>3</v>
      </c>
      <c r="E471" s="23" t="s">
        <v>135</v>
      </c>
      <c r="F471" s="23" t="s">
        <v>718</v>
      </c>
      <c r="G471" s="26">
        <v>35748</v>
      </c>
      <c r="H471" s="65">
        <f>DATEDIF(Squads[[#This Row],[Date Of Birth]],World_Cup_Start_Date,"Y")</f>
        <v>25</v>
      </c>
      <c r="I471" s="27">
        <v>15</v>
      </c>
      <c r="J471" s="27">
        <v>2</v>
      </c>
      <c r="K471" s="78" t="s">
        <v>1654</v>
      </c>
      <c r="L471" s="27" t="str">
        <f>_xlfn.XLOOKUP(Squads[[#This Row],[Current Club]],Clubs[Current Club],Clubs[Club_ID])</f>
        <v>GER-01</v>
      </c>
      <c r="M471" s="27" t="str">
        <f>_xlfn.XLOOKUP(Squads[[#This Row],[National Team]],Football_Associations[Football Association],Football_Associations[World Cup Result])</f>
        <v>Fourth</v>
      </c>
      <c r="N471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72" spans="1:14" ht="15" customHeight="1" x14ac:dyDescent="0.25">
      <c r="A472" s="33">
        <f t="shared" si="7"/>
        <v>1471</v>
      </c>
      <c r="B472" s="23" t="s">
        <v>23</v>
      </c>
      <c r="C472" s="23" t="str">
        <f>VLOOKUP(Squads[[#This Row],[National Team]],Qualified[],3,TRUE)</f>
        <v>Morocco (MAR)</v>
      </c>
      <c r="D472" s="25">
        <v>4</v>
      </c>
      <c r="E472" s="23" t="s">
        <v>139</v>
      </c>
      <c r="F472" s="23" t="s">
        <v>719</v>
      </c>
      <c r="G472" s="26">
        <v>35298</v>
      </c>
      <c r="H472" s="65">
        <f>DATEDIF(Squads[[#This Row],[Date Of Birth]],World_Cup_Start_Date,"Y")</f>
        <v>26</v>
      </c>
      <c r="I472" s="27">
        <v>39</v>
      </c>
      <c r="J472" s="27">
        <v>0</v>
      </c>
      <c r="K472" s="78" t="s">
        <v>1711</v>
      </c>
      <c r="L472" s="27" t="str">
        <f>_xlfn.XLOOKUP(Squads[[#This Row],[Current Club]],Clubs[Current Club],Clubs[Club_ID])</f>
        <v>ITA-07</v>
      </c>
      <c r="M472" s="27" t="str">
        <f>_xlfn.XLOOKUP(Squads[[#This Row],[National Team]],Football_Associations[Football Association],Football_Associations[World Cup Result])</f>
        <v>Fourth</v>
      </c>
      <c r="N472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73" spans="1:14" ht="15" customHeight="1" x14ac:dyDescent="0.25">
      <c r="A473" s="33">
        <f t="shared" si="7"/>
        <v>1472</v>
      </c>
      <c r="B473" s="23" t="s">
        <v>23</v>
      </c>
      <c r="C473" s="23" t="str">
        <f>VLOOKUP(Squads[[#This Row],[National Team]],Qualified[],3,TRUE)</f>
        <v>Morocco (MAR)</v>
      </c>
      <c r="D473" s="25">
        <v>5</v>
      </c>
      <c r="E473" s="23" t="s">
        <v>135</v>
      </c>
      <c r="F473" s="23" t="s">
        <v>720</v>
      </c>
      <c r="G473" s="26">
        <v>35154</v>
      </c>
      <c r="H473" s="65">
        <f>DATEDIF(Squads[[#This Row],[Date Of Birth]],World_Cup_Start_Date,"Y")</f>
        <v>26</v>
      </c>
      <c r="I473" s="27">
        <v>22</v>
      </c>
      <c r="J473" s="27">
        <v>1</v>
      </c>
      <c r="K473" s="78" t="s">
        <v>1703</v>
      </c>
      <c r="L473" s="27" t="str">
        <f>_xlfn.XLOOKUP(Squads[[#This Row],[Current Club]],Clubs[Current Club],Clubs[Club_ID])</f>
        <v>ENG-13</v>
      </c>
      <c r="M473" s="27" t="str">
        <f>_xlfn.XLOOKUP(Squads[[#This Row],[National Team]],Football_Associations[Football Association],Football_Associations[World Cup Result])</f>
        <v>Fourth</v>
      </c>
      <c r="N473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74" spans="1:14" ht="15" customHeight="1" x14ac:dyDescent="0.25">
      <c r="A474" s="33">
        <f t="shared" si="7"/>
        <v>1473</v>
      </c>
      <c r="B474" s="23" t="s">
        <v>23</v>
      </c>
      <c r="C474" s="23" t="str">
        <f>VLOOKUP(Squads[[#This Row],[National Team]],Qualified[],3,TRUE)</f>
        <v>Morocco (MAR)</v>
      </c>
      <c r="D474" s="25">
        <v>6</v>
      </c>
      <c r="E474" s="23" t="s">
        <v>135</v>
      </c>
      <c r="F474" s="27" t="s">
        <v>999</v>
      </c>
      <c r="G474" s="26">
        <v>32958</v>
      </c>
      <c r="H474" s="65">
        <f>DATEDIF(Squads[[#This Row],[Date Of Birth]],World_Cup_Start_Date,"Y")</f>
        <v>32</v>
      </c>
      <c r="I474" s="27">
        <v>66</v>
      </c>
      <c r="J474" s="27">
        <v>1</v>
      </c>
      <c r="K474" s="78" t="s">
        <v>1708</v>
      </c>
      <c r="L474" s="27" t="str">
        <f>_xlfn.XLOOKUP(Squads[[#This Row],[Current Club]],Clubs[Current Club],Clubs[Club_ID])</f>
        <v>TUR-02</v>
      </c>
      <c r="M474" s="27" t="str">
        <f>_xlfn.XLOOKUP(Squads[[#This Row],[National Team]],Football_Associations[Football Association],Football_Associations[World Cup Result])</f>
        <v>Fourth</v>
      </c>
      <c r="N474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75" spans="1:14" ht="15" customHeight="1" x14ac:dyDescent="0.25">
      <c r="A475" s="33">
        <f t="shared" si="7"/>
        <v>1474</v>
      </c>
      <c r="B475" s="23" t="s">
        <v>23</v>
      </c>
      <c r="C475" s="23" t="str">
        <f>VLOOKUP(Squads[[#This Row],[National Team]],Qualified[],3,TRUE)</f>
        <v>Morocco (MAR)</v>
      </c>
      <c r="D475" s="25">
        <v>7</v>
      </c>
      <c r="E475" s="23" t="s">
        <v>139</v>
      </c>
      <c r="F475" s="23" t="s">
        <v>721</v>
      </c>
      <c r="G475" s="26">
        <v>34047</v>
      </c>
      <c r="H475" s="65">
        <f>DATEDIF(Squads[[#This Row],[Date Of Birth]],World_Cup_Start_Date,"Y")</f>
        <v>29</v>
      </c>
      <c r="I475" s="27">
        <v>43</v>
      </c>
      <c r="J475" s="27">
        <v>18</v>
      </c>
      <c r="K475" s="78" t="s">
        <v>1661</v>
      </c>
      <c r="L475" s="27" t="str">
        <f>_xlfn.XLOOKUP(Squads[[#This Row],[Current Club]],Clubs[Current Club],Clubs[Club_ID])</f>
        <v>ENG-03</v>
      </c>
      <c r="M475" s="27" t="str">
        <f>_xlfn.XLOOKUP(Squads[[#This Row],[National Team]],Football_Associations[Football Association],Football_Associations[World Cup Result])</f>
        <v>Fourth</v>
      </c>
      <c r="N475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76" spans="1:14" ht="15" customHeight="1" x14ac:dyDescent="0.25">
      <c r="A476" s="33">
        <f t="shared" si="7"/>
        <v>1475</v>
      </c>
      <c r="B476" s="23" t="s">
        <v>23</v>
      </c>
      <c r="C476" s="23" t="str">
        <f>VLOOKUP(Squads[[#This Row],[National Team]],Qualified[],3,TRUE)</f>
        <v>Morocco (MAR)</v>
      </c>
      <c r="D476" s="25">
        <v>8</v>
      </c>
      <c r="E476" s="23" t="s">
        <v>139</v>
      </c>
      <c r="F476" s="23" t="s">
        <v>722</v>
      </c>
      <c r="G476" s="26">
        <v>36635</v>
      </c>
      <c r="H476" s="65">
        <f>DATEDIF(Squads[[#This Row],[Date Of Birth]],World_Cup_Start_Date,"Y")</f>
        <v>22</v>
      </c>
      <c r="I476" s="27">
        <v>10</v>
      </c>
      <c r="J476" s="27">
        <v>2</v>
      </c>
      <c r="K476" s="78" t="s">
        <v>1763</v>
      </c>
      <c r="L476" s="27" t="str">
        <f>_xlfn.XLOOKUP(Squads[[#This Row],[Current Club]],Clubs[Current Club],Clubs[Club_ID])</f>
        <v>FRA-06</v>
      </c>
      <c r="M476" s="27" t="str">
        <f>_xlfn.XLOOKUP(Squads[[#This Row],[National Team]],Football_Associations[Football Association],Football_Associations[World Cup Result])</f>
        <v>Fourth</v>
      </c>
      <c r="N476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77" spans="1:14" ht="15" customHeight="1" x14ac:dyDescent="0.25">
      <c r="A477" s="33">
        <f t="shared" si="7"/>
        <v>1476</v>
      </c>
      <c r="B477" s="23" t="s">
        <v>23</v>
      </c>
      <c r="C477" s="23" t="str">
        <f>VLOOKUP(Squads[[#This Row],[National Team]],Qualified[],3,TRUE)</f>
        <v>Morocco (MAR)</v>
      </c>
      <c r="D477" s="25">
        <v>9</v>
      </c>
      <c r="E477" s="23" t="s">
        <v>146</v>
      </c>
      <c r="F477" s="23" t="s">
        <v>723</v>
      </c>
      <c r="G477" s="26">
        <v>33224</v>
      </c>
      <c r="H477" s="65">
        <f>DATEDIF(Squads[[#This Row],[Date Of Birth]],World_Cup_Start_Date,"Y")</f>
        <v>31</v>
      </c>
      <c r="I477" s="27">
        <v>18</v>
      </c>
      <c r="J477" s="27">
        <v>6</v>
      </c>
      <c r="K477" s="78" t="s">
        <v>1759</v>
      </c>
      <c r="L477" s="27" t="str">
        <f>_xlfn.XLOOKUP(Squads[[#This Row],[Current Club]],Clubs[Current Club],Clubs[Club_ID])</f>
        <v>SAU-06</v>
      </c>
      <c r="M477" s="27" t="str">
        <f>_xlfn.XLOOKUP(Squads[[#This Row],[National Team]],Football_Associations[Football Association],Football_Associations[World Cup Result])</f>
        <v>Fourth</v>
      </c>
      <c r="N477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78" spans="1:14" ht="15" customHeight="1" x14ac:dyDescent="0.25">
      <c r="A478" s="33">
        <f t="shared" si="7"/>
        <v>1477</v>
      </c>
      <c r="B478" s="23" t="s">
        <v>23</v>
      </c>
      <c r="C478" s="23" t="str">
        <f>VLOOKUP(Squads[[#This Row],[National Team]],Qualified[],3,TRUE)</f>
        <v>Morocco (MAR)</v>
      </c>
      <c r="D478" s="25">
        <v>10</v>
      </c>
      <c r="E478" s="23" t="s">
        <v>139</v>
      </c>
      <c r="F478" s="23" t="s">
        <v>724</v>
      </c>
      <c r="G478" s="26">
        <v>36837</v>
      </c>
      <c r="H478" s="65">
        <f>DATEDIF(Squads[[#This Row],[Date Of Birth]],World_Cup_Start_Date,"Y")</f>
        <v>22</v>
      </c>
      <c r="I478" s="27">
        <v>1</v>
      </c>
      <c r="J478" s="27">
        <v>0</v>
      </c>
      <c r="K478" s="78" t="s">
        <v>1770</v>
      </c>
      <c r="L478" s="27" t="str">
        <f>_xlfn.XLOOKUP(Squads[[#This Row],[Current Club]],Clubs[Current Club],Clubs[Club_ID])</f>
        <v>ENG-22</v>
      </c>
      <c r="M478" s="27" t="str">
        <f>_xlfn.XLOOKUP(Squads[[#This Row],[National Team]],Football_Associations[Football Association],Football_Associations[World Cup Result])</f>
        <v>Fourth</v>
      </c>
      <c r="N478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79" spans="1:14" ht="15" customHeight="1" x14ac:dyDescent="0.25">
      <c r="A479" s="33">
        <f t="shared" si="7"/>
        <v>1478</v>
      </c>
      <c r="B479" s="23" t="s">
        <v>23</v>
      </c>
      <c r="C479" s="23" t="str">
        <f>VLOOKUP(Squads[[#This Row],[National Team]],Qualified[],3,TRUE)</f>
        <v>Morocco (MAR)</v>
      </c>
      <c r="D479" s="25">
        <v>11</v>
      </c>
      <c r="E479" s="23" t="s">
        <v>146</v>
      </c>
      <c r="F479" s="23" t="s">
        <v>725</v>
      </c>
      <c r="G479" s="26">
        <v>35397</v>
      </c>
      <c r="H479" s="65">
        <f>DATEDIF(Squads[[#This Row],[Date Of Birth]],World_Cup_Start_Date,"Y")</f>
        <v>25</v>
      </c>
      <c r="I479" s="27">
        <v>2</v>
      </c>
      <c r="J479" s="27">
        <v>1</v>
      </c>
      <c r="K479" s="78" t="s">
        <v>1745</v>
      </c>
      <c r="L479" s="27" t="str">
        <f>_xlfn.XLOOKUP(Squads[[#This Row],[Current Club]],Clubs[Current Club],Clubs[Club_ID])</f>
        <v>ITA-11</v>
      </c>
      <c r="M479" s="27" t="str">
        <f>_xlfn.XLOOKUP(Squads[[#This Row],[National Team]],Football_Associations[Football Association],Football_Associations[World Cup Result])</f>
        <v>Fourth</v>
      </c>
      <c r="N479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80" spans="1:14" ht="15" customHeight="1" x14ac:dyDescent="0.25">
      <c r="A480" s="33">
        <f t="shared" si="7"/>
        <v>1479</v>
      </c>
      <c r="B480" s="23" t="s">
        <v>23</v>
      </c>
      <c r="C480" s="23" t="str">
        <f>VLOOKUP(Squads[[#This Row],[National Team]],Qualified[],3,TRUE)</f>
        <v>Morocco (MAR)</v>
      </c>
      <c r="D480" s="25">
        <v>12</v>
      </c>
      <c r="E480" s="23" t="s">
        <v>133</v>
      </c>
      <c r="F480" s="23" t="s">
        <v>726</v>
      </c>
      <c r="G480" s="26">
        <v>32638</v>
      </c>
      <c r="H480" s="65">
        <f>DATEDIF(Squads[[#This Row],[Date Of Birth]],World_Cup_Start_Date,"Y")</f>
        <v>33</v>
      </c>
      <c r="I480" s="27">
        <v>43</v>
      </c>
      <c r="J480" s="27">
        <v>0</v>
      </c>
      <c r="K480" s="78" t="s">
        <v>1761</v>
      </c>
      <c r="L480" s="27" t="str">
        <f>_xlfn.XLOOKUP(Squads[[#This Row],[Current Club]],Clubs[Current Club],Clubs[Club_ID])</f>
        <v>SAU-07</v>
      </c>
      <c r="M480" s="27" t="str">
        <f>_xlfn.XLOOKUP(Squads[[#This Row],[National Team]],Football_Associations[Football Association],Football_Associations[World Cup Result])</f>
        <v>Fourth</v>
      </c>
      <c r="N480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81" spans="1:14" ht="15" customHeight="1" x14ac:dyDescent="0.25">
      <c r="A481" s="33">
        <f t="shared" si="7"/>
        <v>1480</v>
      </c>
      <c r="B481" s="23" t="s">
        <v>23</v>
      </c>
      <c r="C481" s="23" t="str">
        <f>VLOOKUP(Squads[[#This Row],[National Team]],Qualified[],3,TRUE)</f>
        <v>Morocco (MAR)</v>
      </c>
      <c r="D481" s="25">
        <v>13</v>
      </c>
      <c r="E481" s="23" t="s">
        <v>139</v>
      </c>
      <c r="F481" s="23" t="s">
        <v>727</v>
      </c>
      <c r="G481" s="26">
        <v>35733</v>
      </c>
      <c r="H481" s="65">
        <f>DATEDIF(Squads[[#This Row],[Date Of Birth]],World_Cup_Start_Date,"Y")</f>
        <v>25</v>
      </c>
      <c r="I481" s="27">
        <v>11</v>
      </c>
      <c r="J481" s="27">
        <v>1</v>
      </c>
      <c r="K481" s="78" t="s">
        <v>1797</v>
      </c>
      <c r="L481" s="27" t="str">
        <f>_xlfn.XLOOKUP(Squads[[#This Row],[Current Club]],Clubs[Current Club],Clubs[Club_ID])</f>
        <v>ENG-26</v>
      </c>
      <c r="M481" s="27" t="str">
        <f>_xlfn.XLOOKUP(Squads[[#This Row],[National Team]],Football_Associations[Football Association],Football_Associations[World Cup Result])</f>
        <v>Fourth</v>
      </c>
      <c r="N481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82" spans="1:14" ht="15" customHeight="1" x14ac:dyDescent="0.25">
      <c r="A482" s="33">
        <f t="shared" si="7"/>
        <v>1481</v>
      </c>
      <c r="B482" s="23" t="s">
        <v>23</v>
      </c>
      <c r="C482" s="23" t="str">
        <f>VLOOKUP(Squads[[#This Row],[National Team]],Qualified[],3,TRUE)</f>
        <v>Morocco (MAR)</v>
      </c>
      <c r="D482" s="25">
        <v>14</v>
      </c>
      <c r="E482" s="23" t="s">
        <v>139</v>
      </c>
      <c r="F482" s="23" t="s">
        <v>728</v>
      </c>
      <c r="G482" s="26">
        <v>36574</v>
      </c>
      <c r="H482" s="65">
        <f>DATEDIF(Squads[[#This Row],[Date Of Birth]],World_Cup_Start_Date,"Y")</f>
        <v>22</v>
      </c>
      <c r="I482" s="27">
        <v>12</v>
      </c>
      <c r="J482" s="27">
        <v>2</v>
      </c>
      <c r="K482" s="78" t="s">
        <v>1936</v>
      </c>
      <c r="L482" s="27" t="str">
        <f>_xlfn.XLOOKUP(Squads[[#This Row],[Current Club]],Clubs[Current Club],Clubs[Club_ID])</f>
        <v>FRA-21</v>
      </c>
      <c r="M482" s="27" t="str">
        <f>_xlfn.XLOOKUP(Squads[[#This Row],[National Team]],Football_Associations[Football Association],Football_Associations[World Cup Result])</f>
        <v>Fourth</v>
      </c>
      <c r="N482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83" spans="1:14" ht="15" customHeight="1" x14ac:dyDescent="0.25">
      <c r="A483" s="33">
        <f t="shared" si="7"/>
        <v>1482</v>
      </c>
      <c r="B483" s="23" t="s">
        <v>23</v>
      </c>
      <c r="C483" s="23" t="str">
        <f>VLOOKUP(Squads[[#This Row],[National Team]],Qualified[],3,TRUE)</f>
        <v>Morocco (MAR)</v>
      </c>
      <c r="D483" s="25">
        <v>15</v>
      </c>
      <c r="E483" s="23" t="s">
        <v>139</v>
      </c>
      <c r="F483" s="23" t="s">
        <v>729</v>
      </c>
      <c r="G483" s="26">
        <v>35384</v>
      </c>
      <c r="H483" s="65">
        <f>DATEDIF(Squads[[#This Row],[Date Of Birth]],World_Cup_Start_Date,"Y")</f>
        <v>26</v>
      </c>
      <c r="I483" s="27">
        <v>24</v>
      </c>
      <c r="J483" s="27">
        <v>4</v>
      </c>
      <c r="K483" s="78" t="s">
        <v>1931</v>
      </c>
      <c r="L483" s="27" t="str">
        <f>_xlfn.XLOOKUP(Squads[[#This Row],[Current Club]],Clubs[Current Club],Clubs[Club_ID])</f>
        <v>BEL-12</v>
      </c>
      <c r="M483" s="27" t="str">
        <f>_xlfn.XLOOKUP(Squads[[#This Row],[National Team]],Football_Associations[Football Association],Football_Associations[World Cup Result])</f>
        <v>Fourth</v>
      </c>
      <c r="N483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84" spans="1:14" ht="15" customHeight="1" x14ac:dyDescent="0.25">
      <c r="A484" s="33">
        <f t="shared" si="7"/>
        <v>1483</v>
      </c>
      <c r="B484" s="23" t="s">
        <v>23</v>
      </c>
      <c r="C484" s="23" t="str">
        <f>VLOOKUP(Squads[[#This Row],[National Team]],Qualified[],3,TRUE)</f>
        <v>Morocco (MAR)</v>
      </c>
      <c r="D484" s="25">
        <v>16</v>
      </c>
      <c r="E484" s="23" t="s">
        <v>146</v>
      </c>
      <c r="F484" s="23" t="s">
        <v>730</v>
      </c>
      <c r="G484" s="26">
        <v>37242</v>
      </c>
      <c r="H484" s="65">
        <f>DATEDIF(Squads[[#This Row],[Date Of Birth]],World_Cup_Start_Date,"Y")</f>
        <v>20</v>
      </c>
      <c r="I484" s="27">
        <v>2</v>
      </c>
      <c r="J484" s="27">
        <v>0</v>
      </c>
      <c r="K484" s="78" t="s">
        <v>1796</v>
      </c>
      <c r="L484" s="27" t="str">
        <f>_xlfn.XLOOKUP(Squads[[#This Row],[Current Club]],Clubs[Current Club],Clubs[Club_ID])</f>
        <v>ESP-12</v>
      </c>
      <c r="M484" s="27" t="str">
        <f>_xlfn.XLOOKUP(Squads[[#This Row],[National Team]],Football_Associations[Football Association],Football_Associations[World Cup Result])</f>
        <v>Fourth</v>
      </c>
      <c r="N484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85" spans="1:14" ht="15" customHeight="1" x14ac:dyDescent="0.25">
      <c r="A485" s="33">
        <f t="shared" si="7"/>
        <v>1484</v>
      </c>
      <c r="B485" s="23" t="s">
        <v>23</v>
      </c>
      <c r="C485" s="23" t="str">
        <f>VLOOKUP(Squads[[#This Row],[National Team]],Qualified[],3,TRUE)</f>
        <v>Morocco (MAR)</v>
      </c>
      <c r="D485" s="25">
        <v>17</v>
      </c>
      <c r="E485" s="23" t="s">
        <v>139</v>
      </c>
      <c r="F485" s="23" t="s">
        <v>731</v>
      </c>
      <c r="G485" s="26">
        <v>34229</v>
      </c>
      <c r="H485" s="65">
        <f>DATEDIF(Squads[[#This Row],[Date Of Birth]],World_Cup_Start_Date,"Y")</f>
        <v>29</v>
      </c>
      <c r="I485" s="27">
        <v>32</v>
      </c>
      <c r="J485" s="27">
        <v>6</v>
      </c>
      <c r="K485" s="78" t="s">
        <v>1763</v>
      </c>
      <c r="L485" s="27" t="str">
        <f>_xlfn.XLOOKUP(Squads[[#This Row],[Current Club]],Clubs[Current Club],Clubs[Club_ID])</f>
        <v>FRA-06</v>
      </c>
      <c r="M485" s="27" t="str">
        <f>_xlfn.XLOOKUP(Squads[[#This Row],[National Team]],Football_Associations[Football Association],Football_Associations[World Cup Result])</f>
        <v>Fourth</v>
      </c>
      <c r="N485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86" spans="1:14" ht="15" customHeight="1" x14ac:dyDescent="0.25">
      <c r="A486" s="33">
        <f t="shared" si="7"/>
        <v>1485</v>
      </c>
      <c r="B486" s="23" t="s">
        <v>23</v>
      </c>
      <c r="C486" s="23" t="str">
        <f>VLOOKUP(Squads[[#This Row],[National Team]],Qualified[],3,TRUE)</f>
        <v>Morocco (MAR)</v>
      </c>
      <c r="D486" s="25">
        <v>18</v>
      </c>
      <c r="E486" s="23" t="s">
        <v>135</v>
      </c>
      <c r="F486" s="23" t="s">
        <v>732</v>
      </c>
      <c r="G486" s="26">
        <v>33663</v>
      </c>
      <c r="H486" s="65">
        <f>DATEDIF(Squads[[#This Row],[Date Of Birth]],World_Cup_Start_Date,"Y")</f>
        <v>30</v>
      </c>
      <c r="I486" s="27">
        <v>12</v>
      </c>
      <c r="J486" s="27">
        <v>2</v>
      </c>
      <c r="K486" s="78" t="s">
        <v>1808</v>
      </c>
      <c r="L486" s="27" t="str">
        <f>_xlfn.XLOOKUP(Squads[[#This Row],[Current Club]],Clubs[Current Club],Clubs[Club_ID])</f>
        <v>ESP-13</v>
      </c>
      <c r="M486" s="27" t="str">
        <f>_xlfn.XLOOKUP(Squads[[#This Row],[National Team]],Football_Associations[Football Association],Football_Associations[World Cup Result])</f>
        <v>Fourth</v>
      </c>
      <c r="N486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87" spans="1:14" ht="15" customHeight="1" x14ac:dyDescent="0.25">
      <c r="A487" s="33">
        <f t="shared" si="7"/>
        <v>1486</v>
      </c>
      <c r="B487" s="23" t="s">
        <v>23</v>
      </c>
      <c r="C487" s="23" t="str">
        <f>VLOOKUP(Squads[[#This Row],[National Team]],Qualified[],3,TRUE)</f>
        <v>Morocco (MAR)</v>
      </c>
      <c r="D487" s="25">
        <v>19</v>
      </c>
      <c r="E487" s="23" t="s">
        <v>146</v>
      </c>
      <c r="F487" s="23" t="s">
        <v>733</v>
      </c>
      <c r="G487" s="26">
        <v>35582</v>
      </c>
      <c r="H487" s="65">
        <f>DATEDIF(Squads[[#This Row],[Date Of Birth]],World_Cup_Start_Date,"Y")</f>
        <v>25</v>
      </c>
      <c r="I487" s="27">
        <v>50</v>
      </c>
      <c r="J487" s="27">
        <v>15</v>
      </c>
      <c r="K487" s="78" t="s">
        <v>1668</v>
      </c>
      <c r="L487" s="27" t="str">
        <f>_xlfn.XLOOKUP(Squads[[#This Row],[Current Club]],Clubs[Current Club],Clubs[Club_ID])</f>
        <v>ESP-04</v>
      </c>
      <c r="M487" s="27" t="str">
        <f>_xlfn.XLOOKUP(Squads[[#This Row],[National Team]],Football_Associations[Football Association],Football_Associations[World Cup Result])</f>
        <v>Fourth</v>
      </c>
      <c r="N487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88" spans="1:14" ht="15" customHeight="1" x14ac:dyDescent="0.25">
      <c r="A488" s="33">
        <f t="shared" si="7"/>
        <v>1487</v>
      </c>
      <c r="B488" s="23" t="s">
        <v>23</v>
      </c>
      <c r="C488" s="23" t="str">
        <f>VLOOKUP(Squads[[#This Row],[National Team]],Qualified[],3,TRUE)</f>
        <v>Morocco (MAR)</v>
      </c>
      <c r="D488" s="25">
        <v>20</v>
      </c>
      <c r="E488" s="23" t="s">
        <v>135</v>
      </c>
      <c r="F488" s="23" t="s">
        <v>734</v>
      </c>
      <c r="G488" s="26">
        <v>36286</v>
      </c>
      <c r="H488" s="65">
        <f>DATEDIF(Squads[[#This Row],[Date Of Birth]],World_Cup_Start_Date,"Y")</f>
        <v>23</v>
      </c>
      <c r="I488" s="27">
        <v>4</v>
      </c>
      <c r="J488" s="27">
        <v>0</v>
      </c>
      <c r="K488" s="78" t="s">
        <v>1833</v>
      </c>
      <c r="L488" s="27" t="str">
        <f>_xlfn.XLOOKUP(Squads[[#This Row],[Current Club]],Clubs[Current Club],Clubs[Club_ID])</f>
        <v>FRA-16</v>
      </c>
      <c r="M488" s="27" t="str">
        <f>_xlfn.XLOOKUP(Squads[[#This Row],[National Team]],Football_Associations[Football Association],Football_Associations[World Cup Result])</f>
        <v>Fourth</v>
      </c>
      <c r="N488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89" spans="1:14" ht="15" customHeight="1" x14ac:dyDescent="0.25">
      <c r="A489" s="33">
        <f t="shared" si="7"/>
        <v>1488</v>
      </c>
      <c r="B489" s="23" t="s">
        <v>23</v>
      </c>
      <c r="C489" s="23" t="str">
        <f>VLOOKUP(Squads[[#This Row],[National Team]],Qualified[],3,TRUE)</f>
        <v>Morocco (MAR)</v>
      </c>
      <c r="D489" s="25">
        <v>21</v>
      </c>
      <c r="E489" s="23" t="s">
        <v>146</v>
      </c>
      <c r="F489" s="23" t="s">
        <v>735</v>
      </c>
      <c r="G489" s="26">
        <v>35817</v>
      </c>
      <c r="H489" s="65">
        <f>DATEDIF(Squads[[#This Row],[Date Of Birth]],World_Cup_Start_Date,"Y")</f>
        <v>24</v>
      </c>
      <c r="I489" s="27">
        <v>2</v>
      </c>
      <c r="J489" s="27">
        <v>0</v>
      </c>
      <c r="K489" s="78" t="s">
        <v>1830</v>
      </c>
      <c r="L489" s="27" t="str">
        <f>_xlfn.XLOOKUP(Squads[[#This Row],[Current Club]],Clubs[Current Club],Clubs[Club_ID])</f>
        <v>ITA-15</v>
      </c>
      <c r="M489" s="27" t="str">
        <f>_xlfn.XLOOKUP(Squads[[#This Row],[National Team]],Football_Associations[Football Association],Football_Associations[World Cup Result])</f>
        <v>Fourth</v>
      </c>
      <c r="N489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90" spans="1:14" ht="15" customHeight="1" x14ac:dyDescent="0.25">
      <c r="A490" s="33">
        <f t="shared" si="7"/>
        <v>1489</v>
      </c>
      <c r="B490" s="23" t="s">
        <v>23</v>
      </c>
      <c r="C490" s="23" t="str">
        <f>VLOOKUP(Squads[[#This Row],[National Team]],Qualified[],3,TRUE)</f>
        <v>Morocco (MAR)</v>
      </c>
      <c r="D490" s="25">
        <v>22</v>
      </c>
      <c r="E490" s="23" t="s">
        <v>133</v>
      </c>
      <c r="F490" s="23" t="s">
        <v>736</v>
      </c>
      <c r="G490" s="26">
        <v>35160</v>
      </c>
      <c r="H490" s="65">
        <f>DATEDIF(Squads[[#This Row],[Date Of Birth]],World_Cup_Start_Date,"Y")</f>
        <v>26</v>
      </c>
      <c r="I490" s="27">
        <v>3</v>
      </c>
      <c r="J490" s="27">
        <v>0</v>
      </c>
      <c r="K490" s="78" t="s">
        <v>1752</v>
      </c>
      <c r="L490" s="27" t="str">
        <f>_xlfn.XLOOKUP(Squads[[#This Row],[Current Club]],Clubs[Current Club],Clubs[Club_ID])</f>
        <v>MOR-01</v>
      </c>
      <c r="M490" s="27" t="str">
        <f>_xlfn.XLOOKUP(Squads[[#This Row],[National Team]],Football_Associations[Football Association],Football_Associations[World Cup Result])</f>
        <v>Fourth</v>
      </c>
      <c r="N490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91" spans="1:14" ht="15" customHeight="1" x14ac:dyDescent="0.25">
      <c r="A491" s="33">
        <f t="shared" si="7"/>
        <v>1490</v>
      </c>
      <c r="B491" s="23" t="s">
        <v>23</v>
      </c>
      <c r="C491" s="23" t="str">
        <f>VLOOKUP(Squads[[#This Row],[National Team]],Qualified[],3,TRUE)</f>
        <v>Morocco (MAR)</v>
      </c>
      <c r="D491" s="25">
        <v>23</v>
      </c>
      <c r="E491" s="23" t="s">
        <v>139</v>
      </c>
      <c r="F491" s="23" t="s">
        <v>737</v>
      </c>
      <c r="G491" s="26">
        <v>38117</v>
      </c>
      <c r="H491" s="65">
        <f>DATEDIF(Squads[[#This Row],[Date Of Birth]],World_Cup_Start_Date,"Y")</f>
        <v>18</v>
      </c>
      <c r="I491" s="27">
        <v>0</v>
      </c>
      <c r="J491" s="27">
        <v>0</v>
      </c>
      <c r="K491" s="78" t="s">
        <v>1734</v>
      </c>
      <c r="L491" s="27" t="str">
        <f>_xlfn.XLOOKUP(Squads[[#This Row],[Current Club]],Clubs[Current Club],Clubs[Club_ID])</f>
        <v>BEL-03</v>
      </c>
      <c r="M491" s="27" t="str">
        <f>_xlfn.XLOOKUP(Squads[[#This Row],[National Team]],Football_Associations[Football Association],Football_Associations[World Cup Result])</f>
        <v>Fourth</v>
      </c>
      <c r="N491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92" spans="1:14" ht="15" customHeight="1" x14ac:dyDescent="0.25">
      <c r="A492" s="33">
        <f t="shared" si="7"/>
        <v>1491</v>
      </c>
      <c r="B492" s="23" t="s">
        <v>23</v>
      </c>
      <c r="C492" s="23" t="str">
        <f>VLOOKUP(Squads[[#This Row],[National Team]],Qualified[],3,TRUE)</f>
        <v>Morocco (MAR)</v>
      </c>
      <c r="D492" s="25">
        <v>24</v>
      </c>
      <c r="E492" s="23" t="s">
        <v>135</v>
      </c>
      <c r="F492" s="23" t="s">
        <v>738</v>
      </c>
      <c r="G492" s="26">
        <v>34242</v>
      </c>
      <c r="H492" s="65">
        <f>DATEDIF(Squads[[#This Row],[Date Of Birth]],World_Cup_Start_Date,"Y")</f>
        <v>29</v>
      </c>
      <c r="I492" s="27">
        <v>3</v>
      </c>
      <c r="J492" s="27">
        <v>0</v>
      </c>
      <c r="K492" s="78" t="s">
        <v>1912</v>
      </c>
      <c r="L492" s="27" t="str">
        <f>_xlfn.XLOOKUP(Squads[[#This Row],[Current Club]],Clubs[Current Club],Clubs[Club_ID])</f>
        <v>QTR-08</v>
      </c>
      <c r="M492" s="27" t="str">
        <f>_xlfn.XLOOKUP(Squads[[#This Row],[National Team]],Football_Associations[Football Association],Football_Associations[World Cup Result])</f>
        <v>Fourth</v>
      </c>
      <c r="N492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93" spans="1:14" ht="15" customHeight="1" x14ac:dyDescent="0.25">
      <c r="A493" s="33">
        <f t="shared" si="7"/>
        <v>1492</v>
      </c>
      <c r="B493" s="23" t="s">
        <v>23</v>
      </c>
      <c r="C493" s="23" t="str">
        <f>VLOOKUP(Squads[[#This Row],[National Team]],Qualified[],3,TRUE)</f>
        <v>Morocco (MAR)</v>
      </c>
      <c r="D493" s="25">
        <v>25</v>
      </c>
      <c r="E493" s="23" t="s">
        <v>135</v>
      </c>
      <c r="F493" s="23" t="s">
        <v>739</v>
      </c>
      <c r="G493" s="26">
        <v>34760</v>
      </c>
      <c r="H493" s="65">
        <f>DATEDIF(Squads[[#This Row],[Date Of Birth]],World_Cup_Start_Date,"Y")</f>
        <v>27</v>
      </c>
      <c r="I493" s="27">
        <v>2</v>
      </c>
      <c r="J493" s="27">
        <v>0</v>
      </c>
      <c r="K493" s="78" t="s">
        <v>1752</v>
      </c>
      <c r="L493" s="27" t="str">
        <f>_xlfn.XLOOKUP(Squads[[#This Row],[Current Club]],Clubs[Current Club],Clubs[Club_ID])</f>
        <v>MOR-01</v>
      </c>
      <c r="M493" s="27" t="str">
        <f>_xlfn.XLOOKUP(Squads[[#This Row],[National Team]],Football_Associations[Football Association],Football_Associations[World Cup Result])</f>
        <v>Fourth</v>
      </c>
      <c r="N493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94" spans="1:14" ht="15" customHeight="1" x14ac:dyDescent="0.25">
      <c r="A494" s="33">
        <f t="shared" si="7"/>
        <v>1493</v>
      </c>
      <c r="B494" s="23" t="s">
        <v>23</v>
      </c>
      <c r="C494" s="23" t="str">
        <f>VLOOKUP(Squads[[#This Row],[National Team]],Qualified[],3,TRUE)</f>
        <v>Morocco (MAR)</v>
      </c>
      <c r="D494" s="25">
        <v>26</v>
      </c>
      <c r="E494" s="23" t="s">
        <v>139</v>
      </c>
      <c r="F494" s="23" t="s">
        <v>740</v>
      </c>
      <c r="G494" s="26">
        <v>33407</v>
      </c>
      <c r="H494" s="65">
        <f>DATEDIF(Squads[[#This Row],[Date Of Birth]],World_Cup_Start_Date,"Y")</f>
        <v>31</v>
      </c>
      <c r="I494" s="27">
        <v>5</v>
      </c>
      <c r="J494" s="27">
        <v>0</v>
      </c>
      <c r="K494" s="78" t="s">
        <v>1752</v>
      </c>
      <c r="L494" s="27" t="str">
        <f>_xlfn.XLOOKUP(Squads[[#This Row],[Current Club]],Clubs[Current Club],Clubs[Club_ID])</f>
        <v>MOR-01</v>
      </c>
      <c r="M494" s="27" t="str">
        <f>_xlfn.XLOOKUP(Squads[[#This Row],[National Team]],Football_Associations[Football Association],Football_Associations[World Cup Result])</f>
        <v>Fourth</v>
      </c>
      <c r="N494" s="27">
        <f>IF(Squads[[#This Row],[World Cup Result]]="Winner",1,IF(Squads[[#This Row],[World Cup Result]]="Runner Up",1,IF(Squads[[#This Row],[World Cup Result]]="third",1,IF(Squads[[#This Row],[World Cup Result]]="Fourth",1,0))))</f>
        <v>1</v>
      </c>
    </row>
    <row r="495" spans="1:14" ht="15" customHeight="1" x14ac:dyDescent="0.25">
      <c r="A495" s="33">
        <f t="shared" si="7"/>
        <v>1494</v>
      </c>
      <c r="B495" s="23" t="s">
        <v>4</v>
      </c>
      <c r="C495" s="23" t="str">
        <f>VLOOKUP(Squads[[#This Row],[National Team]],Qualified[],3,TRUE)</f>
        <v>Netherlands (NED)</v>
      </c>
      <c r="D495" s="25">
        <v>1</v>
      </c>
      <c r="E495" s="23" t="s">
        <v>133</v>
      </c>
      <c r="F495" s="23" t="s">
        <v>164</v>
      </c>
      <c r="G495" s="26">
        <v>30628</v>
      </c>
      <c r="H495" s="65">
        <f>DATEDIF(Squads[[#This Row],[Date Of Birth]],World_Cup_Start_Date,"Y")</f>
        <v>39</v>
      </c>
      <c r="I495" s="27">
        <v>2</v>
      </c>
      <c r="J495" s="27">
        <v>0</v>
      </c>
      <c r="K495" s="78" t="s">
        <v>1662</v>
      </c>
      <c r="L495" s="27" t="str">
        <f>_xlfn.XLOOKUP(Squads[[#This Row],[Current Club]],Clubs[Current Club],Clubs[Club_ID])</f>
        <v>NET-01</v>
      </c>
      <c r="M495" s="27" t="str">
        <f>_xlfn.XLOOKUP(Squads[[#This Row],[National Team]],Football_Associations[Football Association],Football_Associations[World Cup Result])</f>
        <v>Quarter Finals</v>
      </c>
      <c r="N49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96" spans="1:14" ht="15" customHeight="1" x14ac:dyDescent="0.25">
      <c r="A496" s="33">
        <f t="shared" si="7"/>
        <v>1495</v>
      </c>
      <c r="B496" s="23" t="s">
        <v>4</v>
      </c>
      <c r="C496" s="23" t="str">
        <f>VLOOKUP(Squads[[#This Row],[National Team]],Qualified[],3,TRUE)</f>
        <v>Netherlands (NED)</v>
      </c>
      <c r="D496" s="25">
        <v>2</v>
      </c>
      <c r="E496" s="23" t="s">
        <v>135</v>
      </c>
      <c r="F496" s="23" t="s">
        <v>165</v>
      </c>
      <c r="G496" s="26">
        <v>37059</v>
      </c>
      <c r="H496" s="65">
        <f>DATEDIF(Squads[[#This Row],[Date Of Birth]],World_Cup_Start_Date,"Y")</f>
        <v>21</v>
      </c>
      <c r="I496" s="27">
        <v>10</v>
      </c>
      <c r="J496" s="27">
        <v>0</v>
      </c>
      <c r="K496" s="78" t="s">
        <v>1662</v>
      </c>
      <c r="L496" s="27" t="str">
        <f>_xlfn.XLOOKUP(Squads[[#This Row],[Current Club]],Clubs[Current Club],Clubs[Club_ID])</f>
        <v>NET-01</v>
      </c>
      <c r="M496" s="27" t="str">
        <f>_xlfn.XLOOKUP(Squads[[#This Row],[National Team]],Football_Associations[Football Association],Football_Associations[World Cup Result])</f>
        <v>Quarter Finals</v>
      </c>
      <c r="N49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97" spans="1:14" ht="15" customHeight="1" x14ac:dyDescent="0.25">
      <c r="A497" s="33">
        <f t="shared" si="7"/>
        <v>1496</v>
      </c>
      <c r="B497" s="23" t="s">
        <v>4</v>
      </c>
      <c r="C497" s="23" t="str">
        <f>VLOOKUP(Squads[[#This Row],[National Team]],Qualified[],3,TRUE)</f>
        <v>Netherlands (NED)</v>
      </c>
      <c r="D497" s="25">
        <v>3</v>
      </c>
      <c r="E497" s="23" t="s">
        <v>135</v>
      </c>
      <c r="F497" s="23" t="s">
        <v>166</v>
      </c>
      <c r="G497" s="26">
        <v>36384</v>
      </c>
      <c r="H497" s="65">
        <f>DATEDIF(Squads[[#This Row],[Date Of Birth]],World_Cup_Start_Date,"Y")</f>
        <v>23</v>
      </c>
      <c r="I497" s="27">
        <v>38</v>
      </c>
      <c r="J497" s="27">
        <v>2</v>
      </c>
      <c r="K497" s="78" t="s">
        <v>1654</v>
      </c>
      <c r="L497" s="27" t="str">
        <f>_xlfn.XLOOKUP(Squads[[#This Row],[Current Club]],Clubs[Current Club],Clubs[Club_ID])</f>
        <v>GER-01</v>
      </c>
      <c r="M497" s="27" t="str">
        <f>_xlfn.XLOOKUP(Squads[[#This Row],[National Team]],Football_Associations[Football Association],Football_Associations[World Cup Result])</f>
        <v>Quarter Finals</v>
      </c>
      <c r="N49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98" spans="1:14" ht="15" customHeight="1" x14ac:dyDescent="0.25">
      <c r="A498" s="33">
        <f t="shared" si="7"/>
        <v>1497</v>
      </c>
      <c r="B498" s="23" t="s">
        <v>4</v>
      </c>
      <c r="C498" s="23" t="str">
        <f>VLOOKUP(Squads[[#This Row],[National Team]],Qualified[],3,TRUE)</f>
        <v>Netherlands (NED)</v>
      </c>
      <c r="D498" s="25">
        <v>4</v>
      </c>
      <c r="E498" s="23" t="s">
        <v>135</v>
      </c>
      <c r="F498" s="27" t="s">
        <v>955</v>
      </c>
      <c r="G498" s="26">
        <v>33427</v>
      </c>
      <c r="H498" s="65">
        <f>DATEDIF(Squads[[#This Row],[Date Of Birth]],World_Cup_Start_Date,"Y")</f>
        <v>31</v>
      </c>
      <c r="I498" s="27">
        <v>49</v>
      </c>
      <c r="J498" s="27">
        <v>6</v>
      </c>
      <c r="K498" s="78" t="s">
        <v>1676</v>
      </c>
      <c r="L498" s="27" t="str">
        <f>_xlfn.XLOOKUP(Squads[[#This Row],[Current Club]],Clubs[Current Club],Clubs[Club_ID])</f>
        <v>ENG-08</v>
      </c>
      <c r="M498" s="27" t="str">
        <f>_xlfn.XLOOKUP(Squads[[#This Row],[National Team]],Football_Associations[Football Association],Football_Associations[World Cup Result])</f>
        <v>Quarter Finals</v>
      </c>
      <c r="N49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499" spans="1:14" ht="15" customHeight="1" x14ac:dyDescent="0.25">
      <c r="A499" s="33">
        <f t="shared" si="7"/>
        <v>1498</v>
      </c>
      <c r="B499" s="23" t="s">
        <v>4</v>
      </c>
      <c r="C499" s="23" t="str">
        <f>VLOOKUP(Squads[[#This Row],[National Team]],Qualified[],3,TRUE)</f>
        <v>Netherlands (NED)</v>
      </c>
      <c r="D499" s="25">
        <v>5</v>
      </c>
      <c r="E499" s="23" t="s">
        <v>135</v>
      </c>
      <c r="F499" s="23" t="s">
        <v>167</v>
      </c>
      <c r="G499" s="26">
        <v>34748</v>
      </c>
      <c r="H499" s="65">
        <f>DATEDIF(Squads[[#This Row],[Date Of Birth]],World_Cup_Start_Date,"Y")</f>
        <v>27</v>
      </c>
      <c r="I499" s="27">
        <v>29</v>
      </c>
      <c r="J499" s="27">
        <v>3</v>
      </c>
      <c r="K499" s="78" t="s">
        <v>1655</v>
      </c>
      <c r="L499" s="27" t="str">
        <f>_xlfn.XLOOKUP(Squads[[#This Row],[Current Club]],Clubs[Current Club],Clubs[Club_ID])</f>
        <v>ENG-01</v>
      </c>
      <c r="M499" s="27" t="str">
        <f>_xlfn.XLOOKUP(Squads[[#This Row],[National Team]],Football_Associations[Football Association],Football_Associations[World Cup Result])</f>
        <v>Quarter Finals</v>
      </c>
      <c r="N49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00" spans="1:14" ht="15" customHeight="1" x14ac:dyDescent="0.25">
      <c r="A500" s="33">
        <f t="shared" si="7"/>
        <v>1499</v>
      </c>
      <c r="B500" s="23" t="s">
        <v>4</v>
      </c>
      <c r="C500" s="23" t="str">
        <f>VLOOKUP(Squads[[#This Row],[National Team]],Qualified[],3,TRUE)</f>
        <v>Netherlands (NED)</v>
      </c>
      <c r="D500" s="25">
        <v>6</v>
      </c>
      <c r="E500" s="23" t="s">
        <v>135</v>
      </c>
      <c r="F500" s="23" t="s">
        <v>168</v>
      </c>
      <c r="G500" s="26">
        <v>33639</v>
      </c>
      <c r="H500" s="65">
        <f>DATEDIF(Squads[[#This Row],[Date Of Birth]],World_Cup_Start_Date,"Y")</f>
        <v>30</v>
      </c>
      <c r="I500" s="27">
        <v>59</v>
      </c>
      <c r="J500" s="27">
        <v>3</v>
      </c>
      <c r="K500" s="78" t="s">
        <v>1685</v>
      </c>
      <c r="L500" s="27" t="str">
        <f>_xlfn.XLOOKUP(Squads[[#This Row],[Current Club]],Clubs[Current Club],Clubs[Club_ID])</f>
        <v>ITA-03</v>
      </c>
      <c r="M500" s="27" t="str">
        <f>_xlfn.XLOOKUP(Squads[[#This Row],[National Team]],Football_Associations[Football Association],Football_Associations[World Cup Result])</f>
        <v>Quarter Finals</v>
      </c>
      <c r="N50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01" spans="1:14" ht="15" customHeight="1" x14ac:dyDescent="0.25">
      <c r="A501" s="33">
        <f t="shared" si="7"/>
        <v>1500</v>
      </c>
      <c r="B501" s="23" t="s">
        <v>4</v>
      </c>
      <c r="C501" s="23" t="str">
        <f>VLOOKUP(Squads[[#This Row],[National Team]],Qualified[],3,TRUE)</f>
        <v>Netherlands (NED)</v>
      </c>
      <c r="D501" s="25">
        <v>7</v>
      </c>
      <c r="E501" s="23" t="s">
        <v>146</v>
      </c>
      <c r="F501" s="23" t="s">
        <v>169</v>
      </c>
      <c r="G501" s="26">
        <v>35711</v>
      </c>
      <c r="H501" s="65">
        <f>DATEDIF(Squads[[#This Row],[Date Of Birth]],World_Cup_Start_Date,"Y")</f>
        <v>25</v>
      </c>
      <c r="I501" s="27">
        <v>24</v>
      </c>
      <c r="J501" s="27">
        <v>7</v>
      </c>
      <c r="K501" s="78" t="s">
        <v>1662</v>
      </c>
      <c r="L501" s="27" t="str">
        <f>_xlfn.XLOOKUP(Squads[[#This Row],[Current Club]],Clubs[Current Club],Clubs[Club_ID])</f>
        <v>NET-01</v>
      </c>
      <c r="M501" s="27" t="str">
        <f>_xlfn.XLOOKUP(Squads[[#This Row],[National Team]],Football_Associations[Football Association],Football_Associations[World Cup Result])</f>
        <v>Quarter Finals</v>
      </c>
      <c r="N50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02" spans="1:14" ht="15" customHeight="1" x14ac:dyDescent="0.25">
      <c r="A502" s="33">
        <f t="shared" si="7"/>
        <v>1501</v>
      </c>
      <c r="B502" s="23" t="s">
        <v>4</v>
      </c>
      <c r="C502" s="23" t="str">
        <f>VLOOKUP(Squads[[#This Row],[National Team]],Qualified[],3,TRUE)</f>
        <v>Netherlands (NED)</v>
      </c>
      <c r="D502" s="25">
        <v>8</v>
      </c>
      <c r="E502" s="23" t="s">
        <v>146</v>
      </c>
      <c r="F502" s="23" t="s">
        <v>170</v>
      </c>
      <c r="G502" s="26">
        <v>36287</v>
      </c>
      <c r="H502" s="65">
        <f>DATEDIF(Squads[[#This Row],[Date Of Birth]],World_Cup_Start_Date,"Y")</f>
        <v>23</v>
      </c>
      <c r="I502" s="27">
        <v>9</v>
      </c>
      <c r="J502" s="27">
        <v>3</v>
      </c>
      <c r="K502" s="78" t="s">
        <v>1716</v>
      </c>
      <c r="L502" s="27" t="str">
        <f>_xlfn.XLOOKUP(Squads[[#This Row],[Current Club]],Clubs[Current Club],Clubs[Club_ID])</f>
        <v>NET-02</v>
      </c>
      <c r="M502" s="27" t="str">
        <f>_xlfn.XLOOKUP(Squads[[#This Row],[National Team]],Football_Associations[Football Association],Football_Associations[World Cup Result])</f>
        <v>Quarter Finals</v>
      </c>
      <c r="N50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03" spans="1:14" ht="15" customHeight="1" x14ac:dyDescent="0.25">
      <c r="A503" s="33">
        <f t="shared" si="7"/>
        <v>1502</v>
      </c>
      <c r="B503" s="23" t="s">
        <v>4</v>
      </c>
      <c r="C503" s="23" t="str">
        <f>VLOOKUP(Squads[[#This Row],[National Team]],Qualified[],3,TRUE)</f>
        <v>Netherlands (NED)</v>
      </c>
      <c r="D503" s="25">
        <v>9</v>
      </c>
      <c r="E503" s="23" t="s">
        <v>146</v>
      </c>
      <c r="F503" s="23" t="s">
        <v>171</v>
      </c>
      <c r="G503" s="26">
        <v>33112</v>
      </c>
      <c r="H503" s="65">
        <f>DATEDIF(Squads[[#This Row],[Date Of Birth]],World_Cup_Start_Date,"Y")</f>
        <v>32</v>
      </c>
      <c r="I503" s="27">
        <v>38</v>
      </c>
      <c r="J503" s="27">
        <v>8</v>
      </c>
      <c r="K503" s="78" t="s">
        <v>1716</v>
      </c>
      <c r="L503" s="27" t="str">
        <f>_xlfn.XLOOKUP(Squads[[#This Row],[Current Club]],Clubs[Current Club],Clubs[Club_ID])</f>
        <v>NET-02</v>
      </c>
      <c r="M503" s="27" t="str">
        <f>_xlfn.XLOOKUP(Squads[[#This Row],[National Team]],Football_Associations[Football Association],Football_Associations[World Cup Result])</f>
        <v>Quarter Finals</v>
      </c>
      <c r="N50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04" spans="1:14" ht="15" customHeight="1" x14ac:dyDescent="0.25">
      <c r="A504" s="33">
        <f t="shared" si="7"/>
        <v>1503</v>
      </c>
      <c r="B504" s="23" t="s">
        <v>4</v>
      </c>
      <c r="C504" s="23" t="str">
        <f>VLOOKUP(Squads[[#This Row],[National Team]],Qualified[],3,TRUE)</f>
        <v>Netherlands (NED)</v>
      </c>
      <c r="D504" s="25">
        <v>10</v>
      </c>
      <c r="E504" s="23" t="s">
        <v>146</v>
      </c>
      <c r="F504" s="23" t="s">
        <v>172</v>
      </c>
      <c r="G504" s="26">
        <v>34378</v>
      </c>
      <c r="H504" s="65">
        <f>DATEDIF(Squads[[#This Row],[Date Of Birth]],World_Cup_Start_Date,"Y")</f>
        <v>28</v>
      </c>
      <c r="I504" s="27">
        <v>81</v>
      </c>
      <c r="J504" s="27">
        <v>42</v>
      </c>
      <c r="K504" s="78" t="s">
        <v>1653</v>
      </c>
      <c r="L504" s="27" t="str">
        <f>_xlfn.XLOOKUP(Squads[[#This Row],[Current Club]],Clubs[Current Club],Clubs[Club_ID])</f>
        <v>ESP-01</v>
      </c>
      <c r="M504" s="27" t="str">
        <f>_xlfn.XLOOKUP(Squads[[#This Row],[National Team]],Football_Associations[Football Association],Football_Associations[World Cup Result])</f>
        <v>Quarter Finals</v>
      </c>
      <c r="N50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05" spans="1:14" ht="15" customHeight="1" x14ac:dyDescent="0.25">
      <c r="A505" s="33">
        <f t="shared" si="7"/>
        <v>1504</v>
      </c>
      <c r="B505" s="23" t="s">
        <v>4</v>
      </c>
      <c r="C505" s="23" t="str">
        <f>VLOOKUP(Squads[[#This Row],[National Team]],Qualified[],3,TRUE)</f>
        <v>Netherlands (NED)</v>
      </c>
      <c r="D505" s="25">
        <v>11</v>
      </c>
      <c r="E505" s="23" t="s">
        <v>139</v>
      </c>
      <c r="F505" s="23" t="s">
        <v>173</v>
      </c>
      <c r="G505" s="26">
        <v>33591</v>
      </c>
      <c r="H505" s="65">
        <f>DATEDIF(Squads[[#This Row],[Date Of Birth]],World_Cup_Start_Date,"Y")</f>
        <v>30</v>
      </c>
      <c r="I505" s="27">
        <v>39</v>
      </c>
      <c r="J505" s="27">
        <v>2</v>
      </c>
      <c r="K505" s="78" t="s">
        <v>1662</v>
      </c>
      <c r="L505" s="27" t="str">
        <f>_xlfn.XLOOKUP(Squads[[#This Row],[Current Club]],Clubs[Current Club],Clubs[Club_ID])</f>
        <v>NET-01</v>
      </c>
      <c r="M505" s="27" t="str">
        <f>_xlfn.XLOOKUP(Squads[[#This Row],[National Team]],Football_Associations[Football Association],Football_Associations[World Cup Result])</f>
        <v>Quarter Finals</v>
      </c>
      <c r="N50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06" spans="1:14" ht="15" customHeight="1" x14ac:dyDescent="0.25">
      <c r="A506" s="33">
        <f t="shared" si="7"/>
        <v>1505</v>
      </c>
      <c r="B506" s="23" t="s">
        <v>4</v>
      </c>
      <c r="C506" s="23" t="str">
        <f>VLOOKUP(Squads[[#This Row],[National Team]],Qualified[],3,TRUE)</f>
        <v>Netherlands (NED)</v>
      </c>
      <c r="D506" s="25">
        <v>12</v>
      </c>
      <c r="E506" s="23" t="s">
        <v>146</v>
      </c>
      <c r="F506" s="23" t="s">
        <v>174</v>
      </c>
      <c r="G506" s="26">
        <v>36328</v>
      </c>
      <c r="H506" s="65">
        <f>DATEDIF(Squads[[#This Row],[Date Of Birth]],World_Cup_Start_Date,"Y")</f>
        <v>23</v>
      </c>
      <c r="I506" s="27">
        <v>5</v>
      </c>
      <c r="J506" s="27">
        <v>1</v>
      </c>
      <c r="K506" s="78" t="s">
        <v>1670</v>
      </c>
      <c r="L506" s="27" t="str">
        <f>_xlfn.XLOOKUP(Squads[[#This Row],[Current Club]],Clubs[Current Club],Clubs[Club_ID])</f>
        <v>BEL-01</v>
      </c>
      <c r="M506" s="27" t="str">
        <f>_xlfn.XLOOKUP(Squads[[#This Row],[National Team]],Football_Associations[Football Association],Football_Associations[World Cup Result])</f>
        <v>Quarter Finals</v>
      </c>
      <c r="N50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07" spans="1:14" ht="15" customHeight="1" x14ac:dyDescent="0.25">
      <c r="A507" s="33">
        <f t="shared" si="7"/>
        <v>1506</v>
      </c>
      <c r="B507" s="23" t="s">
        <v>4</v>
      </c>
      <c r="C507" s="23" t="str">
        <f>VLOOKUP(Squads[[#This Row],[National Team]],Qualified[],3,TRUE)</f>
        <v>Netherlands (NED)</v>
      </c>
      <c r="D507" s="25">
        <v>13</v>
      </c>
      <c r="E507" s="23" t="s">
        <v>133</v>
      </c>
      <c r="F507" s="23" t="s">
        <v>175</v>
      </c>
      <c r="G507" s="26">
        <v>35817</v>
      </c>
      <c r="H507" s="65">
        <f>DATEDIF(Squads[[#This Row],[Date Of Birth]],World_Cup_Start_Date,"Y")</f>
        <v>24</v>
      </c>
      <c r="I507" s="27">
        <v>6</v>
      </c>
      <c r="J507" s="27">
        <v>0</v>
      </c>
      <c r="K507" s="78" t="s">
        <v>1733</v>
      </c>
      <c r="L507" s="27" t="str">
        <f>_xlfn.XLOOKUP(Squads[[#This Row],[Current Club]],Clubs[Current Club],Clubs[Club_ID])</f>
        <v>NET-03</v>
      </c>
      <c r="M507" s="27" t="str">
        <f>_xlfn.XLOOKUP(Squads[[#This Row],[National Team]],Football_Associations[Football Association],Football_Associations[World Cup Result])</f>
        <v>Quarter Finals</v>
      </c>
      <c r="N50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08" spans="1:14" ht="15" customHeight="1" x14ac:dyDescent="0.25">
      <c r="A508" s="33">
        <f t="shared" si="7"/>
        <v>1507</v>
      </c>
      <c r="B508" s="23" t="s">
        <v>4</v>
      </c>
      <c r="C508" s="23" t="str">
        <f>VLOOKUP(Squads[[#This Row],[National Team]],Qualified[],3,TRUE)</f>
        <v>Netherlands (NED)</v>
      </c>
      <c r="D508" s="25">
        <v>14</v>
      </c>
      <c r="E508" s="23" t="s">
        <v>139</v>
      </c>
      <c r="F508" s="23" t="s">
        <v>176</v>
      </c>
      <c r="G508" s="26">
        <v>34021</v>
      </c>
      <c r="H508" s="65">
        <f>DATEDIF(Squads[[#This Row],[Date Of Birth]],World_Cup_Start_Date,"Y")</f>
        <v>29</v>
      </c>
      <c r="I508" s="27">
        <v>35</v>
      </c>
      <c r="J508" s="27">
        <v>9</v>
      </c>
      <c r="K508" s="78" t="s">
        <v>1662</v>
      </c>
      <c r="L508" s="27" t="str">
        <f>_xlfn.XLOOKUP(Squads[[#This Row],[Current Club]],Clubs[Current Club],Clubs[Club_ID])</f>
        <v>NET-01</v>
      </c>
      <c r="M508" s="27" t="str">
        <f>_xlfn.XLOOKUP(Squads[[#This Row],[National Team]],Football_Associations[Football Association],Football_Associations[World Cup Result])</f>
        <v>Quarter Finals</v>
      </c>
      <c r="N50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09" spans="1:14" ht="15" customHeight="1" x14ac:dyDescent="0.25">
      <c r="A509" s="33">
        <f t="shared" si="7"/>
        <v>1508</v>
      </c>
      <c r="B509" s="23" t="s">
        <v>4</v>
      </c>
      <c r="C509" s="23" t="str">
        <f>VLOOKUP(Squads[[#This Row],[National Team]],Qualified[],3,TRUE)</f>
        <v>Netherlands (NED)</v>
      </c>
      <c r="D509" s="25">
        <v>15</v>
      </c>
      <c r="E509" s="23" t="s">
        <v>139</v>
      </c>
      <c r="F509" s="23" t="s">
        <v>177</v>
      </c>
      <c r="G509" s="26">
        <v>33326</v>
      </c>
      <c r="H509" s="65">
        <f>DATEDIF(Squads[[#This Row],[Date Of Birth]],World_Cup_Start_Date,"Y")</f>
        <v>31</v>
      </c>
      <c r="I509" s="27">
        <v>30</v>
      </c>
      <c r="J509" s="27">
        <v>0</v>
      </c>
      <c r="K509" s="78" t="s">
        <v>1706</v>
      </c>
      <c r="L509" s="27" t="str">
        <f>_xlfn.XLOOKUP(Squads[[#This Row],[Current Club]],Clubs[Current Club],Clubs[Club_ID])</f>
        <v>ITA-06</v>
      </c>
      <c r="M509" s="27" t="str">
        <f>_xlfn.XLOOKUP(Squads[[#This Row],[National Team]],Football_Associations[Football Association],Football_Associations[World Cup Result])</f>
        <v>Quarter Finals</v>
      </c>
      <c r="N50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10" spans="1:14" ht="15" customHeight="1" x14ac:dyDescent="0.25">
      <c r="A510" s="33">
        <f t="shared" si="7"/>
        <v>1509</v>
      </c>
      <c r="B510" s="23" t="s">
        <v>4</v>
      </c>
      <c r="C510" s="23" t="str">
        <f>VLOOKUP(Squads[[#This Row],[National Team]],Qualified[],3,TRUE)</f>
        <v>Netherlands (NED)</v>
      </c>
      <c r="D510" s="25">
        <v>16</v>
      </c>
      <c r="E510" s="23" t="s">
        <v>135</v>
      </c>
      <c r="F510" s="23" t="s">
        <v>178</v>
      </c>
      <c r="G510" s="26">
        <v>36389</v>
      </c>
      <c r="H510" s="65">
        <f>DATEDIF(Squads[[#This Row],[Date Of Birth]],World_Cup_Start_Date,"Y")</f>
        <v>23</v>
      </c>
      <c r="I510" s="27">
        <v>6</v>
      </c>
      <c r="J510" s="27">
        <v>0</v>
      </c>
      <c r="K510" s="78" t="s">
        <v>1657</v>
      </c>
      <c r="L510" s="27" t="str">
        <f>_xlfn.XLOOKUP(Squads[[#This Row],[Current Club]],Clubs[Current Club],Clubs[Club_ID])</f>
        <v>ENG-02</v>
      </c>
      <c r="M510" s="27" t="str">
        <f>_xlfn.XLOOKUP(Squads[[#This Row],[National Team]],Football_Associations[Football Association],Football_Associations[World Cup Result])</f>
        <v>Quarter Finals</v>
      </c>
      <c r="N51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11" spans="1:14" ht="15" customHeight="1" x14ac:dyDescent="0.25">
      <c r="A511" s="33">
        <f t="shared" si="7"/>
        <v>1510</v>
      </c>
      <c r="B511" s="23" t="s">
        <v>4</v>
      </c>
      <c r="C511" s="23" t="str">
        <f>VLOOKUP(Squads[[#This Row],[National Team]],Qualified[],3,TRUE)</f>
        <v>Netherlands (NED)</v>
      </c>
      <c r="D511" s="25">
        <v>17</v>
      </c>
      <c r="E511" s="23" t="s">
        <v>135</v>
      </c>
      <c r="F511" s="23" t="s">
        <v>179</v>
      </c>
      <c r="G511" s="26">
        <v>32941</v>
      </c>
      <c r="H511" s="65">
        <f>DATEDIF(Squads[[#This Row],[Date Of Birth]],World_Cup_Start_Date,"Y")</f>
        <v>32</v>
      </c>
      <c r="I511" s="27">
        <v>94</v>
      </c>
      <c r="J511" s="27">
        <v>2</v>
      </c>
      <c r="K511" s="78" t="s">
        <v>1662</v>
      </c>
      <c r="L511" s="27" t="str">
        <f>_xlfn.XLOOKUP(Squads[[#This Row],[Current Club]],Clubs[Current Club],Clubs[Club_ID])</f>
        <v>NET-01</v>
      </c>
      <c r="M511" s="27" t="str">
        <f>_xlfn.XLOOKUP(Squads[[#This Row],[National Team]],Football_Associations[Football Association],Football_Associations[World Cup Result])</f>
        <v>Quarter Finals</v>
      </c>
      <c r="N51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12" spans="1:14" ht="15" customHeight="1" x14ac:dyDescent="0.25">
      <c r="A512" s="33">
        <f t="shared" si="7"/>
        <v>1511</v>
      </c>
      <c r="B512" s="23" t="s">
        <v>4</v>
      </c>
      <c r="C512" s="23" t="str">
        <f>VLOOKUP(Squads[[#This Row],[National Team]],Qualified[],3,TRUE)</f>
        <v>Netherlands (NED)</v>
      </c>
      <c r="D512" s="25">
        <v>18</v>
      </c>
      <c r="E512" s="23" t="s">
        <v>146</v>
      </c>
      <c r="F512" s="23" t="s">
        <v>180</v>
      </c>
      <c r="G512" s="26">
        <v>34500</v>
      </c>
      <c r="H512" s="65">
        <f>DATEDIF(Squads[[#This Row],[Date Of Birth]],World_Cup_Start_Date,"Y")</f>
        <v>28</v>
      </c>
      <c r="I512" s="27">
        <v>20</v>
      </c>
      <c r="J512" s="27">
        <v>7</v>
      </c>
      <c r="K512" s="78" t="s">
        <v>1725</v>
      </c>
      <c r="L512" s="27" t="str">
        <f>_xlfn.XLOOKUP(Squads[[#This Row],[Current Club]],Clubs[Current Club],Clubs[Club_ID])</f>
        <v>BEL-02</v>
      </c>
      <c r="M512" s="27" t="str">
        <f>_xlfn.XLOOKUP(Squads[[#This Row],[National Team]],Football_Associations[Football Association],Football_Associations[World Cup Result])</f>
        <v>Quarter Finals</v>
      </c>
      <c r="N51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13" spans="1:14" ht="15" customHeight="1" x14ac:dyDescent="0.25">
      <c r="A513" s="33">
        <f t="shared" si="7"/>
        <v>1512</v>
      </c>
      <c r="B513" s="23" t="s">
        <v>4</v>
      </c>
      <c r="C513" s="23" t="str">
        <f>VLOOKUP(Squads[[#This Row],[National Team]],Qualified[],3,TRUE)</f>
        <v>Netherlands (NED)</v>
      </c>
      <c r="D513" s="25">
        <v>19</v>
      </c>
      <c r="E513" s="23" t="s">
        <v>146</v>
      </c>
      <c r="F513" s="23" t="s">
        <v>181</v>
      </c>
      <c r="G513" s="26">
        <v>33823</v>
      </c>
      <c r="H513" s="65">
        <f>DATEDIF(Squads[[#This Row],[Date Of Birth]],World_Cup_Start_Date,"Y")</f>
        <v>30</v>
      </c>
      <c r="I513" s="27">
        <v>15</v>
      </c>
      <c r="J513" s="27">
        <v>3</v>
      </c>
      <c r="K513" s="78" t="s">
        <v>1708</v>
      </c>
      <c r="L513" s="27" t="str">
        <f>_xlfn.XLOOKUP(Squads[[#This Row],[Current Club]],Clubs[Current Club],Clubs[Club_ID])</f>
        <v>TUR-02</v>
      </c>
      <c r="M513" s="27" t="str">
        <f>_xlfn.XLOOKUP(Squads[[#This Row],[National Team]],Football_Associations[Football Association],Football_Associations[World Cup Result])</f>
        <v>Quarter Finals</v>
      </c>
      <c r="N51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14" spans="1:14" ht="15" customHeight="1" x14ac:dyDescent="0.25">
      <c r="A514" s="33">
        <f t="shared" si="7"/>
        <v>1513</v>
      </c>
      <c r="B514" s="23" t="s">
        <v>4</v>
      </c>
      <c r="C514" s="23" t="str">
        <f>VLOOKUP(Squads[[#This Row],[National Team]],Qualified[],3,TRUE)</f>
        <v>Netherlands (NED)</v>
      </c>
      <c r="D514" s="25">
        <v>20</v>
      </c>
      <c r="E514" s="23" t="s">
        <v>139</v>
      </c>
      <c r="F514" s="23" t="s">
        <v>182</v>
      </c>
      <c r="G514" s="26">
        <v>35854</v>
      </c>
      <c r="H514" s="65">
        <f>DATEDIF(Squads[[#This Row],[Date Of Birth]],World_Cup_Start_Date,"Y")</f>
        <v>24</v>
      </c>
      <c r="I514" s="27">
        <v>10</v>
      </c>
      <c r="J514" s="27">
        <v>1</v>
      </c>
      <c r="K514" s="78" t="s">
        <v>1706</v>
      </c>
      <c r="L514" s="27" t="str">
        <f>_xlfn.XLOOKUP(Squads[[#This Row],[Current Club]],Clubs[Current Club],Clubs[Club_ID])</f>
        <v>ITA-06</v>
      </c>
      <c r="M514" s="27" t="str">
        <f>_xlfn.XLOOKUP(Squads[[#This Row],[National Team]],Football_Associations[Football Association],Football_Associations[World Cup Result])</f>
        <v>Quarter Finals</v>
      </c>
      <c r="N51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15" spans="1:14" ht="15" customHeight="1" x14ac:dyDescent="0.25">
      <c r="A515" s="33">
        <f t="shared" ref="A515:A578" si="8">A514+1</f>
        <v>1514</v>
      </c>
      <c r="B515" s="23" t="s">
        <v>4</v>
      </c>
      <c r="C515" s="23" t="str">
        <f>VLOOKUP(Squads[[#This Row],[National Team]],Qualified[],3,TRUE)</f>
        <v>Netherlands (NED)</v>
      </c>
      <c r="D515" s="25">
        <v>21</v>
      </c>
      <c r="E515" s="23" t="s">
        <v>139</v>
      </c>
      <c r="F515" s="23" t="s">
        <v>183</v>
      </c>
      <c r="G515" s="26">
        <v>35562</v>
      </c>
      <c r="H515" s="65">
        <f>DATEDIF(Squads[[#This Row],[Date Of Birth]],World_Cup_Start_Date,"Y")</f>
        <v>25</v>
      </c>
      <c r="I515" s="27">
        <v>45</v>
      </c>
      <c r="J515" s="27">
        <v>1</v>
      </c>
      <c r="K515" s="78" t="s">
        <v>1653</v>
      </c>
      <c r="L515" s="27" t="str">
        <f>_xlfn.XLOOKUP(Squads[[#This Row],[Current Club]],Clubs[Current Club],Clubs[Club_ID])</f>
        <v>ESP-01</v>
      </c>
      <c r="M515" s="27" t="str">
        <f>_xlfn.XLOOKUP(Squads[[#This Row],[National Team]],Football_Associations[Football Association],Football_Associations[World Cup Result])</f>
        <v>Quarter Finals</v>
      </c>
      <c r="N51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16" spans="1:14" ht="15" customHeight="1" x14ac:dyDescent="0.25">
      <c r="A516" s="33">
        <f t="shared" si="8"/>
        <v>1515</v>
      </c>
      <c r="B516" s="23" t="s">
        <v>4</v>
      </c>
      <c r="C516" s="23" t="str">
        <f>VLOOKUP(Squads[[#This Row],[National Team]],Qualified[],3,TRUE)</f>
        <v>Netherlands (NED)</v>
      </c>
      <c r="D516" s="25">
        <v>22</v>
      </c>
      <c r="E516" s="23" t="s">
        <v>135</v>
      </c>
      <c r="F516" s="23" t="s">
        <v>184</v>
      </c>
      <c r="G516" s="26">
        <v>35173</v>
      </c>
      <c r="H516" s="65">
        <f>DATEDIF(Squads[[#This Row],[Date Of Birth]],World_Cup_Start_Date,"Y")</f>
        <v>26</v>
      </c>
      <c r="I516" s="27">
        <v>37</v>
      </c>
      <c r="J516" s="27">
        <v>5</v>
      </c>
      <c r="K516" s="78" t="s">
        <v>1685</v>
      </c>
      <c r="L516" s="27" t="str">
        <f>_xlfn.XLOOKUP(Squads[[#This Row],[Current Club]],Clubs[Current Club],Clubs[Club_ID])</f>
        <v>ITA-03</v>
      </c>
      <c r="M516" s="27" t="str">
        <f>_xlfn.XLOOKUP(Squads[[#This Row],[National Team]],Football_Associations[Football Association],Football_Associations[World Cup Result])</f>
        <v>Quarter Finals</v>
      </c>
      <c r="N51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17" spans="1:14" ht="15" customHeight="1" x14ac:dyDescent="0.25">
      <c r="A517" s="33">
        <f t="shared" si="8"/>
        <v>1516</v>
      </c>
      <c r="B517" s="23" t="s">
        <v>4</v>
      </c>
      <c r="C517" s="23" t="str">
        <f>VLOOKUP(Squads[[#This Row],[National Team]],Qualified[],3,TRUE)</f>
        <v>Netherlands (NED)</v>
      </c>
      <c r="D517" s="25">
        <v>23</v>
      </c>
      <c r="E517" s="23" t="s">
        <v>133</v>
      </c>
      <c r="F517" s="23" t="s">
        <v>185</v>
      </c>
      <c r="G517" s="26">
        <v>34431</v>
      </c>
      <c r="H517" s="65">
        <f>DATEDIF(Squads[[#This Row],[Date Of Birth]],World_Cup_Start_Date,"Y")</f>
        <v>28</v>
      </c>
      <c r="I517" s="27">
        <v>0</v>
      </c>
      <c r="J517" s="27">
        <v>0</v>
      </c>
      <c r="K517" s="78" t="s">
        <v>1870</v>
      </c>
      <c r="L517" s="27" t="str">
        <f>_xlfn.XLOOKUP(Squads[[#This Row],[Current Club]],Clubs[Current Club],Clubs[Club_ID])</f>
        <v>NET-04</v>
      </c>
      <c r="M517" s="27" t="str">
        <f>_xlfn.XLOOKUP(Squads[[#This Row],[National Team]],Football_Associations[Football Association],Football_Associations[World Cup Result])</f>
        <v>Quarter Finals</v>
      </c>
      <c r="N51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18" spans="1:14" ht="15" customHeight="1" x14ac:dyDescent="0.25">
      <c r="A518" s="33">
        <f t="shared" si="8"/>
        <v>1517</v>
      </c>
      <c r="B518" s="23" t="s">
        <v>4</v>
      </c>
      <c r="C518" s="23" t="str">
        <f>VLOOKUP(Squads[[#This Row],[National Team]],Qualified[],3,TRUE)</f>
        <v>Netherlands (NED)</v>
      </c>
      <c r="D518" s="25">
        <v>24</v>
      </c>
      <c r="E518" s="23" t="s">
        <v>139</v>
      </c>
      <c r="F518" s="23" t="s">
        <v>186</v>
      </c>
      <c r="G518" s="26">
        <v>37392</v>
      </c>
      <c r="H518" s="65">
        <f>DATEDIF(Squads[[#This Row],[Date Of Birth]],World_Cup_Start_Date,"Y")</f>
        <v>20</v>
      </c>
      <c r="I518" s="27">
        <v>2</v>
      </c>
      <c r="J518" s="27">
        <v>0</v>
      </c>
      <c r="K518" s="78" t="s">
        <v>1662</v>
      </c>
      <c r="L518" s="27" t="str">
        <f>_xlfn.XLOOKUP(Squads[[#This Row],[Current Club]],Clubs[Current Club],Clubs[Club_ID])</f>
        <v>NET-01</v>
      </c>
      <c r="M518" s="27" t="str">
        <f>_xlfn.XLOOKUP(Squads[[#This Row],[National Team]],Football_Associations[Football Association],Football_Associations[World Cup Result])</f>
        <v>Quarter Finals</v>
      </c>
      <c r="N51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19" spans="1:14" ht="15" customHeight="1" x14ac:dyDescent="0.25">
      <c r="A519" s="33">
        <f t="shared" si="8"/>
        <v>1518</v>
      </c>
      <c r="B519" s="23" t="s">
        <v>4</v>
      </c>
      <c r="C519" s="23" t="str">
        <f>VLOOKUP(Squads[[#This Row],[National Team]],Qualified[],3,TRUE)</f>
        <v>Netherlands (NED)</v>
      </c>
      <c r="D519" s="25">
        <v>25</v>
      </c>
      <c r="E519" s="23" t="s">
        <v>139</v>
      </c>
      <c r="F519" s="23" t="s">
        <v>187</v>
      </c>
      <c r="G519" s="26">
        <v>37732</v>
      </c>
      <c r="H519" s="65">
        <f>DATEDIF(Squads[[#This Row],[Date Of Birth]],World_Cup_Start_Date,"Y")</f>
        <v>19</v>
      </c>
      <c r="I519" s="27">
        <v>0</v>
      </c>
      <c r="J519" s="27">
        <v>0</v>
      </c>
      <c r="K519" s="78" t="s">
        <v>1716</v>
      </c>
      <c r="L519" s="27" t="str">
        <f>_xlfn.XLOOKUP(Squads[[#This Row],[Current Club]],Clubs[Current Club],Clubs[Club_ID])</f>
        <v>NET-02</v>
      </c>
      <c r="M519" s="27" t="str">
        <f>_xlfn.XLOOKUP(Squads[[#This Row],[National Team]],Football_Associations[Football Association],Football_Associations[World Cup Result])</f>
        <v>Quarter Finals</v>
      </c>
      <c r="N51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20" spans="1:14" ht="15" customHeight="1" x14ac:dyDescent="0.25">
      <c r="A520" s="33">
        <f t="shared" si="8"/>
        <v>1519</v>
      </c>
      <c r="B520" s="23" t="s">
        <v>4</v>
      </c>
      <c r="C520" s="23" t="str">
        <f>VLOOKUP(Squads[[#This Row],[National Team]],Qualified[],3,TRUE)</f>
        <v>Netherlands (NED)</v>
      </c>
      <c r="D520" s="25">
        <v>26</v>
      </c>
      <c r="E520" s="23" t="s">
        <v>135</v>
      </c>
      <c r="F520" s="23" t="s">
        <v>188</v>
      </c>
      <c r="G520" s="26">
        <v>36870</v>
      </c>
      <c r="H520" s="65">
        <f>DATEDIF(Squads[[#This Row],[Date Of Birth]],World_Cup_Start_Date,"Y")</f>
        <v>21</v>
      </c>
      <c r="I520" s="27">
        <v>0</v>
      </c>
      <c r="J520" s="27">
        <v>0</v>
      </c>
      <c r="K520" s="78" t="s">
        <v>1707</v>
      </c>
      <c r="L520" s="27" t="str">
        <f>_xlfn.XLOOKUP(Squads[[#This Row],[Current Club]],Clubs[Current Club],Clubs[Club_ID])</f>
        <v>GER-07</v>
      </c>
      <c r="M520" s="27" t="str">
        <f>_xlfn.XLOOKUP(Squads[[#This Row],[National Team]],Football_Associations[Football Association],Football_Associations[World Cup Result])</f>
        <v>Quarter Finals</v>
      </c>
      <c r="N52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21" spans="1:14" ht="15" customHeight="1" x14ac:dyDescent="0.25">
      <c r="A521" s="33">
        <f t="shared" si="8"/>
        <v>1520</v>
      </c>
      <c r="B521" s="23" t="s">
        <v>19</v>
      </c>
      <c r="C521" s="23" t="str">
        <f>VLOOKUP(Squads[[#This Row],[National Team]],Qualified[],3,TRUE)</f>
        <v>Poland (POL)</v>
      </c>
      <c r="D521" s="25">
        <v>1</v>
      </c>
      <c r="E521" s="23" t="s">
        <v>133</v>
      </c>
      <c r="F521" s="23" t="s">
        <v>389</v>
      </c>
      <c r="G521" s="26">
        <v>32981</v>
      </c>
      <c r="H521" s="65">
        <f>DATEDIF(Squads[[#This Row],[Date Of Birth]],World_Cup_Start_Date,"Y")</f>
        <v>32</v>
      </c>
      <c r="I521" s="27">
        <v>66</v>
      </c>
      <c r="J521" s="27">
        <v>0</v>
      </c>
      <c r="K521" s="78" t="s">
        <v>1664</v>
      </c>
      <c r="L521" s="27" t="str">
        <f>_xlfn.XLOOKUP(Squads[[#This Row],[Current Club]],Clubs[Current Club],Clubs[Club_ID])</f>
        <v>ITA-01</v>
      </c>
      <c r="M521" s="27" t="str">
        <f>_xlfn.XLOOKUP(Squads[[#This Row],[National Team]],Football_Associations[Football Association],Football_Associations[World Cup Result])</f>
        <v>Last 16</v>
      </c>
      <c r="N52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22" spans="1:14" ht="15" customHeight="1" x14ac:dyDescent="0.25">
      <c r="A522" s="33">
        <f t="shared" si="8"/>
        <v>1521</v>
      </c>
      <c r="B522" s="23" t="s">
        <v>19</v>
      </c>
      <c r="C522" s="23" t="str">
        <f>VLOOKUP(Squads[[#This Row],[National Team]],Qualified[],3,TRUE)</f>
        <v>Poland (POL)</v>
      </c>
      <c r="D522" s="25">
        <v>2</v>
      </c>
      <c r="E522" s="23" t="s">
        <v>135</v>
      </c>
      <c r="F522" s="23" t="s">
        <v>390</v>
      </c>
      <c r="G522" s="26">
        <v>35649</v>
      </c>
      <c r="H522" s="65">
        <f>DATEDIF(Squads[[#This Row],[Date Of Birth]],World_Cup_Start_Date,"Y")</f>
        <v>25</v>
      </c>
      <c r="I522" s="27">
        <v>7</v>
      </c>
      <c r="J522" s="27">
        <v>1</v>
      </c>
      <c r="K522" s="78" t="s">
        <v>1705</v>
      </c>
      <c r="L522" s="27" t="str">
        <f>_xlfn.XLOOKUP(Squads[[#This Row],[Current Club]],Clubs[Current Club],Clubs[Club_ID])</f>
        <v>ENG-15</v>
      </c>
      <c r="M522" s="27" t="str">
        <f>_xlfn.XLOOKUP(Squads[[#This Row],[National Team]],Football_Associations[Football Association],Football_Associations[World Cup Result])</f>
        <v>Last 16</v>
      </c>
      <c r="N52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23" spans="1:14" ht="15" customHeight="1" x14ac:dyDescent="0.25">
      <c r="A523" s="33">
        <f t="shared" si="8"/>
        <v>1522</v>
      </c>
      <c r="B523" s="23" t="s">
        <v>19</v>
      </c>
      <c r="C523" s="23" t="str">
        <f>VLOOKUP(Squads[[#This Row],[National Team]],Qualified[],3,TRUE)</f>
        <v>Poland (POL)</v>
      </c>
      <c r="D523" s="25">
        <v>3</v>
      </c>
      <c r="E523" s="23" t="s">
        <v>135</v>
      </c>
      <c r="F523" s="23" t="s">
        <v>391</v>
      </c>
      <c r="G523" s="26">
        <v>32085</v>
      </c>
      <c r="H523" s="65">
        <f>DATEDIF(Squads[[#This Row],[Date Of Birth]],World_Cup_Start_Date,"Y")</f>
        <v>35</v>
      </c>
      <c r="I523" s="27">
        <v>40</v>
      </c>
      <c r="J523" s="27">
        <v>3</v>
      </c>
      <c r="K523" s="78" t="s">
        <v>1785</v>
      </c>
      <c r="L523" s="27" t="str">
        <f>_xlfn.XLOOKUP(Squads[[#This Row],[Current Club]],Clubs[Current Club],Clubs[Club_ID])</f>
        <v>POL-01</v>
      </c>
      <c r="M523" s="27" t="str">
        <f>_xlfn.XLOOKUP(Squads[[#This Row],[National Team]],Football_Associations[Football Association],Football_Associations[World Cup Result])</f>
        <v>Last 16</v>
      </c>
      <c r="N52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24" spans="1:14" ht="15" customHeight="1" x14ac:dyDescent="0.25">
      <c r="A524" s="33">
        <f t="shared" si="8"/>
        <v>1523</v>
      </c>
      <c r="B524" s="23" t="s">
        <v>19</v>
      </c>
      <c r="C524" s="23" t="str">
        <f>VLOOKUP(Squads[[#This Row],[National Team]],Qualified[],3,TRUE)</f>
        <v>Poland (POL)</v>
      </c>
      <c r="D524" s="25">
        <v>4</v>
      </c>
      <c r="E524" s="23" t="s">
        <v>135</v>
      </c>
      <c r="F524" s="23" t="s">
        <v>392</v>
      </c>
      <c r="G524" s="26">
        <v>35472</v>
      </c>
      <c r="H524" s="65">
        <f>DATEDIF(Squads[[#This Row],[Date Of Birth]],World_Cup_Start_Date,"Y")</f>
        <v>25</v>
      </c>
      <c r="I524" s="27">
        <v>2</v>
      </c>
      <c r="J524" s="27">
        <v>0</v>
      </c>
      <c r="K524" s="78" t="s">
        <v>1773</v>
      </c>
      <c r="L524" s="27" t="str">
        <f>_xlfn.XLOOKUP(Squads[[#This Row],[Current Club]],Clubs[Current Club],Clubs[Club_ID])</f>
        <v>FRA-07</v>
      </c>
      <c r="M524" s="27" t="str">
        <f>_xlfn.XLOOKUP(Squads[[#This Row],[National Team]],Football_Associations[Football Association],Football_Associations[World Cup Result])</f>
        <v>Last 16</v>
      </c>
      <c r="N52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25" spans="1:14" ht="15" customHeight="1" x14ac:dyDescent="0.25">
      <c r="A525" s="33">
        <f t="shared" si="8"/>
        <v>1524</v>
      </c>
      <c r="B525" s="23" t="s">
        <v>19</v>
      </c>
      <c r="C525" s="23" t="str">
        <f>VLOOKUP(Squads[[#This Row],[National Team]],Qualified[],3,TRUE)</f>
        <v>Poland (POL)</v>
      </c>
      <c r="D525" s="25">
        <v>5</v>
      </c>
      <c r="E525" s="23" t="s">
        <v>135</v>
      </c>
      <c r="F525" s="23" t="s">
        <v>393</v>
      </c>
      <c r="G525" s="26">
        <v>35167</v>
      </c>
      <c r="H525" s="65">
        <f>DATEDIF(Squads[[#This Row],[Date Of Birth]],World_Cup_Start_Date,"Y")</f>
        <v>26</v>
      </c>
      <c r="I525" s="27">
        <v>45</v>
      </c>
      <c r="J525" s="27">
        <v>1</v>
      </c>
      <c r="K525" s="78" t="s">
        <v>1705</v>
      </c>
      <c r="L525" s="27" t="str">
        <f>_xlfn.XLOOKUP(Squads[[#This Row],[Current Club]],Clubs[Current Club],Clubs[Club_ID])</f>
        <v>ENG-15</v>
      </c>
      <c r="M525" s="27" t="str">
        <f>_xlfn.XLOOKUP(Squads[[#This Row],[National Team]],Football_Associations[Football Association],Football_Associations[World Cup Result])</f>
        <v>Last 16</v>
      </c>
      <c r="N52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26" spans="1:14" ht="15" customHeight="1" x14ac:dyDescent="0.25">
      <c r="A526" s="33">
        <f t="shared" si="8"/>
        <v>1525</v>
      </c>
      <c r="B526" s="23" t="s">
        <v>19</v>
      </c>
      <c r="C526" s="23" t="str">
        <f>VLOOKUP(Squads[[#This Row],[National Team]],Qualified[],3,TRUE)</f>
        <v>Poland (POL)</v>
      </c>
      <c r="D526" s="25">
        <v>6</v>
      </c>
      <c r="E526" s="23" t="s">
        <v>139</v>
      </c>
      <c r="F526" s="23" t="s">
        <v>394</v>
      </c>
      <c r="G526" s="26">
        <v>35799</v>
      </c>
      <c r="H526" s="65">
        <f>DATEDIF(Squads[[#This Row],[Date Of Birth]],World_Cup_Start_Date,"Y")</f>
        <v>24</v>
      </c>
      <c r="I526" s="27">
        <v>5</v>
      </c>
      <c r="J526" s="27">
        <v>0</v>
      </c>
      <c r="K526" s="78" t="s">
        <v>1765</v>
      </c>
      <c r="L526" s="27" t="str">
        <f>_xlfn.XLOOKUP(Squads[[#This Row],[Current Club]],Clubs[Current Club],Clubs[Club_ID])</f>
        <v>ENG-20</v>
      </c>
      <c r="M526" s="27" t="str">
        <f>_xlfn.XLOOKUP(Squads[[#This Row],[National Team]],Football_Associations[Football Association],Football_Associations[World Cup Result])</f>
        <v>Last 16</v>
      </c>
      <c r="N52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27" spans="1:14" ht="15" customHeight="1" x14ac:dyDescent="0.25">
      <c r="A527" s="33">
        <f t="shared" si="8"/>
        <v>1526</v>
      </c>
      <c r="B527" s="23" t="s">
        <v>19</v>
      </c>
      <c r="C527" s="23" t="str">
        <f>VLOOKUP(Squads[[#This Row],[National Team]],Qualified[],3,TRUE)</f>
        <v>Poland (POL)</v>
      </c>
      <c r="D527" s="25">
        <v>7</v>
      </c>
      <c r="E527" s="23" t="s">
        <v>146</v>
      </c>
      <c r="F527" s="23" t="s">
        <v>395</v>
      </c>
      <c r="G527" s="26">
        <v>34393</v>
      </c>
      <c r="H527" s="65">
        <f>DATEDIF(Squads[[#This Row],[Date Of Birth]],World_Cup_Start_Date,"Y")</f>
        <v>28</v>
      </c>
      <c r="I527" s="27">
        <v>64</v>
      </c>
      <c r="J527" s="27">
        <v>16</v>
      </c>
      <c r="K527" s="78" t="s">
        <v>1664</v>
      </c>
      <c r="L527" s="27" t="str">
        <f>_xlfn.XLOOKUP(Squads[[#This Row],[Current Club]],Clubs[Current Club],Clubs[Club_ID])</f>
        <v>ITA-01</v>
      </c>
      <c r="M527" s="27" t="str">
        <f>_xlfn.XLOOKUP(Squads[[#This Row],[National Team]],Football_Associations[Football Association],Football_Associations[World Cup Result])</f>
        <v>Last 16</v>
      </c>
      <c r="N52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28" spans="1:14" ht="15" customHeight="1" x14ac:dyDescent="0.25">
      <c r="A528" s="33">
        <f t="shared" si="8"/>
        <v>1527</v>
      </c>
      <c r="B528" s="23" t="s">
        <v>19</v>
      </c>
      <c r="C528" s="23" t="str">
        <f>VLOOKUP(Squads[[#This Row],[National Team]],Qualified[],3,TRUE)</f>
        <v>Poland (POL)</v>
      </c>
      <c r="D528" s="25">
        <v>8</v>
      </c>
      <c r="E528" s="23" t="s">
        <v>139</v>
      </c>
      <c r="F528" s="23" t="s">
        <v>396</v>
      </c>
      <c r="G528" s="26">
        <v>34866</v>
      </c>
      <c r="H528" s="65">
        <f>DATEDIF(Squads[[#This Row],[Date Of Birth]],World_Cup_Start_Date,"Y")</f>
        <v>27</v>
      </c>
      <c r="I528" s="27">
        <v>9</v>
      </c>
      <c r="J528" s="27">
        <v>1</v>
      </c>
      <c r="K528" s="78" t="s">
        <v>1689</v>
      </c>
      <c r="L528" s="27" t="str">
        <f>_xlfn.XLOOKUP(Squads[[#This Row],[Current Club]],Clubs[Current Club],Clubs[Club_ID])</f>
        <v>GRE-01</v>
      </c>
      <c r="M528" s="27" t="str">
        <f>_xlfn.XLOOKUP(Squads[[#This Row],[National Team]],Football_Associations[Football Association],Football_Associations[World Cup Result])</f>
        <v>Last 16</v>
      </c>
      <c r="N52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29" spans="1:14" ht="15" customHeight="1" x14ac:dyDescent="0.25">
      <c r="A529" s="33">
        <f t="shared" si="8"/>
        <v>1528</v>
      </c>
      <c r="B529" s="23" t="s">
        <v>19</v>
      </c>
      <c r="C529" s="23" t="str">
        <f>VLOOKUP(Squads[[#This Row],[National Team]],Qualified[],3,TRUE)</f>
        <v>Poland (POL)</v>
      </c>
      <c r="D529" s="25">
        <v>9</v>
      </c>
      <c r="E529" s="23" t="s">
        <v>146</v>
      </c>
      <c r="F529" s="27" t="s">
        <v>948</v>
      </c>
      <c r="G529" s="26">
        <v>32376</v>
      </c>
      <c r="H529" s="65">
        <f>DATEDIF(Squads[[#This Row],[Date Of Birth]],World_Cup_Start_Date,"Y")</f>
        <v>34</v>
      </c>
      <c r="I529" s="27">
        <v>134</v>
      </c>
      <c r="J529" s="27">
        <v>76</v>
      </c>
      <c r="K529" s="78" t="s">
        <v>1653</v>
      </c>
      <c r="L529" s="27" t="str">
        <f>_xlfn.XLOOKUP(Squads[[#This Row],[Current Club]],Clubs[Current Club],Clubs[Club_ID])</f>
        <v>ESP-01</v>
      </c>
      <c r="M529" s="27" t="str">
        <f>_xlfn.XLOOKUP(Squads[[#This Row],[National Team]],Football_Associations[Football Association],Football_Associations[World Cup Result])</f>
        <v>Last 16</v>
      </c>
      <c r="N52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30" spans="1:14" ht="15" customHeight="1" x14ac:dyDescent="0.25">
      <c r="A530" s="33">
        <f t="shared" si="8"/>
        <v>1529</v>
      </c>
      <c r="B530" s="23" t="s">
        <v>19</v>
      </c>
      <c r="C530" s="23" t="str">
        <f>VLOOKUP(Squads[[#This Row],[National Team]],Qualified[],3,TRUE)</f>
        <v>Poland (POL)</v>
      </c>
      <c r="D530" s="25">
        <v>10</v>
      </c>
      <c r="E530" s="23" t="s">
        <v>139</v>
      </c>
      <c r="F530" s="23" t="s">
        <v>397</v>
      </c>
      <c r="G530" s="26">
        <v>32902</v>
      </c>
      <c r="H530" s="65">
        <f>DATEDIF(Squads[[#This Row],[Date Of Birth]],World_Cup_Start_Date,"Y")</f>
        <v>32</v>
      </c>
      <c r="I530" s="27">
        <v>94</v>
      </c>
      <c r="J530" s="27">
        <v>5</v>
      </c>
      <c r="K530" s="78" t="s">
        <v>1690</v>
      </c>
      <c r="L530" s="27" t="str">
        <f>_xlfn.XLOOKUP(Squads[[#This Row],[Current Club]],Clubs[Current Club],Clubs[Club_ID])</f>
        <v>SAU-03</v>
      </c>
      <c r="M530" s="27" t="str">
        <f>_xlfn.XLOOKUP(Squads[[#This Row],[National Team]],Football_Associations[Football Association],Football_Associations[World Cup Result])</f>
        <v>Last 16</v>
      </c>
      <c r="N53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31" spans="1:14" ht="15" customHeight="1" x14ac:dyDescent="0.25">
      <c r="A531" s="33">
        <f t="shared" si="8"/>
        <v>1530</v>
      </c>
      <c r="B531" s="23" t="s">
        <v>19</v>
      </c>
      <c r="C531" s="23" t="str">
        <f>VLOOKUP(Squads[[#This Row],[National Team]],Qualified[],3,TRUE)</f>
        <v>Poland (POL)</v>
      </c>
      <c r="D531" s="25">
        <v>11</v>
      </c>
      <c r="E531" s="23" t="s">
        <v>139</v>
      </c>
      <c r="F531" s="23" t="s">
        <v>398</v>
      </c>
      <c r="G531" s="26">
        <v>32302</v>
      </c>
      <c r="H531" s="65">
        <f>DATEDIF(Squads[[#This Row],[Date Of Birth]],World_Cup_Start_Date,"Y")</f>
        <v>34</v>
      </c>
      <c r="I531" s="27">
        <v>87</v>
      </c>
      <c r="J531" s="27">
        <v>17</v>
      </c>
      <c r="K531" s="78" t="s">
        <v>1908</v>
      </c>
      <c r="L531" s="27" t="str">
        <f>_xlfn.XLOOKUP(Squads[[#This Row],[Current Club]],Clubs[Current Club],Clubs[Club_ID])</f>
        <v>POL-03</v>
      </c>
      <c r="M531" s="27" t="str">
        <f>_xlfn.XLOOKUP(Squads[[#This Row],[National Team]],Football_Associations[Football Association],Football_Associations[World Cup Result])</f>
        <v>Last 16</v>
      </c>
      <c r="N53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32" spans="1:14" ht="15" customHeight="1" x14ac:dyDescent="0.25">
      <c r="A532" s="33">
        <f t="shared" si="8"/>
        <v>1531</v>
      </c>
      <c r="B532" s="23" t="s">
        <v>19</v>
      </c>
      <c r="C532" s="23" t="str">
        <f>VLOOKUP(Squads[[#This Row],[National Team]],Qualified[],3,TRUE)</f>
        <v>Poland (POL)</v>
      </c>
      <c r="D532" s="25">
        <v>12</v>
      </c>
      <c r="E532" s="23" t="s">
        <v>133</v>
      </c>
      <c r="F532" s="23" t="s">
        <v>399</v>
      </c>
      <c r="G532" s="26">
        <v>33363</v>
      </c>
      <c r="H532" s="65">
        <f>DATEDIF(Squads[[#This Row],[Date Of Birth]],World_Cup_Start_Date,"Y")</f>
        <v>31</v>
      </c>
      <c r="I532" s="27">
        <v>8</v>
      </c>
      <c r="J532" s="27">
        <v>0</v>
      </c>
      <c r="K532" s="78" t="s">
        <v>1766</v>
      </c>
      <c r="L532" s="27" t="str">
        <f>_xlfn.XLOOKUP(Squads[[#This Row],[Current Club]],Clubs[Current Club],Clubs[Club_ID])</f>
        <v>ITA-12</v>
      </c>
      <c r="M532" s="27" t="str">
        <f>_xlfn.XLOOKUP(Squads[[#This Row],[National Team]],Football_Associations[Football Association],Football_Associations[World Cup Result])</f>
        <v>Last 16</v>
      </c>
      <c r="N53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33" spans="1:14" ht="15" customHeight="1" x14ac:dyDescent="0.25">
      <c r="A533" s="33">
        <f t="shared" si="8"/>
        <v>1532</v>
      </c>
      <c r="B533" s="23" t="s">
        <v>19</v>
      </c>
      <c r="C533" s="23" t="str">
        <f>VLOOKUP(Squads[[#This Row],[National Team]],Qualified[],3,TRUE)</f>
        <v>Poland (POL)</v>
      </c>
      <c r="D533" s="25">
        <v>13</v>
      </c>
      <c r="E533" s="23" t="s">
        <v>139</v>
      </c>
      <c r="F533" s="23" t="s">
        <v>400</v>
      </c>
      <c r="G533" s="26">
        <v>37412</v>
      </c>
      <c r="H533" s="65">
        <f>DATEDIF(Squads[[#This Row],[Date Of Birth]],World_Cup_Start_Date,"Y")</f>
        <v>20</v>
      </c>
      <c r="I533" s="27">
        <v>4</v>
      </c>
      <c r="J533" s="27">
        <v>1</v>
      </c>
      <c r="K533" s="78" t="s">
        <v>1751</v>
      </c>
      <c r="L533" s="27" t="str">
        <f>_xlfn.XLOOKUP(Squads[[#This Row],[Current Club]],Clubs[Current Club],Clubs[Club_ID])</f>
        <v>GER-11</v>
      </c>
      <c r="M533" s="27" t="str">
        <f>_xlfn.XLOOKUP(Squads[[#This Row],[National Team]],Football_Associations[Football Association],Football_Associations[World Cup Result])</f>
        <v>Last 16</v>
      </c>
      <c r="N53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34" spans="1:14" ht="15" customHeight="1" x14ac:dyDescent="0.25">
      <c r="A534" s="33">
        <f t="shared" si="8"/>
        <v>1533</v>
      </c>
      <c r="B534" s="23" t="s">
        <v>19</v>
      </c>
      <c r="C534" s="23" t="str">
        <f>VLOOKUP(Squads[[#This Row],[National Team]],Qualified[],3,TRUE)</f>
        <v>Poland (POL)</v>
      </c>
      <c r="D534" s="25">
        <v>14</v>
      </c>
      <c r="E534" s="23" t="s">
        <v>135</v>
      </c>
      <c r="F534" s="23" t="s">
        <v>401</v>
      </c>
      <c r="G534" s="26">
        <v>36571</v>
      </c>
      <c r="H534" s="65">
        <f>DATEDIF(Squads[[#This Row],[Date Of Birth]],World_Cup_Start_Date,"Y")</f>
        <v>22</v>
      </c>
      <c r="I534" s="27">
        <v>5</v>
      </c>
      <c r="J534" s="27">
        <v>0</v>
      </c>
      <c r="K534" s="78" t="s">
        <v>1803</v>
      </c>
      <c r="L534" s="27" t="str">
        <f>_xlfn.XLOOKUP(Squads[[#This Row],[Current Club]],Clubs[Current Club],Clubs[Club_ID])</f>
        <v>ITA-14</v>
      </c>
      <c r="M534" s="27" t="str">
        <f>_xlfn.XLOOKUP(Squads[[#This Row],[National Team]],Football_Associations[Football Association],Football_Associations[World Cup Result])</f>
        <v>Last 16</v>
      </c>
      <c r="N53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35" spans="1:14" ht="15" customHeight="1" x14ac:dyDescent="0.25">
      <c r="A535" s="33">
        <f t="shared" si="8"/>
        <v>1534</v>
      </c>
      <c r="B535" s="23" t="s">
        <v>19</v>
      </c>
      <c r="C535" s="23" t="str">
        <f>VLOOKUP(Squads[[#This Row],[National Team]],Qualified[],3,TRUE)</f>
        <v>Poland (POL)</v>
      </c>
      <c r="D535" s="25">
        <v>15</v>
      </c>
      <c r="E535" s="23" t="s">
        <v>135</v>
      </c>
      <c r="F535" s="23" t="s">
        <v>402</v>
      </c>
      <c r="G535" s="26">
        <v>32176</v>
      </c>
      <c r="H535" s="65">
        <f>DATEDIF(Squads[[#This Row],[Date Of Birth]],World_Cup_Start_Date,"Y")</f>
        <v>34</v>
      </c>
      <c r="I535" s="27">
        <v>99</v>
      </c>
      <c r="J535" s="27">
        <v>6</v>
      </c>
      <c r="K535" s="78" t="s">
        <v>1831</v>
      </c>
      <c r="L535" s="27" t="str">
        <f>_xlfn.XLOOKUP(Squads[[#This Row],[Current Club]],Clubs[Current Club],Clubs[Club_ID])</f>
        <v>ITA-16</v>
      </c>
      <c r="M535" s="27" t="str">
        <f>_xlfn.XLOOKUP(Squads[[#This Row],[National Team]],Football_Associations[Football Association],Football_Associations[World Cup Result])</f>
        <v>Last 16</v>
      </c>
      <c r="N53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36" spans="1:14" ht="15" customHeight="1" x14ac:dyDescent="0.25">
      <c r="A536" s="33">
        <f t="shared" si="8"/>
        <v>1535</v>
      </c>
      <c r="B536" s="23" t="s">
        <v>19</v>
      </c>
      <c r="C536" s="23" t="str">
        <f>VLOOKUP(Squads[[#This Row],[National Team]],Qualified[],3,TRUE)</f>
        <v>Poland (POL)</v>
      </c>
      <c r="D536" s="25">
        <v>16</v>
      </c>
      <c r="E536" s="23" t="s">
        <v>146</v>
      </c>
      <c r="F536" s="23" t="s">
        <v>403</v>
      </c>
      <c r="G536" s="26">
        <v>35453</v>
      </c>
      <c r="H536" s="65">
        <f>DATEDIF(Squads[[#This Row],[Date Of Birth]],World_Cup_Start_Date,"Y")</f>
        <v>25</v>
      </c>
      <c r="I536" s="27">
        <v>18</v>
      </c>
      <c r="J536" s="27">
        <v>8</v>
      </c>
      <c r="K536" s="78" t="s">
        <v>1840</v>
      </c>
      <c r="L536" s="27" t="str">
        <f>_xlfn.XLOOKUP(Squads[[#This Row],[Current Club]],Clubs[Current Club],Clubs[Club_ID])</f>
        <v>USA-07</v>
      </c>
      <c r="M536" s="27" t="str">
        <f>_xlfn.XLOOKUP(Squads[[#This Row],[National Team]],Football_Associations[Football Association],Football_Associations[World Cup Result])</f>
        <v>Last 16</v>
      </c>
      <c r="N53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37" spans="1:14" ht="15" customHeight="1" x14ac:dyDescent="0.25">
      <c r="A537" s="33">
        <f t="shared" si="8"/>
        <v>1536</v>
      </c>
      <c r="B537" s="23" t="s">
        <v>19</v>
      </c>
      <c r="C537" s="23" t="str">
        <f>VLOOKUP(Squads[[#This Row],[National Team]],Qualified[],3,TRUE)</f>
        <v>Poland (POL)</v>
      </c>
      <c r="D537" s="25">
        <v>17</v>
      </c>
      <c r="E537" s="23" t="s">
        <v>139</v>
      </c>
      <c r="F537" s="23" t="s">
        <v>404</v>
      </c>
      <c r="G537" s="26">
        <v>35698</v>
      </c>
      <c r="H537" s="65">
        <f>DATEDIF(Squads[[#This Row],[Date Of Birth]],World_Cup_Start_Date,"Y")</f>
        <v>25</v>
      </c>
      <c r="I537" s="27">
        <v>7</v>
      </c>
      <c r="J537" s="27">
        <v>0</v>
      </c>
      <c r="K537" s="78" t="s">
        <v>1711</v>
      </c>
      <c r="L537" s="27" t="str">
        <f>_xlfn.XLOOKUP(Squads[[#This Row],[Current Club]],Clubs[Current Club],Clubs[Club_ID])</f>
        <v>ITA-07</v>
      </c>
      <c r="M537" s="27" t="str">
        <f>_xlfn.XLOOKUP(Squads[[#This Row],[National Team]],Football_Associations[Football Association],Football_Associations[World Cup Result])</f>
        <v>Last 16</v>
      </c>
      <c r="N53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38" spans="1:14" ht="15" customHeight="1" x14ac:dyDescent="0.25">
      <c r="A538" s="33">
        <f t="shared" si="8"/>
        <v>1537</v>
      </c>
      <c r="B538" s="23" t="s">
        <v>19</v>
      </c>
      <c r="C538" s="23" t="str">
        <f>VLOOKUP(Squads[[#This Row],[National Team]],Qualified[],3,TRUE)</f>
        <v>Poland (POL)</v>
      </c>
      <c r="D538" s="25">
        <v>18</v>
      </c>
      <c r="E538" s="23" t="s">
        <v>135</v>
      </c>
      <c r="F538" s="23" t="s">
        <v>405</v>
      </c>
      <c r="G538" s="26">
        <v>33797</v>
      </c>
      <c r="H538" s="65">
        <f>DATEDIF(Squads[[#This Row],[Date Of Birth]],World_Cup_Start_Date,"Y")</f>
        <v>30</v>
      </c>
      <c r="I538" s="27">
        <v>46</v>
      </c>
      <c r="J538" s="27">
        <v>0</v>
      </c>
      <c r="K538" s="78" t="s">
        <v>1745</v>
      </c>
      <c r="L538" s="27" t="str">
        <f>_xlfn.XLOOKUP(Squads[[#This Row],[Current Club]],Clubs[Current Club],Clubs[Club_ID])</f>
        <v>ITA-11</v>
      </c>
      <c r="M538" s="27" t="str">
        <f>_xlfn.XLOOKUP(Squads[[#This Row],[National Team]],Football_Associations[Football Association],Football_Associations[World Cup Result])</f>
        <v>Last 16</v>
      </c>
      <c r="N53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39" spans="1:14" ht="15" customHeight="1" x14ac:dyDescent="0.25">
      <c r="A539" s="33">
        <f t="shared" si="8"/>
        <v>1538</v>
      </c>
      <c r="B539" s="23" t="s">
        <v>19</v>
      </c>
      <c r="C539" s="23" t="str">
        <f>VLOOKUP(Squads[[#This Row],[National Team]],Qualified[],3,TRUE)</f>
        <v>Poland (POL)</v>
      </c>
      <c r="D539" s="25">
        <v>19</v>
      </c>
      <c r="E539" s="23" t="s">
        <v>139</v>
      </c>
      <c r="F539" s="23" t="s">
        <v>406</v>
      </c>
      <c r="G539" s="26">
        <v>36290</v>
      </c>
      <c r="H539" s="65">
        <f>DATEDIF(Squads[[#This Row],[Date Of Birth]],World_Cup_Start_Date,"Y")</f>
        <v>23</v>
      </c>
      <c r="I539" s="27">
        <v>18</v>
      </c>
      <c r="J539" s="27">
        <v>1</v>
      </c>
      <c r="K539" s="78" t="s">
        <v>1733</v>
      </c>
      <c r="L539" s="27" t="str">
        <f>_xlfn.XLOOKUP(Squads[[#This Row],[Current Club]],Clubs[Current Club],Clubs[Club_ID])</f>
        <v>NET-03</v>
      </c>
      <c r="M539" s="27" t="str">
        <f>_xlfn.XLOOKUP(Squads[[#This Row],[National Team]],Football_Associations[Football Association],Football_Associations[World Cup Result])</f>
        <v>Last 16</v>
      </c>
      <c r="N53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40" spans="1:14" ht="15" customHeight="1" x14ac:dyDescent="0.25">
      <c r="A540" s="33">
        <f t="shared" si="8"/>
        <v>1539</v>
      </c>
      <c r="B540" s="23" t="s">
        <v>19</v>
      </c>
      <c r="C540" s="23" t="str">
        <f>VLOOKUP(Squads[[#This Row],[National Team]],Qualified[],3,TRUE)</f>
        <v>Poland (POL)</v>
      </c>
      <c r="D540" s="25">
        <v>20</v>
      </c>
      <c r="E540" s="23" t="s">
        <v>139</v>
      </c>
      <c r="F540" s="23" t="s">
        <v>407</v>
      </c>
      <c r="G540" s="26">
        <v>34474</v>
      </c>
      <c r="H540" s="65">
        <f>DATEDIF(Squads[[#This Row],[Date Of Birth]],World_Cup_Start_Date,"Y")</f>
        <v>28</v>
      </c>
      <c r="I540" s="27">
        <v>74</v>
      </c>
      <c r="J540" s="27">
        <v>9</v>
      </c>
      <c r="K540" s="78" t="s">
        <v>1696</v>
      </c>
      <c r="L540" s="27" t="str">
        <f>_xlfn.XLOOKUP(Squads[[#This Row],[Current Club]],Clubs[Current Club],Clubs[Club_ID])</f>
        <v>ITA-04</v>
      </c>
      <c r="M540" s="27" t="str">
        <f>_xlfn.XLOOKUP(Squads[[#This Row],[National Team]],Football_Associations[Football Association],Football_Associations[World Cup Result])</f>
        <v>Last 16</v>
      </c>
      <c r="N54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41" spans="1:14" ht="15" customHeight="1" x14ac:dyDescent="0.25">
      <c r="A541" s="33">
        <f t="shared" si="8"/>
        <v>1540</v>
      </c>
      <c r="B541" s="23" t="s">
        <v>19</v>
      </c>
      <c r="C541" s="23" t="str">
        <f>VLOOKUP(Squads[[#This Row],[National Team]],Qualified[],3,TRUE)</f>
        <v>Poland (POL)</v>
      </c>
      <c r="D541" s="25">
        <v>21</v>
      </c>
      <c r="E541" s="23" t="s">
        <v>139</v>
      </c>
      <c r="F541" s="23" t="s">
        <v>408</v>
      </c>
      <c r="G541" s="26">
        <v>37279</v>
      </c>
      <c r="H541" s="65">
        <f>DATEDIF(Squads[[#This Row],[Date Of Birth]],World_Cup_Start_Date,"Y")</f>
        <v>20</v>
      </c>
      <c r="I541" s="27">
        <v>7</v>
      </c>
      <c r="J541" s="27">
        <v>0</v>
      </c>
      <c r="K541" s="78" t="s">
        <v>1718</v>
      </c>
      <c r="L541" s="27" t="str">
        <f>_xlfn.XLOOKUP(Squads[[#This Row],[Current Club]],Clubs[Current Club],Clubs[Club_ID])</f>
        <v>ITA-09</v>
      </c>
      <c r="M541" s="27" t="str">
        <f>_xlfn.XLOOKUP(Squads[[#This Row],[National Team]],Football_Associations[Football Association],Football_Associations[World Cup Result])</f>
        <v>Last 16</v>
      </c>
      <c r="N54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42" spans="1:14" ht="15" customHeight="1" x14ac:dyDescent="0.25">
      <c r="A542" s="33">
        <f t="shared" si="8"/>
        <v>1541</v>
      </c>
      <c r="B542" s="23" t="s">
        <v>19</v>
      </c>
      <c r="C542" s="23" t="str">
        <f>VLOOKUP(Squads[[#This Row],[National Team]],Qualified[],3,TRUE)</f>
        <v>Poland (POL)</v>
      </c>
      <c r="D542" s="25">
        <v>22</v>
      </c>
      <c r="E542" s="23" t="s">
        <v>133</v>
      </c>
      <c r="F542" s="23" t="s">
        <v>409</v>
      </c>
      <c r="G542" s="26">
        <v>36168</v>
      </c>
      <c r="H542" s="65">
        <f>DATEDIF(Squads[[#This Row],[Date Of Birth]],World_Cup_Start_Date,"Y")</f>
        <v>23</v>
      </c>
      <c r="I542" s="27">
        <v>1</v>
      </c>
      <c r="J542" s="27">
        <v>0</v>
      </c>
      <c r="K542" s="78" t="s">
        <v>1728</v>
      </c>
      <c r="L542" s="27" t="str">
        <f>_xlfn.XLOOKUP(Squads[[#This Row],[Current Club]],Clubs[Current Club],Clubs[Club_ID])</f>
        <v>DEN-01</v>
      </c>
      <c r="M542" s="27" t="str">
        <f>_xlfn.XLOOKUP(Squads[[#This Row],[National Team]],Football_Associations[Football Association],Football_Associations[World Cup Result])</f>
        <v>Last 16</v>
      </c>
      <c r="N54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43" spans="1:14" ht="15" customHeight="1" x14ac:dyDescent="0.25">
      <c r="A543" s="33">
        <f t="shared" si="8"/>
        <v>1542</v>
      </c>
      <c r="B543" s="23" t="s">
        <v>19</v>
      </c>
      <c r="C543" s="23" t="str">
        <f>VLOOKUP(Squads[[#This Row],[National Team]],Qualified[],3,TRUE)</f>
        <v>Poland (POL)</v>
      </c>
      <c r="D543" s="25">
        <v>23</v>
      </c>
      <c r="E543" s="23" t="s">
        <v>146</v>
      </c>
      <c r="F543" s="23" t="s">
        <v>410</v>
      </c>
      <c r="G543" s="26">
        <v>34881</v>
      </c>
      <c r="H543" s="65">
        <f>DATEDIF(Squads[[#This Row],[Date Of Birth]],World_Cup_Start_Date,"Y")</f>
        <v>27</v>
      </c>
      <c r="I543" s="27">
        <v>25</v>
      </c>
      <c r="J543" s="27">
        <v>11</v>
      </c>
      <c r="K543" s="78" t="s">
        <v>1744</v>
      </c>
      <c r="L543" s="27" t="str">
        <f>_xlfn.XLOOKUP(Squads[[#This Row],[Current Club]],Clubs[Current Club],Clubs[Club_ID])</f>
        <v>ITA-10</v>
      </c>
      <c r="M543" s="27" t="str">
        <f>_xlfn.XLOOKUP(Squads[[#This Row],[National Team]],Football_Associations[Football Association],Football_Associations[World Cup Result])</f>
        <v>Last 16</v>
      </c>
      <c r="N54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44" spans="1:14" ht="15" customHeight="1" x14ac:dyDescent="0.25">
      <c r="A544" s="33">
        <f t="shared" si="8"/>
        <v>1543</v>
      </c>
      <c r="B544" s="23" t="s">
        <v>19</v>
      </c>
      <c r="C544" s="23" t="str">
        <f>VLOOKUP(Squads[[#This Row],[National Team]],Qualified[],3,TRUE)</f>
        <v>Poland (POL)</v>
      </c>
      <c r="D544" s="25">
        <v>24</v>
      </c>
      <c r="E544" s="23" t="s">
        <v>139</v>
      </c>
      <c r="F544" s="23" t="s">
        <v>411</v>
      </c>
      <c r="G544" s="26">
        <v>34801</v>
      </c>
      <c r="H544" s="65">
        <f>DATEDIF(Squads[[#This Row],[Date Of Birth]],World_Cup_Start_Date,"Y")</f>
        <v>27</v>
      </c>
      <c r="I544" s="27">
        <v>26</v>
      </c>
      <c r="J544" s="27">
        <v>1</v>
      </c>
      <c r="K544" s="78" t="s">
        <v>1737</v>
      </c>
      <c r="L544" s="27" t="str">
        <f>_xlfn.XLOOKUP(Squads[[#This Row],[Current Club]],Clubs[Current Club],Clubs[Club_ID])</f>
        <v>FRA-05</v>
      </c>
      <c r="M544" s="27" t="str">
        <f>_xlfn.XLOOKUP(Squads[[#This Row],[National Team]],Football_Associations[Football Association],Football_Associations[World Cup Result])</f>
        <v>Last 16</v>
      </c>
      <c r="N54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45" spans="1:14" ht="15" customHeight="1" x14ac:dyDescent="0.25">
      <c r="A545" s="33">
        <f t="shared" si="8"/>
        <v>1544</v>
      </c>
      <c r="B545" s="23" t="s">
        <v>19</v>
      </c>
      <c r="C545" s="23" t="str">
        <f>VLOOKUP(Squads[[#This Row],[National Team]],Qualified[],3,TRUE)</f>
        <v>Poland (POL)</v>
      </c>
      <c r="D545" s="25">
        <v>25</v>
      </c>
      <c r="E545" s="23" t="s">
        <v>135</v>
      </c>
      <c r="F545" s="23" t="s">
        <v>412</v>
      </c>
      <c r="G545" s="26">
        <v>35950</v>
      </c>
      <c r="H545" s="65">
        <f>DATEDIF(Squads[[#This Row],[Date Of Birth]],World_Cup_Start_Date,"Y")</f>
        <v>24</v>
      </c>
      <c r="I545" s="27">
        <v>5</v>
      </c>
      <c r="J545" s="27">
        <v>0</v>
      </c>
      <c r="K545" s="78" t="s">
        <v>1732</v>
      </c>
      <c r="L545" s="27" t="str">
        <f>_xlfn.XLOOKUP(Squads[[#This Row],[Current Club]],Clubs[Current Club],Clubs[Club_ID])</f>
        <v>GER-08</v>
      </c>
      <c r="M545" s="27" t="str">
        <f>_xlfn.XLOOKUP(Squads[[#This Row],[National Team]],Football_Associations[Football Association],Football_Associations[World Cup Result])</f>
        <v>Last 16</v>
      </c>
      <c r="N54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46" spans="1:14" ht="15" customHeight="1" x14ac:dyDescent="0.25">
      <c r="A546" s="33">
        <f t="shared" si="8"/>
        <v>1545</v>
      </c>
      <c r="B546" s="23" t="s">
        <v>19</v>
      </c>
      <c r="C546" s="23" t="str">
        <f>VLOOKUP(Squads[[#This Row],[National Team]],Qualified[],3,TRUE)</f>
        <v>Poland (POL)</v>
      </c>
      <c r="D546" s="25">
        <v>26</v>
      </c>
      <c r="E546" s="23" t="s">
        <v>139</v>
      </c>
      <c r="F546" s="23" t="s">
        <v>413</v>
      </c>
      <c r="G546" s="26">
        <v>36571</v>
      </c>
      <c r="H546" s="65">
        <f>DATEDIF(Squads[[#This Row],[Date Of Birth]],World_Cup_Start_Date,"Y")</f>
        <v>22</v>
      </c>
      <c r="I546" s="27">
        <v>1</v>
      </c>
      <c r="J546" s="27">
        <v>0</v>
      </c>
      <c r="K546" s="78" t="s">
        <v>1883</v>
      </c>
      <c r="L546" s="27" t="str">
        <f>_xlfn.XLOOKUP(Squads[[#This Row],[Current Club]],Clubs[Current Club],Clubs[Club_ID])</f>
        <v>POL-02</v>
      </c>
      <c r="M546" s="27" t="str">
        <f>_xlfn.XLOOKUP(Squads[[#This Row],[National Team]],Football_Associations[Football Association],Football_Associations[World Cup Result])</f>
        <v>Last 16</v>
      </c>
      <c r="N54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47" spans="1:14" ht="15" customHeight="1" x14ac:dyDescent="0.25">
      <c r="A547" s="33">
        <f t="shared" si="8"/>
        <v>1546</v>
      </c>
      <c r="B547" s="23" t="s">
        <v>38</v>
      </c>
      <c r="C547" s="23" t="str">
        <f>VLOOKUP(Squads[[#This Row],[National Team]],Qualified[],3,TRUE)</f>
        <v>Portugal (POR)</v>
      </c>
      <c r="D547" s="25">
        <v>1</v>
      </c>
      <c r="E547" s="23" t="s">
        <v>133</v>
      </c>
      <c r="F547" s="23" t="s">
        <v>866</v>
      </c>
      <c r="G547" s="26">
        <v>32188</v>
      </c>
      <c r="H547" s="65">
        <f>DATEDIF(Squads[[#This Row],[Date Of Birth]],World_Cup_Start_Date,"Y")</f>
        <v>34</v>
      </c>
      <c r="I547" s="27">
        <v>105</v>
      </c>
      <c r="J547" s="27">
        <v>0</v>
      </c>
      <c r="K547" s="78" t="s">
        <v>1718</v>
      </c>
      <c r="L547" s="27" t="str">
        <f>_xlfn.XLOOKUP(Squads[[#This Row],[Current Club]],Clubs[Current Club],Clubs[Club_ID])</f>
        <v>ITA-09</v>
      </c>
      <c r="M547" s="27" t="str">
        <f>_xlfn.XLOOKUP(Squads[[#This Row],[National Team]],Football_Associations[Football Association],Football_Associations[World Cup Result])</f>
        <v>Quarter Finals</v>
      </c>
      <c r="N54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48" spans="1:14" ht="15" customHeight="1" x14ac:dyDescent="0.25">
      <c r="A548" s="33">
        <f t="shared" si="8"/>
        <v>1547</v>
      </c>
      <c r="B548" s="23" t="s">
        <v>38</v>
      </c>
      <c r="C548" s="23" t="str">
        <f>VLOOKUP(Squads[[#This Row],[National Team]],Qualified[],3,TRUE)</f>
        <v>Portugal (POR)</v>
      </c>
      <c r="D548" s="25">
        <v>2</v>
      </c>
      <c r="E548" s="23" t="s">
        <v>135</v>
      </c>
      <c r="F548" s="23" t="s">
        <v>867</v>
      </c>
      <c r="G548" s="26">
        <v>36237</v>
      </c>
      <c r="H548" s="65">
        <f>DATEDIF(Squads[[#This Row],[Date Of Birth]],World_Cup_Start_Date,"Y")</f>
        <v>23</v>
      </c>
      <c r="I548" s="27">
        <v>7</v>
      </c>
      <c r="J548" s="27">
        <v>2</v>
      </c>
      <c r="K548" s="78" t="s">
        <v>1657</v>
      </c>
      <c r="L548" s="27" t="str">
        <f>_xlfn.XLOOKUP(Squads[[#This Row],[Current Club]],Clubs[Current Club],Clubs[Club_ID])</f>
        <v>ENG-02</v>
      </c>
      <c r="M548" s="27" t="str">
        <f>_xlfn.XLOOKUP(Squads[[#This Row],[National Team]],Football_Associations[Football Association],Football_Associations[World Cup Result])</f>
        <v>Quarter Finals</v>
      </c>
      <c r="N54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49" spans="1:14" ht="15" customHeight="1" x14ac:dyDescent="0.25">
      <c r="A549" s="33">
        <f t="shared" si="8"/>
        <v>1548</v>
      </c>
      <c r="B549" s="23" t="s">
        <v>38</v>
      </c>
      <c r="C549" s="23" t="str">
        <f>VLOOKUP(Squads[[#This Row],[National Team]],Qualified[],3,TRUE)</f>
        <v>Portugal (POR)</v>
      </c>
      <c r="D549" s="25">
        <v>3</v>
      </c>
      <c r="E549" s="23" t="s">
        <v>135</v>
      </c>
      <c r="F549" s="23" t="s">
        <v>868</v>
      </c>
      <c r="G549" s="26">
        <v>30373</v>
      </c>
      <c r="H549" s="65">
        <f>DATEDIF(Squads[[#This Row],[Date Of Birth]],World_Cup_Start_Date,"Y")</f>
        <v>39</v>
      </c>
      <c r="I549" s="27">
        <v>129</v>
      </c>
      <c r="J549" s="27">
        <v>7</v>
      </c>
      <c r="K549" s="78" t="s">
        <v>1688</v>
      </c>
      <c r="L549" s="27" t="str">
        <f>_xlfn.XLOOKUP(Squads[[#This Row],[Current Club]],Clubs[Current Club],Clubs[Club_ID])</f>
        <v>POR-02</v>
      </c>
      <c r="M549" s="27" t="str">
        <f>_xlfn.XLOOKUP(Squads[[#This Row],[National Team]],Football_Associations[Football Association],Football_Associations[World Cup Result])</f>
        <v>Quarter Finals</v>
      </c>
      <c r="N54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50" spans="1:14" ht="15" customHeight="1" x14ac:dyDescent="0.25">
      <c r="A550" s="33">
        <f t="shared" si="8"/>
        <v>1549</v>
      </c>
      <c r="B550" s="23" t="s">
        <v>38</v>
      </c>
      <c r="C550" s="23" t="str">
        <f>VLOOKUP(Squads[[#This Row],[National Team]],Qualified[],3,TRUE)</f>
        <v>Portugal (POR)</v>
      </c>
      <c r="D550" s="25">
        <v>4</v>
      </c>
      <c r="E550" s="23" t="s">
        <v>135</v>
      </c>
      <c r="F550" s="23" t="s">
        <v>869</v>
      </c>
      <c r="G550" s="26">
        <v>35564</v>
      </c>
      <c r="H550" s="65">
        <f>DATEDIF(Squads[[#This Row],[Date Of Birth]],World_Cup_Start_Date,"Y")</f>
        <v>25</v>
      </c>
      <c r="I550" s="27">
        <v>40</v>
      </c>
      <c r="J550" s="27">
        <v>2</v>
      </c>
      <c r="K550" s="78" t="s">
        <v>1655</v>
      </c>
      <c r="L550" s="27" t="str">
        <f>_xlfn.XLOOKUP(Squads[[#This Row],[Current Club]],Clubs[Current Club],Clubs[Club_ID])</f>
        <v>ENG-01</v>
      </c>
      <c r="M550" s="27" t="str">
        <f>_xlfn.XLOOKUP(Squads[[#This Row],[National Team]],Football_Associations[Football Association],Football_Associations[World Cup Result])</f>
        <v>Quarter Finals</v>
      </c>
      <c r="N55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51" spans="1:14" ht="15" customHeight="1" x14ac:dyDescent="0.25">
      <c r="A551" s="33">
        <f t="shared" si="8"/>
        <v>1550</v>
      </c>
      <c r="B551" s="23" t="s">
        <v>38</v>
      </c>
      <c r="C551" s="23" t="str">
        <f>VLOOKUP(Squads[[#This Row],[National Team]],Qualified[],3,TRUE)</f>
        <v>Portugal (POR)</v>
      </c>
      <c r="D551" s="25">
        <v>5</v>
      </c>
      <c r="E551" s="23" t="s">
        <v>135</v>
      </c>
      <c r="F551" s="23" t="s">
        <v>870</v>
      </c>
      <c r="G551" s="26">
        <v>34325</v>
      </c>
      <c r="H551" s="65">
        <f>DATEDIF(Squads[[#This Row],[Date Of Birth]],World_Cup_Start_Date,"Y")</f>
        <v>28</v>
      </c>
      <c r="I551" s="27">
        <v>57</v>
      </c>
      <c r="J551" s="27">
        <v>3</v>
      </c>
      <c r="K551" s="78" t="s">
        <v>1663</v>
      </c>
      <c r="L551" s="27" t="str">
        <f>_xlfn.XLOOKUP(Squads[[#This Row],[Current Club]],Clubs[Current Club],Clubs[Club_ID])</f>
        <v>GER-02</v>
      </c>
      <c r="M551" s="27" t="str">
        <f>_xlfn.XLOOKUP(Squads[[#This Row],[National Team]],Football_Associations[Football Association],Football_Associations[World Cup Result])</f>
        <v>Quarter Finals</v>
      </c>
      <c r="N55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52" spans="1:14" ht="15" customHeight="1" x14ac:dyDescent="0.25">
      <c r="A552" s="33">
        <f t="shared" si="8"/>
        <v>1551</v>
      </c>
      <c r="B552" s="23" t="s">
        <v>38</v>
      </c>
      <c r="C552" s="23" t="str">
        <f>VLOOKUP(Squads[[#This Row],[National Team]],Qualified[],3,TRUE)</f>
        <v>Portugal (POR)</v>
      </c>
      <c r="D552" s="25">
        <v>6</v>
      </c>
      <c r="E552" s="23" t="s">
        <v>139</v>
      </c>
      <c r="F552" s="23" t="s">
        <v>871</v>
      </c>
      <c r="G552" s="26">
        <v>34889</v>
      </c>
      <c r="H552" s="65">
        <f>DATEDIF(Squads[[#This Row],[Date Of Birth]],World_Cup_Start_Date,"Y")</f>
        <v>27</v>
      </c>
      <c r="I552" s="27">
        <v>15</v>
      </c>
      <c r="J552" s="27">
        <v>2</v>
      </c>
      <c r="K552" s="78" t="s">
        <v>1683</v>
      </c>
      <c r="L552" s="27" t="str">
        <f>_xlfn.XLOOKUP(Squads[[#This Row],[Current Club]],Clubs[Current Club],Clubs[Club_ID])</f>
        <v>ENG-10</v>
      </c>
      <c r="M552" s="27" t="str">
        <f>_xlfn.XLOOKUP(Squads[[#This Row],[National Team]],Football_Associations[Football Association],Football_Associations[World Cup Result])</f>
        <v>Quarter Finals</v>
      </c>
      <c r="N55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53" spans="1:14" ht="15" customHeight="1" x14ac:dyDescent="0.25">
      <c r="A553" s="33">
        <f t="shared" si="8"/>
        <v>1552</v>
      </c>
      <c r="B553" s="23" t="s">
        <v>38</v>
      </c>
      <c r="C553" s="23" t="str">
        <f>VLOOKUP(Squads[[#This Row],[National Team]],Qualified[],3,TRUE)</f>
        <v>Portugal (POR)</v>
      </c>
      <c r="D553" s="25">
        <v>7</v>
      </c>
      <c r="E553" s="23" t="s">
        <v>146</v>
      </c>
      <c r="F553" s="27" t="s">
        <v>1004</v>
      </c>
      <c r="G553" s="26">
        <v>31083</v>
      </c>
      <c r="H553" s="65">
        <f>DATEDIF(Squads[[#This Row],[Date Of Birth]],World_Cup_Start_Date,"Y")</f>
        <v>37</v>
      </c>
      <c r="I553" s="27">
        <v>191</v>
      </c>
      <c r="J553" s="27">
        <v>117</v>
      </c>
      <c r="K553" s="78" t="s">
        <v>1657</v>
      </c>
      <c r="L553" s="27" t="str">
        <f>_xlfn.XLOOKUP(Squads[[#This Row],[Current Club]],Clubs[Current Club],Clubs[Club_ID])</f>
        <v>ENG-02</v>
      </c>
      <c r="M553" s="27" t="str">
        <f>_xlfn.XLOOKUP(Squads[[#This Row],[National Team]],Football_Associations[Football Association],Football_Associations[World Cup Result])</f>
        <v>Quarter Finals</v>
      </c>
      <c r="N55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54" spans="1:14" ht="15" customHeight="1" x14ac:dyDescent="0.25">
      <c r="A554" s="33">
        <f t="shared" si="8"/>
        <v>1553</v>
      </c>
      <c r="B554" s="23" t="s">
        <v>38</v>
      </c>
      <c r="C554" s="23" t="str">
        <f>VLOOKUP(Squads[[#This Row],[National Team]],Qualified[],3,TRUE)</f>
        <v>Portugal (POR)</v>
      </c>
      <c r="D554" s="25">
        <v>8</v>
      </c>
      <c r="E554" s="23" t="s">
        <v>139</v>
      </c>
      <c r="F554" s="23" t="s">
        <v>872</v>
      </c>
      <c r="G554" s="26">
        <v>34585</v>
      </c>
      <c r="H554" s="65">
        <f>DATEDIF(Squads[[#This Row],[Date Of Birth]],World_Cup_Start_Date,"Y")</f>
        <v>28</v>
      </c>
      <c r="I554" s="27">
        <v>49</v>
      </c>
      <c r="J554" s="27">
        <v>11</v>
      </c>
      <c r="K554" s="78" t="s">
        <v>1657</v>
      </c>
      <c r="L554" s="27" t="str">
        <f>_xlfn.XLOOKUP(Squads[[#This Row],[Current Club]],Clubs[Current Club],Clubs[Club_ID])</f>
        <v>ENG-02</v>
      </c>
      <c r="M554" s="27" t="str">
        <f>_xlfn.XLOOKUP(Squads[[#This Row],[National Team]],Football_Associations[Football Association],Football_Associations[World Cup Result])</f>
        <v>Quarter Finals</v>
      </c>
      <c r="N55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55" spans="1:14" ht="15" customHeight="1" x14ac:dyDescent="0.25">
      <c r="A555" s="33">
        <f t="shared" si="8"/>
        <v>1554</v>
      </c>
      <c r="B555" s="23" t="s">
        <v>38</v>
      </c>
      <c r="C555" s="23" t="str">
        <f>VLOOKUP(Squads[[#This Row],[National Team]],Qualified[],3,TRUE)</f>
        <v>Portugal (POR)</v>
      </c>
      <c r="D555" s="25">
        <v>9</v>
      </c>
      <c r="E555" s="23" t="s">
        <v>146</v>
      </c>
      <c r="F555" s="23" t="s">
        <v>873</v>
      </c>
      <c r="G555" s="26">
        <v>35009</v>
      </c>
      <c r="H555" s="65">
        <f>DATEDIF(Squads[[#This Row],[Date Of Birth]],World_Cup_Start_Date,"Y")</f>
        <v>27</v>
      </c>
      <c r="I555" s="27">
        <v>52</v>
      </c>
      <c r="J555" s="27">
        <v>19</v>
      </c>
      <c r="K555" s="78" t="s">
        <v>1678</v>
      </c>
      <c r="L555" s="27" t="str">
        <f>_xlfn.XLOOKUP(Squads[[#This Row],[Current Club]],Clubs[Current Club],Clubs[Club_ID])</f>
        <v>GER-04</v>
      </c>
      <c r="M555" s="27" t="str">
        <f>_xlfn.XLOOKUP(Squads[[#This Row],[National Team]],Football_Associations[Football Association],Football_Associations[World Cup Result])</f>
        <v>Quarter Finals</v>
      </c>
      <c r="N55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56" spans="1:14" ht="15" customHeight="1" x14ac:dyDescent="0.25">
      <c r="A556" s="33">
        <f t="shared" si="8"/>
        <v>1555</v>
      </c>
      <c r="B556" s="23" t="s">
        <v>38</v>
      </c>
      <c r="C556" s="23" t="str">
        <f>VLOOKUP(Squads[[#This Row],[National Team]],Qualified[],3,TRUE)</f>
        <v>Portugal (POR)</v>
      </c>
      <c r="D556" s="25">
        <v>10</v>
      </c>
      <c r="E556" s="23" t="s">
        <v>146</v>
      </c>
      <c r="F556" s="23" t="s">
        <v>874</v>
      </c>
      <c r="G556" s="26">
        <v>34556</v>
      </c>
      <c r="H556" s="65">
        <f>DATEDIF(Squads[[#This Row],[Date Of Birth]],World_Cup_Start_Date,"Y")</f>
        <v>28</v>
      </c>
      <c r="I556" s="27">
        <v>73</v>
      </c>
      <c r="J556" s="27">
        <v>8</v>
      </c>
      <c r="K556" s="78" t="s">
        <v>1655</v>
      </c>
      <c r="L556" s="27" t="str">
        <f>_xlfn.XLOOKUP(Squads[[#This Row],[Current Club]],Clubs[Current Club],Clubs[Club_ID])</f>
        <v>ENG-01</v>
      </c>
      <c r="M556" s="27" t="str">
        <f>_xlfn.XLOOKUP(Squads[[#This Row],[National Team]],Football_Associations[Football Association],Football_Associations[World Cup Result])</f>
        <v>Quarter Finals</v>
      </c>
      <c r="N55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57" spans="1:14" ht="15" customHeight="1" x14ac:dyDescent="0.25">
      <c r="A557" s="33">
        <f t="shared" si="8"/>
        <v>1556</v>
      </c>
      <c r="B557" s="23" t="s">
        <v>38</v>
      </c>
      <c r="C557" s="23" t="str">
        <f>VLOOKUP(Squads[[#This Row],[National Team]],Qualified[],3,TRUE)</f>
        <v>Portugal (POR)</v>
      </c>
      <c r="D557" s="25">
        <v>11</v>
      </c>
      <c r="E557" s="23" t="s">
        <v>146</v>
      </c>
      <c r="F557" s="23" t="s">
        <v>875</v>
      </c>
      <c r="G557" s="26">
        <v>36474</v>
      </c>
      <c r="H557" s="65">
        <f>DATEDIF(Squads[[#This Row],[Date Of Birth]],World_Cup_Start_Date,"Y")</f>
        <v>23</v>
      </c>
      <c r="I557" s="27">
        <v>24</v>
      </c>
      <c r="J557" s="27">
        <v>3</v>
      </c>
      <c r="K557" s="78" t="s">
        <v>1660</v>
      </c>
      <c r="L557" s="27" t="str">
        <f>_xlfn.XLOOKUP(Squads[[#This Row],[Current Club]],Clubs[Current Club],Clubs[Club_ID])</f>
        <v>ESP-03</v>
      </c>
      <c r="M557" s="27" t="str">
        <f>_xlfn.XLOOKUP(Squads[[#This Row],[National Team]],Football_Associations[Football Association],Football_Associations[World Cup Result])</f>
        <v>Quarter Finals</v>
      </c>
      <c r="N55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58" spans="1:14" ht="15" customHeight="1" x14ac:dyDescent="0.25">
      <c r="A558" s="33">
        <f t="shared" si="8"/>
        <v>1557</v>
      </c>
      <c r="B558" s="23" t="s">
        <v>38</v>
      </c>
      <c r="C558" s="23" t="str">
        <f>VLOOKUP(Squads[[#This Row],[National Team]],Qualified[],3,TRUE)</f>
        <v>Portugal (POR)</v>
      </c>
      <c r="D558" s="25">
        <v>12</v>
      </c>
      <c r="E558" s="23" t="s">
        <v>133</v>
      </c>
      <c r="F558" s="23" t="s">
        <v>876</v>
      </c>
      <c r="G558" s="26">
        <v>33986</v>
      </c>
      <c r="H558" s="65">
        <f>DATEDIF(Squads[[#This Row],[Date Of Birth]],World_Cup_Start_Date,"Y")</f>
        <v>29</v>
      </c>
      <c r="I558" s="27">
        <v>0</v>
      </c>
      <c r="J558" s="27">
        <v>0</v>
      </c>
      <c r="K558" s="78" t="s">
        <v>1704</v>
      </c>
      <c r="L558" s="27" t="str">
        <f>_xlfn.XLOOKUP(Squads[[#This Row],[Current Club]],Clubs[Current Club],Clubs[Club_ID])</f>
        <v>ENG-14</v>
      </c>
      <c r="M558" s="27" t="str">
        <f>_xlfn.XLOOKUP(Squads[[#This Row],[National Team]],Football_Associations[Football Association],Football_Associations[World Cup Result])</f>
        <v>Quarter Finals</v>
      </c>
      <c r="N55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59" spans="1:14" ht="15" customHeight="1" x14ac:dyDescent="0.25">
      <c r="A559" s="33">
        <f t="shared" si="8"/>
        <v>1558</v>
      </c>
      <c r="B559" s="23" t="s">
        <v>38</v>
      </c>
      <c r="C559" s="23" t="str">
        <f>VLOOKUP(Squads[[#This Row],[National Team]],Qualified[],3,TRUE)</f>
        <v>Portugal (POR)</v>
      </c>
      <c r="D559" s="25">
        <v>13</v>
      </c>
      <c r="E559" s="23" t="s">
        <v>135</v>
      </c>
      <c r="F559" s="23" t="s">
        <v>877</v>
      </c>
      <c r="G559" s="26">
        <v>33490</v>
      </c>
      <c r="H559" s="65">
        <f>DATEDIF(Squads[[#This Row],[Date Of Birth]],World_Cup_Start_Date,"Y")</f>
        <v>31</v>
      </c>
      <c r="I559" s="27">
        <v>63</v>
      </c>
      <c r="J559" s="27">
        <v>2</v>
      </c>
      <c r="K559" s="78" t="s">
        <v>1665</v>
      </c>
      <c r="L559" s="27" t="str">
        <f>_xlfn.XLOOKUP(Squads[[#This Row],[Current Club]],Clubs[Current Club],Clubs[Club_ID])</f>
        <v>FRA-01</v>
      </c>
      <c r="M559" s="27" t="str">
        <f>_xlfn.XLOOKUP(Squads[[#This Row],[National Team]],Football_Associations[Football Association],Football_Associations[World Cup Result])</f>
        <v>Quarter Finals</v>
      </c>
      <c r="N55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60" spans="1:14" ht="15" customHeight="1" x14ac:dyDescent="0.25">
      <c r="A560" s="33">
        <f t="shared" si="8"/>
        <v>1559</v>
      </c>
      <c r="B560" s="23" t="s">
        <v>38</v>
      </c>
      <c r="C560" s="23" t="str">
        <f>VLOOKUP(Squads[[#This Row],[National Team]],Qualified[],3,TRUE)</f>
        <v>Portugal (POR)</v>
      </c>
      <c r="D560" s="25">
        <v>14</v>
      </c>
      <c r="E560" s="23" t="s">
        <v>139</v>
      </c>
      <c r="F560" s="23" t="s">
        <v>878</v>
      </c>
      <c r="G560" s="26">
        <v>33701</v>
      </c>
      <c r="H560" s="65">
        <f>DATEDIF(Squads[[#This Row],[Date Of Birth]],World_Cup_Start_Date,"Y")</f>
        <v>30</v>
      </c>
      <c r="I560" s="27">
        <v>76</v>
      </c>
      <c r="J560" s="27">
        <v>5</v>
      </c>
      <c r="K560" s="78" t="s">
        <v>1699</v>
      </c>
      <c r="L560" s="27" t="str">
        <f>_xlfn.XLOOKUP(Squads[[#This Row],[Current Club]],Clubs[Current Club],Clubs[Club_ID])</f>
        <v>ESP-05</v>
      </c>
      <c r="M560" s="27" t="str">
        <f>_xlfn.XLOOKUP(Squads[[#This Row],[National Team]],Football_Associations[Football Association],Football_Associations[World Cup Result])</f>
        <v>Quarter Finals</v>
      </c>
      <c r="N56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61" spans="1:14" ht="15" customHeight="1" x14ac:dyDescent="0.25">
      <c r="A561" s="33">
        <f t="shared" si="8"/>
        <v>1560</v>
      </c>
      <c r="B561" s="23" t="s">
        <v>38</v>
      </c>
      <c r="C561" s="23" t="str">
        <f>VLOOKUP(Squads[[#This Row],[National Team]],Qualified[],3,TRUE)</f>
        <v>Portugal (POR)</v>
      </c>
      <c r="D561" s="25">
        <v>15</v>
      </c>
      <c r="E561" s="23" t="s">
        <v>146</v>
      </c>
      <c r="F561" s="23" t="s">
        <v>879</v>
      </c>
      <c r="G561" s="26">
        <v>36321</v>
      </c>
      <c r="H561" s="65">
        <f>DATEDIF(Squads[[#This Row],[Date Of Birth]],World_Cup_Start_Date,"Y")</f>
        <v>23</v>
      </c>
      <c r="I561" s="27">
        <v>11</v>
      </c>
      <c r="J561" s="27">
        <v>0</v>
      </c>
      <c r="K561" s="78" t="s">
        <v>1677</v>
      </c>
      <c r="L561" s="27" t="str">
        <f>_xlfn.XLOOKUP(Squads[[#This Row],[Current Club]],Clubs[Current Club],Clubs[Club_ID])</f>
        <v>ITA-02</v>
      </c>
      <c r="M561" s="27" t="str">
        <f>_xlfn.XLOOKUP(Squads[[#This Row],[National Team]],Football_Associations[Football Association],Football_Associations[World Cup Result])</f>
        <v>Quarter Finals</v>
      </c>
      <c r="N56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62" spans="1:14" ht="15" customHeight="1" x14ac:dyDescent="0.25">
      <c r="A562" s="33">
        <f t="shared" si="8"/>
        <v>1561</v>
      </c>
      <c r="B562" s="23" t="s">
        <v>38</v>
      </c>
      <c r="C562" s="23" t="str">
        <f>VLOOKUP(Squads[[#This Row],[National Team]],Qualified[],3,TRUE)</f>
        <v>Portugal (POR)</v>
      </c>
      <c r="D562" s="25">
        <v>16</v>
      </c>
      <c r="E562" s="23" t="s">
        <v>139</v>
      </c>
      <c r="F562" s="23" t="s">
        <v>880</v>
      </c>
      <c r="G562" s="26">
        <v>36569</v>
      </c>
      <c r="H562" s="65">
        <f>DATEDIF(Squads[[#This Row],[Date Of Birth]],World_Cup_Start_Date,"Y")</f>
        <v>22</v>
      </c>
      <c r="I562" s="27">
        <v>5</v>
      </c>
      <c r="J562" s="27">
        <v>0</v>
      </c>
      <c r="K562" s="78" t="s">
        <v>1665</v>
      </c>
      <c r="L562" s="27" t="str">
        <f>_xlfn.XLOOKUP(Squads[[#This Row],[Current Club]],Clubs[Current Club],Clubs[Club_ID])</f>
        <v>FRA-01</v>
      </c>
      <c r="M562" s="27" t="str">
        <f>_xlfn.XLOOKUP(Squads[[#This Row],[National Team]],Football_Associations[Football Association],Football_Associations[World Cup Result])</f>
        <v>Quarter Finals</v>
      </c>
      <c r="N56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63" spans="1:14" ht="15" customHeight="1" x14ac:dyDescent="0.25">
      <c r="A563" s="33">
        <f t="shared" si="8"/>
        <v>1562</v>
      </c>
      <c r="B563" s="23" t="s">
        <v>38</v>
      </c>
      <c r="C563" s="23" t="str">
        <f>VLOOKUP(Squads[[#This Row],[National Team]],Qualified[],3,TRUE)</f>
        <v>Portugal (POR)</v>
      </c>
      <c r="D563" s="25">
        <v>17</v>
      </c>
      <c r="E563" s="23" t="s">
        <v>139</v>
      </c>
      <c r="F563" s="23" t="s">
        <v>881</v>
      </c>
      <c r="G563" s="26">
        <v>33988</v>
      </c>
      <c r="H563" s="65">
        <f>DATEDIF(Squads[[#This Row],[Date Of Birth]],World_Cup_Start_Date,"Y")</f>
        <v>29</v>
      </c>
      <c r="I563" s="27">
        <v>53</v>
      </c>
      <c r="J563" s="27">
        <v>3</v>
      </c>
      <c r="K563" s="78" t="s">
        <v>1679</v>
      </c>
      <c r="L563" s="27" t="str">
        <f>_xlfn.XLOOKUP(Squads[[#This Row],[Current Club]],Clubs[Current Club],Clubs[Club_ID])</f>
        <v>POR-01</v>
      </c>
      <c r="M563" s="27" t="str">
        <f>_xlfn.XLOOKUP(Squads[[#This Row],[National Team]],Football_Associations[Football Association],Football_Associations[World Cup Result])</f>
        <v>Quarter Finals</v>
      </c>
      <c r="N56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64" spans="1:14" ht="15" customHeight="1" x14ac:dyDescent="0.25">
      <c r="A564" s="33">
        <f t="shared" si="8"/>
        <v>1563</v>
      </c>
      <c r="B564" s="23" t="s">
        <v>38</v>
      </c>
      <c r="C564" s="23" t="str">
        <f>VLOOKUP(Squads[[#This Row],[National Team]],Qualified[],3,TRUE)</f>
        <v>Portugal (POR)</v>
      </c>
      <c r="D564" s="25">
        <v>18</v>
      </c>
      <c r="E564" s="23" t="s">
        <v>139</v>
      </c>
      <c r="F564" s="23" t="s">
        <v>882</v>
      </c>
      <c r="G564" s="26">
        <v>35502</v>
      </c>
      <c r="H564" s="65">
        <f>DATEDIF(Squads[[#This Row],[Date Of Birth]],World_Cup_Start_Date,"Y")</f>
        <v>25</v>
      </c>
      <c r="I564" s="27">
        <v>32</v>
      </c>
      <c r="J564" s="27">
        <v>0</v>
      </c>
      <c r="K564" s="78" t="s">
        <v>1704</v>
      </c>
      <c r="L564" s="27" t="str">
        <f>_xlfn.XLOOKUP(Squads[[#This Row],[Current Club]],Clubs[Current Club],Clubs[Club_ID])</f>
        <v>ENG-14</v>
      </c>
      <c r="M564" s="27" t="str">
        <f>_xlfn.XLOOKUP(Squads[[#This Row],[National Team]],Football_Associations[Football Association],Football_Associations[World Cup Result])</f>
        <v>Quarter Finals</v>
      </c>
      <c r="N56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65" spans="1:14" ht="15" customHeight="1" x14ac:dyDescent="0.25">
      <c r="A565" s="33">
        <f t="shared" si="8"/>
        <v>1564</v>
      </c>
      <c r="B565" s="23" t="s">
        <v>38</v>
      </c>
      <c r="C565" s="23" t="str">
        <f>VLOOKUP(Squads[[#This Row],[National Team]],Qualified[],3,TRUE)</f>
        <v>Portugal (POR)</v>
      </c>
      <c r="D565" s="25">
        <v>19</v>
      </c>
      <c r="E565" s="23" t="s">
        <v>135</v>
      </c>
      <c r="F565" s="23" t="s">
        <v>883</v>
      </c>
      <c r="G565" s="26">
        <v>37426</v>
      </c>
      <c r="H565" s="65">
        <f>DATEDIF(Squads[[#This Row],[Date Of Birth]],World_Cup_Start_Date,"Y")</f>
        <v>20</v>
      </c>
      <c r="I565" s="27">
        <v>17</v>
      </c>
      <c r="J565" s="27">
        <v>0</v>
      </c>
      <c r="K565" s="78" t="s">
        <v>1665</v>
      </c>
      <c r="L565" s="27" t="str">
        <f>_xlfn.XLOOKUP(Squads[[#This Row],[Current Club]],Clubs[Current Club],Clubs[Club_ID])</f>
        <v>FRA-01</v>
      </c>
      <c r="M565" s="27" t="str">
        <f>_xlfn.XLOOKUP(Squads[[#This Row],[National Team]],Football_Associations[Football Association],Football_Associations[World Cup Result])</f>
        <v>Quarter Finals</v>
      </c>
      <c r="N56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66" spans="1:14" ht="15" customHeight="1" x14ac:dyDescent="0.25">
      <c r="A566" s="33">
        <f t="shared" si="8"/>
        <v>1565</v>
      </c>
      <c r="B566" s="23" t="s">
        <v>38</v>
      </c>
      <c r="C566" s="23" t="str">
        <f>VLOOKUP(Squads[[#This Row],[National Team]],Qualified[],3,TRUE)</f>
        <v>Portugal (POR)</v>
      </c>
      <c r="D566" s="25">
        <v>20</v>
      </c>
      <c r="E566" s="23" t="s">
        <v>135</v>
      </c>
      <c r="F566" s="23" t="s">
        <v>884</v>
      </c>
      <c r="G566" s="26">
        <v>34481</v>
      </c>
      <c r="H566" s="65">
        <f>DATEDIF(Squads[[#This Row],[Date Of Birth]],World_Cup_Start_Date,"Y")</f>
        <v>28</v>
      </c>
      <c r="I566" s="27">
        <v>37</v>
      </c>
      <c r="J566" s="27">
        <v>7</v>
      </c>
      <c r="K566" s="78" t="s">
        <v>1655</v>
      </c>
      <c r="L566" s="27" t="str">
        <f>_xlfn.XLOOKUP(Squads[[#This Row],[Current Club]],Clubs[Current Club],Clubs[Club_ID])</f>
        <v>ENG-01</v>
      </c>
      <c r="M566" s="27" t="str">
        <f>_xlfn.XLOOKUP(Squads[[#This Row],[National Team]],Football_Associations[Football Association],Football_Associations[World Cup Result])</f>
        <v>Quarter Finals</v>
      </c>
      <c r="N56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67" spans="1:14" ht="15" customHeight="1" x14ac:dyDescent="0.25">
      <c r="A567" s="33">
        <f t="shared" si="8"/>
        <v>1566</v>
      </c>
      <c r="B567" s="23" t="s">
        <v>38</v>
      </c>
      <c r="C567" s="23" t="str">
        <f>VLOOKUP(Squads[[#This Row],[National Team]],Qualified[],3,TRUE)</f>
        <v>Portugal (POR)</v>
      </c>
      <c r="D567" s="25">
        <v>21</v>
      </c>
      <c r="E567" s="23" t="s">
        <v>146</v>
      </c>
      <c r="F567" s="23" t="s">
        <v>885</v>
      </c>
      <c r="G567" s="26">
        <v>34592</v>
      </c>
      <c r="H567" s="65">
        <f>DATEDIF(Squads[[#This Row],[Date Of Birth]],World_Cup_Start_Date,"Y")</f>
        <v>28</v>
      </c>
      <c r="I567" s="27">
        <v>6</v>
      </c>
      <c r="J567" s="27">
        <v>1</v>
      </c>
      <c r="K567" s="78" t="s">
        <v>1768</v>
      </c>
      <c r="L567" s="27" t="str">
        <f>_xlfn.XLOOKUP(Squads[[#This Row],[Current Club]],Clubs[Current Club],Clubs[Club_ID])</f>
        <v>POR-04</v>
      </c>
      <c r="M567" s="27" t="str">
        <f>_xlfn.XLOOKUP(Squads[[#This Row],[National Team]],Football_Associations[Football Association],Football_Associations[World Cup Result])</f>
        <v>Quarter Finals</v>
      </c>
      <c r="N56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68" spans="1:14" ht="15" customHeight="1" x14ac:dyDescent="0.25">
      <c r="A568" s="33">
        <f t="shared" si="8"/>
        <v>1567</v>
      </c>
      <c r="B568" s="23" t="s">
        <v>38</v>
      </c>
      <c r="C568" s="23" t="str">
        <f>VLOOKUP(Squads[[#This Row],[National Team]],Qualified[],3,TRUE)</f>
        <v>Portugal (POR)</v>
      </c>
      <c r="D568" s="25">
        <v>22</v>
      </c>
      <c r="E568" s="23" t="s">
        <v>133</v>
      </c>
      <c r="F568" s="23" t="s">
        <v>886</v>
      </c>
      <c r="G568" s="26">
        <v>36422</v>
      </c>
      <c r="H568" s="65">
        <f>DATEDIF(Squads[[#This Row],[Date Of Birth]],World_Cup_Start_Date,"Y")</f>
        <v>23</v>
      </c>
      <c r="I568" s="27">
        <v>7</v>
      </c>
      <c r="J568" s="27">
        <v>0</v>
      </c>
      <c r="K568" s="78" t="s">
        <v>1688</v>
      </c>
      <c r="L568" s="27" t="str">
        <f>_xlfn.XLOOKUP(Squads[[#This Row],[Current Club]],Clubs[Current Club],Clubs[Club_ID])</f>
        <v>POR-02</v>
      </c>
      <c r="M568" s="27" t="str">
        <f>_xlfn.XLOOKUP(Squads[[#This Row],[National Team]],Football_Associations[Football Association],Football_Associations[World Cup Result])</f>
        <v>Quarter Finals</v>
      </c>
      <c r="N56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69" spans="1:14" ht="15" customHeight="1" x14ac:dyDescent="0.25">
      <c r="A569" s="33">
        <f t="shared" si="8"/>
        <v>1568</v>
      </c>
      <c r="B569" s="23" t="s">
        <v>38</v>
      </c>
      <c r="C569" s="23" t="str">
        <f>VLOOKUP(Squads[[#This Row],[National Team]],Qualified[],3,TRUE)</f>
        <v>Portugal (POR)</v>
      </c>
      <c r="D569" s="25">
        <v>23</v>
      </c>
      <c r="E569" s="23" t="s">
        <v>139</v>
      </c>
      <c r="F569" s="23" t="s">
        <v>887</v>
      </c>
      <c r="G569" s="26">
        <v>36034</v>
      </c>
      <c r="H569" s="65">
        <f>DATEDIF(Squads[[#This Row],[Date Of Birth]],World_Cup_Start_Date,"Y")</f>
        <v>24</v>
      </c>
      <c r="I569" s="27">
        <v>9</v>
      </c>
      <c r="J569" s="27">
        <v>1</v>
      </c>
      <c r="K569" s="78" t="s">
        <v>1704</v>
      </c>
      <c r="L569" s="27" t="str">
        <f>_xlfn.XLOOKUP(Squads[[#This Row],[Current Club]],Clubs[Current Club],Clubs[Club_ID])</f>
        <v>ENG-14</v>
      </c>
      <c r="M569" s="27" t="str">
        <f>_xlfn.XLOOKUP(Squads[[#This Row],[National Team]],Football_Associations[Football Association],Football_Associations[World Cup Result])</f>
        <v>Quarter Finals</v>
      </c>
      <c r="N56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70" spans="1:14" ht="15" customHeight="1" x14ac:dyDescent="0.25">
      <c r="A570" s="33">
        <f t="shared" si="8"/>
        <v>1569</v>
      </c>
      <c r="B570" s="23" t="s">
        <v>38</v>
      </c>
      <c r="C570" s="23" t="str">
        <f>VLOOKUP(Squads[[#This Row],[National Team]],Qualified[],3,TRUE)</f>
        <v>Portugal (POR)</v>
      </c>
      <c r="D570" s="25">
        <v>24</v>
      </c>
      <c r="E570" s="23" t="s">
        <v>135</v>
      </c>
      <c r="F570" s="23" t="s">
        <v>888</v>
      </c>
      <c r="G570" s="26">
        <v>37924</v>
      </c>
      <c r="H570" s="65">
        <f>DATEDIF(Squads[[#This Row],[Date Of Birth]],World_Cup_Start_Date,"Y")</f>
        <v>19</v>
      </c>
      <c r="I570" s="27">
        <v>1</v>
      </c>
      <c r="J570" s="27">
        <v>0</v>
      </c>
      <c r="K570" s="78" t="s">
        <v>1679</v>
      </c>
      <c r="L570" s="27" t="str">
        <f>_xlfn.XLOOKUP(Squads[[#This Row],[Current Club]],Clubs[Current Club],Clubs[Club_ID])</f>
        <v>POR-01</v>
      </c>
      <c r="M570" s="27" t="str">
        <f>_xlfn.XLOOKUP(Squads[[#This Row],[National Team]],Football_Associations[Football Association],Football_Associations[World Cup Result])</f>
        <v>Quarter Finals</v>
      </c>
      <c r="N57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71" spans="1:14" ht="15" customHeight="1" x14ac:dyDescent="0.25">
      <c r="A571" s="33">
        <f t="shared" si="8"/>
        <v>1570</v>
      </c>
      <c r="B571" s="23" t="s">
        <v>38</v>
      </c>
      <c r="C571" s="23" t="str">
        <f>VLOOKUP(Squads[[#This Row],[National Team]],Qualified[],3,TRUE)</f>
        <v>Portugal (POR)</v>
      </c>
      <c r="D571" s="25">
        <v>25</v>
      </c>
      <c r="E571" s="23" t="s">
        <v>139</v>
      </c>
      <c r="F571" s="23" t="s">
        <v>889</v>
      </c>
      <c r="G571" s="26">
        <v>34739</v>
      </c>
      <c r="H571" s="65">
        <f>DATEDIF(Squads[[#This Row],[Date Of Birth]],World_Cup_Start_Date,"Y")</f>
        <v>27</v>
      </c>
      <c r="I571" s="27">
        <v>8</v>
      </c>
      <c r="J571" s="27">
        <v>2</v>
      </c>
      <c r="K571" s="78" t="s">
        <v>1688</v>
      </c>
      <c r="L571" s="27" t="str">
        <f>_xlfn.XLOOKUP(Squads[[#This Row],[Current Club]],Clubs[Current Club],Clubs[Club_ID])</f>
        <v>POR-02</v>
      </c>
      <c r="M571" s="27" t="str">
        <f>_xlfn.XLOOKUP(Squads[[#This Row],[National Team]],Football_Associations[Football Association],Football_Associations[World Cup Result])</f>
        <v>Quarter Finals</v>
      </c>
      <c r="N57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72" spans="1:14" ht="15" customHeight="1" x14ac:dyDescent="0.25">
      <c r="A572" s="33">
        <f t="shared" si="8"/>
        <v>1571</v>
      </c>
      <c r="B572" s="23" t="s">
        <v>38</v>
      </c>
      <c r="C572" s="23" t="str">
        <f>VLOOKUP(Squads[[#This Row],[National Team]],Qualified[],3,TRUE)</f>
        <v>Portugal (POR)</v>
      </c>
      <c r="D572" s="25">
        <v>26</v>
      </c>
      <c r="E572" s="23" t="s">
        <v>146</v>
      </c>
      <c r="F572" s="23" t="s">
        <v>890</v>
      </c>
      <c r="G572" s="26">
        <v>37062</v>
      </c>
      <c r="H572" s="65">
        <f>DATEDIF(Squads[[#This Row],[Date Of Birth]],World_Cup_Start_Date,"Y")</f>
        <v>21</v>
      </c>
      <c r="I572" s="27">
        <v>1</v>
      </c>
      <c r="J572" s="27">
        <v>1</v>
      </c>
      <c r="K572" s="78" t="s">
        <v>1679</v>
      </c>
      <c r="L572" s="27" t="str">
        <f>_xlfn.XLOOKUP(Squads[[#This Row],[Current Club]],Clubs[Current Club],Clubs[Club_ID])</f>
        <v>POR-01</v>
      </c>
      <c r="M572" s="27" t="str">
        <f>_xlfn.XLOOKUP(Squads[[#This Row],[National Team]],Football_Associations[Football Association],Football_Associations[World Cup Result])</f>
        <v>Quarter Finals</v>
      </c>
      <c r="N57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73" spans="1:14" ht="15" customHeight="1" x14ac:dyDescent="0.25">
      <c r="A573" s="33">
        <f t="shared" si="8"/>
        <v>1572</v>
      </c>
      <c r="B573" s="23" t="s">
        <v>8</v>
      </c>
      <c r="C573" s="23" t="str">
        <f>VLOOKUP(Squads[[#This Row],[National Team]],Qualified[],3,TRUE)</f>
        <v>Qatar (QAT)</v>
      </c>
      <c r="D573" s="25">
        <v>1</v>
      </c>
      <c r="E573" s="23" t="s">
        <v>133</v>
      </c>
      <c r="F573" s="23" t="s">
        <v>189</v>
      </c>
      <c r="G573" s="26">
        <v>32923</v>
      </c>
      <c r="H573" s="65">
        <f>DATEDIF(Squads[[#This Row],[Date Of Birth]],World_Cup_Start_Date,"Y")</f>
        <v>32</v>
      </c>
      <c r="I573" s="27">
        <v>76</v>
      </c>
      <c r="J573" s="27">
        <v>0</v>
      </c>
      <c r="K573" s="78" t="s">
        <v>1656</v>
      </c>
      <c r="L573" s="27" t="str">
        <f>_xlfn.XLOOKUP(Squads[[#This Row],[Current Club]],Clubs[Current Club],Clubs[Club_ID])</f>
        <v>QTR-01</v>
      </c>
      <c r="M573" s="27" t="str">
        <f>_xlfn.XLOOKUP(Squads[[#This Row],[National Team]],Football_Associations[Football Association],Football_Associations[World Cup Result])</f>
        <v>Group Stage</v>
      </c>
      <c r="N57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74" spans="1:14" ht="15" customHeight="1" x14ac:dyDescent="0.25">
      <c r="A574" s="33">
        <f t="shared" si="8"/>
        <v>1573</v>
      </c>
      <c r="B574" s="23" t="s">
        <v>8</v>
      </c>
      <c r="C574" s="23" t="str">
        <f>VLOOKUP(Squads[[#This Row],[National Team]],Qualified[],3,TRUE)</f>
        <v>Qatar (QAT)</v>
      </c>
      <c r="D574" s="25">
        <v>2</v>
      </c>
      <c r="E574" s="23" t="s">
        <v>135</v>
      </c>
      <c r="F574" s="23" t="s">
        <v>190</v>
      </c>
      <c r="G574" s="26">
        <v>33091</v>
      </c>
      <c r="H574" s="65">
        <f>DATEDIF(Squads[[#This Row],[Date Of Birth]],World_Cup_Start_Date,"Y")</f>
        <v>32</v>
      </c>
      <c r="I574" s="27">
        <v>80</v>
      </c>
      <c r="J574" s="27">
        <v>1</v>
      </c>
      <c r="K574" s="78" t="s">
        <v>1656</v>
      </c>
      <c r="L574" s="27" t="str">
        <f>_xlfn.XLOOKUP(Squads[[#This Row],[Current Club]],Clubs[Current Club],Clubs[Club_ID])</f>
        <v>QTR-01</v>
      </c>
      <c r="M574" s="27" t="str">
        <f>_xlfn.XLOOKUP(Squads[[#This Row],[National Team]],Football_Associations[Football Association],Football_Associations[World Cup Result])</f>
        <v>Group Stage</v>
      </c>
      <c r="N57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75" spans="1:14" ht="15" customHeight="1" x14ac:dyDescent="0.25">
      <c r="A575" s="33">
        <f t="shared" si="8"/>
        <v>1574</v>
      </c>
      <c r="B575" s="23" t="s">
        <v>8</v>
      </c>
      <c r="C575" s="23" t="str">
        <f>VLOOKUP(Squads[[#This Row],[National Team]],Qualified[],3,TRUE)</f>
        <v>Qatar (QAT)</v>
      </c>
      <c r="D575" s="25">
        <v>3</v>
      </c>
      <c r="E575" s="23" t="s">
        <v>139</v>
      </c>
      <c r="F575" s="23" t="s">
        <v>191</v>
      </c>
      <c r="G575" s="26">
        <v>34209</v>
      </c>
      <c r="H575" s="65">
        <f>DATEDIF(Squads[[#This Row],[Date Of Birth]],World_Cup_Start_Date,"Y")</f>
        <v>29</v>
      </c>
      <c r="I575" s="27">
        <v>130</v>
      </c>
      <c r="J575" s="27">
        <v>15</v>
      </c>
      <c r="K575" s="78" t="s">
        <v>1656</v>
      </c>
      <c r="L575" s="27" t="str">
        <f>_xlfn.XLOOKUP(Squads[[#This Row],[Current Club]],Clubs[Current Club],Clubs[Club_ID])</f>
        <v>QTR-01</v>
      </c>
      <c r="M575" s="27" t="str">
        <f>_xlfn.XLOOKUP(Squads[[#This Row],[National Team]],Football_Associations[Football Association],Football_Associations[World Cup Result])</f>
        <v>Group Stage</v>
      </c>
      <c r="N57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76" spans="1:14" ht="15" customHeight="1" x14ac:dyDescent="0.25">
      <c r="A576" s="33">
        <f t="shared" si="8"/>
        <v>1575</v>
      </c>
      <c r="B576" s="23" t="s">
        <v>8</v>
      </c>
      <c r="C576" s="23" t="str">
        <f>VLOOKUP(Squads[[#This Row],[National Team]],Qualified[],3,TRUE)</f>
        <v>Qatar (QAT)</v>
      </c>
      <c r="D576" s="25">
        <v>4</v>
      </c>
      <c r="E576" s="23" t="s">
        <v>135</v>
      </c>
      <c r="F576" s="23" t="s">
        <v>192</v>
      </c>
      <c r="G576" s="26">
        <v>36421</v>
      </c>
      <c r="H576" s="65">
        <f>DATEDIF(Squads[[#This Row],[Date Of Birth]],World_Cup_Start_Date,"Y")</f>
        <v>23</v>
      </c>
      <c r="I576" s="27">
        <v>21</v>
      </c>
      <c r="J576" s="27">
        <v>0</v>
      </c>
      <c r="K576" s="78" t="s">
        <v>1656</v>
      </c>
      <c r="L576" s="27" t="str">
        <f>_xlfn.XLOOKUP(Squads[[#This Row],[Current Club]],Clubs[Current Club],Clubs[Club_ID])</f>
        <v>QTR-01</v>
      </c>
      <c r="M576" s="27" t="str">
        <f>_xlfn.XLOOKUP(Squads[[#This Row],[National Team]],Football_Associations[Football Association],Football_Associations[World Cup Result])</f>
        <v>Group Stage</v>
      </c>
      <c r="N57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77" spans="1:14" ht="15" customHeight="1" x14ac:dyDescent="0.25">
      <c r="A577" s="33">
        <f t="shared" si="8"/>
        <v>1576</v>
      </c>
      <c r="B577" s="23" t="s">
        <v>8</v>
      </c>
      <c r="C577" s="23" t="str">
        <f>VLOOKUP(Squads[[#This Row],[National Team]],Qualified[],3,TRUE)</f>
        <v>Qatar (QAT)</v>
      </c>
      <c r="D577" s="25">
        <v>5</v>
      </c>
      <c r="E577" s="23" t="s">
        <v>135</v>
      </c>
      <c r="F577" s="23" t="s">
        <v>193</v>
      </c>
      <c r="G577" s="26">
        <v>35769</v>
      </c>
      <c r="H577" s="65">
        <f>DATEDIF(Squads[[#This Row],[Date Of Birth]],World_Cup_Start_Date,"Y")</f>
        <v>24</v>
      </c>
      <c r="I577" s="27">
        <v>58</v>
      </c>
      <c r="J577" s="27">
        <v>0</v>
      </c>
      <c r="K577" s="78" t="s">
        <v>1656</v>
      </c>
      <c r="L577" s="27" t="str">
        <f>_xlfn.XLOOKUP(Squads[[#This Row],[Current Club]],Clubs[Current Club],Clubs[Club_ID])</f>
        <v>QTR-01</v>
      </c>
      <c r="M577" s="27" t="str">
        <f>_xlfn.XLOOKUP(Squads[[#This Row],[National Team]],Football_Associations[Football Association],Football_Associations[World Cup Result])</f>
        <v>Group Stage</v>
      </c>
      <c r="N57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78" spans="1:14" ht="15" customHeight="1" x14ac:dyDescent="0.25">
      <c r="A578" s="33">
        <f t="shared" si="8"/>
        <v>1577</v>
      </c>
      <c r="B578" s="23" t="s">
        <v>8</v>
      </c>
      <c r="C578" s="23" t="str">
        <f>VLOOKUP(Squads[[#This Row],[National Team]],Qualified[],3,TRUE)</f>
        <v>Qatar (QAT)</v>
      </c>
      <c r="D578" s="25">
        <v>6</v>
      </c>
      <c r="E578" s="23" t="s">
        <v>139</v>
      </c>
      <c r="F578" s="23" t="s">
        <v>194</v>
      </c>
      <c r="G578" s="26">
        <v>32874</v>
      </c>
      <c r="H578" s="65">
        <f>DATEDIF(Squads[[#This Row],[Date Of Birth]],World_Cup_Start_Date,"Y")</f>
        <v>32</v>
      </c>
      <c r="I578" s="27">
        <v>107</v>
      </c>
      <c r="J578" s="27">
        <v>11</v>
      </c>
      <c r="K578" s="78" t="s">
        <v>1760</v>
      </c>
      <c r="L578" s="27" t="str">
        <f>_xlfn.XLOOKUP(Squads[[#This Row],[Current Club]],Clubs[Current Club],Clubs[Club_ID])</f>
        <v>QTR-06</v>
      </c>
      <c r="M578" s="27" t="str">
        <f>_xlfn.XLOOKUP(Squads[[#This Row],[National Team]],Football_Associations[Football Association],Football_Associations[World Cup Result])</f>
        <v>Group Stage</v>
      </c>
      <c r="N57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79" spans="1:14" ht="15" customHeight="1" x14ac:dyDescent="0.25">
      <c r="A579" s="33">
        <f t="shared" ref="A579:A642" si="9">A578+1</f>
        <v>1578</v>
      </c>
      <c r="B579" s="23" t="s">
        <v>8</v>
      </c>
      <c r="C579" s="23" t="str">
        <f>VLOOKUP(Squads[[#This Row],[National Team]],Qualified[],3,TRUE)</f>
        <v>Qatar (QAT)</v>
      </c>
      <c r="D579" s="25">
        <v>7</v>
      </c>
      <c r="E579" s="23" t="s">
        <v>146</v>
      </c>
      <c r="F579" s="23" t="s">
        <v>195</v>
      </c>
      <c r="G579" s="26">
        <v>34000</v>
      </c>
      <c r="H579" s="65">
        <f>DATEDIF(Squads[[#This Row],[Date Of Birth]],World_Cup_Start_Date,"Y")</f>
        <v>29</v>
      </c>
      <c r="I579" s="27">
        <v>47</v>
      </c>
      <c r="J579" s="27">
        <v>2</v>
      </c>
      <c r="K579" s="78" t="s">
        <v>1723</v>
      </c>
      <c r="L579" s="27" t="str">
        <f>_xlfn.XLOOKUP(Squads[[#This Row],[Current Club]],Clubs[Current Club],Clubs[Club_ID])</f>
        <v>QTR-03</v>
      </c>
      <c r="M579" s="27" t="str">
        <f>_xlfn.XLOOKUP(Squads[[#This Row],[National Team]],Football_Associations[Football Association],Football_Associations[World Cup Result])</f>
        <v>Group Stage</v>
      </c>
      <c r="N57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80" spans="1:14" ht="15" customHeight="1" x14ac:dyDescent="0.25">
      <c r="A580" s="33">
        <f t="shared" si="9"/>
        <v>1579</v>
      </c>
      <c r="B580" s="23" t="s">
        <v>8</v>
      </c>
      <c r="C580" s="23" t="str">
        <f>VLOOKUP(Squads[[#This Row],[National Team]],Qualified[],3,TRUE)</f>
        <v>Qatar (QAT)</v>
      </c>
      <c r="D580" s="25">
        <v>8</v>
      </c>
      <c r="E580" s="23" t="s">
        <v>139</v>
      </c>
      <c r="F580" s="23" t="s">
        <v>196</v>
      </c>
      <c r="G580" s="26">
        <v>33988</v>
      </c>
      <c r="H580" s="65">
        <f>DATEDIF(Squads[[#This Row],[Date Of Birth]],World_Cup_Start_Date,"Y")</f>
        <v>29</v>
      </c>
      <c r="I580" s="27">
        <v>59</v>
      </c>
      <c r="J580" s="27">
        <v>12</v>
      </c>
      <c r="K580" s="78" t="s">
        <v>1656</v>
      </c>
      <c r="L580" s="27" t="str">
        <f>_xlfn.XLOOKUP(Squads[[#This Row],[Current Club]],Clubs[Current Club],Clubs[Club_ID])</f>
        <v>QTR-01</v>
      </c>
      <c r="M580" s="27" t="str">
        <f>_xlfn.XLOOKUP(Squads[[#This Row],[National Team]],Football_Associations[Football Association],Football_Associations[World Cup Result])</f>
        <v>Group Stage</v>
      </c>
      <c r="N58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81" spans="1:14" ht="15" customHeight="1" x14ac:dyDescent="0.25">
      <c r="A581" s="33">
        <f t="shared" si="9"/>
        <v>1580</v>
      </c>
      <c r="B581" s="23" t="s">
        <v>8</v>
      </c>
      <c r="C581" s="23" t="str">
        <f>VLOOKUP(Squads[[#This Row],[National Team]],Qualified[],3,TRUE)</f>
        <v>Qatar (QAT)</v>
      </c>
      <c r="D581" s="25">
        <v>9</v>
      </c>
      <c r="E581" s="23" t="s">
        <v>146</v>
      </c>
      <c r="F581" s="23" t="s">
        <v>197</v>
      </c>
      <c r="G581" s="26">
        <v>34323</v>
      </c>
      <c r="H581" s="65">
        <f>DATEDIF(Squads[[#This Row],[Date Of Birth]],World_Cup_Start_Date,"Y")</f>
        <v>28</v>
      </c>
      <c r="I581" s="27">
        <v>48</v>
      </c>
      <c r="J581" s="27">
        <v>13</v>
      </c>
      <c r="K581" s="78" t="s">
        <v>1672</v>
      </c>
      <c r="L581" s="27" t="str">
        <f>_xlfn.XLOOKUP(Squads[[#This Row],[Current Club]],Clubs[Current Club],Clubs[Club_ID])</f>
        <v>QTR-02</v>
      </c>
      <c r="M581" s="27" t="str">
        <f>_xlfn.XLOOKUP(Squads[[#This Row],[National Team]],Football_Associations[Football Association],Football_Associations[World Cup Result])</f>
        <v>Group Stage</v>
      </c>
      <c r="N58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82" spans="1:14" ht="15" customHeight="1" x14ac:dyDescent="0.25">
      <c r="A582" s="33">
        <f t="shared" si="9"/>
        <v>1581</v>
      </c>
      <c r="B582" s="23" t="s">
        <v>8</v>
      </c>
      <c r="C582" s="23" t="str">
        <f>VLOOKUP(Squads[[#This Row],[National Team]],Qualified[],3,TRUE)</f>
        <v>Qatar (QAT)</v>
      </c>
      <c r="D582" s="25">
        <v>10</v>
      </c>
      <c r="E582" s="23" t="s">
        <v>139</v>
      </c>
      <c r="F582" s="27" t="s">
        <v>945</v>
      </c>
      <c r="G582" s="26">
        <v>33218</v>
      </c>
      <c r="H582" s="65">
        <f>DATEDIF(Squads[[#This Row],[Date Of Birth]],World_Cup_Start_Date,"Y")</f>
        <v>31</v>
      </c>
      <c r="I582" s="27">
        <v>169</v>
      </c>
      <c r="J582" s="27">
        <v>36</v>
      </c>
      <c r="K582" s="78" t="s">
        <v>1656</v>
      </c>
      <c r="L582" s="27" t="str">
        <f>_xlfn.XLOOKUP(Squads[[#This Row],[Current Club]],Clubs[Current Club],Clubs[Club_ID])</f>
        <v>QTR-01</v>
      </c>
      <c r="M582" s="27" t="str">
        <f>_xlfn.XLOOKUP(Squads[[#This Row],[National Team]],Football_Associations[Football Association],Football_Associations[World Cup Result])</f>
        <v>Group Stage</v>
      </c>
      <c r="N58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83" spans="1:14" ht="15" customHeight="1" x14ac:dyDescent="0.25">
      <c r="A583" s="33">
        <f t="shared" si="9"/>
        <v>1582</v>
      </c>
      <c r="B583" s="23" t="s">
        <v>8</v>
      </c>
      <c r="C583" s="23" t="str">
        <f>VLOOKUP(Squads[[#This Row],[National Team]],Qualified[],3,TRUE)</f>
        <v>Qatar (QAT)</v>
      </c>
      <c r="D583" s="25">
        <v>11</v>
      </c>
      <c r="E583" s="23" t="s">
        <v>146</v>
      </c>
      <c r="F583" s="23" t="s">
        <v>198</v>
      </c>
      <c r="G583" s="26">
        <v>35387</v>
      </c>
      <c r="H583" s="65">
        <f>DATEDIF(Squads[[#This Row],[Date Of Birth]],World_Cup_Start_Date,"Y")</f>
        <v>26</v>
      </c>
      <c r="I583" s="27">
        <v>89</v>
      </c>
      <c r="J583" s="27">
        <v>26</v>
      </c>
      <c r="K583" s="78" t="s">
        <v>1656</v>
      </c>
      <c r="L583" s="27" t="str">
        <f>_xlfn.XLOOKUP(Squads[[#This Row],[Current Club]],Clubs[Current Club],Clubs[Club_ID])</f>
        <v>QTR-01</v>
      </c>
      <c r="M583" s="27" t="str">
        <f>_xlfn.XLOOKUP(Squads[[#This Row],[National Team]],Football_Associations[Football Association],Football_Associations[World Cup Result])</f>
        <v>Group Stage</v>
      </c>
      <c r="N58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84" spans="1:14" ht="15" customHeight="1" x14ac:dyDescent="0.25">
      <c r="A584" s="33">
        <f t="shared" si="9"/>
        <v>1583</v>
      </c>
      <c r="B584" s="23" t="s">
        <v>8</v>
      </c>
      <c r="C584" s="23" t="str">
        <f>VLOOKUP(Squads[[#This Row],[National Team]],Qualified[],3,TRUE)</f>
        <v>Qatar (QAT)</v>
      </c>
      <c r="D584" s="25">
        <v>12</v>
      </c>
      <c r="E584" s="23" t="s">
        <v>139</v>
      </c>
      <c r="F584" s="23" t="s">
        <v>199</v>
      </c>
      <c r="G584" s="26">
        <v>33132</v>
      </c>
      <c r="H584" s="65">
        <f>DATEDIF(Squads[[#This Row],[Date Of Birth]],World_Cup_Start_Date,"Y")</f>
        <v>32</v>
      </c>
      <c r="I584" s="27">
        <v>115</v>
      </c>
      <c r="J584" s="27">
        <v>6</v>
      </c>
      <c r="K584" s="78" t="s">
        <v>1672</v>
      </c>
      <c r="L584" s="27" t="str">
        <f>_xlfn.XLOOKUP(Squads[[#This Row],[Current Club]],Clubs[Current Club],Clubs[Club_ID])</f>
        <v>QTR-02</v>
      </c>
      <c r="M584" s="27" t="str">
        <f>_xlfn.XLOOKUP(Squads[[#This Row],[National Team]],Football_Associations[Football Association],Football_Associations[World Cup Result])</f>
        <v>Group Stage</v>
      </c>
      <c r="N58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85" spans="1:14" ht="15" customHeight="1" x14ac:dyDescent="0.25">
      <c r="A585" s="33">
        <f t="shared" si="9"/>
        <v>1584</v>
      </c>
      <c r="B585" s="23" t="s">
        <v>8</v>
      </c>
      <c r="C585" s="23" t="str">
        <f>VLOOKUP(Squads[[#This Row],[National Team]],Qualified[],3,TRUE)</f>
        <v>Qatar (QAT)</v>
      </c>
      <c r="D585" s="25">
        <v>13</v>
      </c>
      <c r="E585" s="23" t="s">
        <v>135</v>
      </c>
      <c r="F585" s="23" t="s">
        <v>200</v>
      </c>
      <c r="G585" s="26">
        <v>33970</v>
      </c>
      <c r="H585" s="65">
        <f>DATEDIF(Squads[[#This Row],[Date Of Birth]],World_Cup_Start_Date,"Y")</f>
        <v>29</v>
      </c>
      <c r="I585" s="27">
        <v>30</v>
      </c>
      <c r="J585" s="27">
        <v>0</v>
      </c>
      <c r="K585" s="78" t="s">
        <v>1656</v>
      </c>
      <c r="L585" s="27" t="str">
        <f>_xlfn.XLOOKUP(Squads[[#This Row],[Current Club]],Clubs[Current Club],Clubs[Club_ID])</f>
        <v>QTR-01</v>
      </c>
      <c r="M585" s="27" t="str">
        <f>_xlfn.XLOOKUP(Squads[[#This Row],[National Team]],Football_Associations[Football Association],Football_Associations[World Cup Result])</f>
        <v>Group Stage</v>
      </c>
      <c r="N58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86" spans="1:14" ht="15" customHeight="1" x14ac:dyDescent="0.25">
      <c r="A586" s="33">
        <f t="shared" si="9"/>
        <v>1585</v>
      </c>
      <c r="B586" s="23" t="s">
        <v>8</v>
      </c>
      <c r="C586" s="23" t="str">
        <f>VLOOKUP(Squads[[#This Row],[National Team]],Qualified[],3,TRUE)</f>
        <v>Qatar (QAT)</v>
      </c>
      <c r="D586" s="25">
        <v>14</v>
      </c>
      <c r="E586" s="23" t="s">
        <v>135</v>
      </c>
      <c r="F586" s="23" t="s">
        <v>201</v>
      </c>
      <c r="G586" s="26">
        <v>36397</v>
      </c>
      <c r="H586" s="65">
        <f>DATEDIF(Squads[[#This Row],[Date Of Birth]],World_Cup_Start_Date,"Y")</f>
        <v>23</v>
      </c>
      <c r="I586" s="27">
        <v>29</v>
      </c>
      <c r="J586" s="27">
        <v>2</v>
      </c>
      <c r="K586" s="78" t="s">
        <v>1723</v>
      </c>
      <c r="L586" s="27" t="str">
        <f>_xlfn.XLOOKUP(Squads[[#This Row],[Current Club]],Clubs[Current Club],Clubs[Club_ID])</f>
        <v>QTR-03</v>
      </c>
      <c r="M586" s="27" t="str">
        <f>_xlfn.XLOOKUP(Squads[[#This Row],[National Team]],Football_Associations[Football Association],Football_Associations[World Cup Result])</f>
        <v>Group Stage</v>
      </c>
      <c r="N58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87" spans="1:14" ht="15" customHeight="1" x14ac:dyDescent="0.25">
      <c r="A587" s="33">
        <f t="shared" si="9"/>
        <v>1586</v>
      </c>
      <c r="B587" s="23" t="s">
        <v>8</v>
      </c>
      <c r="C587" s="23" t="str">
        <f>VLOOKUP(Squads[[#This Row],[National Team]],Qualified[],3,TRUE)</f>
        <v>Qatar (QAT)</v>
      </c>
      <c r="D587" s="25">
        <v>15</v>
      </c>
      <c r="E587" s="23" t="s">
        <v>135</v>
      </c>
      <c r="F587" s="23" t="s">
        <v>202</v>
      </c>
      <c r="G587" s="26">
        <v>35780</v>
      </c>
      <c r="H587" s="65">
        <f>DATEDIF(Squads[[#This Row],[Date Of Birth]],World_Cup_Start_Date,"Y")</f>
        <v>24</v>
      </c>
      <c r="I587" s="27">
        <v>58</v>
      </c>
      <c r="J587" s="27">
        <v>2</v>
      </c>
      <c r="K587" s="78" t="s">
        <v>1672</v>
      </c>
      <c r="L587" s="27" t="str">
        <f>_xlfn.XLOOKUP(Squads[[#This Row],[Current Club]],Clubs[Current Club],Clubs[Club_ID])</f>
        <v>QTR-02</v>
      </c>
      <c r="M587" s="27" t="str">
        <f>_xlfn.XLOOKUP(Squads[[#This Row],[National Team]],Football_Associations[Football Association],Football_Associations[World Cup Result])</f>
        <v>Group Stage</v>
      </c>
      <c r="N58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88" spans="1:14" ht="15" customHeight="1" x14ac:dyDescent="0.25">
      <c r="A588" s="33">
        <f t="shared" si="9"/>
        <v>1587</v>
      </c>
      <c r="B588" s="23" t="s">
        <v>8</v>
      </c>
      <c r="C588" s="23" t="str">
        <f>VLOOKUP(Squads[[#This Row],[National Team]],Qualified[],3,TRUE)</f>
        <v>Qatar (QAT)</v>
      </c>
      <c r="D588" s="25">
        <v>16</v>
      </c>
      <c r="E588" s="23" t="s">
        <v>135</v>
      </c>
      <c r="F588" s="23" t="s">
        <v>203</v>
      </c>
      <c r="G588" s="26">
        <v>33063</v>
      </c>
      <c r="H588" s="65">
        <f>DATEDIF(Squads[[#This Row],[Date Of Birth]],World_Cup_Start_Date,"Y")</f>
        <v>32</v>
      </c>
      <c r="I588" s="27">
        <v>105</v>
      </c>
      <c r="J588" s="27">
        <v>20</v>
      </c>
      <c r="K588" s="78" t="s">
        <v>1656</v>
      </c>
      <c r="L588" s="27" t="str">
        <f>_xlfn.XLOOKUP(Squads[[#This Row],[Current Club]],Clubs[Current Club],Clubs[Club_ID])</f>
        <v>QTR-01</v>
      </c>
      <c r="M588" s="27" t="str">
        <f>_xlfn.XLOOKUP(Squads[[#This Row],[National Team]],Football_Associations[Football Association],Football_Associations[World Cup Result])</f>
        <v>Group Stage</v>
      </c>
      <c r="N58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89" spans="1:14" ht="15" customHeight="1" x14ac:dyDescent="0.25">
      <c r="A589" s="33">
        <f t="shared" si="9"/>
        <v>1588</v>
      </c>
      <c r="B589" s="23" t="s">
        <v>8</v>
      </c>
      <c r="C589" s="23" t="str">
        <f>VLOOKUP(Squads[[#This Row],[National Team]],Qualified[],3,TRUE)</f>
        <v>Qatar (QAT)</v>
      </c>
      <c r="D589" s="25">
        <v>17</v>
      </c>
      <c r="E589" s="23" t="s">
        <v>135</v>
      </c>
      <c r="F589" s="23" t="s">
        <v>204</v>
      </c>
      <c r="G589" s="26">
        <v>32968</v>
      </c>
      <c r="H589" s="65">
        <f>DATEDIF(Squads[[#This Row],[Date Of Birth]],World_Cup_Start_Date,"Y")</f>
        <v>32</v>
      </c>
      <c r="I589" s="27">
        <v>70</v>
      </c>
      <c r="J589" s="27">
        <v>4</v>
      </c>
      <c r="K589" s="78" t="s">
        <v>1672</v>
      </c>
      <c r="L589" s="27" t="str">
        <f>_xlfn.XLOOKUP(Squads[[#This Row],[Current Club]],Clubs[Current Club],Clubs[Club_ID])</f>
        <v>QTR-02</v>
      </c>
      <c r="M589" s="27" t="str">
        <f>_xlfn.XLOOKUP(Squads[[#This Row],[National Team]],Football_Associations[Football Association],Football_Associations[World Cup Result])</f>
        <v>Group Stage</v>
      </c>
      <c r="N58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90" spans="1:14" ht="15" customHeight="1" x14ac:dyDescent="0.25">
      <c r="A590" s="33">
        <f t="shared" si="9"/>
        <v>1589</v>
      </c>
      <c r="B590" s="23" t="s">
        <v>8</v>
      </c>
      <c r="C590" s="23" t="str">
        <f>VLOOKUP(Squads[[#This Row],[National Team]],Qualified[],3,TRUE)</f>
        <v>Qatar (QAT)</v>
      </c>
      <c r="D590" s="25">
        <v>18</v>
      </c>
      <c r="E590" s="23" t="s">
        <v>146</v>
      </c>
      <c r="F590" s="23" t="s">
        <v>205</v>
      </c>
      <c r="G590" s="26">
        <v>35850</v>
      </c>
      <c r="H590" s="65">
        <f>DATEDIF(Squads[[#This Row],[Date Of Birth]],World_Cup_Start_Date,"Y")</f>
        <v>24</v>
      </c>
      <c r="I590" s="27">
        <v>2</v>
      </c>
      <c r="J590" s="27">
        <v>0</v>
      </c>
      <c r="K590" s="78" t="s">
        <v>1820</v>
      </c>
      <c r="L590" s="27" t="str">
        <f>_xlfn.XLOOKUP(Squads[[#This Row],[Current Club]],Clubs[Current Club],Clubs[Club_ID])</f>
        <v>QTR-07</v>
      </c>
      <c r="M590" s="27" t="str">
        <f>_xlfn.XLOOKUP(Squads[[#This Row],[National Team]],Football_Associations[Football Association],Football_Associations[World Cup Result])</f>
        <v>Group Stage</v>
      </c>
      <c r="N59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91" spans="1:14" ht="15" customHeight="1" x14ac:dyDescent="0.25">
      <c r="A591" s="33">
        <f t="shared" si="9"/>
        <v>1590</v>
      </c>
      <c r="B591" s="23" t="s">
        <v>8</v>
      </c>
      <c r="C591" s="23" t="str">
        <f>VLOOKUP(Squads[[#This Row],[National Team]],Qualified[],3,TRUE)</f>
        <v>Qatar (QAT)</v>
      </c>
      <c r="D591" s="25">
        <v>19</v>
      </c>
      <c r="E591" s="23" t="s">
        <v>146</v>
      </c>
      <c r="F591" s="23" t="s">
        <v>206</v>
      </c>
      <c r="G591" s="26">
        <v>35296</v>
      </c>
      <c r="H591" s="65">
        <f>DATEDIF(Squads[[#This Row],[Date Of Birth]],World_Cup_Start_Date,"Y")</f>
        <v>26</v>
      </c>
      <c r="I591" s="27">
        <v>85</v>
      </c>
      <c r="J591" s="27">
        <v>42</v>
      </c>
      <c r="K591" s="78" t="s">
        <v>1672</v>
      </c>
      <c r="L591" s="27" t="str">
        <f>_xlfn.XLOOKUP(Squads[[#This Row],[Current Club]],Clubs[Current Club],Clubs[Club_ID])</f>
        <v>QTR-02</v>
      </c>
      <c r="M591" s="27" t="str">
        <f>_xlfn.XLOOKUP(Squads[[#This Row],[National Team]],Football_Associations[Football Association],Football_Associations[World Cup Result])</f>
        <v>Group Stage</v>
      </c>
      <c r="N59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92" spans="1:14" ht="15" customHeight="1" x14ac:dyDescent="0.25">
      <c r="A592" s="33">
        <f t="shared" si="9"/>
        <v>1591</v>
      </c>
      <c r="B592" s="23" t="s">
        <v>8</v>
      </c>
      <c r="C592" s="23" t="str">
        <f>VLOOKUP(Squads[[#This Row],[National Team]],Qualified[],3,TRUE)</f>
        <v>Qatar (QAT)</v>
      </c>
      <c r="D592" s="25">
        <v>20</v>
      </c>
      <c r="E592" s="23" t="s">
        <v>139</v>
      </c>
      <c r="F592" s="23" t="s">
        <v>207</v>
      </c>
      <c r="G592" s="26">
        <v>35165</v>
      </c>
      <c r="H592" s="65">
        <f>DATEDIF(Squads[[#This Row],[Date Of Birth]],World_Cup_Start_Date,"Y")</f>
        <v>26</v>
      </c>
      <c r="I592" s="27">
        <v>22</v>
      </c>
      <c r="J592" s="27">
        <v>0</v>
      </c>
      <c r="K592" s="78" t="s">
        <v>1656</v>
      </c>
      <c r="L592" s="27" t="str">
        <f>_xlfn.XLOOKUP(Squads[[#This Row],[Current Club]],Clubs[Current Club],Clubs[Club_ID])</f>
        <v>QTR-01</v>
      </c>
      <c r="M592" s="27" t="str">
        <f>_xlfn.XLOOKUP(Squads[[#This Row],[National Team]],Football_Associations[Football Association],Football_Associations[World Cup Result])</f>
        <v>Group Stage</v>
      </c>
      <c r="N59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93" spans="1:14" ht="15" customHeight="1" x14ac:dyDescent="0.25">
      <c r="A593" s="33">
        <f t="shared" si="9"/>
        <v>1592</v>
      </c>
      <c r="B593" s="23" t="s">
        <v>8</v>
      </c>
      <c r="C593" s="23" t="str">
        <f>VLOOKUP(Squads[[#This Row],[National Team]],Qualified[],3,TRUE)</f>
        <v>Qatar (QAT)</v>
      </c>
      <c r="D593" s="25">
        <v>21</v>
      </c>
      <c r="E593" s="23" t="s">
        <v>133</v>
      </c>
      <c r="F593" s="23" t="s">
        <v>208</v>
      </c>
      <c r="G593" s="26">
        <v>35209</v>
      </c>
      <c r="H593" s="65">
        <f>DATEDIF(Squads[[#This Row],[Date Of Birth]],World_Cup_Start_Date,"Y")</f>
        <v>26</v>
      </c>
      <c r="I593" s="27">
        <v>7</v>
      </c>
      <c r="J593" s="27">
        <v>0</v>
      </c>
      <c r="K593" s="78" t="s">
        <v>1723</v>
      </c>
      <c r="L593" s="27" t="str">
        <f>_xlfn.XLOOKUP(Squads[[#This Row],[Current Club]],Clubs[Current Club],Clubs[Club_ID])</f>
        <v>QTR-03</v>
      </c>
      <c r="M593" s="27" t="str">
        <f>_xlfn.XLOOKUP(Squads[[#This Row],[National Team]],Football_Associations[Football Association],Football_Associations[World Cup Result])</f>
        <v>Group Stage</v>
      </c>
      <c r="N59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94" spans="1:14" ht="15" customHeight="1" x14ac:dyDescent="0.25">
      <c r="A594" s="33">
        <f t="shared" si="9"/>
        <v>1593</v>
      </c>
      <c r="B594" s="23" t="s">
        <v>8</v>
      </c>
      <c r="C594" s="23" t="str">
        <f>VLOOKUP(Squads[[#This Row],[National Team]],Qualified[],3,TRUE)</f>
        <v>Qatar (QAT)</v>
      </c>
      <c r="D594" s="25">
        <v>22</v>
      </c>
      <c r="E594" s="23" t="s">
        <v>133</v>
      </c>
      <c r="F594" s="23" t="s">
        <v>209</v>
      </c>
      <c r="G594" s="26">
        <v>35840</v>
      </c>
      <c r="H594" s="65">
        <f>DATEDIF(Squads[[#This Row],[Date Of Birth]],World_Cup_Start_Date,"Y")</f>
        <v>24</v>
      </c>
      <c r="I594" s="27">
        <v>20</v>
      </c>
      <c r="J594" s="27">
        <v>0</v>
      </c>
      <c r="K594" s="78" t="s">
        <v>1656</v>
      </c>
      <c r="L594" s="27" t="str">
        <f>_xlfn.XLOOKUP(Squads[[#This Row],[Current Club]],Clubs[Current Club],Clubs[Club_ID])</f>
        <v>QTR-01</v>
      </c>
      <c r="M594" s="27" t="str">
        <f>_xlfn.XLOOKUP(Squads[[#This Row],[National Team]],Football_Associations[Football Association],Football_Associations[World Cup Result])</f>
        <v>Group Stage</v>
      </c>
      <c r="N59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95" spans="1:14" ht="15" customHeight="1" x14ac:dyDescent="0.25">
      <c r="A595" s="33">
        <f t="shared" si="9"/>
        <v>1594</v>
      </c>
      <c r="B595" s="23" t="s">
        <v>8</v>
      </c>
      <c r="C595" s="23" t="str">
        <f>VLOOKUP(Squads[[#This Row],[National Team]],Qualified[],3,TRUE)</f>
        <v>Qatar (QAT)</v>
      </c>
      <c r="D595" s="25">
        <v>23</v>
      </c>
      <c r="E595" s="23" t="s">
        <v>139</v>
      </c>
      <c r="F595" s="23" t="s">
        <v>210</v>
      </c>
      <c r="G595" s="26">
        <v>35360</v>
      </c>
      <c r="H595" s="65">
        <f>DATEDIF(Squads[[#This Row],[Date Of Birth]],World_Cup_Start_Date,"Y")</f>
        <v>26</v>
      </c>
      <c r="I595" s="27">
        <v>43</v>
      </c>
      <c r="J595" s="27">
        <v>0</v>
      </c>
      <c r="K595" s="78" t="s">
        <v>1672</v>
      </c>
      <c r="L595" s="27" t="str">
        <f>_xlfn.XLOOKUP(Squads[[#This Row],[Current Club]],Clubs[Current Club],Clubs[Club_ID])</f>
        <v>QTR-02</v>
      </c>
      <c r="M595" s="27" t="str">
        <f>_xlfn.XLOOKUP(Squads[[#This Row],[National Team]],Football_Associations[Football Association],Football_Associations[World Cup Result])</f>
        <v>Group Stage</v>
      </c>
      <c r="N59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96" spans="1:14" ht="15" customHeight="1" x14ac:dyDescent="0.25">
      <c r="A596" s="33">
        <f t="shared" si="9"/>
        <v>1595</v>
      </c>
      <c r="B596" s="23" t="s">
        <v>8</v>
      </c>
      <c r="C596" s="23" t="str">
        <f>VLOOKUP(Squads[[#This Row],[National Team]],Qualified[],3,TRUE)</f>
        <v>Qatar (QAT)</v>
      </c>
      <c r="D596" s="25">
        <v>24</v>
      </c>
      <c r="E596" s="23" t="s">
        <v>139</v>
      </c>
      <c r="F596" s="23" t="s">
        <v>211</v>
      </c>
      <c r="G596" s="26">
        <v>37090</v>
      </c>
      <c r="H596" s="65">
        <f>DATEDIF(Squads[[#This Row],[Date Of Birth]],World_Cup_Start_Date,"Y")</f>
        <v>21</v>
      </c>
      <c r="I596" s="27">
        <v>1</v>
      </c>
      <c r="J596" s="27">
        <v>0</v>
      </c>
      <c r="K596" s="78" t="s">
        <v>1760</v>
      </c>
      <c r="L596" s="27" t="str">
        <f>_xlfn.XLOOKUP(Squads[[#This Row],[Current Club]],Clubs[Current Club],Clubs[Club_ID])</f>
        <v>QTR-06</v>
      </c>
      <c r="M596" s="27" t="str">
        <f>_xlfn.XLOOKUP(Squads[[#This Row],[National Team]],Football_Associations[Football Association],Football_Associations[World Cup Result])</f>
        <v>Group Stage</v>
      </c>
      <c r="N59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97" spans="1:14" ht="15" customHeight="1" x14ac:dyDescent="0.25">
      <c r="A597" s="33">
        <f t="shared" si="9"/>
        <v>1596</v>
      </c>
      <c r="B597" s="23" t="s">
        <v>8</v>
      </c>
      <c r="C597" s="23" t="str">
        <f>VLOOKUP(Squads[[#This Row],[National Team]],Qualified[],3,TRUE)</f>
        <v>Qatar (QAT)</v>
      </c>
      <c r="D597" s="25">
        <v>25</v>
      </c>
      <c r="E597" s="23" t="s">
        <v>139</v>
      </c>
      <c r="F597" s="23" t="s">
        <v>212</v>
      </c>
      <c r="G597" s="26">
        <v>37307</v>
      </c>
      <c r="H597" s="65">
        <f>DATEDIF(Squads[[#This Row],[Date Of Birth]],World_Cup_Start_Date,"Y")</f>
        <v>20</v>
      </c>
      <c r="I597" s="27">
        <v>0</v>
      </c>
      <c r="J597" s="27">
        <v>0</v>
      </c>
      <c r="K597" s="78" t="s">
        <v>1758</v>
      </c>
      <c r="L597" s="24" t="str">
        <f>_xlfn.XLOOKUP(Squads[[#This Row],[Current Club]],Clubs[Current Club],Clubs[Club_ID])</f>
        <v>QTR-05</v>
      </c>
      <c r="M597" s="75" t="str">
        <f>_xlfn.XLOOKUP(Squads[[#This Row],[National Team]],Football_Associations[Football Association],Football_Associations[World Cup Result])</f>
        <v>Group Stage</v>
      </c>
      <c r="N597" s="75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98" spans="1:14" ht="15" customHeight="1" x14ac:dyDescent="0.25">
      <c r="A598" s="33">
        <f t="shared" si="9"/>
        <v>1597</v>
      </c>
      <c r="B598" s="23" t="s">
        <v>8</v>
      </c>
      <c r="C598" s="23" t="str">
        <f>VLOOKUP(Squads[[#This Row],[National Team]],Qualified[],3,TRUE)</f>
        <v>Qatar (QAT)</v>
      </c>
      <c r="D598" s="25">
        <v>26</v>
      </c>
      <c r="E598" s="23" t="s">
        <v>139</v>
      </c>
      <c r="F598" s="23" t="s">
        <v>213</v>
      </c>
      <c r="G598" s="26">
        <v>36978</v>
      </c>
      <c r="H598" s="65">
        <f>DATEDIF(Squads[[#This Row],[Date Of Birth]],World_Cup_Start_Date,"Y")</f>
        <v>21</v>
      </c>
      <c r="I598" s="27">
        <v>1</v>
      </c>
      <c r="J598" s="27">
        <v>0</v>
      </c>
      <c r="K598" s="78" t="s">
        <v>1656</v>
      </c>
      <c r="L598" s="27" t="str">
        <f>_xlfn.XLOOKUP(Squads[[#This Row],[Current Club]],Clubs[Current Club],Clubs[Club_ID])</f>
        <v>QTR-01</v>
      </c>
      <c r="M598" s="27" t="str">
        <f>_xlfn.XLOOKUP(Squads[[#This Row],[National Team]],Football_Associations[Football Association],Football_Associations[World Cup Result])</f>
        <v>Group Stage</v>
      </c>
      <c r="N59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599" spans="1:14" ht="15" customHeight="1" x14ac:dyDescent="0.25">
      <c r="A599" s="33">
        <f t="shared" si="9"/>
        <v>1598</v>
      </c>
      <c r="B599" s="23" t="s">
        <v>14</v>
      </c>
      <c r="C599" s="23" t="str">
        <f>VLOOKUP(Squads[[#This Row],[National Team]],Qualified[],3,TRUE)</f>
        <v>Saudi Arabia (KSA)</v>
      </c>
      <c r="D599" s="25">
        <v>1</v>
      </c>
      <c r="E599" s="23" t="s">
        <v>133</v>
      </c>
      <c r="F599" s="23" t="s">
        <v>414</v>
      </c>
      <c r="G599" s="26">
        <v>35656</v>
      </c>
      <c r="H599" s="65">
        <f>DATEDIF(Squads[[#This Row],[Date Of Birth]],World_Cup_Start_Date,"Y")</f>
        <v>25</v>
      </c>
      <c r="I599" s="27">
        <v>7</v>
      </c>
      <c r="J599" s="27">
        <v>0</v>
      </c>
      <c r="K599" s="78" t="s">
        <v>1756</v>
      </c>
      <c r="L599" s="27" t="str">
        <f>_xlfn.XLOOKUP(Squads[[#This Row],[Current Club]],Clubs[Current Club],Clubs[Club_ID])</f>
        <v>SAU-05</v>
      </c>
      <c r="M599" s="27" t="str">
        <f>_xlfn.XLOOKUP(Squads[[#This Row],[National Team]],Football_Associations[Football Association],Football_Associations[World Cup Result])</f>
        <v>Group Stage</v>
      </c>
      <c r="N59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00" spans="1:14" ht="15" customHeight="1" x14ac:dyDescent="0.25">
      <c r="A600" s="33">
        <f t="shared" si="9"/>
        <v>1599</v>
      </c>
      <c r="B600" s="23" t="s">
        <v>14</v>
      </c>
      <c r="C600" s="23" t="str">
        <f>VLOOKUP(Squads[[#This Row],[National Team]],Qualified[],3,TRUE)</f>
        <v>Saudi Arabia (KSA)</v>
      </c>
      <c r="D600" s="25">
        <v>2</v>
      </c>
      <c r="E600" s="23" t="s">
        <v>135</v>
      </c>
      <c r="F600" s="23" t="s">
        <v>415</v>
      </c>
      <c r="G600" s="26">
        <v>34460</v>
      </c>
      <c r="H600" s="65">
        <f>DATEDIF(Squads[[#This Row],[Date Of Birth]],World_Cup_Start_Date,"Y")</f>
        <v>28</v>
      </c>
      <c r="I600" s="27">
        <v>24</v>
      </c>
      <c r="J600" s="27">
        <v>0</v>
      </c>
      <c r="K600" s="78" t="s">
        <v>1673</v>
      </c>
      <c r="L600" s="27" t="str">
        <f>_xlfn.XLOOKUP(Squads[[#This Row],[Current Club]],Clubs[Current Club],Clubs[Club_ID])</f>
        <v>SAU-02</v>
      </c>
      <c r="M600" s="27" t="str">
        <f>_xlfn.XLOOKUP(Squads[[#This Row],[National Team]],Football_Associations[Football Association],Football_Associations[World Cup Result])</f>
        <v>Group Stage</v>
      </c>
      <c r="N60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01" spans="1:14" ht="15" customHeight="1" x14ac:dyDescent="0.25">
      <c r="A601" s="33">
        <f t="shared" si="9"/>
        <v>1600</v>
      </c>
      <c r="B601" s="23" t="s">
        <v>14</v>
      </c>
      <c r="C601" s="23" t="str">
        <f>VLOOKUP(Squads[[#This Row],[National Team]],Qualified[],3,TRUE)</f>
        <v>Saudi Arabia (KSA)</v>
      </c>
      <c r="D601" s="25">
        <v>3</v>
      </c>
      <c r="E601" s="23" t="s">
        <v>135</v>
      </c>
      <c r="F601" s="23" t="s">
        <v>416</v>
      </c>
      <c r="G601" s="26">
        <v>34165</v>
      </c>
      <c r="H601" s="65">
        <f>DATEDIF(Squads[[#This Row],[Date Of Birth]],World_Cup_Start_Date,"Y")</f>
        <v>29</v>
      </c>
      <c r="I601" s="27">
        <v>15</v>
      </c>
      <c r="J601" s="27">
        <v>0</v>
      </c>
      <c r="K601" s="78" t="s">
        <v>1673</v>
      </c>
      <c r="L601" s="27" t="str">
        <f>_xlfn.XLOOKUP(Squads[[#This Row],[Current Club]],Clubs[Current Club],Clubs[Club_ID])</f>
        <v>SAU-02</v>
      </c>
      <c r="M601" s="27" t="str">
        <f>_xlfn.XLOOKUP(Squads[[#This Row],[National Team]],Football_Associations[Football Association],Football_Associations[World Cup Result])</f>
        <v>Group Stage</v>
      </c>
      <c r="N60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02" spans="1:14" ht="15" customHeight="1" x14ac:dyDescent="0.25">
      <c r="A602" s="33">
        <f t="shared" si="9"/>
        <v>1601</v>
      </c>
      <c r="B602" s="23" t="s">
        <v>14</v>
      </c>
      <c r="C602" s="23" t="str">
        <f>VLOOKUP(Squads[[#This Row],[National Team]],Qualified[],3,TRUE)</f>
        <v>Saudi Arabia (KSA)</v>
      </c>
      <c r="D602" s="25">
        <v>4</v>
      </c>
      <c r="E602" s="23" t="s">
        <v>135</v>
      </c>
      <c r="F602" s="23" t="s">
        <v>417</v>
      </c>
      <c r="G602" s="26">
        <v>35445</v>
      </c>
      <c r="H602" s="65">
        <f>DATEDIF(Squads[[#This Row],[Date Of Birth]],World_Cup_Start_Date,"Y")</f>
        <v>25</v>
      </c>
      <c r="I602" s="27">
        <v>20</v>
      </c>
      <c r="J602" s="27">
        <v>1</v>
      </c>
      <c r="K602" s="78" t="s">
        <v>1673</v>
      </c>
      <c r="L602" s="27" t="str">
        <f>_xlfn.XLOOKUP(Squads[[#This Row],[Current Club]],Clubs[Current Club],Clubs[Club_ID])</f>
        <v>SAU-02</v>
      </c>
      <c r="M602" s="27" t="str">
        <f>_xlfn.XLOOKUP(Squads[[#This Row],[National Team]],Football_Associations[Football Association],Football_Associations[World Cup Result])</f>
        <v>Group Stage</v>
      </c>
      <c r="N60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03" spans="1:14" ht="15" customHeight="1" x14ac:dyDescent="0.25">
      <c r="A603" s="33">
        <f t="shared" si="9"/>
        <v>1602</v>
      </c>
      <c r="B603" s="23" t="s">
        <v>14</v>
      </c>
      <c r="C603" s="23" t="str">
        <f>VLOOKUP(Squads[[#This Row],[National Team]],Qualified[],3,TRUE)</f>
        <v>Saudi Arabia (KSA)</v>
      </c>
      <c r="D603" s="25">
        <v>5</v>
      </c>
      <c r="E603" s="23" t="s">
        <v>135</v>
      </c>
      <c r="F603" s="23" t="s">
        <v>418</v>
      </c>
      <c r="G603" s="26">
        <v>32833</v>
      </c>
      <c r="H603" s="65">
        <f>DATEDIF(Squads[[#This Row],[Date Of Birth]],World_Cup_Start_Date,"Y")</f>
        <v>32</v>
      </c>
      <c r="I603" s="27">
        <v>37</v>
      </c>
      <c r="J603" s="27">
        <v>0</v>
      </c>
      <c r="K603" s="78" t="s">
        <v>1659</v>
      </c>
      <c r="L603" s="27" t="str">
        <f>_xlfn.XLOOKUP(Squads[[#This Row],[Current Club]],Clubs[Current Club],Clubs[Club_ID])</f>
        <v>SAU-01</v>
      </c>
      <c r="M603" s="27" t="str">
        <f>_xlfn.XLOOKUP(Squads[[#This Row],[National Team]],Football_Associations[Football Association],Football_Associations[World Cup Result])</f>
        <v>Group Stage</v>
      </c>
      <c r="N60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04" spans="1:14" ht="15" customHeight="1" x14ac:dyDescent="0.25">
      <c r="A604" s="33">
        <f t="shared" si="9"/>
        <v>1603</v>
      </c>
      <c r="B604" s="23" t="s">
        <v>14</v>
      </c>
      <c r="C604" s="23" t="str">
        <f>VLOOKUP(Squads[[#This Row],[National Team]],Qualified[],3,TRUE)</f>
        <v>Saudi Arabia (KSA)</v>
      </c>
      <c r="D604" s="25">
        <v>6</v>
      </c>
      <c r="E604" s="23" t="s">
        <v>135</v>
      </c>
      <c r="F604" s="23" t="s">
        <v>419</v>
      </c>
      <c r="G604" s="26">
        <v>33862</v>
      </c>
      <c r="H604" s="65">
        <f>DATEDIF(Squads[[#This Row],[Date Of Birth]],World_Cup_Start_Date,"Y")</f>
        <v>30</v>
      </c>
      <c r="I604" s="27">
        <v>40</v>
      </c>
      <c r="J604" s="27">
        <v>1</v>
      </c>
      <c r="K604" s="78" t="s">
        <v>1659</v>
      </c>
      <c r="L604" s="27" t="str">
        <f>_xlfn.XLOOKUP(Squads[[#This Row],[Current Club]],Clubs[Current Club],Clubs[Club_ID])</f>
        <v>SAU-01</v>
      </c>
      <c r="M604" s="27" t="str">
        <f>_xlfn.XLOOKUP(Squads[[#This Row],[National Team]],Football_Associations[Football Association],Football_Associations[World Cup Result])</f>
        <v>Group Stage</v>
      </c>
      <c r="N60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05" spans="1:14" ht="15" customHeight="1" x14ac:dyDescent="0.25">
      <c r="A605" s="33">
        <f t="shared" si="9"/>
        <v>1604</v>
      </c>
      <c r="B605" s="23" t="s">
        <v>14</v>
      </c>
      <c r="C605" s="23" t="str">
        <f>VLOOKUP(Squads[[#This Row],[National Team]],Qualified[],3,TRUE)</f>
        <v>Saudi Arabia (KSA)</v>
      </c>
      <c r="D605" s="25">
        <v>7</v>
      </c>
      <c r="E605" s="23" t="s">
        <v>139</v>
      </c>
      <c r="F605" s="27" t="s">
        <v>949</v>
      </c>
      <c r="G605" s="26">
        <v>32721</v>
      </c>
      <c r="H605" s="65">
        <f>DATEDIF(Squads[[#This Row],[Date Of Birth]],World_Cup_Start_Date,"Y")</f>
        <v>33</v>
      </c>
      <c r="I605" s="27">
        <v>70</v>
      </c>
      <c r="J605" s="27">
        <v>8</v>
      </c>
      <c r="K605" s="78" t="s">
        <v>1659</v>
      </c>
      <c r="L605" s="27" t="str">
        <f>_xlfn.XLOOKUP(Squads[[#This Row],[Current Club]],Clubs[Current Club],Clubs[Club_ID])</f>
        <v>SAU-01</v>
      </c>
      <c r="M605" s="27" t="str">
        <f>_xlfn.XLOOKUP(Squads[[#This Row],[National Team]],Football_Associations[Football Association],Football_Associations[World Cup Result])</f>
        <v>Group Stage</v>
      </c>
      <c r="N60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06" spans="1:14" ht="15" customHeight="1" x14ac:dyDescent="0.25">
      <c r="A606" s="33">
        <f t="shared" si="9"/>
        <v>1605</v>
      </c>
      <c r="B606" s="23" t="s">
        <v>14</v>
      </c>
      <c r="C606" s="23" t="str">
        <f>VLOOKUP(Squads[[#This Row],[National Team]],Qualified[],3,TRUE)</f>
        <v>Saudi Arabia (KSA)</v>
      </c>
      <c r="D606" s="25">
        <v>8</v>
      </c>
      <c r="E606" s="23" t="s">
        <v>139</v>
      </c>
      <c r="F606" s="23" t="s">
        <v>420</v>
      </c>
      <c r="G606" s="26">
        <v>34618</v>
      </c>
      <c r="H606" s="65">
        <f>DATEDIF(Squads[[#This Row],[Date Of Birth]],World_Cup_Start_Date,"Y")</f>
        <v>28</v>
      </c>
      <c r="I606" s="27">
        <v>27</v>
      </c>
      <c r="J606" s="27">
        <v>0</v>
      </c>
      <c r="K606" s="78" t="s">
        <v>1659</v>
      </c>
      <c r="L606" s="27" t="str">
        <f>_xlfn.XLOOKUP(Squads[[#This Row],[Current Club]],Clubs[Current Club],Clubs[Club_ID])</f>
        <v>SAU-01</v>
      </c>
      <c r="M606" s="27" t="str">
        <f>_xlfn.XLOOKUP(Squads[[#This Row],[National Team]],Football_Associations[Football Association],Football_Associations[World Cup Result])</f>
        <v>Group Stage</v>
      </c>
      <c r="N60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07" spans="1:14" ht="15" customHeight="1" x14ac:dyDescent="0.25">
      <c r="A607" s="33">
        <f t="shared" si="9"/>
        <v>1606</v>
      </c>
      <c r="B607" s="23" t="s">
        <v>14</v>
      </c>
      <c r="C607" s="23" t="str">
        <f>VLOOKUP(Squads[[#This Row],[National Team]],Qualified[],3,TRUE)</f>
        <v>Saudi Arabia (KSA)</v>
      </c>
      <c r="D607" s="25">
        <v>9</v>
      </c>
      <c r="E607" s="23" t="s">
        <v>146</v>
      </c>
      <c r="F607" s="23" t="s">
        <v>421</v>
      </c>
      <c r="G607" s="26">
        <v>36660</v>
      </c>
      <c r="H607" s="65">
        <f>DATEDIF(Squads[[#This Row],[Date Of Birth]],World_Cup_Start_Date,"Y")</f>
        <v>22</v>
      </c>
      <c r="I607" s="27">
        <v>26</v>
      </c>
      <c r="J607" s="27">
        <v>6</v>
      </c>
      <c r="K607" s="78" t="s">
        <v>1817</v>
      </c>
      <c r="L607" s="27" t="str">
        <f>_xlfn.XLOOKUP(Squads[[#This Row],[Current Club]],Clubs[Current Club],Clubs[Club_ID])</f>
        <v>SAU-09</v>
      </c>
      <c r="M607" s="27" t="str">
        <f>_xlfn.XLOOKUP(Squads[[#This Row],[National Team]],Football_Associations[Football Association],Football_Associations[World Cup Result])</f>
        <v>Group Stage</v>
      </c>
      <c r="N60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08" spans="1:14" ht="15" customHeight="1" x14ac:dyDescent="0.25">
      <c r="A608" s="33">
        <f t="shared" si="9"/>
        <v>1607</v>
      </c>
      <c r="B608" s="23" t="s">
        <v>14</v>
      </c>
      <c r="C608" s="23" t="str">
        <f>VLOOKUP(Squads[[#This Row],[National Team]],Qualified[],3,TRUE)</f>
        <v>Saudi Arabia (KSA)</v>
      </c>
      <c r="D608" s="25">
        <v>10</v>
      </c>
      <c r="E608" s="23" t="s">
        <v>146</v>
      </c>
      <c r="F608" s="23" t="s">
        <v>422</v>
      </c>
      <c r="G608" s="26">
        <v>33469</v>
      </c>
      <c r="H608" s="65">
        <f>DATEDIF(Squads[[#This Row],[Date Of Birth]],World_Cup_Start_Date,"Y")</f>
        <v>31</v>
      </c>
      <c r="I608" s="27">
        <v>71</v>
      </c>
      <c r="J608" s="27">
        <v>17</v>
      </c>
      <c r="K608" s="78" t="s">
        <v>1659</v>
      </c>
      <c r="L608" s="27" t="str">
        <f>_xlfn.XLOOKUP(Squads[[#This Row],[Current Club]],Clubs[Current Club],Clubs[Club_ID])</f>
        <v>SAU-01</v>
      </c>
      <c r="M608" s="27" t="str">
        <f>_xlfn.XLOOKUP(Squads[[#This Row],[National Team]],Football_Associations[Football Association],Football_Associations[World Cup Result])</f>
        <v>Group Stage</v>
      </c>
      <c r="N60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09" spans="1:14" ht="15" customHeight="1" x14ac:dyDescent="0.25">
      <c r="A609" s="33">
        <f t="shared" si="9"/>
        <v>1608</v>
      </c>
      <c r="B609" s="23" t="s">
        <v>14</v>
      </c>
      <c r="C609" s="23" t="str">
        <f>VLOOKUP(Squads[[#This Row],[National Team]],Qualified[],3,TRUE)</f>
        <v>Saudi Arabia (KSA)</v>
      </c>
      <c r="D609" s="25">
        <v>11</v>
      </c>
      <c r="E609" s="23" t="s">
        <v>146</v>
      </c>
      <c r="F609" s="23" t="s">
        <v>423</v>
      </c>
      <c r="G609" s="26">
        <v>34274</v>
      </c>
      <c r="H609" s="65">
        <f>DATEDIF(Squads[[#This Row],[Date Of Birth]],World_Cup_Start_Date,"Y")</f>
        <v>29</v>
      </c>
      <c r="I609" s="27">
        <v>20</v>
      </c>
      <c r="J609" s="27">
        <v>10</v>
      </c>
      <c r="K609" s="78" t="s">
        <v>1659</v>
      </c>
      <c r="L609" s="27" t="str">
        <f>_xlfn.XLOOKUP(Squads[[#This Row],[Current Club]],Clubs[Current Club],Clubs[Club_ID])</f>
        <v>SAU-01</v>
      </c>
      <c r="M609" s="27" t="str">
        <f>_xlfn.XLOOKUP(Squads[[#This Row],[National Team]],Football_Associations[Football Association],Football_Associations[World Cup Result])</f>
        <v>Group Stage</v>
      </c>
      <c r="N60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10" spans="1:14" ht="15" customHeight="1" x14ac:dyDescent="0.25">
      <c r="A610" s="33">
        <f t="shared" si="9"/>
        <v>1609</v>
      </c>
      <c r="B610" s="23" t="s">
        <v>14</v>
      </c>
      <c r="C610" s="23" t="str">
        <f>VLOOKUP(Squads[[#This Row],[National Team]],Qualified[],3,TRUE)</f>
        <v>Saudi Arabia (KSA)</v>
      </c>
      <c r="D610" s="25">
        <v>12</v>
      </c>
      <c r="E610" s="23" t="s">
        <v>135</v>
      </c>
      <c r="F610" s="23" t="s">
        <v>424</v>
      </c>
      <c r="G610" s="26">
        <v>36359</v>
      </c>
      <c r="H610" s="65">
        <f>DATEDIF(Squads[[#This Row],[Date Of Birth]],World_Cup_Start_Date,"Y")</f>
        <v>23</v>
      </c>
      <c r="I610" s="27">
        <v>23</v>
      </c>
      <c r="J610" s="27">
        <v>1</v>
      </c>
      <c r="K610" s="78" t="s">
        <v>1659</v>
      </c>
      <c r="L610" s="27" t="str">
        <f>_xlfn.XLOOKUP(Squads[[#This Row],[Current Club]],Clubs[Current Club],Clubs[Club_ID])</f>
        <v>SAU-01</v>
      </c>
      <c r="M610" s="27" t="str">
        <f>_xlfn.XLOOKUP(Squads[[#This Row],[National Team]],Football_Associations[Football Association],Football_Associations[World Cup Result])</f>
        <v>Group Stage</v>
      </c>
      <c r="N61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11" spans="1:14" ht="15" customHeight="1" x14ac:dyDescent="0.25">
      <c r="A611" s="33">
        <f t="shared" si="9"/>
        <v>1610</v>
      </c>
      <c r="B611" s="23" t="s">
        <v>14</v>
      </c>
      <c r="C611" s="23" t="str">
        <f>VLOOKUP(Squads[[#This Row],[National Team]],Qualified[],3,TRUE)</f>
        <v>Saudi Arabia (KSA)</v>
      </c>
      <c r="D611" s="25">
        <v>13</v>
      </c>
      <c r="E611" s="23" t="s">
        <v>135</v>
      </c>
      <c r="F611" s="23" t="s">
        <v>425</v>
      </c>
      <c r="G611" s="26">
        <v>33749</v>
      </c>
      <c r="H611" s="65">
        <f>DATEDIF(Squads[[#This Row],[Date Of Birth]],World_Cup_Start_Date,"Y")</f>
        <v>30</v>
      </c>
      <c r="I611" s="27">
        <v>72</v>
      </c>
      <c r="J611" s="27">
        <v>2</v>
      </c>
      <c r="K611" s="78" t="s">
        <v>1659</v>
      </c>
      <c r="L611" s="27" t="str">
        <f>_xlfn.XLOOKUP(Squads[[#This Row],[Current Club]],Clubs[Current Club],Clubs[Club_ID])</f>
        <v>SAU-01</v>
      </c>
      <c r="M611" s="27" t="str">
        <f>_xlfn.XLOOKUP(Squads[[#This Row],[National Team]],Football_Associations[Football Association],Football_Associations[World Cup Result])</f>
        <v>Group Stage</v>
      </c>
      <c r="N61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12" spans="1:14" ht="15" customHeight="1" x14ac:dyDescent="0.25">
      <c r="A612" s="33">
        <f t="shared" si="9"/>
        <v>1611</v>
      </c>
      <c r="B612" s="23" t="s">
        <v>14</v>
      </c>
      <c r="C612" s="23" t="str">
        <f>VLOOKUP(Squads[[#This Row],[National Team]],Qualified[],3,TRUE)</f>
        <v>Saudi Arabia (KSA)</v>
      </c>
      <c r="D612" s="25">
        <v>14</v>
      </c>
      <c r="E612" s="23" t="s">
        <v>139</v>
      </c>
      <c r="F612" s="23" t="s">
        <v>426</v>
      </c>
      <c r="G612" s="26">
        <v>33819</v>
      </c>
      <c r="H612" s="65">
        <f>DATEDIF(Squads[[#This Row],[Date Of Birth]],World_Cup_Start_Date,"Y")</f>
        <v>30</v>
      </c>
      <c r="I612" s="27">
        <v>45</v>
      </c>
      <c r="J612" s="27">
        <v>1</v>
      </c>
      <c r="K612" s="78" t="s">
        <v>1659</v>
      </c>
      <c r="L612" s="27" t="str">
        <f>_xlfn.XLOOKUP(Squads[[#This Row],[Current Club]],Clubs[Current Club],Clubs[Club_ID])</f>
        <v>SAU-01</v>
      </c>
      <c r="M612" s="27" t="str">
        <f>_xlfn.XLOOKUP(Squads[[#This Row],[National Team]],Football_Associations[Football Association],Football_Associations[World Cup Result])</f>
        <v>Group Stage</v>
      </c>
      <c r="N61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13" spans="1:14" ht="15" customHeight="1" x14ac:dyDescent="0.25">
      <c r="A613" s="33">
        <f t="shared" si="9"/>
        <v>1612</v>
      </c>
      <c r="B613" s="23" t="s">
        <v>14</v>
      </c>
      <c r="C613" s="23" t="str">
        <f>VLOOKUP(Squads[[#This Row],[National Team]],Qualified[],3,TRUE)</f>
        <v>Saudi Arabia (KSA)</v>
      </c>
      <c r="D613" s="25">
        <v>15</v>
      </c>
      <c r="E613" s="23" t="s">
        <v>139</v>
      </c>
      <c r="F613" s="23" t="s">
        <v>427</v>
      </c>
      <c r="G613" s="26">
        <v>35493</v>
      </c>
      <c r="H613" s="65">
        <f>DATEDIF(Squads[[#This Row],[Date Of Birth]],World_Cup_Start_Date,"Y")</f>
        <v>25</v>
      </c>
      <c r="I613" s="27">
        <v>13</v>
      </c>
      <c r="J613" s="27">
        <v>1</v>
      </c>
      <c r="K613" s="78" t="s">
        <v>1673</v>
      </c>
      <c r="L613" s="27" t="str">
        <f>_xlfn.XLOOKUP(Squads[[#This Row],[Current Club]],Clubs[Current Club],Clubs[Club_ID])</f>
        <v>SAU-02</v>
      </c>
      <c r="M613" s="27" t="str">
        <f>_xlfn.XLOOKUP(Squads[[#This Row],[National Team]],Football_Associations[Football Association],Football_Associations[World Cup Result])</f>
        <v>Group Stage</v>
      </c>
      <c r="N61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14" spans="1:14" ht="15" customHeight="1" x14ac:dyDescent="0.25">
      <c r="A614" s="33">
        <f t="shared" si="9"/>
        <v>1613</v>
      </c>
      <c r="B614" s="23" t="s">
        <v>14</v>
      </c>
      <c r="C614" s="23" t="str">
        <f>VLOOKUP(Squads[[#This Row],[National Team]],Qualified[],3,TRUE)</f>
        <v>Saudi Arabia (KSA)</v>
      </c>
      <c r="D614" s="25">
        <v>16</v>
      </c>
      <c r="E614" s="23" t="s">
        <v>139</v>
      </c>
      <c r="F614" s="23" t="s">
        <v>428</v>
      </c>
      <c r="G614" s="26">
        <v>35468</v>
      </c>
      <c r="H614" s="65">
        <f>DATEDIF(Squads[[#This Row],[Date Of Birth]],World_Cup_Start_Date,"Y")</f>
        <v>25</v>
      </c>
      <c r="I614" s="27">
        <v>17</v>
      </c>
      <c r="J614" s="27">
        <v>2</v>
      </c>
      <c r="K614" s="78" t="s">
        <v>1673</v>
      </c>
      <c r="L614" s="27" t="str">
        <f>_xlfn.XLOOKUP(Squads[[#This Row],[Current Club]],Clubs[Current Club],Clubs[Club_ID])</f>
        <v>SAU-02</v>
      </c>
      <c r="M614" s="27" t="str">
        <f>_xlfn.XLOOKUP(Squads[[#This Row],[National Team]],Football_Associations[Football Association],Football_Associations[World Cup Result])</f>
        <v>Group Stage</v>
      </c>
      <c r="N61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15" spans="1:14" ht="15" customHeight="1" x14ac:dyDescent="0.25">
      <c r="A615" s="33">
        <f t="shared" si="9"/>
        <v>1614</v>
      </c>
      <c r="B615" s="23" t="s">
        <v>14</v>
      </c>
      <c r="C615" s="23" t="str">
        <f>VLOOKUP(Squads[[#This Row],[National Team]],Qualified[],3,TRUE)</f>
        <v>Saudi Arabia (KSA)</v>
      </c>
      <c r="D615" s="25">
        <v>17</v>
      </c>
      <c r="E615" s="23" t="s">
        <v>135</v>
      </c>
      <c r="F615" s="23" t="s">
        <v>429</v>
      </c>
      <c r="G615" s="26">
        <v>36200</v>
      </c>
      <c r="H615" s="65">
        <f>DATEDIF(Squads[[#This Row],[Date Of Birth]],World_Cup_Start_Date,"Y")</f>
        <v>23</v>
      </c>
      <c r="I615" s="27">
        <v>19</v>
      </c>
      <c r="J615" s="27">
        <v>0</v>
      </c>
      <c r="K615" s="78" t="s">
        <v>1690</v>
      </c>
      <c r="L615" s="27" t="str">
        <f>_xlfn.XLOOKUP(Squads[[#This Row],[Current Club]],Clubs[Current Club],Clubs[Club_ID])</f>
        <v>SAU-03</v>
      </c>
      <c r="M615" s="27" t="str">
        <f>_xlfn.XLOOKUP(Squads[[#This Row],[National Team]],Football_Associations[Football Association],Football_Associations[World Cup Result])</f>
        <v>Group Stage</v>
      </c>
      <c r="N61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16" spans="1:14" ht="15" customHeight="1" x14ac:dyDescent="0.25">
      <c r="A616" s="33">
        <f t="shared" si="9"/>
        <v>1615</v>
      </c>
      <c r="B616" s="23" t="s">
        <v>14</v>
      </c>
      <c r="C616" s="23" t="str">
        <f>VLOOKUP(Squads[[#This Row],[National Team]],Qualified[],3,TRUE)</f>
        <v>Saudi Arabia (KSA)</v>
      </c>
      <c r="D616" s="25">
        <v>18</v>
      </c>
      <c r="E616" s="23" t="s">
        <v>139</v>
      </c>
      <c r="F616" s="23" t="s">
        <v>430</v>
      </c>
      <c r="G616" s="26">
        <v>32899</v>
      </c>
      <c r="H616" s="65">
        <f>DATEDIF(Squads[[#This Row],[Date Of Birth]],World_Cup_Start_Date,"Y")</f>
        <v>32</v>
      </c>
      <c r="I616" s="27">
        <v>55</v>
      </c>
      <c r="J616" s="27">
        <v>8</v>
      </c>
      <c r="K616" s="78" t="s">
        <v>1690</v>
      </c>
      <c r="L616" s="27" t="str">
        <f>_xlfn.XLOOKUP(Squads[[#This Row],[Current Club]],Clubs[Current Club],Clubs[Club_ID])</f>
        <v>SAU-03</v>
      </c>
      <c r="M616" s="27" t="str">
        <f>_xlfn.XLOOKUP(Squads[[#This Row],[National Team]],Football_Associations[Football Association],Football_Associations[World Cup Result])</f>
        <v>Group Stage</v>
      </c>
      <c r="N61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17" spans="1:14" ht="15" customHeight="1" x14ac:dyDescent="0.25">
      <c r="A617" s="33">
        <f t="shared" si="9"/>
        <v>1616</v>
      </c>
      <c r="B617" s="23" t="s">
        <v>14</v>
      </c>
      <c r="C617" s="23" t="str">
        <f>VLOOKUP(Squads[[#This Row],[National Team]],Qualified[],3,TRUE)</f>
        <v>Saudi Arabia (KSA)</v>
      </c>
      <c r="D617" s="25">
        <v>19</v>
      </c>
      <c r="E617" s="23" t="s">
        <v>146</v>
      </c>
      <c r="F617" s="23" t="s">
        <v>431</v>
      </c>
      <c r="G617" s="26">
        <v>33801</v>
      </c>
      <c r="H617" s="65">
        <f>DATEDIF(Squads[[#This Row],[Date Of Birth]],World_Cup_Start_Date,"Y")</f>
        <v>30</v>
      </c>
      <c r="I617" s="27">
        <v>41</v>
      </c>
      <c r="J617" s="27">
        <v>4</v>
      </c>
      <c r="K617" s="78" t="s">
        <v>1690</v>
      </c>
      <c r="L617" s="27" t="str">
        <f>_xlfn.XLOOKUP(Squads[[#This Row],[Current Club]],Clubs[Current Club],Clubs[Club_ID])</f>
        <v>SAU-03</v>
      </c>
      <c r="M617" s="27" t="str">
        <f>_xlfn.XLOOKUP(Squads[[#This Row],[National Team]],Football_Associations[Football Association],Football_Associations[World Cup Result])</f>
        <v>Group Stage</v>
      </c>
      <c r="N61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18" spans="1:14" ht="15" customHeight="1" x14ac:dyDescent="0.25">
      <c r="A618" s="33">
        <f t="shared" si="9"/>
        <v>1617</v>
      </c>
      <c r="B618" s="23" t="s">
        <v>14</v>
      </c>
      <c r="C618" s="23" t="str">
        <f>VLOOKUP(Squads[[#This Row],[National Team]],Qualified[],3,TRUE)</f>
        <v>Saudi Arabia (KSA)</v>
      </c>
      <c r="D618" s="25">
        <v>20</v>
      </c>
      <c r="E618" s="23" t="s">
        <v>146</v>
      </c>
      <c r="F618" s="23" t="s">
        <v>432</v>
      </c>
      <c r="G618" s="26">
        <v>34851</v>
      </c>
      <c r="H618" s="65">
        <f>DATEDIF(Squads[[#This Row],[Date Of Birth]],World_Cup_Start_Date,"Y")</f>
        <v>27</v>
      </c>
      <c r="I618" s="27">
        <v>3</v>
      </c>
      <c r="J618" s="27">
        <v>0</v>
      </c>
      <c r="K618" s="78" t="s">
        <v>1759</v>
      </c>
      <c r="L618" s="27" t="str">
        <f>_xlfn.XLOOKUP(Squads[[#This Row],[Current Club]],Clubs[Current Club],Clubs[Club_ID])</f>
        <v>SAU-06</v>
      </c>
      <c r="M618" s="27" t="str">
        <f>_xlfn.XLOOKUP(Squads[[#This Row],[National Team]],Football_Associations[Football Association],Football_Associations[World Cup Result])</f>
        <v>Group Stage</v>
      </c>
      <c r="N61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19" spans="1:14" ht="15" customHeight="1" x14ac:dyDescent="0.25">
      <c r="A619" s="33">
        <f t="shared" si="9"/>
        <v>1618</v>
      </c>
      <c r="B619" s="23" t="s">
        <v>14</v>
      </c>
      <c r="C619" s="23" t="str">
        <f>VLOOKUP(Squads[[#This Row],[National Team]],Qualified[],3,TRUE)</f>
        <v>Saudi Arabia (KSA)</v>
      </c>
      <c r="D619" s="25">
        <v>21</v>
      </c>
      <c r="E619" s="23" t="s">
        <v>133</v>
      </c>
      <c r="F619" s="23" t="s">
        <v>433</v>
      </c>
      <c r="G619" s="26">
        <v>33521</v>
      </c>
      <c r="H619" s="65">
        <f>DATEDIF(Squads[[#This Row],[Date Of Birth]],World_Cup_Start_Date,"Y")</f>
        <v>31</v>
      </c>
      <c r="I619" s="27">
        <v>42</v>
      </c>
      <c r="J619" s="27">
        <v>0</v>
      </c>
      <c r="K619" s="78" t="s">
        <v>1659</v>
      </c>
      <c r="L619" s="27" t="str">
        <f>_xlfn.XLOOKUP(Squads[[#This Row],[Current Club]],Clubs[Current Club],Clubs[Club_ID])</f>
        <v>SAU-01</v>
      </c>
      <c r="M619" s="27" t="str">
        <f>_xlfn.XLOOKUP(Squads[[#This Row],[National Team]],Football_Associations[Football Association],Football_Associations[World Cup Result])</f>
        <v>Group Stage</v>
      </c>
      <c r="N61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20" spans="1:14" ht="15" customHeight="1" x14ac:dyDescent="0.25">
      <c r="A620" s="33">
        <f t="shared" si="9"/>
        <v>1619</v>
      </c>
      <c r="B620" s="23" t="s">
        <v>14</v>
      </c>
      <c r="C620" s="23" t="str">
        <f>VLOOKUP(Squads[[#This Row],[National Team]],Qualified[],3,TRUE)</f>
        <v>Saudi Arabia (KSA)</v>
      </c>
      <c r="D620" s="25">
        <v>22</v>
      </c>
      <c r="E620" s="23" t="s">
        <v>133</v>
      </c>
      <c r="F620" s="23" t="s">
        <v>434</v>
      </c>
      <c r="G620" s="26">
        <v>36656</v>
      </c>
      <c r="H620" s="65">
        <f>DATEDIF(Squads[[#This Row],[Date Of Birth]],World_Cup_Start_Date,"Y")</f>
        <v>22</v>
      </c>
      <c r="I620" s="27">
        <v>0</v>
      </c>
      <c r="J620" s="27">
        <v>0</v>
      </c>
      <c r="K620" s="78" t="s">
        <v>1673</v>
      </c>
      <c r="L620" s="27" t="str">
        <f>_xlfn.XLOOKUP(Squads[[#This Row],[Current Club]],Clubs[Current Club],Clubs[Club_ID])</f>
        <v>SAU-02</v>
      </c>
      <c r="M620" s="27" t="str">
        <f>_xlfn.XLOOKUP(Squads[[#This Row],[National Team]],Football_Associations[Football Association],Football_Associations[World Cup Result])</f>
        <v>Group Stage</v>
      </c>
      <c r="N62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21" spans="1:14" ht="15" customHeight="1" x14ac:dyDescent="0.25">
      <c r="A621" s="33">
        <f t="shared" si="9"/>
        <v>1620</v>
      </c>
      <c r="B621" s="23" t="s">
        <v>14</v>
      </c>
      <c r="C621" s="23" t="str">
        <f>VLOOKUP(Squads[[#This Row],[National Team]],Qualified[],3,TRUE)</f>
        <v>Saudi Arabia (KSA)</v>
      </c>
      <c r="D621" s="25">
        <v>23</v>
      </c>
      <c r="E621" s="23" t="s">
        <v>139</v>
      </c>
      <c r="F621" s="23" t="s">
        <v>435</v>
      </c>
      <c r="G621" s="26">
        <v>34599</v>
      </c>
      <c r="H621" s="65">
        <f>DATEDIF(Squads[[#This Row],[Date Of Birth]],World_Cup_Start_Date,"Y")</f>
        <v>28</v>
      </c>
      <c r="I621" s="27">
        <v>38</v>
      </c>
      <c r="J621" s="27">
        <v>1</v>
      </c>
      <c r="K621" s="78" t="s">
        <v>1659</v>
      </c>
      <c r="L621" s="27" t="str">
        <f>_xlfn.XLOOKUP(Squads[[#This Row],[Current Club]],Clubs[Current Club],Clubs[Club_ID])</f>
        <v>SAU-01</v>
      </c>
      <c r="M621" s="27" t="str">
        <f>_xlfn.XLOOKUP(Squads[[#This Row],[National Team]],Football_Associations[Football Association],Football_Associations[World Cup Result])</f>
        <v>Group Stage</v>
      </c>
      <c r="N62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22" spans="1:14" ht="15" customHeight="1" x14ac:dyDescent="0.25">
      <c r="A622" s="33">
        <f t="shared" si="9"/>
        <v>1621</v>
      </c>
      <c r="B622" s="23" t="s">
        <v>14</v>
      </c>
      <c r="C622" s="23" t="str">
        <f>VLOOKUP(Squads[[#This Row],[National Team]],Qualified[],3,TRUE)</f>
        <v>Saudi Arabia (KSA)</v>
      </c>
      <c r="D622" s="25">
        <v>24</v>
      </c>
      <c r="E622" s="23" t="s">
        <v>139</v>
      </c>
      <c r="F622" s="23" t="s">
        <v>436</v>
      </c>
      <c r="G622" s="26">
        <v>36148</v>
      </c>
      <c r="H622" s="65">
        <f>DATEDIF(Squads[[#This Row],[Date Of Birth]],World_Cup_Start_Date,"Y")</f>
        <v>23</v>
      </c>
      <c r="I622" s="27">
        <v>10</v>
      </c>
      <c r="J622" s="27">
        <v>0</v>
      </c>
      <c r="K622" s="78" t="s">
        <v>1659</v>
      </c>
      <c r="L622" s="27" t="str">
        <f>_xlfn.XLOOKUP(Squads[[#This Row],[Current Club]],Clubs[Current Club],Clubs[Club_ID])</f>
        <v>SAU-01</v>
      </c>
      <c r="M622" s="27" t="str">
        <f>_xlfn.XLOOKUP(Squads[[#This Row],[National Team]],Football_Associations[Football Association],Football_Associations[World Cup Result])</f>
        <v>Group Stage</v>
      </c>
      <c r="N62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23" spans="1:14" ht="15" customHeight="1" x14ac:dyDescent="0.25">
      <c r="A623" s="33">
        <f t="shared" si="9"/>
        <v>1622</v>
      </c>
      <c r="B623" s="23" t="s">
        <v>14</v>
      </c>
      <c r="C623" s="23" t="str">
        <f>VLOOKUP(Squads[[#This Row],[National Team]],Qualified[],3,TRUE)</f>
        <v>Saudi Arabia (KSA)</v>
      </c>
      <c r="D623" s="25">
        <v>25</v>
      </c>
      <c r="E623" s="23" t="s">
        <v>146</v>
      </c>
      <c r="F623" s="23" t="s">
        <v>437</v>
      </c>
      <c r="G623" s="26">
        <v>36975</v>
      </c>
      <c r="H623" s="65">
        <f>DATEDIF(Squads[[#This Row],[Date Of Birth]],World_Cup_Start_Date,"Y")</f>
        <v>21</v>
      </c>
      <c r="I623" s="27">
        <v>8</v>
      </c>
      <c r="J623" s="27">
        <v>1</v>
      </c>
      <c r="K623" s="78" t="s">
        <v>1756</v>
      </c>
      <c r="L623" s="27" t="str">
        <f>_xlfn.XLOOKUP(Squads[[#This Row],[Current Club]],Clubs[Current Club],Clubs[Club_ID])</f>
        <v>SAU-05</v>
      </c>
      <c r="M623" s="27" t="str">
        <f>_xlfn.XLOOKUP(Squads[[#This Row],[National Team]],Football_Associations[Football Association],Football_Associations[World Cup Result])</f>
        <v>Group Stage</v>
      </c>
      <c r="N62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24" spans="1:14" ht="15" customHeight="1" x14ac:dyDescent="0.25">
      <c r="A624" s="33">
        <f t="shared" si="9"/>
        <v>1623</v>
      </c>
      <c r="B624" s="23" t="s">
        <v>14</v>
      </c>
      <c r="C624" s="23" t="str">
        <f>VLOOKUP(Squads[[#This Row],[National Team]],Qualified[],3,TRUE)</f>
        <v>Saudi Arabia (KSA)</v>
      </c>
      <c r="D624" s="25">
        <v>26</v>
      </c>
      <c r="E624" s="23" t="s">
        <v>139</v>
      </c>
      <c r="F624" s="23" t="s">
        <v>438</v>
      </c>
      <c r="G624" s="26">
        <v>34087</v>
      </c>
      <c r="H624" s="65">
        <f>DATEDIF(Squads[[#This Row],[Date Of Birth]],World_Cup_Start_Date,"Y")</f>
        <v>29</v>
      </c>
      <c r="I624" s="27">
        <v>5</v>
      </c>
      <c r="J624" s="27">
        <v>0</v>
      </c>
      <c r="K624" s="78" t="s">
        <v>1755</v>
      </c>
      <c r="L624" s="27" t="str">
        <f>_xlfn.XLOOKUP(Squads[[#This Row],[Current Club]],Clubs[Current Club],Clubs[Club_ID])</f>
        <v>SAU-04</v>
      </c>
      <c r="M624" s="27" t="str">
        <f>_xlfn.XLOOKUP(Squads[[#This Row],[National Team]],Football_Associations[Football Association],Football_Associations[World Cup Result])</f>
        <v>Group Stage</v>
      </c>
      <c r="N62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25" spans="1:14" ht="15" customHeight="1" x14ac:dyDescent="0.25">
      <c r="A625" s="33">
        <f t="shared" si="9"/>
        <v>1624</v>
      </c>
      <c r="B625" s="23" t="s">
        <v>3</v>
      </c>
      <c r="C625" s="23" t="str">
        <f>VLOOKUP(Squads[[#This Row],[National Team]],Qualified[],3,TRUE)</f>
        <v>Senegal (SEN)</v>
      </c>
      <c r="D625" s="25">
        <v>1</v>
      </c>
      <c r="E625" s="23" t="s">
        <v>133</v>
      </c>
      <c r="F625" s="23" t="s">
        <v>214</v>
      </c>
      <c r="G625" s="26">
        <v>34661</v>
      </c>
      <c r="H625" s="65">
        <f>DATEDIF(Squads[[#This Row],[Date Of Birth]],World_Cup_Start_Date,"Y")</f>
        <v>27</v>
      </c>
      <c r="I625" s="27">
        <v>4</v>
      </c>
      <c r="J625" s="27">
        <v>0</v>
      </c>
      <c r="K625" s="78" t="s">
        <v>1797</v>
      </c>
      <c r="L625" s="27" t="str">
        <f>_xlfn.XLOOKUP(Squads[[#This Row],[Current Club]],Clubs[Current Club],Clubs[Club_ID])</f>
        <v>ENG-26</v>
      </c>
      <c r="M625" s="27" t="str">
        <f>_xlfn.XLOOKUP(Squads[[#This Row],[National Team]],Football_Associations[Football Association],Football_Associations[World Cup Result])</f>
        <v>Last 16</v>
      </c>
      <c r="N62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26" spans="1:14" ht="15" customHeight="1" x14ac:dyDescent="0.25">
      <c r="A626" s="33">
        <f t="shared" si="9"/>
        <v>1625</v>
      </c>
      <c r="B626" s="23" t="s">
        <v>3</v>
      </c>
      <c r="C626" s="23" t="str">
        <f>VLOOKUP(Squads[[#This Row],[National Team]],Qualified[],3,TRUE)</f>
        <v>Senegal (SEN)</v>
      </c>
      <c r="D626" s="25">
        <v>2</v>
      </c>
      <c r="E626" s="23" t="s">
        <v>135</v>
      </c>
      <c r="F626" s="23" t="s">
        <v>215</v>
      </c>
      <c r="G626" s="26">
        <v>36893</v>
      </c>
      <c r="H626" s="65">
        <f>DATEDIF(Squads[[#This Row],[Date Of Birth]],World_Cup_Start_Date,"Y")</f>
        <v>21</v>
      </c>
      <c r="I626" s="27">
        <v>2</v>
      </c>
      <c r="J626" s="27">
        <v>0</v>
      </c>
      <c r="K626" s="78" t="s">
        <v>1821</v>
      </c>
      <c r="L626" s="27" t="str">
        <f>_xlfn.XLOOKUP(Squads[[#This Row],[Current Club]],Clubs[Current Club],Clubs[Club_ID])</f>
        <v>FRA-14</v>
      </c>
      <c r="M626" s="27" t="str">
        <f>_xlfn.XLOOKUP(Squads[[#This Row],[National Team]],Football_Associations[Football Association],Football_Associations[World Cup Result])</f>
        <v>Last 16</v>
      </c>
      <c r="N62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27" spans="1:14" ht="15" customHeight="1" x14ac:dyDescent="0.25">
      <c r="A627" s="33">
        <f t="shared" si="9"/>
        <v>1626</v>
      </c>
      <c r="B627" s="23" t="s">
        <v>3</v>
      </c>
      <c r="C627" s="23" t="str">
        <f>VLOOKUP(Squads[[#This Row],[National Team]],Qualified[],3,TRUE)</f>
        <v>Senegal (SEN)</v>
      </c>
      <c r="D627" s="25">
        <v>3</v>
      </c>
      <c r="E627" s="23" t="s">
        <v>135</v>
      </c>
      <c r="F627" s="27" t="s">
        <v>963</v>
      </c>
      <c r="G627" s="26">
        <v>33409</v>
      </c>
      <c r="H627" s="65">
        <f>DATEDIF(Squads[[#This Row],[Date Of Birth]],World_Cup_Start_Date,"Y")</f>
        <v>31</v>
      </c>
      <c r="I627" s="27">
        <v>64</v>
      </c>
      <c r="J627" s="27">
        <v>0</v>
      </c>
      <c r="K627" s="78" t="s">
        <v>1661</v>
      </c>
      <c r="L627" s="27" t="str">
        <f>_xlfn.XLOOKUP(Squads[[#This Row],[Current Club]],Clubs[Current Club],Clubs[Club_ID])</f>
        <v>ENG-03</v>
      </c>
      <c r="M627" s="27" t="str">
        <f>_xlfn.XLOOKUP(Squads[[#This Row],[National Team]],Football_Associations[Football Association],Football_Associations[World Cup Result])</f>
        <v>Last 16</v>
      </c>
      <c r="N62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28" spans="1:14" ht="15" customHeight="1" x14ac:dyDescent="0.25">
      <c r="A628" s="33">
        <f t="shared" si="9"/>
        <v>1627</v>
      </c>
      <c r="B628" s="23" t="s">
        <v>3</v>
      </c>
      <c r="C628" s="23" t="str">
        <f>VLOOKUP(Squads[[#This Row],[National Team]],Qualified[],3,TRUE)</f>
        <v>Senegal (SEN)</v>
      </c>
      <c r="D628" s="25">
        <v>4</v>
      </c>
      <c r="E628" s="23" t="s">
        <v>135</v>
      </c>
      <c r="F628" s="23" t="s">
        <v>216</v>
      </c>
      <c r="G628" s="26">
        <v>34956</v>
      </c>
      <c r="H628" s="65">
        <f>DATEDIF(Squads[[#This Row],[Date Of Birth]],World_Cup_Start_Date,"Y")</f>
        <v>27</v>
      </c>
      <c r="I628" s="27">
        <v>13</v>
      </c>
      <c r="J628" s="27">
        <v>1</v>
      </c>
      <c r="K628" s="78" t="s">
        <v>1714</v>
      </c>
      <c r="L628" s="27" t="str">
        <f>_xlfn.XLOOKUP(Squads[[#This Row],[Current Club]],Clubs[Current Club],Clubs[Club_ID])</f>
        <v>GRE-02</v>
      </c>
      <c r="M628" s="27" t="str">
        <f>_xlfn.XLOOKUP(Squads[[#This Row],[National Team]],Football_Associations[Football Association],Football_Associations[World Cup Result])</f>
        <v>Last 16</v>
      </c>
      <c r="N62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29" spans="1:14" ht="15" customHeight="1" x14ac:dyDescent="0.25">
      <c r="A629" s="33">
        <f t="shared" si="9"/>
        <v>1628</v>
      </c>
      <c r="B629" s="23" t="s">
        <v>3</v>
      </c>
      <c r="C629" s="23" t="str">
        <f>VLOOKUP(Squads[[#This Row],[National Team]],Qualified[],3,TRUE)</f>
        <v>Senegal (SEN)</v>
      </c>
      <c r="D629" s="25">
        <v>5</v>
      </c>
      <c r="E629" s="23" t="s">
        <v>139</v>
      </c>
      <c r="F629" s="23" t="s">
        <v>217</v>
      </c>
      <c r="G629" s="26">
        <v>32777</v>
      </c>
      <c r="H629" s="65">
        <f>DATEDIF(Squads[[#This Row],[Date Of Birth]],World_Cup_Start_Date,"Y")</f>
        <v>33</v>
      </c>
      <c r="I629" s="27">
        <v>96</v>
      </c>
      <c r="J629" s="27">
        <v>7</v>
      </c>
      <c r="K629" s="78" t="s">
        <v>1710</v>
      </c>
      <c r="L629" s="27" t="str">
        <f>_xlfn.XLOOKUP(Squads[[#This Row],[Current Club]],Clubs[Current Club],Clubs[Club_ID])</f>
        <v>ENG-16</v>
      </c>
      <c r="M629" s="27" t="str">
        <f>_xlfn.XLOOKUP(Squads[[#This Row],[National Team]],Football_Associations[Football Association],Football_Associations[World Cup Result])</f>
        <v>Last 16</v>
      </c>
      <c r="N62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30" spans="1:14" ht="15" customHeight="1" x14ac:dyDescent="0.25">
      <c r="A630" s="33">
        <f t="shared" si="9"/>
        <v>1629</v>
      </c>
      <c r="B630" s="23" t="s">
        <v>3</v>
      </c>
      <c r="C630" s="23" t="str">
        <f>VLOOKUP(Squads[[#This Row],[National Team]],Qualified[],3,TRUE)</f>
        <v>Senegal (SEN)</v>
      </c>
      <c r="D630" s="25">
        <v>6</v>
      </c>
      <c r="E630" s="23" t="s">
        <v>139</v>
      </c>
      <c r="F630" s="23" t="s">
        <v>218</v>
      </c>
      <c r="G630" s="26">
        <v>33778</v>
      </c>
      <c r="H630" s="65">
        <f>DATEDIF(Squads[[#This Row],[Date Of Birth]],World_Cup_Start_Date,"Y")</f>
        <v>30</v>
      </c>
      <c r="I630" s="27">
        <v>19</v>
      </c>
      <c r="J630" s="27">
        <v>0</v>
      </c>
      <c r="K630" s="78" t="s">
        <v>1675</v>
      </c>
      <c r="L630" s="27" t="str">
        <f>_xlfn.XLOOKUP(Squads[[#This Row],[Current Club]],Clubs[Current Club],Clubs[Club_ID])</f>
        <v>ENG-07</v>
      </c>
      <c r="M630" s="27" t="str">
        <f>_xlfn.XLOOKUP(Squads[[#This Row],[National Team]],Football_Associations[Football Association],Football_Associations[World Cup Result])</f>
        <v>Last 16</v>
      </c>
      <c r="N63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31" spans="1:14" ht="15" customHeight="1" x14ac:dyDescent="0.25">
      <c r="A631" s="33">
        <f t="shared" si="9"/>
        <v>1630</v>
      </c>
      <c r="B631" s="23" t="s">
        <v>3</v>
      </c>
      <c r="C631" s="23" t="str">
        <f>VLOOKUP(Squads[[#This Row],[National Team]],Qualified[],3,TRUE)</f>
        <v>Senegal (SEN)</v>
      </c>
      <c r="D631" s="25">
        <v>7</v>
      </c>
      <c r="E631" s="23" t="s">
        <v>146</v>
      </c>
      <c r="F631" s="23" t="s">
        <v>219</v>
      </c>
      <c r="G631" s="26">
        <v>37062</v>
      </c>
      <c r="H631" s="65">
        <f>DATEDIF(Squads[[#This Row],[Date Of Birth]],World_Cup_Start_Date,"Y")</f>
        <v>21</v>
      </c>
      <c r="I631" s="27">
        <v>0</v>
      </c>
      <c r="J631" s="27">
        <v>0</v>
      </c>
      <c r="K631" s="78" t="s">
        <v>1702</v>
      </c>
      <c r="L631" s="27" t="str">
        <f>_xlfn.XLOOKUP(Squads[[#This Row],[Current Club]],Clubs[Current Club],Clubs[Club_ID])</f>
        <v>ESP-06</v>
      </c>
      <c r="M631" s="27" t="str">
        <f>_xlfn.XLOOKUP(Squads[[#This Row],[National Team]],Football_Associations[Football Association],Football_Associations[World Cup Result])</f>
        <v>Last 16</v>
      </c>
      <c r="N63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32" spans="1:14" ht="15" customHeight="1" x14ac:dyDescent="0.25">
      <c r="A632" s="33">
        <f t="shared" si="9"/>
        <v>1631</v>
      </c>
      <c r="B632" s="23" t="s">
        <v>3</v>
      </c>
      <c r="C632" s="23" t="str">
        <f>VLOOKUP(Squads[[#This Row],[National Team]],Qualified[],3,TRUE)</f>
        <v>Senegal (SEN)</v>
      </c>
      <c r="D632" s="25">
        <v>8</v>
      </c>
      <c r="E632" s="23" t="s">
        <v>135</v>
      </c>
      <c r="F632" s="23" t="s">
        <v>220</v>
      </c>
      <c r="G632" s="26">
        <v>32863</v>
      </c>
      <c r="H632" s="65">
        <f>DATEDIF(Squads[[#This Row],[Date Of Birth]],World_Cup_Start_Date,"Y")</f>
        <v>32</v>
      </c>
      <c r="I632" s="27">
        <v>83</v>
      </c>
      <c r="J632" s="27">
        <v>4</v>
      </c>
      <c r="K632" s="78" t="s">
        <v>1698</v>
      </c>
      <c r="L632" s="27" t="str">
        <f>_xlfn.XLOOKUP(Squads[[#This Row],[Current Club]],Clubs[Current Club],Clubs[Club_ID])</f>
        <v>ENG-12</v>
      </c>
      <c r="M632" s="27" t="str">
        <f>_xlfn.XLOOKUP(Squads[[#This Row],[National Team]],Football_Associations[Football Association],Football_Associations[World Cup Result])</f>
        <v>Last 16</v>
      </c>
      <c r="N63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33" spans="1:14" ht="15" customHeight="1" x14ac:dyDescent="0.25">
      <c r="A633" s="33">
        <f t="shared" si="9"/>
        <v>1632</v>
      </c>
      <c r="B633" s="23" t="s">
        <v>3</v>
      </c>
      <c r="C633" s="23" t="str">
        <f>VLOOKUP(Squads[[#This Row],[National Team]],Qualified[],3,TRUE)</f>
        <v>Senegal (SEN)</v>
      </c>
      <c r="D633" s="25">
        <v>9</v>
      </c>
      <c r="E633" s="23" t="s">
        <v>146</v>
      </c>
      <c r="F633" s="23" t="s">
        <v>221</v>
      </c>
      <c r="G633" s="26">
        <v>35385</v>
      </c>
      <c r="H633" s="65">
        <f>DATEDIF(Squads[[#This Row],[Date Of Birth]],World_Cup_Start_Date,"Y")</f>
        <v>26</v>
      </c>
      <c r="I633" s="27">
        <v>19</v>
      </c>
      <c r="J633" s="27">
        <v>3</v>
      </c>
      <c r="K633" s="78" t="s">
        <v>1744</v>
      </c>
      <c r="L633" s="27" t="str">
        <f>_xlfn.XLOOKUP(Squads[[#This Row],[Current Club]],Clubs[Current Club],Clubs[Club_ID])</f>
        <v>ITA-10</v>
      </c>
      <c r="M633" s="27" t="str">
        <f>_xlfn.XLOOKUP(Squads[[#This Row],[National Team]],Football_Associations[Football Association],Football_Associations[World Cup Result])</f>
        <v>Last 16</v>
      </c>
      <c r="N63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34" spans="1:14" ht="15" customHeight="1" x14ac:dyDescent="0.25">
      <c r="A634" s="33">
        <f t="shared" si="9"/>
        <v>1633</v>
      </c>
      <c r="B634" s="23" t="s">
        <v>3</v>
      </c>
      <c r="C634" s="23" t="str">
        <f>VLOOKUP(Squads[[#This Row],[National Team]],Qualified[],3,TRUE)</f>
        <v>Senegal (SEN)</v>
      </c>
      <c r="D634" s="25">
        <v>11</v>
      </c>
      <c r="E634" s="23" t="s">
        <v>139</v>
      </c>
      <c r="F634" s="23" t="s">
        <v>222</v>
      </c>
      <c r="G634" s="26">
        <v>34409</v>
      </c>
      <c r="H634" s="65">
        <f>DATEDIF(Squads[[#This Row],[Date Of Birth]],World_Cup_Start_Date,"Y")</f>
        <v>28</v>
      </c>
      <c r="I634" s="27">
        <v>1</v>
      </c>
      <c r="J634" s="27">
        <v>0</v>
      </c>
      <c r="K634" s="78" t="s">
        <v>1914</v>
      </c>
      <c r="L634" s="27" t="str">
        <f>_xlfn.XLOOKUP(Squads[[#This Row],[Current Club]],Clubs[Current Club],Clubs[Club_ID])</f>
        <v>ESP-19</v>
      </c>
      <c r="M634" s="27" t="str">
        <f>_xlfn.XLOOKUP(Squads[[#This Row],[National Team]],Football_Associations[Football Association],Football_Associations[World Cup Result])</f>
        <v>Last 16</v>
      </c>
      <c r="N63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35" spans="1:14" ht="15" customHeight="1" x14ac:dyDescent="0.25">
      <c r="A635" s="33">
        <f t="shared" si="9"/>
        <v>1634</v>
      </c>
      <c r="B635" s="23" t="s">
        <v>3</v>
      </c>
      <c r="C635" s="23" t="str">
        <f>VLOOKUP(Squads[[#This Row],[National Team]],Qualified[],3,TRUE)</f>
        <v>Senegal (SEN)</v>
      </c>
      <c r="D635" s="25">
        <v>12</v>
      </c>
      <c r="E635" s="23" t="s">
        <v>135</v>
      </c>
      <c r="F635" s="23" t="s">
        <v>223</v>
      </c>
      <c r="G635" s="26">
        <v>35433</v>
      </c>
      <c r="H635" s="65">
        <f>DATEDIF(Squads[[#This Row],[Date Of Birth]],World_Cup_Start_Date,"Y")</f>
        <v>25</v>
      </c>
      <c r="I635" s="27">
        <v>14</v>
      </c>
      <c r="J635" s="27">
        <v>0</v>
      </c>
      <c r="K635" s="78" t="s">
        <v>1677</v>
      </c>
      <c r="L635" s="27" t="str">
        <f>_xlfn.XLOOKUP(Squads[[#This Row],[Current Club]],Clubs[Current Club],Clubs[Club_ID])</f>
        <v>ITA-02</v>
      </c>
      <c r="M635" s="27" t="str">
        <f>_xlfn.XLOOKUP(Squads[[#This Row],[National Team]],Football_Associations[Football Association],Football_Associations[World Cup Result])</f>
        <v>Last 16</v>
      </c>
      <c r="N63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36" spans="1:14" ht="15" customHeight="1" x14ac:dyDescent="0.25">
      <c r="A636" s="33">
        <f t="shared" si="9"/>
        <v>1635</v>
      </c>
      <c r="B636" s="23" t="s">
        <v>3</v>
      </c>
      <c r="C636" s="23" t="str">
        <f>VLOOKUP(Squads[[#This Row],[National Team]],Qualified[],3,TRUE)</f>
        <v>Senegal (SEN)</v>
      </c>
      <c r="D636" s="25">
        <v>13</v>
      </c>
      <c r="E636" s="23" t="s">
        <v>146</v>
      </c>
      <c r="F636" s="23" t="s">
        <v>224</v>
      </c>
      <c r="G636" s="26">
        <v>36591</v>
      </c>
      <c r="H636" s="65">
        <f>DATEDIF(Squads[[#This Row],[Date Of Birth]],World_Cup_Start_Date,"Y")</f>
        <v>22</v>
      </c>
      <c r="I636" s="27">
        <v>2</v>
      </c>
      <c r="J636" s="27">
        <v>0</v>
      </c>
      <c r="K636" s="78" t="s">
        <v>1801</v>
      </c>
      <c r="L636" s="27" t="str">
        <f>_xlfn.XLOOKUP(Squads[[#This Row],[Current Club]],Clubs[Current Club],Clubs[Club_ID])</f>
        <v>ENG-27</v>
      </c>
      <c r="M636" s="27" t="str">
        <f>_xlfn.XLOOKUP(Squads[[#This Row],[National Team]],Football_Associations[Football Association],Football_Associations[World Cup Result])</f>
        <v>Last 16</v>
      </c>
      <c r="N63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37" spans="1:14" ht="15" customHeight="1" x14ac:dyDescent="0.25">
      <c r="A637" s="33">
        <f t="shared" si="9"/>
        <v>1636</v>
      </c>
      <c r="B637" s="23" t="s">
        <v>3</v>
      </c>
      <c r="C637" s="23" t="str">
        <f>VLOOKUP(Squads[[#This Row],[National Team]],Qualified[],3,TRUE)</f>
        <v>Senegal (SEN)</v>
      </c>
      <c r="D637" s="25">
        <v>14</v>
      </c>
      <c r="E637" s="23" t="s">
        <v>135</v>
      </c>
      <c r="F637" s="23" t="s">
        <v>225</v>
      </c>
      <c r="G637" s="26">
        <v>36389</v>
      </c>
      <c r="H637" s="65">
        <f>DATEDIF(Squads[[#This Row],[Date Of Birth]],World_Cup_Start_Date,"Y")</f>
        <v>23</v>
      </c>
      <c r="I637" s="27">
        <v>2</v>
      </c>
      <c r="J637" s="27">
        <v>0</v>
      </c>
      <c r="K637" s="78" t="s">
        <v>1687</v>
      </c>
      <c r="L637" s="27" t="str">
        <f>_xlfn.XLOOKUP(Squads[[#This Row],[Current Club]],Clubs[Current Club],Clubs[Club_ID])</f>
        <v>FRA-03</v>
      </c>
      <c r="M637" s="27" t="str">
        <f>_xlfn.XLOOKUP(Squads[[#This Row],[National Team]],Football_Associations[Football Association],Football_Associations[World Cup Result])</f>
        <v>Last 16</v>
      </c>
      <c r="N63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38" spans="1:14" ht="15" customHeight="1" x14ac:dyDescent="0.25">
      <c r="A638" s="33">
        <f t="shared" si="9"/>
        <v>1637</v>
      </c>
      <c r="B638" s="23" t="s">
        <v>3</v>
      </c>
      <c r="C638" s="23" t="str">
        <f>VLOOKUP(Squads[[#This Row],[National Team]],Qualified[],3,TRUE)</f>
        <v>Senegal (SEN)</v>
      </c>
      <c r="D638" s="25">
        <v>15</v>
      </c>
      <c r="E638" s="23" t="s">
        <v>139</v>
      </c>
      <c r="F638" s="23" t="s">
        <v>226</v>
      </c>
      <c r="G638" s="26">
        <v>36216</v>
      </c>
      <c r="H638" s="65">
        <f>DATEDIF(Squads[[#This Row],[Date Of Birth]],World_Cup_Start_Date,"Y")</f>
        <v>23</v>
      </c>
      <c r="I638" s="27">
        <v>26</v>
      </c>
      <c r="J638" s="27">
        <v>2</v>
      </c>
      <c r="K638" s="78" t="s">
        <v>1687</v>
      </c>
      <c r="L638" s="27" t="str">
        <f>_xlfn.XLOOKUP(Squads[[#This Row],[Current Club]],Clubs[Current Club],Clubs[Club_ID])</f>
        <v>FRA-03</v>
      </c>
      <c r="M638" s="27" t="str">
        <f>_xlfn.XLOOKUP(Squads[[#This Row],[National Team]],Football_Associations[Football Association],Football_Associations[World Cup Result])</f>
        <v>Last 16</v>
      </c>
      <c r="N63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39" spans="1:14" ht="15" customHeight="1" x14ac:dyDescent="0.25">
      <c r="A639" s="33">
        <f t="shared" si="9"/>
        <v>1638</v>
      </c>
      <c r="B639" s="23" t="s">
        <v>3</v>
      </c>
      <c r="C639" s="23" t="str">
        <f>VLOOKUP(Squads[[#This Row],[National Team]],Qualified[],3,TRUE)</f>
        <v>Senegal (SEN)</v>
      </c>
      <c r="D639" s="25">
        <v>16</v>
      </c>
      <c r="E639" s="23" t="s">
        <v>133</v>
      </c>
      <c r="F639" s="23" t="s">
        <v>227</v>
      </c>
      <c r="G639" s="26">
        <v>33664</v>
      </c>
      <c r="H639" s="65">
        <f>DATEDIF(Squads[[#This Row],[Date Of Birth]],World_Cup_Start_Date,"Y")</f>
        <v>30</v>
      </c>
      <c r="I639" s="27">
        <v>25</v>
      </c>
      <c r="J639" s="27">
        <v>0</v>
      </c>
      <c r="K639" s="78" t="s">
        <v>1661</v>
      </c>
      <c r="L639" s="27" t="str">
        <f>_xlfn.XLOOKUP(Squads[[#This Row],[Current Club]],Clubs[Current Club],Clubs[Club_ID])</f>
        <v>ENG-03</v>
      </c>
      <c r="M639" s="27" t="str">
        <f>_xlfn.XLOOKUP(Squads[[#This Row],[National Team]],Football_Associations[Football Association],Football_Associations[World Cup Result])</f>
        <v>Last 16</v>
      </c>
      <c r="N63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40" spans="1:14" ht="15" customHeight="1" x14ac:dyDescent="0.25">
      <c r="A640" s="33">
        <f t="shared" si="9"/>
        <v>1639</v>
      </c>
      <c r="B640" s="23" t="s">
        <v>3</v>
      </c>
      <c r="C640" s="23" t="str">
        <f>VLOOKUP(Squads[[#This Row],[National Team]],Qualified[],3,TRUE)</f>
        <v>Senegal (SEN)</v>
      </c>
      <c r="D640" s="25">
        <v>17</v>
      </c>
      <c r="E640" s="23" t="s">
        <v>139</v>
      </c>
      <c r="F640" s="23" t="s">
        <v>228</v>
      </c>
      <c r="G640" s="26">
        <v>37513</v>
      </c>
      <c r="H640" s="65">
        <f>DATEDIF(Squads[[#This Row],[Date Of Birth]],World_Cup_Start_Date,"Y")</f>
        <v>20</v>
      </c>
      <c r="I640" s="27">
        <v>10</v>
      </c>
      <c r="J640" s="27">
        <v>0</v>
      </c>
      <c r="K640" s="78" t="s">
        <v>1666</v>
      </c>
      <c r="L640" s="27" t="str">
        <f>_xlfn.XLOOKUP(Squads[[#This Row],[Current Club]],Clubs[Current Club],Clubs[Club_ID])</f>
        <v>ENG-04</v>
      </c>
      <c r="M640" s="27" t="str">
        <f>_xlfn.XLOOKUP(Squads[[#This Row],[National Team]],Football_Associations[Football Association],Football_Associations[World Cup Result])</f>
        <v>Last 16</v>
      </c>
      <c r="N64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41" spans="1:14" ht="15" customHeight="1" x14ac:dyDescent="0.25">
      <c r="A641" s="33">
        <f t="shared" si="9"/>
        <v>1640</v>
      </c>
      <c r="B641" s="23" t="s">
        <v>3</v>
      </c>
      <c r="C641" s="23" t="str">
        <f>VLOOKUP(Squads[[#This Row],[National Team]],Qualified[],3,TRUE)</f>
        <v>Senegal (SEN)</v>
      </c>
      <c r="D641" s="25">
        <v>18</v>
      </c>
      <c r="E641" s="23" t="s">
        <v>146</v>
      </c>
      <c r="F641" s="23" t="s">
        <v>229</v>
      </c>
      <c r="G641" s="26">
        <v>35851</v>
      </c>
      <c r="H641" s="65">
        <f>DATEDIF(Squads[[#This Row],[Date Of Birth]],World_Cup_Start_Date,"Y")</f>
        <v>24</v>
      </c>
      <c r="I641" s="27">
        <v>48</v>
      </c>
      <c r="J641" s="27">
        <v>10</v>
      </c>
      <c r="K641" s="78" t="s">
        <v>1946</v>
      </c>
      <c r="L641" s="27" t="str">
        <f>_xlfn.XLOOKUP(Squads[[#This Row],[Current Club]],Clubs[Current Club],Clubs[Club_ID])</f>
        <v>ENG-39</v>
      </c>
      <c r="M641" s="27" t="str">
        <f>_xlfn.XLOOKUP(Squads[[#This Row],[National Team]],Football_Associations[Football Association],Football_Associations[World Cup Result])</f>
        <v>Last 16</v>
      </c>
      <c r="N64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42" spans="1:14" ht="15" customHeight="1" x14ac:dyDescent="0.25">
      <c r="A642" s="33">
        <f t="shared" si="9"/>
        <v>1641</v>
      </c>
      <c r="B642" s="23" t="s">
        <v>3</v>
      </c>
      <c r="C642" s="23" t="str">
        <f>VLOOKUP(Squads[[#This Row],[National Team]],Qualified[],3,TRUE)</f>
        <v>Senegal (SEN)</v>
      </c>
      <c r="D642" s="25">
        <v>19</v>
      </c>
      <c r="E642" s="23" t="s">
        <v>146</v>
      </c>
      <c r="F642" s="23" t="s">
        <v>230</v>
      </c>
      <c r="G642" s="26">
        <v>33953</v>
      </c>
      <c r="H642" s="65">
        <f>DATEDIF(Squads[[#This Row],[Date Of Birth]],World_Cup_Start_Date,"Y")</f>
        <v>29</v>
      </c>
      <c r="I642" s="27">
        <v>25</v>
      </c>
      <c r="J642" s="27">
        <v>10</v>
      </c>
      <c r="K642" s="78" t="s">
        <v>1814</v>
      </c>
      <c r="L642" s="27" t="str">
        <f>_xlfn.XLOOKUP(Squads[[#This Row],[Current Club]],Clubs[Current Club],Clubs[Club_ID])</f>
        <v>TUR-06</v>
      </c>
      <c r="M642" s="27" t="str">
        <f>_xlfn.XLOOKUP(Squads[[#This Row],[National Team]],Football_Associations[Football Association],Football_Associations[World Cup Result])</f>
        <v>Last 16</v>
      </c>
      <c r="N64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43" spans="1:14" ht="15" customHeight="1" x14ac:dyDescent="0.25">
      <c r="A643" s="33">
        <f t="shared" ref="A643:A706" si="10">A642+1</f>
        <v>1642</v>
      </c>
      <c r="B643" s="23" t="s">
        <v>3</v>
      </c>
      <c r="C643" s="23" t="str">
        <f>VLOOKUP(Squads[[#This Row],[National Team]],Qualified[],3,TRUE)</f>
        <v>Senegal (SEN)</v>
      </c>
      <c r="D643" s="25">
        <v>20</v>
      </c>
      <c r="E643" s="23" t="s">
        <v>146</v>
      </c>
      <c r="F643" s="23" t="s">
        <v>231</v>
      </c>
      <c r="G643" s="26">
        <v>36608</v>
      </c>
      <c r="H643" s="65">
        <f>DATEDIF(Squads[[#This Row],[Date Of Birth]],World_Cup_Start_Date,"Y")</f>
        <v>22</v>
      </c>
      <c r="I643" s="27">
        <v>13</v>
      </c>
      <c r="J643" s="27">
        <v>1</v>
      </c>
      <c r="K643" s="78" t="s">
        <v>1694</v>
      </c>
      <c r="L643" s="27" t="str">
        <f>_xlfn.XLOOKUP(Squads[[#This Row],[Current Club]],Clubs[Current Club],Clubs[Club_ID])</f>
        <v>FRA-04</v>
      </c>
      <c r="M643" s="27" t="str">
        <f>_xlfn.XLOOKUP(Squads[[#This Row],[National Team]],Football_Associations[Football Association],Football_Associations[World Cup Result])</f>
        <v>Last 16</v>
      </c>
      <c r="N64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44" spans="1:14" ht="15" customHeight="1" x14ac:dyDescent="0.25">
      <c r="A644" s="33">
        <f t="shared" si="10"/>
        <v>1643</v>
      </c>
      <c r="B644" s="23" t="s">
        <v>3</v>
      </c>
      <c r="C644" s="23" t="str">
        <f>VLOOKUP(Squads[[#This Row],[National Team]],Qualified[],3,TRUE)</f>
        <v>Senegal (SEN)</v>
      </c>
      <c r="D644" s="25">
        <v>21</v>
      </c>
      <c r="E644" s="23" t="s">
        <v>135</v>
      </c>
      <c r="F644" s="23" t="s">
        <v>232</v>
      </c>
      <c r="G644" s="26">
        <v>34033</v>
      </c>
      <c r="H644" s="65">
        <f>DATEDIF(Squads[[#This Row],[Date Of Birth]],World_Cup_Start_Date,"Y")</f>
        <v>29</v>
      </c>
      <c r="I644" s="27">
        <v>24</v>
      </c>
      <c r="J644" s="27">
        <v>0</v>
      </c>
      <c r="K644" s="78" t="s">
        <v>1699</v>
      </c>
      <c r="L644" s="27" t="str">
        <f>_xlfn.XLOOKUP(Squads[[#This Row],[Current Club]],Clubs[Current Club],Clubs[Club_ID])</f>
        <v>ESP-05</v>
      </c>
      <c r="M644" s="27" t="str">
        <f>_xlfn.XLOOKUP(Squads[[#This Row],[National Team]],Football_Associations[Football Association],Football_Associations[World Cup Result])</f>
        <v>Last 16</v>
      </c>
      <c r="N64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45" spans="1:14" ht="15" customHeight="1" x14ac:dyDescent="0.25">
      <c r="A645" s="33">
        <f t="shared" si="10"/>
        <v>1644</v>
      </c>
      <c r="B645" s="23" t="s">
        <v>3</v>
      </c>
      <c r="C645" s="23" t="str">
        <f>VLOOKUP(Squads[[#This Row],[National Team]],Qualified[],3,TRUE)</f>
        <v>Senegal (SEN)</v>
      </c>
      <c r="D645" s="25">
        <v>22</v>
      </c>
      <c r="E645" s="23" t="s">
        <v>135</v>
      </c>
      <c r="F645" s="23" t="s">
        <v>233</v>
      </c>
      <c r="G645" s="26">
        <v>35189</v>
      </c>
      <c r="H645" s="65">
        <f>DATEDIF(Squads[[#This Row],[Date Of Birth]],World_Cup_Start_Date,"Y")</f>
        <v>26</v>
      </c>
      <c r="I645" s="27">
        <v>18</v>
      </c>
      <c r="J645" s="27">
        <v>2</v>
      </c>
      <c r="K645" s="78" t="s">
        <v>1678</v>
      </c>
      <c r="L645" s="27" t="str">
        <f>_xlfn.XLOOKUP(Squads[[#This Row],[Current Club]],Clubs[Current Club],Clubs[Club_ID])</f>
        <v>GER-04</v>
      </c>
      <c r="M645" s="27" t="str">
        <f>_xlfn.XLOOKUP(Squads[[#This Row],[National Team]],Football_Associations[Football Association],Football_Associations[World Cup Result])</f>
        <v>Last 16</v>
      </c>
      <c r="N64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46" spans="1:14" ht="15" customHeight="1" x14ac:dyDescent="0.25">
      <c r="A646" s="33">
        <f t="shared" si="10"/>
        <v>1645</v>
      </c>
      <c r="B646" s="23" t="s">
        <v>3</v>
      </c>
      <c r="C646" s="23" t="str">
        <f>VLOOKUP(Squads[[#This Row],[National Team]],Qualified[],3,TRUE)</f>
        <v>Senegal (SEN)</v>
      </c>
      <c r="D646" s="25">
        <v>23</v>
      </c>
      <c r="E646" s="23" t="s">
        <v>133</v>
      </c>
      <c r="F646" s="23" t="s">
        <v>234</v>
      </c>
      <c r="G646" s="26">
        <v>34217</v>
      </c>
      <c r="H646" s="65">
        <f>DATEDIF(Squads[[#This Row],[Date Of Birth]],World_Cup_Start_Date,"Y")</f>
        <v>29</v>
      </c>
      <c r="I646" s="27">
        <v>14</v>
      </c>
      <c r="J646" s="27">
        <v>0</v>
      </c>
      <c r="K646" s="78" t="s">
        <v>1671</v>
      </c>
      <c r="L646" s="27" t="str">
        <f>_xlfn.XLOOKUP(Squads[[#This Row],[Current Club]],Clubs[Current Club],Clubs[Club_ID])</f>
        <v>FRA-02</v>
      </c>
      <c r="M646" s="27" t="str">
        <f>_xlfn.XLOOKUP(Squads[[#This Row],[National Team]],Football_Associations[Football Association],Football_Associations[World Cup Result])</f>
        <v>Last 16</v>
      </c>
      <c r="N64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47" spans="1:14" ht="15" customHeight="1" x14ac:dyDescent="0.25">
      <c r="A647" s="33">
        <f t="shared" si="10"/>
        <v>1646</v>
      </c>
      <c r="B647" s="23" t="s">
        <v>3</v>
      </c>
      <c r="C647" s="23" t="str">
        <f>VLOOKUP(Squads[[#This Row],[National Team]],Qualified[],3,TRUE)</f>
        <v>Senegal (SEN)</v>
      </c>
      <c r="D647" s="25">
        <v>24</v>
      </c>
      <c r="E647" s="23" t="s">
        <v>135</v>
      </c>
      <c r="F647" s="23" t="s">
        <v>235</v>
      </c>
      <c r="G647" s="26">
        <v>34824</v>
      </c>
      <c r="H647" s="65">
        <f>DATEDIF(Squads[[#This Row],[Date Of Birth]],World_Cup_Start_Date,"Y")</f>
        <v>27</v>
      </c>
      <c r="I647" s="27">
        <v>6</v>
      </c>
      <c r="J647" s="27">
        <v>0</v>
      </c>
      <c r="K647" s="78" t="s">
        <v>1903</v>
      </c>
      <c r="L647" s="27" t="str">
        <f>_xlfn.XLOOKUP(Squads[[#This Row],[Current Club]],Clubs[Current Club],Clubs[Club_ID])</f>
        <v>CYP-02</v>
      </c>
      <c r="M647" s="27" t="str">
        <f>_xlfn.XLOOKUP(Squads[[#This Row],[National Team]],Football_Associations[Football Association],Football_Associations[World Cup Result])</f>
        <v>Last 16</v>
      </c>
      <c r="N64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48" spans="1:14" ht="15" customHeight="1" x14ac:dyDescent="0.25">
      <c r="A648" s="33">
        <f t="shared" si="10"/>
        <v>1647</v>
      </c>
      <c r="B648" s="23" t="s">
        <v>3</v>
      </c>
      <c r="C648" s="23" t="str">
        <f>VLOOKUP(Squads[[#This Row],[National Team]],Qualified[],3,TRUE)</f>
        <v>Senegal (SEN)</v>
      </c>
      <c r="D648" s="25">
        <v>25</v>
      </c>
      <c r="E648" s="23" t="s">
        <v>139</v>
      </c>
      <c r="F648" s="23" t="s">
        <v>236</v>
      </c>
      <c r="G648" s="26">
        <v>35429</v>
      </c>
      <c r="H648" s="65">
        <f>DATEDIF(Squads[[#This Row],[Date Of Birth]],World_Cup_Start_Date,"Y")</f>
        <v>25</v>
      </c>
      <c r="I648" s="27">
        <v>3</v>
      </c>
      <c r="J648" s="27">
        <v>0</v>
      </c>
      <c r="K648" s="78" t="s">
        <v>1742</v>
      </c>
      <c r="L648" s="27" t="str">
        <f>_xlfn.XLOOKUP(Squads[[#This Row],[Current Club]],Clubs[Current Club],Clubs[Club_ID])</f>
        <v>ENG-18</v>
      </c>
      <c r="M648" s="27" t="str">
        <f>_xlfn.XLOOKUP(Squads[[#This Row],[National Team]],Football_Associations[Football Association],Football_Associations[World Cup Result])</f>
        <v>Last 16</v>
      </c>
      <c r="N64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49" spans="1:14" ht="15" customHeight="1" x14ac:dyDescent="0.25">
      <c r="A649" s="33">
        <f t="shared" si="10"/>
        <v>1648</v>
      </c>
      <c r="B649" s="23" t="s">
        <v>3</v>
      </c>
      <c r="C649" s="23" t="str">
        <f>VLOOKUP(Squads[[#This Row],[National Team]],Qualified[],3,TRUE)</f>
        <v>Senegal (SEN)</v>
      </c>
      <c r="D649" s="25">
        <v>26</v>
      </c>
      <c r="E649" s="23" t="s">
        <v>139</v>
      </c>
      <c r="F649" s="23" t="s">
        <v>237</v>
      </c>
      <c r="G649" s="26">
        <v>36184</v>
      </c>
      <c r="H649" s="65">
        <f>DATEDIF(Squads[[#This Row],[Date Of Birth]],World_Cup_Start_Date,"Y")</f>
        <v>23</v>
      </c>
      <c r="I649" s="27">
        <v>12</v>
      </c>
      <c r="J649" s="27">
        <v>0</v>
      </c>
      <c r="K649" s="78" t="s">
        <v>1694</v>
      </c>
      <c r="L649" s="27" t="str">
        <f>_xlfn.XLOOKUP(Squads[[#This Row],[Current Club]],Clubs[Current Club],Clubs[Club_ID])</f>
        <v>FRA-04</v>
      </c>
      <c r="M649" s="27" t="str">
        <f>_xlfn.XLOOKUP(Squads[[#This Row],[National Team]],Football_Associations[Football Association],Football_Associations[World Cup Result])</f>
        <v>Last 16</v>
      </c>
      <c r="N64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50" spans="1:14" ht="15" customHeight="1" x14ac:dyDescent="0.25">
      <c r="A650" s="33">
        <f t="shared" si="10"/>
        <v>1649</v>
      </c>
      <c r="B650" s="23" t="s">
        <v>40</v>
      </c>
      <c r="C650" s="23" t="str">
        <f>VLOOKUP(Squads[[#This Row],[National Team]],Qualified[],3,TRUE)</f>
        <v>Serbia (SRB)</v>
      </c>
      <c r="D650" s="25">
        <v>1</v>
      </c>
      <c r="E650" s="23" t="s">
        <v>133</v>
      </c>
      <c r="F650" s="23" t="s">
        <v>791</v>
      </c>
      <c r="G650" s="26">
        <v>33627</v>
      </c>
      <c r="H650" s="65">
        <f>DATEDIF(Squads[[#This Row],[Date Of Birth]],World_Cup_Start_Date,"Y")</f>
        <v>30</v>
      </c>
      <c r="I650" s="27">
        <v>19</v>
      </c>
      <c r="J650" s="27">
        <v>0</v>
      </c>
      <c r="K650" s="78" t="s">
        <v>1668</v>
      </c>
      <c r="L650" s="27" t="str">
        <f>_xlfn.XLOOKUP(Squads[[#This Row],[Current Club]],Clubs[Current Club],Clubs[Club_ID])</f>
        <v>ESP-04</v>
      </c>
      <c r="M650" s="27" t="str">
        <f>_xlfn.XLOOKUP(Squads[[#This Row],[National Team]],Football_Associations[Football Association],Football_Associations[World Cup Result])</f>
        <v>Group Stage</v>
      </c>
      <c r="N65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51" spans="1:14" ht="15" customHeight="1" x14ac:dyDescent="0.25">
      <c r="A651" s="33">
        <f t="shared" si="10"/>
        <v>1650</v>
      </c>
      <c r="B651" s="23" t="s">
        <v>40</v>
      </c>
      <c r="C651" s="23" t="str">
        <f>VLOOKUP(Squads[[#This Row],[National Team]],Qualified[],3,TRUE)</f>
        <v>Serbia (SRB)</v>
      </c>
      <c r="D651" s="25">
        <v>2</v>
      </c>
      <c r="E651" s="23" t="s">
        <v>135</v>
      </c>
      <c r="F651" s="23" t="s">
        <v>792</v>
      </c>
      <c r="G651" s="26">
        <v>37035</v>
      </c>
      <c r="H651" s="65">
        <f>DATEDIF(Squads[[#This Row],[Date Of Birth]],World_Cup_Start_Date,"Y")</f>
        <v>21</v>
      </c>
      <c r="I651" s="27">
        <v>22</v>
      </c>
      <c r="J651" s="27">
        <v>1</v>
      </c>
      <c r="K651" s="78" t="s">
        <v>1717</v>
      </c>
      <c r="L651" s="27" t="str">
        <f>_xlfn.XLOOKUP(Squads[[#This Row],[Current Club]],Clubs[Current Club],Clubs[Club_ID])</f>
        <v>AST-01</v>
      </c>
      <c r="M651" s="27" t="str">
        <f>_xlfn.XLOOKUP(Squads[[#This Row],[National Team]],Football_Associations[Football Association],Football_Associations[World Cup Result])</f>
        <v>Group Stage</v>
      </c>
      <c r="N65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52" spans="1:14" ht="15" customHeight="1" x14ac:dyDescent="0.25">
      <c r="A652" s="33">
        <f t="shared" si="10"/>
        <v>1651</v>
      </c>
      <c r="B652" s="23" t="s">
        <v>40</v>
      </c>
      <c r="C652" s="23" t="str">
        <f>VLOOKUP(Squads[[#This Row],[National Team]],Qualified[],3,TRUE)</f>
        <v>Serbia (SRB)</v>
      </c>
      <c r="D652" s="25">
        <v>3</v>
      </c>
      <c r="E652" s="23" t="s">
        <v>135</v>
      </c>
      <c r="F652" s="23" t="s">
        <v>793</v>
      </c>
      <c r="G652" s="26">
        <v>36913</v>
      </c>
      <c r="H652" s="65">
        <f>DATEDIF(Squads[[#This Row],[Date Of Birth]],World_Cup_Start_Date,"Y")</f>
        <v>21</v>
      </c>
      <c r="I652" s="27">
        <v>2</v>
      </c>
      <c r="J652" s="27">
        <v>0</v>
      </c>
      <c r="K652" s="78" t="s">
        <v>1743</v>
      </c>
      <c r="L652" s="27" t="str">
        <f>_xlfn.XLOOKUP(Squads[[#This Row],[Current Club]],Clubs[Current Club],Clubs[Club_ID])</f>
        <v>SER-01</v>
      </c>
      <c r="M652" s="27" t="str">
        <f>_xlfn.XLOOKUP(Squads[[#This Row],[National Team]],Football_Associations[Football Association],Football_Associations[World Cup Result])</f>
        <v>Group Stage</v>
      </c>
      <c r="N65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53" spans="1:14" ht="15" customHeight="1" x14ac:dyDescent="0.25">
      <c r="A653" s="33">
        <f t="shared" si="10"/>
        <v>1652</v>
      </c>
      <c r="B653" s="23" t="s">
        <v>40</v>
      </c>
      <c r="C653" s="23" t="str">
        <f>VLOOKUP(Squads[[#This Row],[National Team]],Qualified[],3,TRUE)</f>
        <v>Serbia (SRB)</v>
      </c>
      <c r="D653" s="25">
        <v>4</v>
      </c>
      <c r="E653" s="23" t="s">
        <v>135</v>
      </c>
      <c r="F653" s="23" t="s">
        <v>794</v>
      </c>
      <c r="G653" s="26">
        <v>35715</v>
      </c>
      <c r="H653" s="65">
        <f>DATEDIF(Squads[[#This Row],[Date Of Birth]],World_Cup_Start_Date,"Y")</f>
        <v>25</v>
      </c>
      <c r="I653" s="27">
        <v>39</v>
      </c>
      <c r="J653" s="27">
        <v>3</v>
      </c>
      <c r="K653" s="78" t="s">
        <v>1711</v>
      </c>
      <c r="L653" s="27" t="str">
        <f>_xlfn.XLOOKUP(Squads[[#This Row],[Current Club]],Clubs[Current Club],Clubs[Club_ID])</f>
        <v>ITA-07</v>
      </c>
      <c r="M653" s="27" t="str">
        <f>_xlfn.XLOOKUP(Squads[[#This Row],[National Team]],Football_Associations[Football Association],Football_Associations[World Cup Result])</f>
        <v>Group Stage</v>
      </c>
      <c r="N65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54" spans="1:14" ht="15" customHeight="1" x14ac:dyDescent="0.25">
      <c r="A654" s="33">
        <f t="shared" si="10"/>
        <v>1653</v>
      </c>
      <c r="B654" s="23" t="s">
        <v>40</v>
      </c>
      <c r="C654" s="23" t="str">
        <f>VLOOKUP(Squads[[#This Row],[National Team]],Qualified[],3,TRUE)</f>
        <v>Serbia (SRB)</v>
      </c>
      <c r="D654" s="25">
        <v>5</v>
      </c>
      <c r="E654" s="23" t="s">
        <v>135</v>
      </c>
      <c r="F654" s="23" t="s">
        <v>795</v>
      </c>
      <c r="G654" s="26">
        <v>34968</v>
      </c>
      <c r="H654" s="65">
        <f>DATEDIF(Squads[[#This Row],[Date Of Birth]],World_Cup_Start_Date,"Y")</f>
        <v>27</v>
      </c>
      <c r="I654" s="27">
        <v>21</v>
      </c>
      <c r="J654" s="27">
        <v>0</v>
      </c>
      <c r="K654" s="78" t="s">
        <v>1809</v>
      </c>
      <c r="L654" s="27" t="str">
        <f>_xlfn.XLOOKUP(Squads[[#This Row],[Current Club]],Clubs[Current Club],Clubs[Club_ID])</f>
        <v>GER-13</v>
      </c>
      <c r="M654" s="27" t="str">
        <f>_xlfn.XLOOKUP(Squads[[#This Row],[National Team]],Football_Associations[Football Association],Football_Associations[World Cup Result])</f>
        <v>Group Stage</v>
      </c>
      <c r="N65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55" spans="1:14" ht="15" customHeight="1" x14ac:dyDescent="0.25">
      <c r="A655" s="33">
        <f t="shared" si="10"/>
        <v>1654</v>
      </c>
      <c r="B655" s="23" t="s">
        <v>40</v>
      </c>
      <c r="C655" s="23" t="str">
        <f>VLOOKUP(Squads[[#This Row],[National Team]],Qualified[],3,TRUE)</f>
        <v>Serbia (SRB)</v>
      </c>
      <c r="D655" s="25">
        <v>6</v>
      </c>
      <c r="E655" s="23" t="s">
        <v>139</v>
      </c>
      <c r="F655" s="23" t="s">
        <v>796</v>
      </c>
      <c r="G655" s="26">
        <v>34725</v>
      </c>
      <c r="H655" s="65">
        <f>DATEDIF(Squads[[#This Row],[Date Of Birth]],World_Cup_Start_Date,"Y")</f>
        <v>27</v>
      </c>
      <c r="I655" s="27">
        <v>40</v>
      </c>
      <c r="J655" s="27">
        <v>0</v>
      </c>
      <c r="K655" s="78" t="s">
        <v>1779</v>
      </c>
      <c r="L655" s="27" t="str">
        <f>_xlfn.XLOOKUP(Squads[[#This Row],[Current Club]],Clubs[Current Club],Clubs[Club_ID])</f>
        <v>ESP-10</v>
      </c>
      <c r="M655" s="27" t="str">
        <f>_xlfn.XLOOKUP(Squads[[#This Row],[National Team]],Football_Associations[Football Association],Football_Associations[World Cup Result])</f>
        <v>Group Stage</v>
      </c>
      <c r="N65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56" spans="1:14" ht="15" customHeight="1" x14ac:dyDescent="0.25">
      <c r="A656" s="33">
        <f t="shared" si="10"/>
        <v>1655</v>
      </c>
      <c r="B656" s="23" t="s">
        <v>40</v>
      </c>
      <c r="C656" s="23" t="str">
        <f>VLOOKUP(Squads[[#This Row],[National Team]],Qualified[],3,TRUE)</f>
        <v>Serbia (SRB)</v>
      </c>
      <c r="D656" s="25">
        <v>7</v>
      </c>
      <c r="E656" s="23" t="s">
        <v>146</v>
      </c>
      <c r="F656" s="23" t="s">
        <v>797</v>
      </c>
      <c r="G656" s="26">
        <v>35110</v>
      </c>
      <c r="H656" s="65">
        <f>DATEDIF(Squads[[#This Row],[Date Of Birth]],World_Cup_Start_Date,"Y")</f>
        <v>26</v>
      </c>
      <c r="I656" s="27">
        <v>36</v>
      </c>
      <c r="J656" s="27">
        <v>5</v>
      </c>
      <c r="K656" s="78" t="s">
        <v>1701</v>
      </c>
      <c r="L656" s="27" t="str">
        <f>_xlfn.XLOOKUP(Squads[[#This Row],[Current Club]],Clubs[Current Club],Clubs[Club_ID])</f>
        <v>ITA-05</v>
      </c>
      <c r="M656" s="27" t="str">
        <f>_xlfn.XLOOKUP(Squads[[#This Row],[National Team]],Football_Associations[Football Association],Football_Associations[World Cup Result])</f>
        <v>Group Stage</v>
      </c>
      <c r="N65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57" spans="1:14" ht="15" customHeight="1" x14ac:dyDescent="0.25">
      <c r="A657" s="33">
        <f t="shared" si="10"/>
        <v>1656</v>
      </c>
      <c r="B657" s="23" t="s">
        <v>40</v>
      </c>
      <c r="C657" s="23" t="str">
        <f>VLOOKUP(Squads[[#This Row],[National Team]],Qualified[],3,TRUE)</f>
        <v>Serbia (SRB)</v>
      </c>
      <c r="D657" s="25">
        <v>8</v>
      </c>
      <c r="E657" s="23" t="s">
        <v>139</v>
      </c>
      <c r="F657" s="23" t="s">
        <v>798</v>
      </c>
      <c r="G657" s="26">
        <v>33558</v>
      </c>
      <c r="H657" s="65">
        <f>DATEDIF(Squads[[#This Row],[Date Of Birth]],World_Cup_Start_Date,"Y")</f>
        <v>31</v>
      </c>
      <c r="I657" s="27">
        <v>49</v>
      </c>
      <c r="J657" s="27">
        <v>1</v>
      </c>
      <c r="K657" s="78" t="s">
        <v>1668</v>
      </c>
      <c r="L657" s="27" t="str">
        <f>_xlfn.XLOOKUP(Squads[[#This Row],[Current Club]],Clubs[Current Club],Clubs[Club_ID])</f>
        <v>ESP-04</v>
      </c>
      <c r="M657" s="27" t="str">
        <f>_xlfn.XLOOKUP(Squads[[#This Row],[National Team]],Football_Associations[Football Association],Football_Associations[World Cup Result])</f>
        <v>Group Stage</v>
      </c>
      <c r="N65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58" spans="1:14" ht="15" customHeight="1" x14ac:dyDescent="0.25">
      <c r="A658" s="33">
        <f t="shared" si="10"/>
        <v>1657</v>
      </c>
      <c r="B658" s="23" t="s">
        <v>40</v>
      </c>
      <c r="C658" s="23" t="str">
        <f>VLOOKUP(Squads[[#This Row],[National Team]],Qualified[],3,TRUE)</f>
        <v>Serbia (SRB)</v>
      </c>
      <c r="D658" s="25">
        <v>9</v>
      </c>
      <c r="E658" s="23" t="s">
        <v>146</v>
      </c>
      <c r="F658" s="23" t="s">
        <v>799</v>
      </c>
      <c r="G658" s="26">
        <v>34593</v>
      </c>
      <c r="H658" s="65">
        <f>DATEDIF(Squads[[#This Row],[Date Of Birth]],World_Cup_Start_Date,"Y")</f>
        <v>28</v>
      </c>
      <c r="I658" s="27">
        <v>76</v>
      </c>
      <c r="J658" s="27">
        <v>50</v>
      </c>
      <c r="K658" s="78" t="s">
        <v>1683</v>
      </c>
      <c r="L658" s="27" t="str">
        <f>_xlfn.XLOOKUP(Squads[[#This Row],[Current Club]],Clubs[Current Club],Clubs[Club_ID])</f>
        <v>ENG-10</v>
      </c>
      <c r="M658" s="27" t="str">
        <f>_xlfn.XLOOKUP(Squads[[#This Row],[National Team]],Football_Associations[Football Association],Football_Associations[World Cup Result])</f>
        <v>Group Stage</v>
      </c>
      <c r="N65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59" spans="1:14" ht="15" customHeight="1" x14ac:dyDescent="0.25">
      <c r="A659" s="33">
        <f t="shared" si="10"/>
        <v>1658</v>
      </c>
      <c r="B659" s="23" t="s">
        <v>40</v>
      </c>
      <c r="C659" s="23" t="str">
        <f>VLOOKUP(Squads[[#This Row],[National Team]],Qualified[],3,TRUE)</f>
        <v>Serbia (SRB)</v>
      </c>
      <c r="D659" s="25">
        <v>10</v>
      </c>
      <c r="E659" s="23" t="s">
        <v>146</v>
      </c>
      <c r="F659" s="27" t="s">
        <v>947</v>
      </c>
      <c r="G659" s="26">
        <v>32467</v>
      </c>
      <c r="H659" s="65">
        <f>DATEDIF(Squads[[#This Row],[Date Of Birth]],World_Cup_Start_Date,"Y")</f>
        <v>34</v>
      </c>
      <c r="I659" s="27">
        <v>91</v>
      </c>
      <c r="J659" s="27">
        <v>20</v>
      </c>
      <c r="K659" s="78" t="s">
        <v>1662</v>
      </c>
      <c r="L659" s="27" t="str">
        <f>_xlfn.XLOOKUP(Squads[[#This Row],[Current Club]],Clubs[Current Club],Clubs[Club_ID])</f>
        <v>NET-01</v>
      </c>
      <c r="M659" s="27" t="str">
        <f>_xlfn.XLOOKUP(Squads[[#This Row],[National Team]],Football_Associations[Football Association],Football_Associations[World Cup Result])</f>
        <v>Group Stage</v>
      </c>
      <c r="N65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60" spans="1:14" ht="15" customHeight="1" x14ac:dyDescent="0.25">
      <c r="A660" s="33">
        <f t="shared" si="10"/>
        <v>1659</v>
      </c>
      <c r="B660" s="23" t="s">
        <v>40</v>
      </c>
      <c r="C660" s="23" t="str">
        <f>VLOOKUP(Squads[[#This Row],[National Team]],Qualified[],3,TRUE)</f>
        <v>Serbia (SRB)</v>
      </c>
      <c r="D660" s="25">
        <v>11</v>
      </c>
      <c r="E660" s="23" t="s">
        <v>146</v>
      </c>
      <c r="F660" s="23" t="s">
        <v>800</v>
      </c>
      <c r="G660" s="26">
        <v>35787</v>
      </c>
      <c r="H660" s="65">
        <f>DATEDIF(Squads[[#This Row],[Date Of Birth]],World_Cup_Start_Date,"Y")</f>
        <v>24</v>
      </c>
      <c r="I660" s="27">
        <v>29</v>
      </c>
      <c r="J660" s="27">
        <v>10</v>
      </c>
      <c r="K660" s="78" t="s">
        <v>1711</v>
      </c>
      <c r="L660" s="27" t="str">
        <f>_xlfn.XLOOKUP(Squads[[#This Row],[Current Club]],Clubs[Current Club],Clubs[Club_ID])</f>
        <v>ITA-07</v>
      </c>
      <c r="M660" s="27" t="str">
        <f>_xlfn.XLOOKUP(Squads[[#This Row],[National Team]],Football_Associations[Football Association],Football_Associations[World Cup Result])</f>
        <v>Group Stage</v>
      </c>
      <c r="N66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61" spans="1:14" ht="15" customHeight="1" x14ac:dyDescent="0.25">
      <c r="A661" s="33">
        <f t="shared" si="10"/>
        <v>1660</v>
      </c>
      <c r="B661" s="23" t="s">
        <v>40</v>
      </c>
      <c r="C661" s="23" t="str">
        <f>VLOOKUP(Squads[[#This Row],[National Team]],Qualified[],3,TRUE)</f>
        <v>Serbia (SRB)</v>
      </c>
      <c r="D661" s="25">
        <v>12</v>
      </c>
      <c r="E661" s="23" t="s">
        <v>133</v>
      </c>
      <c r="F661" s="23" t="s">
        <v>801</v>
      </c>
      <c r="G661" s="26">
        <v>35003</v>
      </c>
      <c r="H661" s="65">
        <f>DATEDIF(Squads[[#This Row],[Date Of Birth]],World_Cup_Start_Date,"Y")</f>
        <v>27</v>
      </c>
      <c r="I661" s="27">
        <v>28</v>
      </c>
      <c r="J661" s="27">
        <v>0</v>
      </c>
      <c r="K661" s="78" t="s">
        <v>1790</v>
      </c>
      <c r="L661" s="27" t="str">
        <f>_xlfn.XLOOKUP(Squads[[#This Row],[Current Club]],Clubs[Current Club],Clubs[Club_ID])</f>
        <v>ESP-11</v>
      </c>
      <c r="M661" s="27" t="str">
        <f>_xlfn.XLOOKUP(Squads[[#This Row],[National Team]],Football_Associations[Football Association],Football_Associations[World Cup Result])</f>
        <v>Group Stage</v>
      </c>
      <c r="N66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62" spans="1:14" ht="15" customHeight="1" x14ac:dyDescent="0.25">
      <c r="A662" s="33">
        <f t="shared" si="10"/>
        <v>1661</v>
      </c>
      <c r="B662" s="23" t="s">
        <v>40</v>
      </c>
      <c r="C662" s="23" t="str">
        <f>VLOOKUP(Squads[[#This Row],[National Team]],Qualified[],3,TRUE)</f>
        <v>Serbia (SRB)</v>
      </c>
      <c r="D662" s="25">
        <v>13</v>
      </c>
      <c r="E662" s="23" t="s">
        <v>135</v>
      </c>
      <c r="F662" s="23" t="s">
        <v>802</v>
      </c>
      <c r="G662" s="26">
        <v>33015</v>
      </c>
      <c r="H662" s="65">
        <f>DATEDIF(Squads[[#This Row],[Date Of Birth]],World_Cup_Start_Date,"Y")</f>
        <v>32</v>
      </c>
      <c r="I662" s="27">
        <v>35</v>
      </c>
      <c r="J662" s="27">
        <v>0</v>
      </c>
      <c r="K662" s="78" t="s">
        <v>1779</v>
      </c>
      <c r="L662" s="27" t="str">
        <f>_xlfn.XLOOKUP(Squads[[#This Row],[Current Club]],Clubs[Current Club],Clubs[Club_ID])</f>
        <v>ESP-10</v>
      </c>
      <c r="M662" s="27" t="str">
        <f>_xlfn.XLOOKUP(Squads[[#This Row],[National Team]],Football_Associations[Football Association],Football_Associations[World Cup Result])</f>
        <v>Group Stage</v>
      </c>
      <c r="N66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63" spans="1:14" ht="15" customHeight="1" x14ac:dyDescent="0.25">
      <c r="A663" s="33">
        <f t="shared" si="10"/>
        <v>1662</v>
      </c>
      <c r="B663" s="23" t="s">
        <v>40</v>
      </c>
      <c r="C663" s="23" t="str">
        <f>VLOOKUP(Squads[[#This Row],[National Team]],Qualified[],3,TRUE)</f>
        <v>Serbia (SRB)</v>
      </c>
      <c r="D663" s="25">
        <v>14</v>
      </c>
      <c r="E663" s="23" t="s">
        <v>139</v>
      </c>
      <c r="F663" s="23" t="s">
        <v>803</v>
      </c>
      <c r="G663" s="26">
        <v>35257</v>
      </c>
      <c r="H663" s="65">
        <f>DATEDIF(Squads[[#This Row],[Date Of Birth]],World_Cup_Start_Date,"Y")</f>
        <v>26</v>
      </c>
      <c r="I663" s="27">
        <v>29</v>
      </c>
      <c r="J663" s="27">
        <v>1</v>
      </c>
      <c r="K663" s="78" t="s">
        <v>1906</v>
      </c>
      <c r="L663" s="27" t="str">
        <f>_xlfn.XLOOKUP(Squads[[#This Row],[Current Club]],Clubs[Current Club],Clubs[Club_ID])</f>
        <v>GRE-06</v>
      </c>
      <c r="M663" s="27" t="str">
        <f>_xlfn.XLOOKUP(Squads[[#This Row],[National Team]],Football_Associations[Football Association],Football_Associations[World Cup Result])</f>
        <v>Group Stage</v>
      </c>
      <c r="N66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64" spans="1:14" ht="15" customHeight="1" x14ac:dyDescent="0.25">
      <c r="A664" s="33">
        <f t="shared" si="10"/>
        <v>1663</v>
      </c>
      <c r="B664" s="23" t="s">
        <v>40</v>
      </c>
      <c r="C664" s="23" t="str">
        <f>VLOOKUP(Squads[[#This Row],[National Team]],Qualified[],3,TRUE)</f>
        <v>Serbia (SRB)</v>
      </c>
      <c r="D664" s="25">
        <v>15</v>
      </c>
      <c r="E664" s="23" t="s">
        <v>135</v>
      </c>
      <c r="F664" s="23" t="s">
        <v>804</v>
      </c>
      <c r="G664" s="26">
        <v>35177</v>
      </c>
      <c r="H664" s="65">
        <f>DATEDIF(Squads[[#This Row],[Date Of Birth]],World_Cup_Start_Date,"Y")</f>
        <v>26</v>
      </c>
      <c r="I664" s="27">
        <v>2</v>
      </c>
      <c r="J664" s="27">
        <v>0</v>
      </c>
      <c r="K664" s="78" t="s">
        <v>1818</v>
      </c>
      <c r="L664" s="27" t="str">
        <f>_xlfn.XLOOKUP(Squads[[#This Row],[Current Club]],Clubs[Current Club],Clubs[Club_ID])</f>
        <v>ESP-14</v>
      </c>
      <c r="M664" s="27" t="str">
        <f>_xlfn.XLOOKUP(Squads[[#This Row],[National Team]],Football_Associations[Football Association],Football_Associations[World Cup Result])</f>
        <v>Group Stage</v>
      </c>
      <c r="N66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65" spans="1:14" ht="15" customHeight="1" x14ac:dyDescent="0.25">
      <c r="A665" s="33">
        <f t="shared" si="10"/>
        <v>1664</v>
      </c>
      <c r="B665" s="23" t="s">
        <v>40</v>
      </c>
      <c r="C665" s="23" t="str">
        <f>VLOOKUP(Squads[[#This Row],[National Team]],Qualified[],3,TRUE)</f>
        <v>Serbia (SRB)</v>
      </c>
      <c r="D665" s="25">
        <v>16</v>
      </c>
      <c r="E665" s="23" t="s">
        <v>139</v>
      </c>
      <c r="F665" s="23" t="s">
        <v>805</v>
      </c>
      <c r="G665" s="26">
        <v>35290</v>
      </c>
      <c r="H665" s="65">
        <f>DATEDIF(Squads[[#This Row],[Date Of Birth]],World_Cup_Start_Date,"Y")</f>
        <v>26</v>
      </c>
      <c r="I665" s="27">
        <v>32</v>
      </c>
      <c r="J665" s="27">
        <v>2</v>
      </c>
      <c r="K665" s="78" t="s">
        <v>1701</v>
      </c>
      <c r="L665" s="27" t="str">
        <f>_xlfn.XLOOKUP(Squads[[#This Row],[Current Club]],Clubs[Current Club],Clubs[Club_ID])</f>
        <v>ITA-05</v>
      </c>
      <c r="M665" s="27" t="str">
        <f>_xlfn.XLOOKUP(Squads[[#This Row],[National Team]],Football_Associations[Football Association],Football_Associations[World Cup Result])</f>
        <v>Group Stage</v>
      </c>
      <c r="N66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66" spans="1:14" ht="15" customHeight="1" x14ac:dyDescent="0.25">
      <c r="A666" s="33">
        <f t="shared" si="10"/>
        <v>1665</v>
      </c>
      <c r="B666" s="23" t="s">
        <v>40</v>
      </c>
      <c r="C666" s="23" t="str">
        <f>VLOOKUP(Squads[[#This Row],[National Team]],Qualified[],3,TRUE)</f>
        <v>Serbia (SRB)</v>
      </c>
      <c r="D666" s="25">
        <v>17</v>
      </c>
      <c r="E666" s="23" t="s">
        <v>139</v>
      </c>
      <c r="F666" s="23" t="s">
        <v>806</v>
      </c>
      <c r="G666" s="26">
        <v>33909</v>
      </c>
      <c r="H666" s="65">
        <f>DATEDIF(Squads[[#This Row],[Date Of Birth]],World_Cup_Start_Date,"Y")</f>
        <v>30</v>
      </c>
      <c r="I666" s="27">
        <v>50</v>
      </c>
      <c r="J666" s="27">
        <v>3</v>
      </c>
      <c r="K666" s="78" t="s">
        <v>1664</v>
      </c>
      <c r="L666" s="27" t="str">
        <f>_xlfn.XLOOKUP(Squads[[#This Row],[Current Club]],Clubs[Current Club],Clubs[Club_ID])</f>
        <v>ITA-01</v>
      </c>
      <c r="M666" s="27" t="str">
        <f>_xlfn.XLOOKUP(Squads[[#This Row],[National Team]],Football_Associations[Football Association],Football_Associations[World Cup Result])</f>
        <v>Group Stage</v>
      </c>
      <c r="N66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67" spans="1:14" ht="15" customHeight="1" x14ac:dyDescent="0.25">
      <c r="A667" s="33">
        <f t="shared" si="10"/>
        <v>1666</v>
      </c>
      <c r="B667" s="23" t="s">
        <v>40</v>
      </c>
      <c r="C667" s="23" t="str">
        <f>VLOOKUP(Squads[[#This Row],[National Team]],Qualified[],3,TRUE)</f>
        <v>Serbia (SRB)</v>
      </c>
      <c r="D667" s="25">
        <v>18</v>
      </c>
      <c r="E667" s="23" t="s">
        <v>146</v>
      </c>
      <c r="F667" s="23" t="s">
        <v>807</v>
      </c>
      <c r="G667" s="26">
        <v>36553</v>
      </c>
      <c r="H667" s="65">
        <f>DATEDIF(Squads[[#This Row],[Date Of Birth]],World_Cup_Start_Date,"Y")</f>
        <v>22</v>
      </c>
      <c r="I667" s="27">
        <v>17</v>
      </c>
      <c r="J667" s="27">
        <v>9</v>
      </c>
      <c r="K667" s="78" t="s">
        <v>1664</v>
      </c>
      <c r="L667" s="27" t="str">
        <f>_xlfn.XLOOKUP(Squads[[#This Row],[Current Club]],Clubs[Current Club],Clubs[Club_ID])</f>
        <v>ITA-01</v>
      </c>
      <c r="M667" s="27" t="str">
        <f>_xlfn.XLOOKUP(Squads[[#This Row],[National Team]],Football_Associations[Football Association],Football_Associations[World Cup Result])</f>
        <v>Group Stage</v>
      </c>
      <c r="N66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68" spans="1:14" ht="15" customHeight="1" x14ac:dyDescent="0.25">
      <c r="A668" s="33">
        <f t="shared" si="10"/>
        <v>1667</v>
      </c>
      <c r="B668" s="23" t="s">
        <v>40</v>
      </c>
      <c r="C668" s="23" t="str">
        <f>VLOOKUP(Squads[[#This Row],[National Team]],Qualified[],3,TRUE)</f>
        <v>Serbia (SRB)</v>
      </c>
      <c r="D668" s="25">
        <v>19</v>
      </c>
      <c r="E668" s="23" t="s">
        <v>139</v>
      </c>
      <c r="F668" s="23" t="s">
        <v>808</v>
      </c>
      <c r="G668" s="26">
        <v>35871</v>
      </c>
      <c r="H668" s="65">
        <f>DATEDIF(Squads[[#This Row],[Date Of Birth]],World_Cup_Start_Date,"Y")</f>
        <v>24</v>
      </c>
      <c r="I668" s="27">
        <v>9</v>
      </c>
      <c r="J668" s="27">
        <v>0</v>
      </c>
      <c r="K668" s="78" t="s">
        <v>1768</v>
      </c>
      <c r="L668" s="27" t="str">
        <f>_xlfn.XLOOKUP(Squads[[#This Row],[Current Club]],Clubs[Current Club],Clubs[Club_ID])</f>
        <v>POR-04</v>
      </c>
      <c r="M668" s="27" t="str">
        <f>_xlfn.XLOOKUP(Squads[[#This Row],[National Team]],Football_Associations[Football Association],Football_Associations[World Cup Result])</f>
        <v>Group Stage</v>
      </c>
      <c r="N66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69" spans="1:14" ht="15" customHeight="1" x14ac:dyDescent="0.25">
      <c r="A669" s="33">
        <f t="shared" si="10"/>
        <v>1668</v>
      </c>
      <c r="B669" s="23" t="s">
        <v>40</v>
      </c>
      <c r="C669" s="23" t="str">
        <f>VLOOKUP(Squads[[#This Row],[National Team]],Qualified[],3,TRUE)</f>
        <v>Serbia (SRB)</v>
      </c>
      <c r="D669" s="25">
        <v>20</v>
      </c>
      <c r="E669" s="23" t="s">
        <v>139</v>
      </c>
      <c r="F669" s="23" t="s">
        <v>809</v>
      </c>
      <c r="G669" s="26">
        <v>34757</v>
      </c>
      <c r="H669" s="65">
        <f>DATEDIF(Squads[[#This Row],[Date Of Birth]],World_Cup_Start_Date,"Y")</f>
        <v>27</v>
      </c>
      <c r="I669" s="27">
        <v>36</v>
      </c>
      <c r="J669" s="27">
        <v>6</v>
      </c>
      <c r="K669" s="78" t="s">
        <v>1784</v>
      </c>
      <c r="L669" s="27" t="str">
        <f>_xlfn.XLOOKUP(Squads[[#This Row],[Current Club]],Clubs[Current Club],Clubs[Club_ID])</f>
        <v>ITA-13</v>
      </c>
      <c r="M669" s="27" t="str">
        <f>_xlfn.XLOOKUP(Squads[[#This Row],[National Team]],Football_Associations[Football Association],Football_Associations[World Cup Result])</f>
        <v>Group Stage</v>
      </c>
      <c r="N66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70" spans="1:14" ht="15" customHeight="1" x14ac:dyDescent="0.25">
      <c r="A670" s="33">
        <f t="shared" si="10"/>
        <v>1669</v>
      </c>
      <c r="B670" s="23" t="s">
        <v>40</v>
      </c>
      <c r="C670" s="23" t="str">
        <f>VLOOKUP(Squads[[#This Row],[National Team]],Qualified[],3,TRUE)</f>
        <v>Serbia (SRB)</v>
      </c>
      <c r="D670" s="25">
        <v>21</v>
      </c>
      <c r="E670" s="23" t="s">
        <v>146</v>
      </c>
      <c r="F670" s="23" t="s">
        <v>810</v>
      </c>
      <c r="G670" s="26">
        <v>33633</v>
      </c>
      <c r="H670" s="65">
        <f>DATEDIF(Squads[[#This Row],[Date Of Birth]],World_Cup_Start_Date,"Y")</f>
        <v>30</v>
      </c>
      <c r="I670" s="27">
        <v>37</v>
      </c>
      <c r="J670" s="27">
        <v>5</v>
      </c>
      <c r="K670" s="78" t="s">
        <v>1745</v>
      </c>
      <c r="L670" s="27" t="str">
        <f>_xlfn.XLOOKUP(Squads[[#This Row],[Current Club]],Clubs[Current Club],Clubs[Club_ID])</f>
        <v>ITA-11</v>
      </c>
      <c r="M670" s="27" t="str">
        <f>_xlfn.XLOOKUP(Squads[[#This Row],[National Team]],Football_Associations[Football Association],Football_Associations[World Cup Result])</f>
        <v>Group Stage</v>
      </c>
      <c r="N67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71" spans="1:14" ht="15" customHeight="1" x14ac:dyDescent="0.25">
      <c r="A671" s="33">
        <f t="shared" si="10"/>
        <v>1670</v>
      </c>
      <c r="B671" s="23" t="s">
        <v>40</v>
      </c>
      <c r="C671" s="23" t="str">
        <f>VLOOKUP(Squads[[#This Row],[National Team]],Qualified[],3,TRUE)</f>
        <v>Serbia (SRB)</v>
      </c>
      <c r="D671" s="25">
        <v>22</v>
      </c>
      <c r="E671" s="23" t="s">
        <v>139</v>
      </c>
      <c r="F671" s="23" t="s">
        <v>811</v>
      </c>
      <c r="G671" s="26">
        <v>33131</v>
      </c>
      <c r="H671" s="65">
        <f>DATEDIF(Squads[[#This Row],[Date Of Birth]],World_Cup_Start_Date,"Y")</f>
        <v>32</v>
      </c>
      <c r="I671" s="27">
        <v>26</v>
      </c>
      <c r="J671" s="27">
        <v>1</v>
      </c>
      <c r="K671" s="78" t="s">
        <v>1713</v>
      </c>
      <c r="L671" s="27" t="str">
        <f>_xlfn.XLOOKUP(Squads[[#This Row],[Current Club]],Clubs[Current Club],Clubs[Club_ID])</f>
        <v>ITA-08</v>
      </c>
      <c r="M671" s="27" t="str">
        <f>_xlfn.XLOOKUP(Squads[[#This Row],[National Team]],Football_Associations[Football Association],Football_Associations[World Cup Result])</f>
        <v>Group Stage</v>
      </c>
      <c r="N67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72" spans="1:14" ht="15" customHeight="1" x14ac:dyDescent="0.25">
      <c r="A672" s="33">
        <f t="shared" si="10"/>
        <v>1671</v>
      </c>
      <c r="B672" s="23" t="s">
        <v>40</v>
      </c>
      <c r="C672" s="23" t="str">
        <f>VLOOKUP(Squads[[#This Row],[National Team]],Qualified[],3,TRUE)</f>
        <v>Serbia (SRB)</v>
      </c>
      <c r="D672" s="25">
        <v>23</v>
      </c>
      <c r="E672" s="23" t="s">
        <v>133</v>
      </c>
      <c r="F672" s="23" t="s">
        <v>812</v>
      </c>
      <c r="G672" s="26">
        <v>35481</v>
      </c>
      <c r="H672" s="65">
        <f>DATEDIF(Squads[[#This Row],[Date Of Birth]],World_Cup_Start_Date,"Y")</f>
        <v>25</v>
      </c>
      <c r="I672" s="27">
        <v>7</v>
      </c>
      <c r="J672" s="27">
        <v>0</v>
      </c>
      <c r="K672" s="78" t="s">
        <v>1701</v>
      </c>
      <c r="L672" s="27" t="str">
        <f>_xlfn.XLOOKUP(Squads[[#This Row],[Current Club]],Clubs[Current Club],Clubs[Club_ID])</f>
        <v>ITA-05</v>
      </c>
      <c r="M672" s="27" t="str">
        <f>_xlfn.XLOOKUP(Squads[[#This Row],[National Team]],Football_Associations[Football Association],Football_Associations[World Cup Result])</f>
        <v>Group Stage</v>
      </c>
      <c r="N67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73" spans="1:14" ht="15" customHeight="1" x14ac:dyDescent="0.25">
      <c r="A673" s="33">
        <f t="shared" si="10"/>
        <v>1672</v>
      </c>
      <c r="B673" s="23" t="s">
        <v>40</v>
      </c>
      <c r="C673" s="23" t="str">
        <f>VLOOKUP(Squads[[#This Row],[National Team]],Qualified[],3,TRUE)</f>
        <v>Serbia (SRB)</v>
      </c>
      <c r="D673" s="25">
        <v>24</v>
      </c>
      <c r="E673" s="23" t="s">
        <v>139</v>
      </c>
      <c r="F673" s="23" t="s">
        <v>813</v>
      </c>
      <c r="G673" s="26">
        <v>36967</v>
      </c>
      <c r="H673" s="65">
        <f>DATEDIF(Squads[[#This Row],[Date Of Birth]],World_Cup_Start_Date,"Y")</f>
        <v>21</v>
      </c>
      <c r="I673" s="27">
        <v>6</v>
      </c>
      <c r="J673" s="27">
        <v>0</v>
      </c>
      <c r="K673" s="78" t="s">
        <v>1713</v>
      </c>
      <c r="L673" s="27" t="str">
        <f>_xlfn.XLOOKUP(Squads[[#This Row],[Current Club]],Clubs[Current Club],Clubs[Club_ID])</f>
        <v>ITA-08</v>
      </c>
      <c r="M673" s="27" t="str">
        <f>_xlfn.XLOOKUP(Squads[[#This Row],[National Team]],Football_Associations[Football Association],Football_Associations[World Cup Result])</f>
        <v>Group Stage</v>
      </c>
      <c r="N67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74" spans="1:14" ht="15" customHeight="1" x14ac:dyDescent="0.25">
      <c r="A674" s="33">
        <f t="shared" si="10"/>
        <v>1673</v>
      </c>
      <c r="B674" s="23" t="s">
        <v>40</v>
      </c>
      <c r="C674" s="23" t="str">
        <f>VLOOKUP(Squads[[#This Row],[National Team]],Qualified[],3,TRUE)</f>
        <v>Serbia (SRB)</v>
      </c>
      <c r="D674" s="25">
        <v>25</v>
      </c>
      <c r="E674" s="23" t="s">
        <v>135</v>
      </c>
      <c r="F674" s="23" t="s">
        <v>814</v>
      </c>
      <c r="G674" s="26">
        <v>33465</v>
      </c>
      <c r="H674" s="65">
        <f>DATEDIF(Squads[[#This Row],[Date Of Birth]],World_Cup_Start_Date,"Y")</f>
        <v>31</v>
      </c>
      <c r="I674" s="27">
        <v>20</v>
      </c>
      <c r="J674" s="27">
        <v>1</v>
      </c>
      <c r="K674" s="78" t="s">
        <v>1785</v>
      </c>
      <c r="L674" s="27" t="str">
        <f>_xlfn.XLOOKUP(Squads[[#This Row],[Current Club]],Clubs[Current Club],Clubs[Club_ID])</f>
        <v>POL-01</v>
      </c>
      <c r="M674" s="27" t="str">
        <f>_xlfn.XLOOKUP(Squads[[#This Row],[National Team]],Football_Associations[Football Association],Football_Associations[World Cup Result])</f>
        <v>Group Stage</v>
      </c>
      <c r="N67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75" spans="1:14" ht="15" customHeight="1" x14ac:dyDescent="0.25">
      <c r="A675" s="33">
        <f t="shared" si="10"/>
        <v>1674</v>
      </c>
      <c r="B675" s="23" t="s">
        <v>40</v>
      </c>
      <c r="C675" s="23" t="str">
        <f>VLOOKUP(Squads[[#This Row],[National Team]],Qualified[],3,TRUE)</f>
        <v>Serbia (SRB)</v>
      </c>
      <c r="D675" s="25">
        <v>26</v>
      </c>
      <c r="E675" s="23" t="s">
        <v>139</v>
      </c>
      <c r="F675" s="23" t="s">
        <v>815</v>
      </c>
      <c r="G675" s="26">
        <v>35168</v>
      </c>
      <c r="H675" s="65">
        <f>DATEDIF(Squads[[#This Row],[Date Of Birth]],World_Cup_Start_Date,"Y")</f>
        <v>26</v>
      </c>
      <c r="I675" s="27">
        <v>18</v>
      </c>
      <c r="J675" s="27">
        <v>0</v>
      </c>
      <c r="K675" s="78" t="s">
        <v>1688</v>
      </c>
      <c r="L675" s="27" t="str">
        <f>_xlfn.XLOOKUP(Squads[[#This Row],[Current Club]],Clubs[Current Club],Clubs[Club_ID])</f>
        <v>POR-02</v>
      </c>
      <c r="M675" s="27" t="str">
        <f>_xlfn.XLOOKUP(Squads[[#This Row],[National Team]],Football_Associations[Football Association],Football_Associations[World Cup Result])</f>
        <v>Group Stage</v>
      </c>
      <c r="N67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76" spans="1:14" ht="15" customHeight="1" x14ac:dyDescent="0.25">
      <c r="A676" s="33">
        <f t="shared" si="10"/>
        <v>1675</v>
      </c>
      <c r="B676" s="23" t="s">
        <v>28</v>
      </c>
      <c r="C676" s="23" t="str">
        <f>VLOOKUP(Squads[[#This Row],[National Team]],Qualified[],3,TRUE)</f>
        <v>Spain (ESP)</v>
      </c>
      <c r="D676" s="25">
        <v>1</v>
      </c>
      <c r="E676" s="23" t="s">
        <v>133</v>
      </c>
      <c r="F676" s="23" t="s">
        <v>615</v>
      </c>
      <c r="G676" s="26">
        <v>35752</v>
      </c>
      <c r="H676" s="65">
        <f>DATEDIF(Squads[[#This Row],[Date Of Birth]],World_Cup_Start_Date,"Y")</f>
        <v>25</v>
      </c>
      <c r="I676" s="27">
        <v>2</v>
      </c>
      <c r="J676" s="27">
        <v>0</v>
      </c>
      <c r="K676" s="78" t="s">
        <v>1669</v>
      </c>
      <c r="L676" s="27" t="str">
        <f>_xlfn.XLOOKUP(Squads[[#This Row],[Current Club]],Clubs[Current Club],Clubs[Club_ID])</f>
        <v>ENG-06</v>
      </c>
      <c r="M676" s="27" t="str">
        <f>_xlfn.XLOOKUP(Squads[[#This Row],[National Team]],Football_Associations[Football Association],Football_Associations[World Cup Result])</f>
        <v>Last 16</v>
      </c>
      <c r="N67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77" spans="1:14" ht="15" customHeight="1" x14ac:dyDescent="0.25">
      <c r="A677" s="33">
        <f t="shared" si="10"/>
        <v>1676</v>
      </c>
      <c r="B677" s="23" t="s">
        <v>28</v>
      </c>
      <c r="C677" s="23" t="str">
        <f>VLOOKUP(Squads[[#This Row],[National Team]],Qualified[],3,TRUE)</f>
        <v>Spain (ESP)</v>
      </c>
      <c r="D677" s="25">
        <v>2</v>
      </c>
      <c r="E677" s="23" t="s">
        <v>135</v>
      </c>
      <c r="F677" s="23" t="s">
        <v>616</v>
      </c>
      <c r="G677" s="26">
        <v>32748</v>
      </c>
      <c r="H677" s="65">
        <f>DATEDIF(Squads[[#This Row],[Date Of Birth]],World_Cup_Start_Date,"Y")</f>
        <v>33</v>
      </c>
      <c r="I677" s="27">
        <v>42</v>
      </c>
      <c r="J677" s="27">
        <v>1</v>
      </c>
      <c r="K677" s="78" t="s">
        <v>1661</v>
      </c>
      <c r="L677" s="27" t="str">
        <f>_xlfn.XLOOKUP(Squads[[#This Row],[Current Club]],Clubs[Current Club],Clubs[Club_ID])</f>
        <v>ENG-03</v>
      </c>
      <c r="M677" s="27" t="str">
        <f>_xlfn.XLOOKUP(Squads[[#This Row],[National Team]],Football_Associations[Football Association],Football_Associations[World Cup Result])</f>
        <v>Last 16</v>
      </c>
      <c r="N67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78" spans="1:14" ht="15" customHeight="1" x14ac:dyDescent="0.25">
      <c r="A678" s="33">
        <f t="shared" si="10"/>
        <v>1677</v>
      </c>
      <c r="B678" s="23" t="s">
        <v>28</v>
      </c>
      <c r="C678" s="23" t="str">
        <f>VLOOKUP(Squads[[#This Row],[National Team]],Qualified[],3,TRUE)</f>
        <v>Spain (ESP)</v>
      </c>
      <c r="D678" s="25">
        <v>3</v>
      </c>
      <c r="E678" s="23" t="s">
        <v>135</v>
      </c>
      <c r="F678" s="23" t="s">
        <v>617</v>
      </c>
      <c r="G678" s="26">
        <v>36900</v>
      </c>
      <c r="H678" s="65">
        <f>DATEDIF(Squads[[#This Row],[Date Of Birth]],World_Cup_Start_Date,"Y")</f>
        <v>21</v>
      </c>
      <c r="I678" s="27">
        <v>19</v>
      </c>
      <c r="J678" s="27">
        <v>0</v>
      </c>
      <c r="K678" s="78" t="s">
        <v>1653</v>
      </c>
      <c r="L678" s="27" t="str">
        <f>_xlfn.XLOOKUP(Squads[[#This Row],[Current Club]],Clubs[Current Club],Clubs[Club_ID])</f>
        <v>ESP-01</v>
      </c>
      <c r="M678" s="27" t="str">
        <f>_xlfn.XLOOKUP(Squads[[#This Row],[National Team]],Football_Associations[Football Association],Football_Associations[World Cup Result])</f>
        <v>Last 16</v>
      </c>
      <c r="N67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79" spans="1:14" ht="15" customHeight="1" x14ac:dyDescent="0.25">
      <c r="A679" s="33">
        <f t="shared" si="10"/>
        <v>1678</v>
      </c>
      <c r="B679" s="23" t="s">
        <v>28</v>
      </c>
      <c r="C679" s="23" t="str">
        <f>VLOOKUP(Squads[[#This Row],[National Team]],Qualified[],3,TRUE)</f>
        <v>Spain (ESP)</v>
      </c>
      <c r="D679" s="25">
        <v>4</v>
      </c>
      <c r="E679" s="23" t="s">
        <v>135</v>
      </c>
      <c r="F679" s="23" t="s">
        <v>618</v>
      </c>
      <c r="G679" s="26">
        <v>35446</v>
      </c>
      <c r="H679" s="65">
        <f>DATEDIF(Squads[[#This Row],[Date Of Birth]],World_Cup_Start_Date,"Y")</f>
        <v>25</v>
      </c>
      <c r="I679" s="27">
        <v>22</v>
      </c>
      <c r="J679" s="27">
        <v>1</v>
      </c>
      <c r="K679" s="78" t="s">
        <v>1702</v>
      </c>
      <c r="L679" s="27" t="str">
        <f>_xlfn.XLOOKUP(Squads[[#This Row],[Current Club]],Clubs[Current Club],Clubs[Club_ID])</f>
        <v>ESP-06</v>
      </c>
      <c r="M679" s="27" t="str">
        <f>_xlfn.XLOOKUP(Squads[[#This Row],[National Team]],Football_Associations[Football Association],Football_Associations[World Cup Result])</f>
        <v>Last 16</v>
      </c>
      <c r="N67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80" spans="1:14" ht="15" customHeight="1" x14ac:dyDescent="0.25">
      <c r="A680" s="33">
        <f t="shared" si="10"/>
        <v>1679</v>
      </c>
      <c r="B680" s="23" t="s">
        <v>28</v>
      </c>
      <c r="C680" s="23" t="str">
        <f>VLOOKUP(Squads[[#This Row],[National Team]],Qualified[],3,TRUE)</f>
        <v>Spain (ESP)</v>
      </c>
      <c r="D680" s="25">
        <v>5</v>
      </c>
      <c r="E680" s="23" t="s">
        <v>139</v>
      </c>
      <c r="F680" s="27" t="s">
        <v>994</v>
      </c>
      <c r="G680" s="26">
        <v>32340</v>
      </c>
      <c r="H680" s="65">
        <f>DATEDIF(Squads[[#This Row],[Date Of Birth]],World_Cup_Start_Date,"Y")</f>
        <v>34</v>
      </c>
      <c r="I680" s="27">
        <v>139</v>
      </c>
      <c r="J680" s="27">
        <v>2</v>
      </c>
      <c r="K680" s="78" t="s">
        <v>1653</v>
      </c>
      <c r="L680" s="27" t="str">
        <f>_xlfn.XLOOKUP(Squads[[#This Row],[Current Club]],Clubs[Current Club],Clubs[Club_ID])</f>
        <v>ESP-01</v>
      </c>
      <c r="M680" s="27" t="str">
        <f>_xlfn.XLOOKUP(Squads[[#This Row],[National Team]],Football_Associations[Football Association],Football_Associations[World Cup Result])</f>
        <v>Last 16</v>
      </c>
      <c r="N68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81" spans="1:14" ht="15" customHeight="1" x14ac:dyDescent="0.25">
      <c r="A681" s="33">
        <f t="shared" si="10"/>
        <v>1680</v>
      </c>
      <c r="B681" s="23" t="s">
        <v>28</v>
      </c>
      <c r="C681" s="23" t="str">
        <f>VLOOKUP(Squads[[#This Row],[National Team]],Qualified[],3,TRUE)</f>
        <v>Spain (ESP)</v>
      </c>
      <c r="D681" s="25">
        <v>6</v>
      </c>
      <c r="E681" s="23" t="s">
        <v>139</v>
      </c>
      <c r="F681" s="23" t="s">
        <v>619</v>
      </c>
      <c r="G681" s="26">
        <v>34729</v>
      </c>
      <c r="H681" s="65">
        <f>DATEDIF(Squads[[#This Row],[Date Of Birth]],World_Cup_Start_Date,"Y")</f>
        <v>27</v>
      </c>
      <c r="I681" s="27">
        <v>17</v>
      </c>
      <c r="J681" s="27">
        <v>0</v>
      </c>
      <c r="K681" s="78" t="s">
        <v>1660</v>
      </c>
      <c r="L681" s="27" t="str">
        <f>_xlfn.XLOOKUP(Squads[[#This Row],[Current Club]],Clubs[Current Club],Clubs[Club_ID])</f>
        <v>ESP-03</v>
      </c>
      <c r="M681" s="27" t="str">
        <f>_xlfn.XLOOKUP(Squads[[#This Row],[National Team]],Football_Associations[Football Association],Football_Associations[World Cup Result])</f>
        <v>Last 16</v>
      </c>
      <c r="N68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82" spans="1:14" ht="15" customHeight="1" x14ac:dyDescent="0.25">
      <c r="A682" s="33">
        <f t="shared" si="10"/>
        <v>1681</v>
      </c>
      <c r="B682" s="23" t="s">
        <v>28</v>
      </c>
      <c r="C682" s="23" t="str">
        <f>VLOOKUP(Squads[[#This Row],[National Team]],Qualified[],3,TRUE)</f>
        <v>Spain (ESP)</v>
      </c>
      <c r="D682" s="25">
        <v>7</v>
      </c>
      <c r="E682" s="23" t="s">
        <v>146</v>
      </c>
      <c r="F682" s="23" t="s">
        <v>620</v>
      </c>
      <c r="G682" s="26">
        <v>33900</v>
      </c>
      <c r="H682" s="65">
        <f>DATEDIF(Squads[[#This Row],[Date Of Birth]],World_Cup_Start_Date,"Y")</f>
        <v>30</v>
      </c>
      <c r="I682" s="27">
        <v>57</v>
      </c>
      <c r="J682" s="27">
        <v>27</v>
      </c>
      <c r="K682" s="78" t="s">
        <v>1660</v>
      </c>
      <c r="L682" s="27" t="str">
        <f>_xlfn.XLOOKUP(Squads[[#This Row],[Current Club]],Clubs[Current Club],Clubs[Club_ID])</f>
        <v>ESP-03</v>
      </c>
      <c r="M682" s="27" t="str">
        <f>_xlfn.XLOOKUP(Squads[[#This Row],[National Team]],Football_Associations[Football Association],Football_Associations[World Cup Result])</f>
        <v>Last 16</v>
      </c>
      <c r="N68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83" spans="1:14" ht="15" customHeight="1" x14ac:dyDescent="0.25">
      <c r="A683" s="33">
        <f t="shared" si="10"/>
        <v>1682</v>
      </c>
      <c r="B683" s="23" t="s">
        <v>28</v>
      </c>
      <c r="C683" s="23" t="str">
        <f>VLOOKUP(Squads[[#This Row],[National Team]],Qualified[],3,TRUE)</f>
        <v>Spain (ESP)</v>
      </c>
      <c r="D683" s="25">
        <v>8</v>
      </c>
      <c r="E683" s="23" t="s">
        <v>139</v>
      </c>
      <c r="F683" s="23" t="s">
        <v>621</v>
      </c>
      <c r="G683" s="26">
        <v>33611</v>
      </c>
      <c r="H683" s="65">
        <f>DATEDIF(Squads[[#This Row],[Date Of Birth]],World_Cup_Start_Date,"Y")</f>
        <v>30</v>
      </c>
      <c r="I683" s="27">
        <v>68</v>
      </c>
      <c r="J683" s="27">
        <v>0</v>
      </c>
      <c r="K683" s="78" t="s">
        <v>1660</v>
      </c>
      <c r="L683" s="27" t="str">
        <f>_xlfn.XLOOKUP(Squads[[#This Row],[Current Club]],Clubs[Current Club],Clubs[Club_ID])</f>
        <v>ESP-03</v>
      </c>
      <c r="M683" s="27" t="str">
        <f>_xlfn.XLOOKUP(Squads[[#This Row],[National Team]],Football_Associations[Football Association],Football_Associations[World Cup Result])</f>
        <v>Last 16</v>
      </c>
      <c r="N68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84" spans="1:14" ht="15" customHeight="1" x14ac:dyDescent="0.25">
      <c r="A684" s="33">
        <f t="shared" si="10"/>
        <v>1683</v>
      </c>
      <c r="B684" s="23" t="s">
        <v>28</v>
      </c>
      <c r="C684" s="23" t="str">
        <f>VLOOKUP(Squads[[#This Row],[National Team]],Qualified[],3,TRUE)</f>
        <v>Spain (ESP)</v>
      </c>
      <c r="D684" s="25">
        <v>9</v>
      </c>
      <c r="E684" s="23" t="s">
        <v>139</v>
      </c>
      <c r="F684" s="23" t="s">
        <v>622</v>
      </c>
      <c r="G684" s="26">
        <v>38204</v>
      </c>
      <c r="H684" s="65">
        <f>DATEDIF(Squads[[#This Row],[Date Of Birth]],World_Cup_Start_Date,"Y")</f>
        <v>18</v>
      </c>
      <c r="I684" s="27">
        <v>13</v>
      </c>
      <c r="J684" s="27">
        <v>2</v>
      </c>
      <c r="K684" s="78" t="s">
        <v>1653</v>
      </c>
      <c r="L684" s="27" t="str">
        <f>_xlfn.XLOOKUP(Squads[[#This Row],[Current Club]],Clubs[Current Club],Clubs[Club_ID])</f>
        <v>ESP-01</v>
      </c>
      <c r="M684" s="27" t="str">
        <f>_xlfn.XLOOKUP(Squads[[#This Row],[National Team]],Football_Associations[Football Association],Football_Associations[World Cup Result])</f>
        <v>Last 16</v>
      </c>
      <c r="N68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85" spans="1:14" ht="15" customHeight="1" x14ac:dyDescent="0.25">
      <c r="A685" s="33">
        <f t="shared" si="10"/>
        <v>1684</v>
      </c>
      <c r="B685" s="23" t="s">
        <v>28</v>
      </c>
      <c r="C685" s="23" t="str">
        <f>VLOOKUP(Squads[[#This Row],[National Team]],Qualified[],3,TRUE)</f>
        <v>Spain (ESP)</v>
      </c>
      <c r="D685" s="25">
        <v>10</v>
      </c>
      <c r="E685" s="23" t="s">
        <v>146</v>
      </c>
      <c r="F685" s="23" t="s">
        <v>623</v>
      </c>
      <c r="G685" s="26">
        <v>35085</v>
      </c>
      <c r="H685" s="65">
        <f>DATEDIF(Squads[[#This Row],[Date Of Birth]],World_Cup_Start_Date,"Y")</f>
        <v>26</v>
      </c>
      <c r="I685" s="27">
        <v>31</v>
      </c>
      <c r="J685" s="27">
        <v>1</v>
      </c>
      <c r="K685" s="78" t="s">
        <v>1658</v>
      </c>
      <c r="L685" s="27" t="str">
        <f>_xlfn.XLOOKUP(Squads[[#This Row],[Current Club]],Clubs[Current Club],Clubs[Club_ID])</f>
        <v>ESP-02</v>
      </c>
      <c r="M685" s="27" t="str">
        <f>_xlfn.XLOOKUP(Squads[[#This Row],[National Team]],Football_Associations[Football Association],Football_Associations[World Cup Result])</f>
        <v>Last 16</v>
      </c>
      <c r="N68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86" spans="1:14" ht="15" customHeight="1" x14ac:dyDescent="0.25">
      <c r="A686" s="33">
        <f t="shared" si="10"/>
        <v>1685</v>
      </c>
      <c r="B686" s="23" t="s">
        <v>28</v>
      </c>
      <c r="C686" s="23" t="str">
        <f>VLOOKUP(Squads[[#This Row],[National Team]],Qualified[],3,TRUE)</f>
        <v>Spain (ESP)</v>
      </c>
      <c r="D686" s="25">
        <v>11</v>
      </c>
      <c r="E686" s="23" t="s">
        <v>146</v>
      </c>
      <c r="F686" s="23" t="s">
        <v>624</v>
      </c>
      <c r="G686" s="26">
        <v>36585</v>
      </c>
      <c r="H686" s="65">
        <f>DATEDIF(Squads[[#This Row],[Date Of Birth]],World_Cup_Start_Date,"Y")</f>
        <v>22</v>
      </c>
      <c r="I686" s="27">
        <v>31</v>
      </c>
      <c r="J686" s="27">
        <v>13</v>
      </c>
      <c r="K686" s="78" t="s">
        <v>1653</v>
      </c>
      <c r="L686" s="27" t="str">
        <f>_xlfn.XLOOKUP(Squads[[#This Row],[Current Club]],Clubs[Current Club],Clubs[Club_ID])</f>
        <v>ESP-01</v>
      </c>
      <c r="M686" s="27" t="str">
        <f>_xlfn.XLOOKUP(Squads[[#This Row],[National Team]],Football_Associations[Football Association],Football_Associations[World Cup Result])</f>
        <v>Last 16</v>
      </c>
      <c r="N68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87" spans="1:14" ht="15" customHeight="1" x14ac:dyDescent="0.25">
      <c r="A687" s="33">
        <f t="shared" si="10"/>
        <v>1686</v>
      </c>
      <c r="B687" s="23" t="s">
        <v>28</v>
      </c>
      <c r="C687" s="23" t="str">
        <f>VLOOKUP(Squads[[#This Row],[National Team]],Qualified[],3,TRUE)</f>
        <v>Spain (ESP)</v>
      </c>
      <c r="D687" s="25">
        <v>12</v>
      </c>
      <c r="E687" s="23" t="s">
        <v>146</v>
      </c>
      <c r="F687" s="23" t="s">
        <v>625</v>
      </c>
      <c r="G687" s="26">
        <v>37449</v>
      </c>
      <c r="H687" s="65">
        <f>DATEDIF(Squads[[#This Row],[Date Of Birth]],World_Cup_Start_Date,"Y")</f>
        <v>20</v>
      </c>
      <c r="I687" s="27">
        <v>3</v>
      </c>
      <c r="J687" s="27">
        <v>1</v>
      </c>
      <c r="K687" s="78" t="s">
        <v>1726</v>
      </c>
      <c r="L687" s="27" t="str">
        <f>_xlfn.XLOOKUP(Squads[[#This Row],[Current Club]],Clubs[Current Club],Clubs[Club_ID])</f>
        <v>ESP-08</v>
      </c>
      <c r="M687" s="27" t="str">
        <f>_xlfn.XLOOKUP(Squads[[#This Row],[National Team]],Football_Associations[Football Association],Football_Associations[World Cup Result])</f>
        <v>Last 16</v>
      </c>
      <c r="N68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88" spans="1:14" ht="15" customHeight="1" x14ac:dyDescent="0.25">
      <c r="A688" s="33">
        <f t="shared" si="10"/>
        <v>1687</v>
      </c>
      <c r="B688" s="23" t="s">
        <v>28</v>
      </c>
      <c r="C688" s="23" t="str">
        <f>VLOOKUP(Squads[[#This Row],[National Team]],Qualified[],3,TRUE)</f>
        <v>Spain (ESP)</v>
      </c>
      <c r="D688" s="25">
        <v>13</v>
      </c>
      <c r="E688" s="23" t="s">
        <v>133</v>
      </c>
      <c r="F688" s="23" t="s">
        <v>626</v>
      </c>
      <c r="G688" s="26">
        <v>34957</v>
      </c>
      <c r="H688" s="65">
        <f>DATEDIF(Squads[[#This Row],[Date Of Birth]],World_Cup_Start_Date,"Y")</f>
        <v>27</v>
      </c>
      <c r="I688" s="27">
        <v>2</v>
      </c>
      <c r="J688" s="27">
        <v>0</v>
      </c>
      <c r="K688" s="78" t="s">
        <v>1681</v>
      </c>
      <c r="L688" s="27" t="str">
        <f>_xlfn.XLOOKUP(Squads[[#This Row],[Current Club]],Clubs[Current Club],Clubs[Club_ID])</f>
        <v>ENG-09</v>
      </c>
      <c r="M688" s="27" t="str">
        <f>_xlfn.XLOOKUP(Squads[[#This Row],[National Team]],Football_Associations[Football Association],Football_Associations[World Cup Result])</f>
        <v>Last 16</v>
      </c>
      <c r="N68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89" spans="1:14" ht="15" customHeight="1" x14ac:dyDescent="0.25">
      <c r="A689" s="33">
        <f t="shared" si="10"/>
        <v>1688</v>
      </c>
      <c r="B689" s="23" t="s">
        <v>28</v>
      </c>
      <c r="C689" s="23" t="str">
        <f>VLOOKUP(Squads[[#This Row],[National Team]],Qualified[],3,TRUE)</f>
        <v>Spain (ESP)</v>
      </c>
      <c r="D689" s="25">
        <v>14</v>
      </c>
      <c r="E689" s="23" t="s">
        <v>135</v>
      </c>
      <c r="F689" s="23" t="s">
        <v>627</v>
      </c>
      <c r="G689" s="26">
        <v>37912</v>
      </c>
      <c r="H689" s="65">
        <f>DATEDIF(Squads[[#This Row],[Date Of Birth]],World_Cup_Start_Date,"Y")</f>
        <v>19</v>
      </c>
      <c r="I689" s="27">
        <v>0</v>
      </c>
      <c r="J689" s="27">
        <v>0</v>
      </c>
      <c r="K689" s="78" t="s">
        <v>1653</v>
      </c>
      <c r="L689" s="27" t="str">
        <f>_xlfn.XLOOKUP(Squads[[#This Row],[Current Club]],Clubs[Current Club],Clubs[Club_ID])</f>
        <v>ESP-01</v>
      </c>
      <c r="M689" s="27" t="str">
        <f>_xlfn.XLOOKUP(Squads[[#This Row],[National Team]],Football_Associations[Football Association],Football_Associations[World Cup Result])</f>
        <v>Last 16</v>
      </c>
      <c r="N68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90" spans="1:14" ht="15" customHeight="1" x14ac:dyDescent="0.25">
      <c r="A690" s="33">
        <f t="shared" si="10"/>
        <v>1689</v>
      </c>
      <c r="B690" s="23" t="s">
        <v>28</v>
      </c>
      <c r="C690" s="23" t="str">
        <f>VLOOKUP(Squads[[#This Row],[National Team]],Qualified[],3,TRUE)</f>
        <v>Spain (ESP)</v>
      </c>
      <c r="D690" s="25">
        <v>15</v>
      </c>
      <c r="E690" s="23" t="s">
        <v>135</v>
      </c>
      <c r="F690" s="23" t="s">
        <v>628</v>
      </c>
      <c r="G690" s="26">
        <v>36556</v>
      </c>
      <c r="H690" s="65">
        <f>DATEDIF(Squads[[#This Row],[Date Of Birth]],World_Cup_Start_Date,"Y")</f>
        <v>22</v>
      </c>
      <c r="I690" s="27">
        <v>3</v>
      </c>
      <c r="J690" s="27">
        <v>1</v>
      </c>
      <c r="K690" s="78" t="s">
        <v>1721</v>
      </c>
      <c r="L690" s="27" t="str">
        <f>_xlfn.XLOOKUP(Squads[[#This Row],[Current Club]],Clubs[Current Club],Clubs[Club_ID])</f>
        <v>ESP-07</v>
      </c>
      <c r="M690" s="27" t="str">
        <f>_xlfn.XLOOKUP(Squads[[#This Row],[National Team]],Football_Associations[Football Association],Football_Associations[World Cup Result])</f>
        <v>Last 16</v>
      </c>
      <c r="N69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91" spans="1:14" ht="15" customHeight="1" x14ac:dyDescent="0.25">
      <c r="A691" s="33">
        <f t="shared" si="10"/>
        <v>1690</v>
      </c>
      <c r="B691" s="23" t="s">
        <v>28</v>
      </c>
      <c r="C691" s="23" t="str">
        <f>VLOOKUP(Squads[[#This Row],[National Team]],Qualified[],3,TRUE)</f>
        <v>Spain (ESP)</v>
      </c>
      <c r="D691" s="25">
        <v>16</v>
      </c>
      <c r="E691" s="23" t="s">
        <v>139</v>
      </c>
      <c r="F691" s="23" t="s">
        <v>629</v>
      </c>
      <c r="G691" s="26">
        <v>35238</v>
      </c>
      <c r="H691" s="65">
        <f>DATEDIF(Squads[[#This Row],[Date Of Birth]],World_Cup_Start_Date,"Y")</f>
        <v>26</v>
      </c>
      <c r="I691" s="27">
        <v>35</v>
      </c>
      <c r="J691" s="27">
        <v>1</v>
      </c>
      <c r="K691" s="78" t="s">
        <v>1655</v>
      </c>
      <c r="L691" s="27" t="str">
        <f>_xlfn.XLOOKUP(Squads[[#This Row],[Current Club]],Clubs[Current Club],Clubs[Club_ID])</f>
        <v>ENG-01</v>
      </c>
      <c r="M691" s="27" t="str">
        <f>_xlfn.XLOOKUP(Squads[[#This Row],[National Team]],Football_Associations[Football Association],Football_Associations[World Cup Result])</f>
        <v>Last 16</v>
      </c>
      <c r="N69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92" spans="1:14" ht="15" customHeight="1" x14ac:dyDescent="0.25">
      <c r="A692" s="33">
        <f t="shared" si="10"/>
        <v>1691</v>
      </c>
      <c r="B692" s="23" t="s">
        <v>28</v>
      </c>
      <c r="C692" s="23" t="str">
        <f>VLOOKUP(Squads[[#This Row],[National Team]],Qualified[],3,TRUE)</f>
        <v>Spain (ESP)</v>
      </c>
      <c r="D692" s="25">
        <v>17</v>
      </c>
      <c r="E692" s="23" t="s">
        <v>146</v>
      </c>
      <c r="F692" s="23" t="s">
        <v>630</v>
      </c>
      <c r="G692" s="26">
        <v>37549</v>
      </c>
      <c r="H692" s="65">
        <f>DATEDIF(Squads[[#This Row],[Date Of Birth]],World_Cup_Start_Date,"Y")</f>
        <v>20</v>
      </c>
      <c r="I692" s="27">
        <v>7</v>
      </c>
      <c r="J692" s="27">
        <v>1</v>
      </c>
      <c r="K692" s="78" t="s">
        <v>1702</v>
      </c>
      <c r="L692" s="27" t="str">
        <f>_xlfn.XLOOKUP(Squads[[#This Row],[Current Club]],Clubs[Current Club],Clubs[Club_ID])</f>
        <v>ESP-06</v>
      </c>
      <c r="M692" s="27" t="str">
        <f>_xlfn.XLOOKUP(Squads[[#This Row],[National Team]],Football_Associations[Football Association],Football_Associations[World Cup Result])</f>
        <v>Last 16</v>
      </c>
      <c r="N69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93" spans="1:14" ht="15" customHeight="1" x14ac:dyDescent="0.25">
      <c r="A693" s="33">
        <f t="shared" si="10"/>
        <v>1692</v>
      </c>
      <c r="B693" s="23" t="s">
        <v>28</v>
      </c>
      <c r="C693" s="23" t="str">
        <f>VLOOKUP(Squads[[#This Row],[National Team]],Qualified[],3,TRUE)</f>
        <v>Spain (ESP)</v>
      </c>
      <c r="D693" s="25">
        <v>18</v>
      </c>
      <c r="E693" s="23" t="s">
        <v>135</v>
      </c>
      <c r="F693" s="23" t="s">
        <v>631</v>
      </c>
      <c r="G693" s="26">
        <v>32588</v>
      </c>
      <c r="H693" s="65">
        <f>DATEDIF(Squads[[#This Row],[Date Of Birth]],World_Cup_Start_Date,"Y")</f>
        <v>33</v>
      </c>
      <c r="I693" s="27">
        <v>87</v>
      </c>
      <c r="J693" s="27">
        <v>9</v>
      </c>
      <c r="K693" s="78" t="s">
        <v>1653</v>
      </c>
      <c r="L693" s="27" t="str">
        <f>_xlfn.XLOOKUP(Squads[[#This Row],[Current Club]],Clubs[Current Club],Clubs[Club_ID])</f>
        <v>ESP-01</v>
      </c>
      <c r="M693" s="27" t="str">
        <f>_xlfn.XLOOKUP(Squads[[#This Row],[National Team]],Football_Associations[Football Association],Football_Associations[World Cup Result])</f>
        <v>Last 16</v>
      </c>
      <c r="N69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94" spans="1:14" ht="15" customHeight="1" x14ac:dyDescent="0.25">
      <c r="A694" s="33">
        <f t="shared" si="10"/>
        <v>1693</v>
      </c>
      <c r="B694" s="23" t="s">
        <v>28</v>
      </c>
      <c r="C694" s="23" t="str">
        <f>VLOOKUP(Squads[[#This Row],[National Team]],Qualified[],3,TRUE)</f>
        <v>Spain (ESP)</v>
      </c>
      <c r="D694" s="25">
        <v>19</v>
      </c>
      <c r="E694" s="23" t="s">
        <v>139</v>
      </c>
      <c r="F694" s="23" t="s">
        <v>632</v>
      </c>
      <c r="G694" s="26">
        <v>35432</v>
      </c>
      <c r="H694" s="65">
        <f>DATEDIF(Squads[[#This Row],[Date Of Birth]],World_Cup_Start_Date,"Y")</f>
        <v>25</v>
      </c>
      <c r="I694" s="27">
        <v>12</v>
      </c>
      <c r="J694" s="27">
        <v>3</v>
      </c>
      <c r="K694" s="78" t="s">
        <v>1665</v>
      </c>
      <c r="L694" s="27" t="str">
        <f>_xlfn.XLOOKUP(Squads[[#This Row],[Current Club]],Clubs[Current Club],Clubs[Club_ID])</f>
        <v>FRA-01</v>
      </c>
      <c r="M694" s="27" t="str">
        <f>_xlfn.XLOOKUP(Squads[[#This Row],[National Team]],Football_Associations[Football Association],Football_Associations[World Cup Result])</f>
        <v>Last 16</v>
      </c>
      <c r="N69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95" spans="1:14" ht="15" customHeight="1" x14ac:dyDescent="0.25">
      <c r="A695" s="33">
        <f t="shared" si="10"/>
        <v>1694</v>
      </c>
      <c r="B695" s="23" t="s">
        <v>28</v>
      </c>
      <c r="C695" s="23" t="str">
        <f>VLOOKUP(Squads[[#This Row],[National Team]],Qualified[],3,TRUE)</f>
        <v>Spain (ESP)</v>
      </c>
      <c r="D695" s="25">
        <v>20</v>
      </c>
      <c r="E695" s="23" t="s">
        <v>135</v>
      </c>
      <c r="F695" s="23" t="s">
        <v>633</v>
      </c>
      <c r="G695" s="26">
        <v>33614</v>
      </c>
      <c r="H695" s="65">
        <f>DATEDIF(Squads[[#This Row],[Date Of Birth]],World_Cup_Start_Date,"Y")</f>
        <v>30</v>
      </c>
      <c r="I695" s="27">
        <v>31</v>
      </c>
      <c r="J695" s="27">
        <v>0</v>
      </c>
      <c r="K695" s="78" t="s">
        <v>1658</v>
      </c>
      <c r="L695" s="27" t="str">
        <f>_xlfn.XLOOKUP(Squads[[#This Row],[Current Club]],Clubs[Current Club],Clubs[Club_ID])</f>
        <v>ESP-02</v>
      </c>
      <c r="M695" s="27" t="str">
        <f>_xlfn.XLOOKUP(Squads[[#This Row],[National Team]],Football_Associations[Football Association],Football_Associations[World Cup Result])</f>
        <v>Last 16</v>
      </c>
      <c r="N69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96" spans="1:14" ht="15" customHeight="1" x14ac:dyDescent="0.25">
      <c r="A696" s="33">
        <f t="shared" si="10"/>
        <v>1695</v>
      </c>
      <c r="B696" s="23" t="s">
        <v>28</v>
      </c>
      <c r="C696" s="23" t="str">
        <f>VLOOKUP(Squads[[#This Row],[National Team]],Qualified[],3,TRUE)</f>
        <v>Spain (ESP)</v>
      </c>
      <c r="D696" s="25">
        <v>21</v>
      </c>
      <c r="E696" s="23" t="s">
        <v>146</v>
      </c>
      <c r="F696" s="23" t="s">
        <v>634</v>
      </c>
      <c r="G696" s="26">
        <v>35922</v>
      </c>
      <c r="H696" s="65">
        <f>DATEDIF(Squads[[#This Row],[Date Of Birth]],World_Cup_Start_Date,"Y")</f>
        <v>24</v>
      </c>
      <c r="I696" s="27">
        <v>25</v>
      </c>
      <c r="J696" s="27">
        <v>4</v>
      </c>
      <c r="K696" s="78" t="s">
        <v>1678</v>
      </c>
      <c r="L696" s="27" t="str">
        <f>_xlfn.XLOOKUP(Squads[[#This Row],[Current Club]],Clubs[Current Club],Clubs[Club_ID])</f>
        <v>GER-04</v>
      </c>
      <c r="M696" s="27" t="str">
        <f>_xlfn.XLOOKUP(Squads[[#This Row],[National Team]],Football_Associations[Football Association],Football_Associations[World Cup Result])</f>
        <v>Last 16</v>
      </c>
      <c r="N69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97" spans="1:14" ht="15" customHeight="1" x14ac:dyDescent="0.25">
      <c r="A697" s="33">
        <f t="shared" si="10"/>
        <v>1696</v>
      </c>
      <c r="B697" s="23" t="s">
        <v>28</v>
      </c>
      <c r="C697" s="23" t="str">
        <f>VLOOKUP(Squads[[#This Row],[National Team]],Qualified[],3,TRUE)</f>
        <v>Spain (ESP)</v>
      </c>
      <c r="D697" s="25">
        <v>22</v>
      </c>
      <c r="E697" s="23" t="s">
        <v>146</v>
      </c>
      <c r="F697" s="23" t="s">
        <v>635</v>
      </c>
      <c r="G697" s="26">
        <v>33735</v>
      </c>
      <c r="H697" s="65">
        <f>DATEDIF(Squads[[#This Row],[Date Of Birth]],World_Cup_Start_Date,"Y")</f>
        <v>30</v>
      </c>
      <c r="I697" s="27">
        <v>25</v>
      </c>
      <c r="J697" s="27">
        <v>9</v>
      </c>
      <c r="K697" s="78" t="s">
        <v>1665</v>
      </c>
      <c r="L697" s="27" t="str">
        <f>_xlfn.XLOOKUP(Squads[[#This Row],[Current Club]],Clubs[Current Club],Clubs[Club_ID])</f>
        <v>FRA-01</v>
      </c>
      <c r="M697" s="27" t="str">
        <f>_xlfn.XLOOKUP(Squads[[#This Row],[National Team]],Football_Associations[Football Association],Football_Associations[World Cup Result])</f>
        <v>Last 16</v>
      </c>
      <c r="N69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98" spans="1:14" ht="15" customHeight="1" x14ac:dyDescent="0.25">
      <c r="A698" s="33">
        <f t="shared" si="10"/>
        <v>1697</v>
      </c>
      <c r="B698" s="23" t="s">
        <v>28</v>
      </c>
      <c r="C698" s="23" t="str">
        <f>VLOOKUP(Squads[[#This Row],[National Team]],Qualified[],3,TRUE)</f>
        <v>Spain (ESP)</v>
      </c>
      <c r="D698" s="25">
        <v>23</v>
      </c>
      <c r="E698" s="23" t="s">
        <v>133</v>
      </c>
      <c r="F698" s="23" t="s">
        <v>636</v>
      </c>
      <c r="G698" s="26">
        <v>35592</v>
      </c>
      <c r="H698" s="65">
        <f>DATEDIF(Squads[[#This Row],[Date Of Birth]],World_Cup_Start_Date,"Y")</f>
        <v>25</v>
      </c>
      <c r="I698" s="27">
        <v>27</v>
      </c>
      <c r="J698" s="27">
        <v>0</v>
      </c>
      <c r="K698" s="78" t="s">
        <v>1726</v>
      </c>
      <c r="L698" s="27" t="str">
        <f>_xlfn.XLOOKUP(Squads[[#This Row],[Current Club]],Clubs[Current Club],Clubs[Club_ID])</f>
        <v>ESP-08</v>
      </c>
      <c r="M698" s="27" t="str">
        <f>_xlfn.XLOOKUP(Squads[[#This Row],[National Team]],Football_Associations[Football Association],Football_Associations[World Cup Result])</f>
        <v>Last 16</v>
      </c>
      <c r="N69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699" spans="1:14" ht="15" customHeight="1" x14ac:dyDescent="0.25">
      <c r="A699" s="33">
        <f t="shared" si="10"/>
        <v>1698</v>
      </c>
      <c r="B699" s="23" t="s">
        <v>28</v>
      </c>
      <c r="C699" s="23" t="str">
        <f>VLOOKUP(Squads[[#This Row],[National Team]],Qualified[],3,TRUE)</f>
        <v>Spain (ESP)</v>
      </c>
      <c r="D699" s="25">
        <v>24</v>
      </c>
      <c r="E699" s="23" t="s">
        <v>135</v>
      </c>
      <c r="F699" s="23" t="s">
        <v>637</v>
      </c>
      <c r="G699" s="26">
        <v>34481</v>
      </c>
      <c r="H699" s="65">
        <f>DATEDIF(Squads[[#This Row],[Date Of Birth]],World_Cup_Start_Date,"Y")</f>
        <v>28</v>
      </c>
      <c r="I699" s="27">
        <v>16</v>
      </c>
      <c r="J699" s="27">
        <v>1</v>
      </c>
      <c r="K699" s="78" t="s">
        <v>1655</v>
      </c>
      <c r="L699" s="27" t="str">
        <f>_xlfn.XLOOKUP(Squads[[#This Row],[Current Club]],Clubs[Current Club],Clubs[Club_ID])</f>
        <v>ENG-01</v>
      </c>
      <c r="M699" s="27" t="str">
        <f>_xlfn.XLOOKUP(Squads[[#This Row],[National Team]],Football_Associations[Football Association],Football_Associations[World Cup Result])</f>
        <v>Last 16</v>
      </c>
      <c r="N69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00" spans="1:14" ht="15" customHeight="1" x14ac:dyDescent="0.25">
      <c r="A700" s="33">
        <f t="shared" si="10"/>
        <v>1699</v>
      </c>
      <c r="B700" s="23" t="s">
        <v>28</v>
      </c>
      <c r="C700" s="23" t="str">
        <f>VLOOKUP(Squads[[#This Row],[National Team]],Qualified[],3,TRUE)</f>
        <v>Spain (ESP)</v>
      </c>
      <c r="D700" s="25">
        <v>25</v>
      </c>
      <c r="E700" s="23" t="s">
        <v>146</v>
      </c>
      <c r="F700" s="23" t="s">
        <v>638</v>
      </c>
      <c r="G700" s="26">
        <v>37560</v>
      </c>
      <c r="H700" s="65">
        <f>DATEDIF(Squads[[#This Row],[Date Of Birth]],World_Cup_Start_Date,"Y")</f>
        <v>20</v>
      </c>
      <c r="I700" s="27">
        <v>5</v>
      </c>
      <c r="J700" s="27">
        <v>2</v>
      </c>
      <c r="K700" s="78" t="s">
        <v>1653</v>
      </c>
      <c r="L700" s="27" t="str">
        <f>_xlfn.XLOOKUP(Squads[[#This Row],[Current Club]],Clubs[Current Club],Clubs[Club_ID])</f>
        <v>ESP-01</v>
      </c>
      <c r="M700" s="27" t="str">
        <f>_xlfn.XLOOKUP(Squads[[#This Row],[National Team]],Football_Associations[Football Association],Football_Associations[World Cup Result])</f>
        <v>Last 16</v>
      </c>
      <c r="N70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01" spans="1:14" ht="15" customHeight="1" x14ac:dyDescent="0.25">
      <c r="A701" s="33">
        <f t="shared" si="10"/>
        <v>1700</v>
      </c>
      <c r="B701" s="23" t="s">
        <v>28</v>
      </c>
      <c r="C701" s="23" t="str">
        <f>VLOOKUP(Squads[[#This Row],[National Team]],Qualified[],3,TRUE)</f>
        <v>Spain (ESP)</v>
      </c>
      <c r="D701" s="25">
        <v>26</v>
      </c>
      <c r="E701" s="23" t="s">
        <v>139</v>
      </c>
      <c r="F701" s="23" t="s">
        <v>639</v>
      </c>
      <c r="G701" s="26">
        <v>37585</v>
      </c>
      <c r="H701" s="65">
        <f>DATEDIF(Squads[[#This Row],[Date Of Birth]],World_Cup_Start_Date,"Y")</f>
        <v>19</v>
      </c>
      <c r="I701" s="27">
        <v>14</v>
      </c>
      <c r="J701" s="27">
        <v>0</v>
      </c>
      <c r="K701" s="78" t="s">
        <v>1653</v>
      </c>
      <c r="L701" s="27" t="str">
        <f>_xlfn.XLOOKUP(Squads[[#This Row],[Current Club]],Clubs[Current Club],Clubs[Club_ID])</f>
        <v>ESP-01</v>
      </c>
      <c r="M701" s="27" t="str">
        <f>_xlfn.XLOOKUP(Squads[[#This Row],[National Team]],Football_Associations[Football Association],Football_Associations[World Cup Result])</f>
        <v>Last 16</v>
      </c>
      <c r="N70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02" spans="1:14" ht="15" customHeight="1" x14ac:dyDescent="0.25">
      <c r="A702" s="33">
        <f t="shared" si="10"/>
        <v>1701</v>
      </c>
      <c r="B702" s="23" t="s">
        <v>33</v>
      </c>
      <c r="C702" s="23" t="str">
        <f>VLOOKUP(Squads[[#This Row],[National Team]],Qualified[],3,TRUE)</f>
        <v>Switzerland (SUI)</v>
      </c>
      <c r="D702" s="25">
        <v>1</v>
      </c>
      <c r="E702" s="23" t="s">
        <v>133</v>
      </c>
      <c r="F702" s="23" t="s">
        <v>816</v>
      </c>
      <c r="G702" s="26">
        <v>32494</v>
      </c>
      <c r="H702" s="65">
        <f>DATEDIF(Squads[[#This Row],[Date Of Birth]],World_Cup_Start_Date,"Y")</f>
        <v>33</v>
      </c>
      <c r="I702" s="27">
        <v>77</v>
      </c>
      <c r="J702" s="27">
        <v>0</v>
      </c>
      <c r="K702" s="78" t="s">
        <v>1680</v>
      </c>
      <c r="L702" s="27" t="str">
        <f>_xlfn.XLOOKUP(Squads[[#This Row],[Current Club]],Clubs[Current Club],Clubs[Club_ID])</f>
        <v>GER-05</v>
      </c>
      <c r="M702" s="27" t="str">
        <f>_xlfn.XLOOKUP(Squads[[#This Row],[National Team]],Football_Associations[Football Association],Football_Associations[World Cup Result])</f>
        <v>Last 16</v>
      </c>
      <c r="N70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03" spans="1:14" ht="15" customHeight="1" x14ac:dyDescent="0.25">
      <c r="A703" s="33">
        <f t="shared" si="10"/>
        <v>1702</v>
      </c>
      <c r="B703" s="23" t="s">
        <v>33</v>
      </c>
      <c r="C703" s="23" t="str">
        <f>VLOOKUP(Squads[[#This Row],[National Team]],Qualified[],3,TRUE)</f>
        <v>Switzerland (SUI)</v>
      </c>
      <c r="D703" s="25">
        <v>2</v>
      </c>
      <c r="E703" s="23" t="s">
        <v>135</v>
      </c>
      <c r="F703" s="23" t="s">
        <v>817</v>
      </c>
      <c r="G703" s="26">
        <v>35170</v>
      </c>
      <c r="H703" s="65">
        <f>DATEDIF(Squads[[#This Row],[Date Of Birth]],World_Cup_Start_Date,"Y")</f>
        <v>26</v>
      </c>
      <c r="I703" s="27">
        <v>22</v>
      </c>
      <c r="J703" s="27">
        <v>2</v>
      </c>
      <c r="K703" s="78" t="s">
        <v>1739</v>
      </c>
      <c r="L703" s="27" t="str">
        <f>_xlfn.XLOOKUP(Squads[[#This Row],[Current Club]],Clubs[Current Club],Clubs[Club_ID])</f>
        <v>GER-09</v>
      </c>
      <c r="M703" s="27" t="str">
        <f>_xlfn.XLOOKUP(Squads[[#This Row],[National Team]],Football_Associations[Football Association],Football_Associations[World Cup Result])</f>
        <v>Last 16</v>
      </c>
      <c r="N70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04" spans="1:14" ht="15" customHeight="1" x14ac:dyDescent="0.25">
      <c r="A704" s="33">
        <f t="shared" si="10"/>
        <v>1703</v>
      </c>
      <c r="B704" s="23" t="s">
        <v>33</v>
      </c>
      <c r="C704" s="23" t="str">
        <f>VLOOKUP(Squads[[#This Row],[National Team]],Qualified[],3,TRUE)</f>
        <v>Switzerland (SUI)</v>
      </c>
      <c r="D704" s="25">
        <v>3</v>
      </c>
      <c r="E704" s="23" t="s">
        <v>135</v>
      </c>
      <c r="F704" s="23" t="s">
        <v>818</v>
      </c>
      <c r="G704" s="26">
        <v>34033</v>
      </c>
      <c r="H704" s="65">
        <f>DATEDIF(Squads[[#This Row],[Date Of Birth]],World_Cup_Start_Date,"Y")</f>
        <v>29</v>
      </c>
      <c r="I704" s="27">
        <v>34</v>
      </c>
      <c r="J704" s="27">
        <v>2</v>
      </c>
      <c r="K704" s="78" t="s">
        <v>1739</v>
      </c>
      <c r="L704" s="27" t="str">
        <f>_xlfn.XLOOKUP(Squads[[#This Row],[Current Club]],Clubs[Current Club],Clubs[Club_ID])</f>
        <v>GER-09</v>
      </c>
      <c r="M704" s="27" t="str">
        <f>_xlfn.XLOOKUP(Squads[[#This Row],[National Team]],Football_Associations[Football Association],Football_Associations[World Cup Result])</f>
        <v>Last 16</v>
      </c>
      <c r="N70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05" spans="1:14" ht="15" customHeight="1" x14ac:dyDescent="0.25">
      <c r="A705" s="33">
        <f t="shared" si="10"/>
        <v>1704</v>
      </c>
      <c r="B705" s="23" t="s">
        <v>33</v>
      </c>
      <c r="C705" s="23" t="str">
        <f>VLOOKUP(Squads[[#This Row],[National Team]],Qualified[],3,TRUE)</f>
        <v>Switzerland (SUI)</v>
      </c>
      <c r="D705" s="25">
        <v>4</v>
      </c>
      <c r="E705" s="23" t="s">
        <v>135</v>
      </c>
      <c r="F705" s="23" t="s">
        <v>819</v>
      </c>
      <c r="G705" s="26">
        <v>35338</v>
      </c>
      <c r="H705" s="65">
        <f>DATEDIF(Squads[[#This Row],[Date Of Birth]],World_Cup_Start_Date,"Y")</f>
        <v>26</v>
      </c>
      <c r="I705" s="27">
        <v>41</v>
      </c>
      <c r="J705" s="27">
        <v>1</v>
      </c>
      <c r="K705" s="78" t="s">
        <v>1680</v>
      </c>
      <c r="L705" s="27" t="str">
        <f>_xlfn.XLOOKUP(Squads[[#This Row],[Current Club]],Clubs[Current Club],Clubs[Club_ID])</f>
        <v>GER-05</v>
      </c>
      <c r="M705" s="27" t="str">
        <f>_xlfn.XLOOKUP(Squads[[#This Row],[National Team]],Football_Associations[Football Association],Football_Associations[World Cup Result])</f>
        <v>Last 16</v>
      </c>
      <c r="N70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06" spans="1:14" ht="15" customHeight="1" x14ac:dyDescent="0.25">
      <c r="A706" s="33">
        <f t="shared" si="10"/>
        <v>1705</v>
      </c>
      <c r="B706" s="23" t="s">
        <v>33</v>
      </c>
      <c r="C706" s="23" t="str">
        <f>VLOOKUP(Squads[[#This Row],[National Team]],Qualified[],3,TRUE)</f>
        <v>Switzerland (SUI)</v>
      </c>
      <c r="D706" s="25">
        <v>5</v>
      </c>
      <c r="E706" s="23" t="s">
        <v>135</v>
      </c>
      <c r="F706" s="23" t="s">
        <v>820</v>
      </c>
      <c r="G706" s="26">
        <v>34899</v>
      </c>
      <c r="H706" s="65">
        <f>DATEDIF(Squads[[#This Row],[Date Of Birth]],World_Cup_Start_Date,"Y")</f>
        <v>27</v>
      </c>
      <c r="I706" s="27">
        <v>43</v>
      </c>
      <c r="J706" s="27">
        <v>1</v>
      </c>
      <c r="K706" s="78" t="s">
        <v>1655</v>
      </c>
      <c r="L706" s="27" t="str">
        <f>_xlfn.XLOOKUP(Squads[[#This Row],[Current Club]],Clubs[Current Club],Clubs[Club_ID])</f>
        <v>ENG-01</v>
      </c>
      <c r="M706" s="27" t="str">
        <f>_xlfn.XLOOKUP(Squads[[#This Row],[National Team]],Football_Associations[Football Association],Football_Associations[World Cup Result])</f>
        <v>Last 16</v>
      </c>
      <c r="N70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07" spans="1:14" ht="15" customHeight="1" x14ac:dyDescent="0.25">
      <c r="A707" s="33">
        <f t="shared" ref="A707:A770" si="11">A706+1</f>
        <v>1706</v>
      </c>
      <c r="B707" s="23" t="s">
        <v>33</v>
      </c>
      <c r="C707" s="23" t="str">
        <f>VLOOKUP(Squads[[#This Row],[National Team]],Qualified[],3,TRUE)</f>
        <v>Switzerland (SUI)</v>
      </c>
      <c r="D707" s="25">
        <v>6</v>
      </c>
      <c r="E707" s="23" t="s">
        <v>139</v>
      </c>
      <c r="F707" s="23" t="s">
        <v>821</v>
      </c>
      <c r="G707" s="26">
        <v>35389</v>
      </c>
      <c r="H707" s="65">
        <f>DATEDIF(Squads[[#This Row],[Date Of Birth]],World_Cup_Start_Date,"Y")</f>
        <v>26</v>
      </c>
      <c r="I707" s="27">
        <v>43</v>
      </c>
      <c r="J707" s="27">
        <v>3</v>
      </c>
      <c r="K707" s="78" t="s">
        <v>1661</v>
      </c>
      <c r="L707" s="27" t="str">
        <f>_xlfn.XLOOKUP(Squads[[#This Row],[Current Club]],Clubs[Current Club],Clubs[Club_ID])</f>
        <v>ENG-03</v>
      </c>
      <c r="M707" s="27" t="str">
        <f>_xlfn.XLOOKUP(Squads[[#This Row],[National Team]],Football_Associations[Football Association],Football_Associations[World Cup Result])</f>
        <v>Last 16</v>
      </c>
      <c r="N70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08" spans="1:14" ht="15" customHeight="1" x14ac:dyDescent="0.25">
      <c r="A708" s="33">
        <f t="shared" si="11"/>
        <v>1707</v>
      </c>
      <c r="B708" s="23" t="s">
        <v>33</v>
      </c>
      <c r="C708" s="23" t="str">
        <f>VLOOKUP(Squads[[#This Row],[National Team]],Qualified[],3,TRUE)</f>
        <v>Switzerland (SUI)</v>
      </c>
      <c r="D708" s="25">
        <v>7</v>
      </c>
      <c r="E708" s="23" t="s">
        <v>146</v>
      </c>
      <c r="F708" s="23" t="s">
        <v>822</v>
      </c>
      <c r="G708" s="26">
        <v>35475</v>
      </c>
      <c r="H708" s="65">
        <f>DATEDIF(Squads[[#This Row],[Date Of Birth]],World_Cup_Start_Date,"Y")</f>
        <v>25</v>
      </c>
      <c r="I708" s="27">
        <v>59</v>
      </c>
      <c r="J708" s="27">
        <v>11</v>
      </c>
      <c r="K708" s="78" t="s">
        <v>1687</v>
      </c>
      <c r="L708" s="27" t="str">
        <f>_xlfn.XLOOKUP(Squads[[#This Row],[Current Club]],Clubs[Current Club],Clubs[Club_ID])</f>
        <v>FRA-03</v>
      </c>
      <c r="M708" s="27" t="str">
        <f>_xlfn.XLOOKUP(Squads[[#This Row],[National Team]],Football_Associations[Football Association],Football_Associations[World Cup Result])</f>
        <v>Last 16</v>
      </c>
      <c r="N70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09" spans="1:14" ht="15" customHeight="1" x14ac:dyDescent="0.25">
      <c r="A709" s="33">
        <f t="shared" si="11"/>
        <v>1708</v>
      </c>
      <c r="B709" s="23" t="s">
        <v>33</v>
      </c>
      <c r="C709" s="23" t="str">
        <f>VLOOKUP(Squads[[#This Row],[National Team]],Qualified[],3,TRUE)</f>
        <v>Switzerland (SUI)</v>
      </c>
      <c r="D709" s="25">
        <v>8</v>
      </c>
      <c r="E709" s="23" t="s">
        <v>139</v>
      </c>
      <c r="F709" s="23" t="s">
        <v>823</v>
      </c>
      <c r="G709" s="26">
        <v>33709</v>
      </c>
      <c r="H709" s="65">
        <f>DATEDIF(Squads[[#This Row],[Date Of Birth]],World_Cup_Start_Date,"Y")</f>
        <v>30</v>
      </c>
      <c r="I709" s="27">
        <v>49</v>
      </c>
      <c r="J709" s="27">
        <v>5</v>
      </c>
      <c r="K709" s="78" t="s">
        <v>1698</v>
      </c>
      <c r="L709" s="27" t="str">
        <f>_xlfn.XLOOKUP(Squads[[#This Row],[Current Club]],Clubs[Current Club],Clubs[Club_ID])</f>
        <v>ENG-12</v>
      </c>
      <c r="M709" s="27" t="str">
        <f>_xlfn.XLOOKUP(Squads[[#This Row],[National Team]],Football_Associations[Football Association],Football_Associations[World Cup Result])</f>
        <v>Last 16</v>
      </c>
      <c r="N70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10" spans="1:14" ht="15" customHeight="1" x14ac:dyDescent="0.25">
      <c r="A710" s="33">
        <f t="shared" si="11"/>
        <v>1709</v>
      </c>
      <c r="B710" s="23" t="s">
        <v>33</v>
      </c>
      <c r="C710" s="23" t="str">
        <f>VLOOKUP(Squads[[#This Row],[National Team]],Qualified[],3,TRUE)</f>
        <v>Switzerland (SUI)</v>
      </c>
      <c r="D710" s="25">
        <v>9</v>
      </c>
      <c r="E710" s="23" t="s">
        <v>146</v>
      </c>
      <c r="F710" s="23" t="s">
        <v>824</v>
      </c>
      <c r="G710" s="26">
        <v>33656</v>
      </c>
      <c r="H710" s="65">
        <f>DATEDIF(Squads[[#This Row],[Date Of Birth]],World_Cup_Start_Date,"Y")</f>
        <v>30</v>
      </c>
      <c r="I710" s="27">
        <v>89</v>
      </c>
      <c r="J710" s="27">
        <v>25</v>
      </c>
      <c r="K710" s="78" t="s">
        <v>1692</v>
      </c>
      <c r="L710" s="27" t="str">
        <f>_xlfn.XLOOKUP(Squads[[#This Row],[Current Club]],Clubs[Current Club],Clubs[Club_ID])</f>
        <v>TUR-01</v>
      </c>
      <c r="M710" s="27" t="str">
        <f>_xlfn.XLOOKUP(Squads[[#This Row],[National Team]],Football_Associations[Football Association],Football_Associations[World Cup Result])</f>
        <v>Last 16</v>
      </c>
      <c r="N71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11" spans="1:14" ht="15" customHeight="1" x14ac:dyDescent="0.25">
      <c r="A711" s="33">
        <f t="shared" si="11"/>
        <v>1710</v>
      </c>
      <c r="B711" s="23" t="s">
        <v>33</v>
      </c>
      <c r="C711" s="23" t="str">
        <f>VLOOKUP(Squads[[#This Row],[National Team]],Qualified[],3,TRUE)</f>
        <v>Switzerland (SUI)</v>
      </c>
      <c r="D711" s="25">
        <v>10</v>
      </c>
      <c r="E711" s="23" t="s">
        <v>139</v>
      </c>
      <c r="F711" s="27" t="s">
        <v>1002</v>
      </c>
      <c r="G711" s="26">
        <v>33874</v>
      </c>
      <c r="H711" s="65">
        <f>DATEDIF(Squads[[#This Row],[Date Of Birth]],World_Cup_Start_Date,"Y")</f>
        <v>30</v>
      </c>
      <c r="I711" s="27">
        <v>107</v>
      </c>
      <c r="J711" s="27">
        <v>12</v>
      </c>
      <c r="K711" s="78" t="s">
        <v>1667</v>
      </c>
      <c r="L711" s="27" t="str">
        <f>_xlfn.XLOOKUP(Squads[[#This Row],[Current Club]],Clubs[Current Club],Clubs[Club_ID])</f>
        <v>ENG-05</v>
      </c>
      <c r="M711" s="27" t="str">
        <f>_xlfn.XLOOKUP(Squads[[#This Row],[National Team]],Football_Associations[Football Association],Football_Associations[World Cup Result])</f>
        <v>Last 16</v>
      </c>
      <c r="N71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12" spans="1:14" ht="15" customHeight="1" x14ac:dyDescent="0.25">
      <c r="A712" s="33">
        <f t="shared" si="11"/>
        <v>1711</v>
      </c>
      <c r="B712" s="23" t="s">
        <v>33</v>
      </c>
      <c r="C712" s="23" t="str">
        <f>VLOOKUP(Squads[[#This Row],[National Team]],Qualified[],3,TRUE)</f>
        <v>Switzerland (SUI)</v>
      </c>
      <c r="D712" s="25">
        <v>11</v>
      </c>
      <c r="E712" s="23" t="s">
        <v>135</v>
      </c>
      <c r="F712" s="23" t="s">
        <v>825</v>
      </c>
      <c r="G712" s="26">
        <v>33545</v>
      </c>
      <c r="H712" s="65">
        <f>DATEDIF(Squads[[#This Row],[Date Of Birth]],World_Cup_Start_Date,"Y")</f>
        <v>31</v>
      </c>
      <c r="I712" s="27">
        <v>28</v>
      </c>
      <c r="J712" s="27">
        <v>1</v>
      </c>
      <c r="K712" s="78" t="s">
        <v>1886</v>
      </c>
      <c r="L712" s="27" t="str">
        <f>_xlfn.XLOOKUP(Squads[[#This Row],[Current Club]],Clubs[Current Club],Clubs[Club_ID])</f>
        <v>SWI-04</v>
      </c>
      <c r="M712" s="27" t="str">
        <f>_xlfn.XLOOKUP(Squads[[#This Row],[National Team]],Football_Associations[Football Association],Football_Associations[World Cup Result])</f>
        <v>Last 16</v>
      </c>
      <c r="N71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13" spans="1:14" ht="15" customHeight="1" x14ac:dyDescent="0.25">
      <c r="A713" s="33">
        <f t="shared" si="11"/>
        <v>1712</v>
      </c>
      <c r="B713" s="23" t="s">
        <v>33</v>
      </c>
      <c r="C713" s="23" t="str">
        <f>VLOOKUP(Squads[[#This Row],[National Team]],Qualified[],3,TRUE)</f>
        <v>Switzerland (SUI)</v>
      </c>
      <c r="D713" s="25">
        <v>12</v>
      </c>
      <c r="E713" s="23" t="s">
        <v>133</v>
      </c>
      <c r="F713" s="23" t="s">
        <v>826</v>
      </c>
      <c r="G713" s="26">
        <v>34344</v>
      </c>
      <c r="H713" s="65">
        <f>DATEDIF(Squads[[#This Row],[Date Of Birth]],World_Cup_Start_Date,"Y")</f>
        <v>28</v>
      </c>
      <c r="I713" s="27">
        <v>4</v>
      </c>
      <c r="J713" s="27">
        <v>0</v>
      </c>
      <c r="K713" s="78" t="s">
        <v>1792</v>
      </c>
      <c r="L713" s="27" t="str">
        <f>_xlfn.XLOOKUP(Squads[[#This Row],[Current Club]],Clubs[Current Club],Clubs[Club_ID])</f>
        <v>FRA-10</v>
      </c>
      <c r="M713" s="27" t="str">
        <f>_xlfn.XLOOKUP(Squads[[#This Row],[National Team]],Football_Associations[Football Association],Football_Associations[World Cup Result])</f>
        <v>Last 16</v>
      </c>
      <c r="N71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14" spans="1:14" ht="15" customHeight="1" x14ac:dyDescent="0.25">
      <c r="A714" s="33">
        <f t="shared" si="11"/>
        <v>1713</v>
      </c>
      <c r="B714" s="23" t="s">
        <v>33</v>
      </c>
      <c r="C714" s="23" t="str">
        <f>VLOOKUP(Squads[[#This Row],[National Team]],Qualified[],3,TRUE)</f>
        <v>Switzerland (SUI)</v>
      </c>
      <c r="D714" s="25">
        <v>13</v>
      </c>
      <c r="E714" s="23" t="s">
        <v>135</v>
      </c>
      <c r="F714" s="23" t="s">
        <v>827</v>
      </c>
      <c r="G714" s="26">
        <v>33841</v>
      </c>
      <c r="H714" s="65">
        <f>DATEDIF(Squads[[#This Row],[Date Of Birth]],World_Cup_Start_Date,"Y")</f>
        <v>30</v>
      </c>
      <c r="I714" s="27">
        <v>100</v>
      </c>
      <c r="J714" s="27">
        <v>9</v>
      </c>
      <c r="K714" s="78" t="s">
        <v>1701</v>
      </c>
      <c r="L714" s="27" t="str">
        <f>_xlfn.XLOOKUP(Squads[[#This Row],[Current Club]],Clubs[Current Club],Clubs[Club_ID])</f>
        <v>ITA-05</v>
      </c>
      <c r="M714" s="27" t="str">
        <f>_xlfn.XLOOKUP(Squads[[#This Row],[National Team]],Football_Associations[Football Association],Football_Associations[World Cup Result])</f>
        <v>Last 16</v>
      </c>
      <c r="N71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15" spans="1:14" ht="15" customHeight="1" x14ac:dyDescent="0.25">
      <c r="A715" s="33">
        <f t="shared" si="11"/>
        <v>1714</v>
      </c>
      <c r="B715" s="23" t="s">
        <v>33</v>
      </c>
      <c r="C715" s="23" t="str">
        <f>VLOOKUP(Squads[[#This Row],[National Team]],Qualified[],3,TRUE)</f>
        <v>Switzerland (SUI)</v>
      </c>
      <c r="D715" s="25">
        <v>14</v>
      </c>
      <c r="E715" s="23" t="s">
        <v>139</v>
      </c>
      <c r="F715" s="23" t="s">
        <v>828</v>
      </c>
      <c r="G715" s="26">
        <v>35436</v>
      </c>
      <c r="H715" s="65">
        <f>DATEDIF(Squads[[#This Row],[Date Of Birth]],World_Cup_Start_Date,"Y")</f>
        <v>25</v>
      </c>
      <c r="I715" s="27">
        <v>12</v>
      </c>
      <c r="J715" s="27">
        <v>0</v>
      </c>
      <c r="K715" s="78" t="s">
        <v>1766</v>
      </c>
      <c r="L715" s="27" t="str">
        <f>_xlfn.XLOOKUP(Squads[[#This Row],[Current Club]],Clubs[Current Club],Clubs[Club_ID])</f>
        <v>ITA-12</v>
      </c>
      <c r="M715" s="27" t="str">
        <f>_xlfn.XLOOKUP(Squads[[#This Row],[National Team]],Football_Associations[Football Association],Football_Associations[World Cup Result])</f>
        <v>Last 16</v>
      </c>
      <c r="N71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16" spans="1:14" ht="15" customHeight="1" x14ac:dyDescent="0.25">
      <c r="A716" s="33">
        <f t="shared" si="11"/>
        <v>1715</v>
      </c>
      <c r="B716" s="23" t="s">
        <v>33</v>
      </c>
      <c r="C716" s="23" t="str">
        <f>VLOOKUP(Squads[[#This Row],[National Team]],Qualified[],3,TRUE)</f>
        <v>Switzerland (SUI)</v>
      </c>
      <c r="D716" s="25">
        <v>15</v>
      </c>
      <c r="E716" s="23" t="s">
        <v>139</v>
      </c>
      <c r="F716" s="23" t="s">
        <v>829</v>
      </c>
      <c r="G716" s="26">
        <v>35467</v>
      </c>
      <c r="H716" s="65">
        <f>DATEDIF(Squads[[#This Row],[Date Of Birth]],World_Cup_Start_Date,"Y")</f>
        <v>25</v>
      </c>
      <c r="I716" s="27">
        <v>32</v>
      </c>
      <c r="J716" s="27">
        <v>0</v>
      </c>
      <c r="K716" s="78" t="s">
        <v>1674</v>
      </c>
      <c r="L716" s="27" t="str">
        <f>_xlfn.XLOOKUP(Squads[[#This Row],[Current Club]],Clubs[Current Club],Clubs[Club_ID])</f>
        <v>GER-03</v>
      </c>
      <c r="M716" s="27" t="str">
        <f>_xlfn.XLOOKUP(Squads[[#This Row],[National Team]],Football_Associations[Football Association],Football_Associations[World Cup Result])</f>
        <v>Last 16</v>
      </c>
      <c r="N71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17" spans="1:14" ht="15" customHeight="1" x14ac:dyDescent="0.25">
      <c r="A717" s="33">
        <f t="shared" si="11"/>
        <v>1716</v>
      </c>
      <c r="B717" s="23" t="s">
        <v>33</v>
      </c>
      <c r="C717" s="23" t="str">
        <f>VLOOKUP(Squads[[#This Row],[National Team]],Qualified[],3,TRUE)</f>
        <v>Switzerland (SUI)</v>
      </c>
      <c r="D717" s="25">
        <v>16</v>
      </c>
      <c r="E717" s="23" t="s">
        <v>139</v>
      </c>
      <c r="F717" s="23" t="s">
        <v>830</v>
      </c>
      <c r="G717" s="26">
        <v>34284</v>
      </c>
      <c r="H717" s="65">
        <f>DATEDIF(Squads[[#This Row],[Date Of Birth]],World_Cup_Start_Date,"Y")</f>
        <v>29</v>
      </c>
      <c r="I717" s="27">
        <v>16</v>
      </c>
      <c r="J717" s="27">
        <v>4</v>
      </c>
      <c r="K717" s="78" t="s">
        <v>1753</v>
      </c>
      <c r="L717" s="27" t="str">
        <f>_xlfn.XLOOKUP(Squads[[#This Row],[Current Club]],Clubs[Current Club],Clubs[Club_ID])</f>
        <v>SWI-01</v>
      </c>
      <c r="M717" s="27" t="str">
        <f>_xlfn.XLOOKUP(Squads[[#This Row],[National Team]],Football_Associations[Football Association],Football_Associations[World Cup Result])</f>
        <v>Last 16</v>
      </c>
      <c r="N71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18" spans="1:14" ht="15" customHeight="1" x14ac:dyDescent="0.25">
      <c r="A718" s="33">
        <f t="shared" si="11"/>
        <v>1717</v>
      </c>
      <c r="B718" s="23" t="s">
        <v>33</v>
      </c>
      <c r="C718" s="23" t="str">
        <f>VLOOKUP(Squads[[#This Row],[National Team]],Qualified[],3,TRUE)</f>
        <v>Switzerland (SUI)</v>
      </c>
      <c r="D718" s="25">
        <v>17</v>
      </c>
      <c r="E718" s="23" t="s">
        <v>146</v>
      </c>
      <c r="F718" s="23" t="s">
        <v>831</v>
      </c>
      <c r="G718" s="26">
        <v>36012</v>
      </c>
      <c r="H718" s="65">
        <f>DATEDIF(Squads[[#This Row],[Date Of Birth]],World_Cup_Start_Date,"Y")</f>
        <v>24</v>
      </c>
      <c r="I718" s="27">
        <v>27</v>
      </c>
      <c r="J718" s="27">
        <v>4</v>
      </c>
      <c r="K718" s="78" t="s">
        <v>1732</v>
      </c>
      <c r="L718" s="27" t="str">
        <f>_xlfn.XLOOKUP(Squads[[#This Row],[Current Club]],Clubs[Current Club],Clubs[Club_ID])</f>
        <v>GER-08</v>
      </c>
      <c r="M718" s="27" t="str">
        <f>_xlfn.XLOOKUP(Squads[[#This Row],[National Team]],Football_Associations[Football Association],Football_Associations[World Cup Result])</f>
        <v>Last 16</v>
      </c>
      <c r="N71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19" spans="1:14" ht="15" customHeight="1" x14ac:dyDescent="0.25">
      <c r="A719" s="33">
        <f t="shared" si="11"/>
        <v>1718</v>
      </c>
      <c r="B719" s="23" t="s">
        <v>33</v>
      </c>
      <c r="C719" s="23" t="str">
        <f>VLOOKUP(Squads[[#This Row],[National Team]],Qualified[],3,TRUE)</f>
        <v>Switzerland (SUI)</v>
      </c>
      <c r="D719" s="25">
        <v>18</v>
      </c>
      <c r="E719" s="23" t="s">
        <v>135</v>
      </c>
      <c r="F719" s="23" t="s">
        <v>832</v>
      </c>
      <c r="G719" s="26">
        <v>35830</v>
      </c>
      <c r="H719" s="65">
        <f>DATEDIF(Squads[[#This Row],[Date Of Birth]],World_Cup_Start_Date,"Y")</f>
        <v>24</v>
      </c>
      <c r="I719" s="27">
        <v>10</v>
      </c>
      <c r="J719" s="27">
        <v>0</v>
      </c>
      <c r="K719" s="78" t="s">
        <v>1721</v>
      </c>
      <c r="L719" s="27" t="str">
        <f>_xlfn.XLOOKUP(Squads[[#This Row],[Current Club]],Clubs[Current Club],Clubs[Club_ID])</f>
        <v>ESP-07</v>
      </c>
      <c r="M719" s="27" t="str">
        <f>_xlfn.XLOOKUP(Squads[[#This Row],[National Team]],Football_Associations[Football Association],Football_Associations[World Cup Result])</f>
        <v>Last 16</v>
      </c>
      <c r="N71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20" spans="1:14" ht="15" customHeight="1" x14ac:dyDescent="0.25">
      <c r="A720" s="33">
        <f t="shared" si="11"/>
        <v>1719</v>
      </c>
      <c r="B720" s="23" t="s">
        <v>33</v>
      </c>
      <c r="C720" s="23" t="str">
        <f>VLOOKUP(Squads[[#This Row],[National Team]],Qualified[],3,TRUE)</f>
        <v>Switzerland (SUI)</v>
      </c>
      <c r="D720" s="25">
        <v>19</v>
      </c>
      <c r="E720" s="23" t="s">
        <v>146</v>
      </c>
      <c r="F720" s="23" t="s">
        <v>833</v>
      </c>
      <c r="G720" s="26">
        <v>36670</v>
      </c>
      <c r="H720" s="65">
        <f>DATEDIF(Squads[[#This Row],[Date Of Birth]],World_Cup_Start_Date,"Y")</f>
        <v>22</v>
      </c>
      <c r="I720" s="27">
        <v>9</v>
      </c>
      <c r="J720" s="27">
        <v>2</v>
      </c>
      <c r="K720" s="78" t="s">
        <v>1717</v>
      </c>
      <c r="L720" s="27" t="str">
        <f>_xlfn.XLOOKUP(Squads[[#This Row],[Current Club]],Clubs[Current Club],Clubs[Club_ID])</f>
        <v>AST-01</v>
      </c>
      <c r="M720" s="27" t="str">
        <f>_xlfn.XLOOKUP(Squads[[#This Row],[National Team]],Football_Associations[Football Association],Football_Associations[World Cup Result])</f>
        <v>Last 16</v>
      </c>
      <c r="N72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21" spans="1:14" ht="15" customHeight="1" x14ac:dyDescent="0.25">
      <c r="A721" s="33">
        <f t="shared" si="11"/>
        <v>1720</v>
      </c>
      <c r="B721" s="23" t="s">
        <v>33</v>
      </c>
      <c r="C721" s="23" t="str">
        <f>VLOOKUP(Squads[[#This Row],[National Team]],Qualified[],3,TRUE)</f>
        <v>Switzerland (SUI)</v>
      </c>
      <c r="D721" s="25">
        <v>20</v>
      </c>
      <c r="E721" s="23" t="s">
        <v>139</v>
      </c>
      <c r="F721" s="23" t="s">
        <v>834</v>
      </c>
      <c r="G721" s="26">
        <v>32516</v>
      </c>
      <c r="H721" s="65">
        <f>DATEDIF(Squads[[#This Row],[Date Of Birth]],World_Cup_Start_Date,"Y")</f>
        <v>33</v>
      </c>
      <c r="I721" s="27">
        <v>22</v>
      </c>
      <c r="J721" s="27">
        <v>3</v>
      </c>
      <c r="K721" s="78" t="s">
        <v>1764</v>
      </c>
      <c r="L721" s="27" t="str">
        <f>_xlfn.XLOOKUP(Squads[[#This Row],[Current Club]],Clubs[Current Club],Clubs[Club_ID])</f>
        <v>SWI-02</v>
      </c>
      <c r="M721" s="27" t="str">
        <f>_xlfn.XLOOKUP(Squads[[#This Row],[National Team]],Football_Associations[Football Association],Football_Associations[World Cup Result])</f>
        <v>Last 16</v>
      </c>
      <c r="N72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22" spans="1:14" ht="15" customHeight="1" x14ac:dyDescent="0.25">
      <c r="A722" s="33">
        <f t="shared" si="11"/>
        <v>1721</v>
      </c>
      <c r="B722" s="23" t="s">
        <v>33</v>
      </c>
      <c r="C722" s="23" t="str">
        <f>VLOOKUP(Squads[[#This Row],[National Team]],Qualified[],3,TRUE)</f>
        <v>Switzerland (SUI)</v>
      </c>
      <c r="D722" s="25">
        <v>21</v>
      </c>
      <c r="E722" s="23" t="s">
        <v>133</v>
      </c>
      <c r="F722" s="23" t="s">
        <v>835</v>
      </c>
      <c r="G722" s="26">
        <v>35770</v>
      </c>
      <c r="H722" s="65">
        <f>DATEDIF(Squads[[#This Row],[Date Of Birth]],World_Cup_Start_Date,"Y")</f>
        <v>24</v>
      </c>
      <c r="I722" s="27">
        <v>3</v>
      </c>
      <c r="J722" s="27">
        <v>0</v>
      </c>
      <c r="K722" s="78" t="s">
        <v>1663</v>
      </c>
      <c r="L722" s="27" t="str">
        <f>_xlfn.XLOOKUP(Squads[[#This Row],[Current Club]],Clubs[Current Club],Clubs[Club_ID])</f>
        <v>GER-02</v>
      </c>
      <c r="M722" s="27" t="str">
        <f>_xlfn.XLOOKUP(Squads[[#This Row],[National Team]],Football_Associations[Football Association],Football_Associations[World Cup Result])</f>
        <v>Last 16</v>
      </c>
      <c r="N72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23" spans="1:14" ht="15" customHeight="1" x14ac:dyDescent="0.25">
      <c r="A723" s="33">
        <f t="shared" si="11"/>
        <v>1722</v>
      </c>
      <c r="B723" s="23" t="s">
        <v>33</v>
      </c>
      <c r="C723" s="23" t="str">
        <f>VLOOKUP(Squads[[#This Row],[National Team]],Qualified[],3,TRUE)</f>
        <v>Switzerland (SUI)</v>
      </c>
      <c r="D723" s="25">
        <v>22</v>
      </c>
      <c r="E723" s="23" t="s">
        <v>135</v>
      </c>
      <c r="F723" s="23" t="s">
        <v>836</v>
      </c>
      <c r="G723" s="26">
        <v>33592</v>
      </c>
      <c r="H723" s="65">
        <f>DATEDIF(Squads[[#This Row],[Date Of Birth]],World_Cup_Start_Date,"Y")</f>
        <v>30</v>
      </c>
      <c r="I723" s="27">
        <v>73</v>
      </c>
      <c r="J723" s="27">
        <v>8</v>
      </c>
      <c r="K723" s="78" t="s">
        <v>1697</v>
      </c>
      <c r="L723" s="27" t="str">
        <f>_xlfn.XLOOKUP(Squads[[#This Row],[Current Club]],Clubs[Current Club],Clubs[Club_ID])</f>
        <v>ENG-11</v>
      </c>
      <c r="M723" s="27" t="str">
        <f>_xlfn.XLOOKUP(Squads[[#This Row],[National Team]],Football_Associations[Football Association],Football_Associations[World Cup Result])</f>
        <v>Last 16</v>
      </c>
      <c r="N72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24" spans="1:14" ht="15" customHeight="1" x14ac:dyDescent="0.25">
      <c r="A724" s="33">
        <f t="shared" si="11"/>
        <v>1723</v>
      </c>
      <c r="B724" s="23" t="s">
        <v>33</v>
      </c>
      <c r="C724" s="23" t="str">
        <f>VLOOKUP(Squads[[#This Row],[National Team]],Qualified[],3,TRUE)</f>
        <v>Switzerland (SUI)</v>
      </c>
      <c r="D724" s="25">
        <v>23</v>
      </c>
      <c r="E724" s="23" t="s">
        <v>139</v>
      </c>
      <c r="F724" s="23" t="s">
        <v>837</v>
      </c>
      <c r="G724" s="26">
        <v>33521</v>
      </c>
      <c r="H724" s="65">
        <f>DATEDIF(Squads[[#This Row],[Date Of Birth]],World_Cup_Start_Date,"Y")</f>
        <v>31</v>
      </c>
      <c r="I724" s="27">
        <v>109</v>
      </c>
      <c r="J724" s="27">
        <v>26</v>
      </c>
      <c r="K724" s="78" t="s">
        <v>1842</v>
      </c>
      <c r="L724" s="27" t="str">
        <f>_xlfn.XLOOKUP(Squads[[#This Row],[Current Club]],Clubs[Current Club],Clubs[Club_ID])</f>
        <v>USA-08</v>
      </c>
      <c r="M724" s="27" t="str">
        <f>_xlfn.XLOOKUP(Squads[[#This Row],[National Team]],Football_Associations[Football Association],Football_Associations[World Cup Result])</f>
        <v>Last 16</v>
      </c>
      <c r="N72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25" spans="1:14" ht="15" customHeight="1" x14ac:dyDescent="0.25">
      <c r="A725" s="33">
        <f t="shared" si="11"/>
        <v>1724</v>
      </c>
      <c r="B725" s="23" t="s">
        <v>33</v>
      </c>
      <c r="C725" s="23" t="str">
        <f>VLOOKUP(Squads[[#This Row],[National Team]],Qualified[],3,TRUE)</f>
        <v>Switzerland (SUI)</v>
      </c>
      <c r="D725" s="25">
        <v>24</v>
      </c>
      <c r="E725" s="23" t="s">
        <v>133</v>
      </c>
      <c r="F725" s="23" t="s">
        <v>838</v>
      </c>
      <c r="G725" s="26">
        <v>35887</v>
      </c>
      <c r="H725" s="65">
        <f>DATEDIF(Squads[[#This Row],[Date Of Birth]],World_Cup_Start_Date,"Y")</f>
        <v>24</v>
      </c>
      <c r="I725" s="27">
        <v>0</v>
      </c>
      <c r="J725" s="27">
        <v>0</v>
      </c>
      <c r="K725" s="78" t="s">
        <v>1717</v>
      </c>
      <c r="L725" s="27" t="str">
        <f>_xlfn.XLOOKUP(Squads[[#This Row],[Current Club]],Clubs[Current Club],Clubs[Club_ID])</f>
        <v>AST-01</v>
      </c>
      <c r="M725" s="27" t="str">
        <f>_xlfn.XLOOKUP(Squads[[#This Row],[National Team]],Football_Associations[Football Association],Football_Associations[World Cup Result])</f>
        <v>Last 16</v>
      </c>
      <c r="N72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26" spans="1:14" ht="15" customHeight="1" x14ac:dyDescent="0.25">
      <c r="A726" s="33">
        <f t="shared" si="11"/>
        <v>1725</v>
      </c>
      <c r="B726" s="23" t="s">
        <v>33</v>
      </c>
      <c r="C726" s="23" t="str">
        <f>VLOOKUP(Squads[[#This Row],[National Team]],Qualified[],3,TRUE)</f>
        <v>Switzerland (SUI)</v>
      </c>
      <c r="D726" s="25">
        <v>25</v>
      </c>
      <c r="E726" s="23" t="s">
        <v>139</v>
      </c>
      <c r="F726" s="23" t="s">
        <v>839</v>
      </c>
      <c r="G726" s="26">
        <v>37303</v>
      </c>
      <c r="H726" s="65">
        <f>DATEDIF(Squads[[#This Row],[Date Of Birth]],World_Cup_Start_Date,"Y")</f>
        <v>20</v>
      </c>
      <c r="I726" s="27">
        <v>0</v>
      </c>
      <c r="J726" s="27">
        <v>0</v>
      </c>
      <c r="K726" s="78" t="s">
        <v>1753</v>
      </c>
      <c r="L726" s="27" t="str">
        <f>_xlfn.XLOOKUP(Squads[[#This Row],[Current Club]],Clubs[Current Club],Clubs[Club_ID])</f>
        <v>SWI-01</v>
      </c>
      <c r="M726" s="27" t="str">
        <f>_xlfn.XLOOKUP(Squads[[#This Row],[National Team]],Football_Associations[Football Association],Football_Associations[World Cup Result])</f>
        <v>Last 16</v>
      </c>
      <c r="N72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27" spans="1:14" ht="15" customHeight="1" x14ac:dyDescent="0.25">
      <c r="A727" s="33">
        <f t="shared" si="11"/>
        <v>1726</v>
      </c>
      <c r="B727" s="23" t="s">
        <v>33</v>
      </c>
      <c r="C727" s="23" t="str">
        <f>VLOOKUP(Squads[[#This Row],[National Team]],Qualified[],3,TRUE)</f>
        <v>Switzerland (SUI)</v>
      </c>
      <c r="D727" s="25">
        <v>26</v>
      </c>
      <c r="E727" s="23" t="s">
        <v>139</v>
      </c>
      <c r="F727" s="23" t="s">
        <v>840</v>
      </c>
      <c r="G727" s="26">
        <v>37467</v>
      </c>
      <c r="H727" s="65">
        <f>DATEDIF(Squads[[#This Row],[Date Of Birth]],World_Cup_Start_Date,"Y")</f>
        <v>20</v>
      </c>
      <c r="I727" s="27">
        <v>1</v>
      </c>
      <c r="J727" s="27">
        <v>0</v>
      </c>
      <c r="K727" s="78" t="s">
        <v>1788</v>
      </c>
      <c r="L727" s="27" t="str">
        <f>_xlfn.XLOOKUP(Squads[[#This Row],[Current Club]],Clubs[Current Club],Clubs[Club_ID])</f>
        <v>SWI-03</v>
      </c>
      <c r="M727" s="27" t="str">
        <f>_xlfn.XLOOKUP(Squads[[#This Row],[National Team]],Football_Associations[Football Association],Football_Associations[World Cup Result])</f>
        <v>Last 16</v>
      </c>
      <c r="N72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28" spans="1:14" ht="15" customHeight="1" x14ac:dyDescent="0.25">
      <c r="A728" s="33">
        <f t="shared" si="11"/>
        <v>1727</v>
      </c>
      <c r="B728" s="23" t="s">
        <v>17</v>
      </c>
      <c r="C728" s="23" t="str">
        <f>VLOOKUP(Squads[[#This Row],[National Team]],Qualified[],3,TRUE)</f>
        <v>Tunisia (TUN)</v>
      </c>
      <c r="D728" s="25">
        <v>1</v>
      </c>
      <c r="E728" s="23" t="s">
        <v>133</v>
      </c>
      <c r="F728" s="23" t="s">
        <v>514</v>
      </c>
      <c r="G728" s="26">
        <v>30939</v>
      </c>
      <c r="H728" s="65">
        <f>DATEDIF(Squads[[#This Row],[Date Of Birth]],World_Cup_Start_Date,"Y")</f>
        <v>38</v>
      </c>
      <c r="I728" s="27">
        <v>73</v>
      </c>
      <c r="J728" s="27">
        <v>0</v>
      </c>
      <c r="K728" s="78" t="s">
        <v>1853</v>
      </c>
      <c r="L728" s="27" t="str">
        <f>_xlfn.XLOOKUP(Squads[[#This Row],[Current Club]],Clubs[Current Club],Clubs[Club_ID])</f>
        <v>TUN-04</v>
      </c>
      <c r="M728" s="27" t="str">
        <f>_xlfn.XLOOKUP(Squads[[#This Row],[National Team]],Football_Associations[Football Association],Football_Associations[World Cup Result])</f>
        <v>Group Stage</v>
      </c>
      <c r="N72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29" spans="1:14" ht="15" customHeight="1" x14ac:dyDescent="0.25">
      <c r="A729" s="33">
        <f t="shared" si="11"/>
        <v>1728</v>
      </c>
      <c r="B729" s="23" t="s">
        <v>17</v>
      </c>
      <c r="C729" s="23" t="str">
        <f>VLOOKUP(Squads[[#This Row],[National Team]],Qualified[],3,TRUE)</f>
        <v>Tunisia (TUN)</v>
      </c>
      <c r="D729" s="25">
        <v>2</v>
      </c>
      <c r="E729" s="23" t="s">
        <v>135</v>
      </c>
      <c r="F729" s="23" t="s">
        <v>515</v>
      </c>
      <c r="G729" s="26">
        <v>32941</v>
      </c>
      <c r="H729" s="65">
        <f>DATEDIF(Squads[[#This Row],[Date Of Birth]],World_Cup_Start_Date,"Y")</f>
        <v>32</v>
      </c>
      <c r="I729" s="27">
        <v>37</v>
      </c>
      <c r="J729" s="27">
        <v>0</v>
      </c>
      <c r="K729" s="78" t="s">
        <v>1783</v>
      </c>
      <c r="L729" s="27" t="str">
        <f>_xlfn.XLOOKUP(Squads[[#This Row],[Current Club]],Clubs[Current Club],Clubs[Club_ID])</f>
        <v>KUW-01</v>
      </c>
      <c r="M729" s="27" t="str">
        <f>_xlfn.XLOOKUP(Squads[[#This Row],[National Team]],Football_Associations[Football Association],Football_Associations[World Cup Result])</f>
        <v>Group Stage</v>
      </c>
      <c r="N72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30" spans="1:14" ht="15" customHeight="1" x14ac:dyDescent="0.25">
      <c r="A730" s="33">
        <f t="shared" si="11"/>
        <v>1729</v>
      </c>
      <c r="B730" s="23" t="s">
        <v>17</v>
      </c>
      <c r="C730" s="23" t="str">
        <f>VLOOKUP(Squads[[#This Row],[National Team]],Qualified[],3,TRUE)</f>
        <v>Tunisia (TUN)</v>
      </c>
      <c r="D730" s="25">
        <v>3</v>
      </c>
      <c r="E730" s="23" t="s">
        <v>135</v>
      </c>
      <c r="F730" s="23" t="s">
        <v>516</v>
      </c>
      <c r="G730" s="26">
        <v>35941</v>
      </c>
      <c r="H730" s="65">
        <f>DATEDIF(Squads[[#This Row],[Date Of Birth]],World_Cup_Start_Date,"Y")</f>
        <v>24</v>
      </c>
      <c r="I730" s="27">
        <v>23</v>
      </c>
      <c r="J730" s="27">
        <v>1</v>
      </c>
      <c r="K730" s="78" t="s">
        <v>1885</v>
      </c>
      <c r="L730" s="27" t="str">
        <f>_xlfn.XLOOKUP(Squads[[#This Row],[Current Club]],Clubs[Current Club],Clubs[Club_ID])</f>
        <v>FRA-18</v>
      </c>
      <c r="M730" s="27" t="str">
        <f>_xlfn.XLOOKUP(Squads[[#This Row],[National Team]],Football_Associations[Football Association],Football_Associations[World Cup Result])</f>
        <v>Group Stage</v>
      </c>
      <c r="N73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31" spans="1:14" ht="15" customHeight="1" x14ac:dyDescent="0.25">
      <c r="A731" s="33">
        <f t="shared" si="11"/>
        <v>1730</v>
      </c>
      <c r="B731" s="23" t="s">
        <v>17</v>
      </c>
      <c r="C731" s="23" t="str">
        <f>VLOOKUP(Squads[[#This Row],[National Team]],Qualified[],3,TRUE)</f>
        <v>Tunisia (TUN)</v>
      </c>
      <c r="D731" s="25">
        <v>4</v>
      </c>
      <c r="E731" s="23" t="s">
        <v>135</v>
      </c>
      <c r="F731" s="23" t="s">
        <v>517</v>
      </c>
      <c r="G731" s="26">
        <v>34152</v>
      </c>
      <c r="H731" s="65">
        <f>DATEDIF(Squads[[#This Row],[Date Of Birth]],World_Cup_Start_Date,"Y")</f>
        <v>29</v>
      </c>
      <c r="I731" s="27">
        <v>61</v>
      </c>
      <c r="J731" s="27">
        <v>3</v>
      </c>
      <c r="K731" s="78" t="s">
        <v>1730</v>
      </c>
      <c r="L731" s="27" t="str">
        <f>_xlfn.XLOOKUP(Squads[[#This Row],[Current Club]],Clubs[Current Club],Clubs[Club_ID])</f>
        <v>TUN-01</v>
      </c>
      <c r="M731" s="27" t="str">
        <f>_xlfn.XLOOKUP(Squads[[#This Row],[National Team]],Football_Associations[Football Association],Football_Associations[World Cup Result])</f>
        <v>Group Stage</v>
      </c>
      <c r="N73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32" spans="1:14" ht="15" customHeight="1" x14ac:dyDescent="0.25">
      <c r="A732" s="33">
        <f t="shared" si="11"/>
        <v>1731</v>
      </c>
      <c r="B732" s="23" t="s">
        <v>17</v>
      </c>
      <c r="C732" s="23" t="str">
        <f>VLOOKUP(Squads[[#This Row],[National Team]],Qualified[],3,TRUE)</f>
        <v>Tunisia (TUN)</v>
      </c>
      <c r="D732" s="25">
        <v>5</v>
      </c>
      <c r="E732" s="23" t="s">
        <v>139</v>
      </c>
      <c r="F732" s="23" t="s">
        <v>518</v>
      </c>
      <c r="G732" s="26">
        <v>34748</v>
      </c>
      <c r="H732" s="65">
        <f>DATEDIF(Squads[[#This Row],[Date Of Birth]],World_Cup_Start_Date,"Y")</f>
        <v>27</v>
      </c>
      <c r="I732" s="27">
        <v>8</v>
      </c>
      <c r="J732" s="27">
        <v>0</v>
      </c>
      <c r="K732" s="78" t="s">
        <v>1774</v>
      </c>
      <c r="L732" s="27" t="str">
        <f>_xlfn.XLOOKUP(Squads[[#This Row],[Current Club]],Clubs[Current Club],Clubs[Club_ID])</f>
        <v>TUN-02</v>
      </c>
      <c r="M732" s="27" t="str">
        <f>_xlfn.XLOOKUP(Squads[[#This Row],[National Team]],Football_Associations[Football Association],Football_Associations[World Cup Result])</f>
        <v>Group Stage</v>
      </c>
      <c r="N73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33" spans="1:14" ht="15" customHeight="1" x14ac:dyDescent="0.25">
      <c r="A733" s="33">
        <f t="shared" si="11"/>
        <v>1732</v>
      </c>
      <c r="B733" s="23" t="s">
        <v>17</v>
      </c>
      <c r="C733" s="23" t="str">
        <f>VLOOKUP(Squads[[#This Row],[National Team]],Qualified[],3,TRUE)</f>
        <v>Tunisia (TUN)</v>
      </c>
      <c r="D733" s="25">
        <v>6</v>
      </c>
      <c r="E733" s="23" t="s">
        <v>135</v>
      </c>
      <c r="F733" s="23" t="s">
        <v>519</v>
      </c>
      <c r="G733" s="26">
        <v>34869</v>
      </c>
      <c r="H733" s="65">
        <f>DATEDIF(Squads[[#This Row],[Date Of Birth]],World_Cup_Start_Date,"Y")</f>
        <v>27</v>
      </c>
      <c r="I733" s="27">
        <v>36</v>
      </c>
      <c r="J733" s="27">
        <v>2</v>
      </c>
      <c r="K733" s="78" t="s">
        <v>1744</v>
      </c>
      <c r="L733" s="27" t="str">
        <f>_xlfn.XLOOKUP(Squads[[#This Row],[Current Club]],Clubs[Current Club],Clubs[Club_ID])</f>
        <v>ITA-10</v>
      </c>
      <c r="M733" s="27" t="str">
        <f>_xlfn.XLOOKUP(Squads[[#This Row],[National Team]],Football_Associations[Football Association],Football_Associations[World Cup Result])</f>
        <v>Group Stage</v>
      </c>
      <c r="N73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34" spans="1:14" ht="15" customHeight="1" x14ac:dyDescent="0.25">
      <c r="A734" s="33">
        <f t="shared" si="11"/>
        <v>1733</v>
      </c>
      <c r="B734" s="23" t="s">
        <v>17</v>
      </c>
      <c r="C734" s="23" t="str">
        <f>VLOOKUP(Squads[[#This Row],[National Team]],Qualified[],3,TRUE)</f>
        <v>Tunisia (TUN)</v>
      </c>
      <c r="D734" s="25">
        <v>7</v>
      </c>
      <c r="E734" s="23" t="s">
        <v>146</v>
      </c>
      <c r="F734" s="27" t="s">
        <v>990</v>
      </c>
      <c r="G734" s="26">
        <v>33174</v>
      </c>
      <c r="H734" s="65">
        <f>DATEDIF(Squads[[#This Row],[Date Of Birth]],World_Cup_Start_Date,"Y")</f>
        <v>32</v>
      </c>
      <c r="I734" s="27">
        <v>88</v>
      </c>
      <c r="J734" s="27">
        <v>17</v>
      </c>
      <c r="K734" s="78" t="s">
        <v>1758</v>
      </c>
      <c r="L734" s="27" t="str">
        <f>_xlfn.XLOOKUP(Squads[[#This Row],[Current Club]],Clubs[Current Club],Clubs[Club_ID])</f>
        <v>QTR-05</v>
      </c>
      <c r="M734" s="27" t="str">
        <f>_xlfn.XLOOKUP(Squads[[#This Row],[National Team]],Football_Associations[Football Association],Football_Associations[World Cup Result])</f>
        <v>Group Stage</v>
      </c>
      <c r="N73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35" spans="1:14" ht="15" customHeight="1" x14ac:dyDescent="0.25">
      <c r="A735" s="33">
        <f t="shared" si="11"/>
        <v>1734</v>
      </c>
      <c r="B735" s="23" t="s">
        <v>17</v>
      </c>
      <c r="C735" s="23" t="str">
        <f>VLOOKUP(Squads[[#This Row],[National Team]],Qualified[],3,TRUE)</f>
        <v>Tunisia (TUN)</v>
      </c>
      <c r="D735" s="25">
        <v>8</v>
      </c>
      <c r="E735" s="23" t="s">
        <v>139</v>
      </c>
      <c r="F735" s="23" t="s">
        <v>520</v>
      </c>
      <c r="G735" s="26">
        <v>37642</v>
      </c>
      <c r="H735" s="65">
        <f>DATEDIF(Squads[[#This Row],[Date Of Birth]],World_Cup_Start_Date,"Y")</f>
        <v>19</v>
      </c>
      <c r="I735" s="27">
        <v>19</v>
      </c>
      <c r="J735" s="27">
        <v>0</v>
      </c>
      <c r="K735" s="78" t="s">
        <v>1765</v>
      </c>
      <c r="L735" s="27" t="str">
        <f>_xlfn.XLOOKUP(Squads[[#This Row],[Current Club]],Clubs[Current Club],Clubs[Club_ID])</f>
        <v>ENG-20</v>
      </c>
      <c r="M735" s="27" t="str">
        <f>_xlfn.XLOOKUP(Squads[[#This Row],[National Team]],Football_Associations[Football Association],Football_Associations[World Cup Result])</f>
        <v>Group Stage</v>
      </c>
      <c r="N73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36" spans="1:14" ht="15" customHeight="1" x14ac:dyDescent="0.25">
      <c r="A736" s="33">
        <f t="shared" si="11"/>
        <v>1735</v>
      </c>
      <c r="B736" s="23" t="s">
        <v>17</v>
      </c>
      <c r="C736" s="23" t="str">
        <f>VLOOKUP(Squads[[#This Row],[National Team]],Qualified[],3,TRUE)</f>
        <v>Tunisia (TUN)</v>
      </c>
      <c r="D736" s="25">
        <v>9</v>
      </c>
      <c r="E736" s="23" t="s">
        <v>146</v>
      </c>
      <c r="F736" s="23" t="s">
        <v>521</v>
      </c>
      <c r="G736" s="26">
        <v>33597</v>
      </c>
      <c r="H736" s="65">
        <f>DATEDIF(Squads[[#This Row],[Date Of Birth]],World_Cup_Start_Date,"Y")</f>
        <v>30</v>
      </c>
      <c r="I736" s="27">
        <v>10</v>
      </c>
      <c r="J736" s="27">
        <v>2</v>
      </c>
      <c r="K736" s="78" t="s">
        <v>1795</v>
      </c>
      <c r="L736" s="27" t="str">
        <f>_xlfn.XLOOKUP(Squads[[#This Row],[Current Club]],Clubs[Current Club],Clubs[Club_ID])</f>
        <v>DEN-03</v>
      </c>
      <c r="M736" s="27" t="str">
        <f>_xlfn.XLOOKUP(Squads[[#This Row],[National Team]],Football_Associations[Football Association],Football_Associations[World Cup Result])</f>
        <v>Group Stage</v>
      </c>
      <c r="N73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37" spans="1:14" ht="15" customHeight="1" x14ac:dyDescent="0.25">
      <c r="A737" s="33">
        <f t="shared" si="11"/>
        <v>1736</v>
      </c>
      <c r="B737" s="23" t="s">
        <v>17</v>
      </c>
      <c r="C737" s="23" t="str">
        <f>VLOOKUP(Squads[[#This Row],[National Team]],Qualified[],3,TRUE)</f>
        <v>Tunisia (TUN)</v>
      </c>
      <c r="D737" s="25">
        <v>10</v>
      </c>
      <c r="E737" s="23" t="s">
        <v>146</v>
      </c>
      <c r="F737" s="23" t="s">
        <v>522</v>
      </c>
      <c r="G737" s="26">
        <v>33277</v>
      </c>
      <c r="H737" s="65">
        <f>DATEDIF(Squads[[#This Row],[Date Of Birth]],World_Cup_Start_Date,"Y")</f>
        <v>31</v>
      </c>
      <c r="I737" s="27">
        <v>72</v>
      </c>
      <c r="J737" s="27">
        <v>24</v>
      </c>
      <c r="K737" s="78" t="s">
        <v>1792</v>
      </c>
      <c r="L737" s="27" t="str">
        <f>_xlfn.XLOOKUP(Squads[[#This Row],[Current Club]],Clubs[Current Club],Clubs[Club_ID])</f>
        <v>FRA-10</v>
      </c>
      <c r="M737" s="27" t="str">
        <f>_xlfn.XLOOKUP(Squads[[#This Row],[National Team]],Football_Associations[Football Association],Football_Associations[World Cup Result])</f>
        <v>Group Stage</v>
      </c>
      <c r="N73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38" spans="1:14" ht="15" customHeight="1" x14ac:dyDescent="0.25">
      <c r="A738" s="33">
        <f t="shared" si="11"/>
        <v>1737</v>
      </c>
      <c r="B738" s="23" t="s">
        <v>17</v>
      </c>
      <c r="C738" s="23" t="str">
        <f>VLOOKUP(Squads[[#This Row],[National Team]],Qualified[],3,TRUE)</f>
        <v>Tunisia (TUN)</v>
      </c>
      <c r="D738" s="25">
        <v>11</v>
      </c>
      <c r="E738" s="23" t="s">
        <v>146</v>
      </c>
      <c r="F738" s="23" t="s">
        <v>523</v>
      </c>
      <c r="G738" s="26">
        <v>33609</v>
      </c>
      <c r="H738" s="65">
        <f>DATEDIF(Squads[[#This Row],[Date Of Birth]],World_Cup_Start_Date,"Y")</f>
        <v>30</v>
      </c>
      <c r="I738" s="27">
        <v>48</v>
      </c>
      <c r="J738" s="27">
        <v>9</v>
      </c>
      <c r="K738" s="78" t="s">
        <v>1783</v>
      </c>
      <c r="L738" s="27" t="str">
        <f>_xlfn.XLOOKUP(Squads[[#This Row],[Current Club]],Clubs[Current Club],Clubs[Club_ID])</f>
        <v>KUW-01</v>
      </c>
      <c r="M738" s="27" t="str">
        <f>_xlfn.XLOOKUP(Squads[[#This Row],[National Team]],Football_Associations[Football Association],Football_Associations[World Cup Result])</f>
        <v>Group Stage</v>
      </c>
      <c r="N73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39" spans="1:14" ht="15" customHeight="1" x14ac:dyDescent="0.25">
      <c r="A739" s="33">
        <f t="shared" si="11"/>
        <v>1738</v>
      </c>
      <c r="B739" s="23" t="s">
        <v>17</v>
      </c>
      <c r="C739" s="23" t="str">
        <f>VLOOKUP(Squads[[#This Row],[National Team]],Qualified[],3,TRUE)</f>
        <v>Tunisia (TUN)</v>
      </c>
      <c r="D739" s="25">
        <v>12</v>
      </c>
      <c r="E739" s="23" t="s">
        <v>135</v>
      </c>
      <c r="F739" s="23" t="s">
        <v>524</v>
      </c>
      <c r="G739" s="26">
        <v>32874</v>
      </c>
      <c r="H739" s="65">
        <f>DATEDIF(Squads[[#This Row],[Date Of Birth]],World_Cup_Start_Date,"Y")</f>
        <v>32</v>
      </c>
      <c r="I739" s="27">
        <v>83</v>
      </c>
      <c r="J739" s="27">
        <v>2</v>
      </c>
      <c r="K739" s="78" t="s">
        <v>1813</v>
      </c>
      <c r="L739" s="27" t="str">
        <f>_xlfn.XLOOKUP(Squads[[#This Row],[Current Club]],Clubs[Current Club],Clubs[Club_ID])</f>
        <v>EGY-01</v>
      </c>
      <c r="M739" s="27" t="str">
        <f>_xlfn.XLOOKUP(Squads[[#This Row],[National Team]],Football_Associations[Football Association],Football_Associations[World Cup Result])</f>
        <v>Group Stage</v>
      </c>
      <c r="N73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40" spans="1:14" ht="15" customHeight="1" x14ac:dyDescent="0.25">
      <c r="A740" s="33">
        <f t="shared" si="11"/>
        <v>1739</v>
      </c>
      <c r="B740" s="23" t="s">
        <v>17</v>
      </c>
      <c r="C740" s="23" t="str">
        <f>VLOOKUP(Squads[[#This Row],[National Team]],Qualified[],3,TRUE)</f>
        <v>Tunisia (TUN)</v>
      </c>
      <c r="D740" s="25">
        <v>13</v>
      </c>
      <c r="E740" s="23" t="s">
        <v>139</v>
      </c>
      <c r="F740" s="23" t="s">
        <v>525</v>
      </c>
      <c r="G740" s="26">
        <v>33681</v>
      </c>
      <c r="H740" s="65">
        <f>DATEDIF(Squads[[#This Row],[Date Of Birth]],World_Cup_Start_Date,"Y")</f>
        <v>30</v>
      </c>
      <c r="I740" s="27">
        <v>78</v>
      </c>
      <c r="J740" s="27">
        <v>6</v>
      </c>
      <c r="K740" s="78" t="s">
        <v>1672</v>
      </c>
      <c r="L740" s="27" t="str">
        <f>_xlfn.XLOOKUP(Squads[[#This Row],[Current Club]],Clubs[Current Club],Clubs[Club_ID])</f>
        <v>QTR-02</v>
      </c>
      <c r="M740" s="27" t="str">
        <f>_xlfn.XLOOKUP(Squads[[#This Row],[National Team]],Football_Associations[Football Association],Football_Associations[World Cup Result])</f>
        <v>Group Stage</v>
      </c>
      <c r="N74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41" spans="1:14" ht="15" customHeight="1" x14ac:dyDescent="0.25">
      <c r="A741" s="33">
        <f t="shared" si="11"/>
        <v>1740</v>
      </c>
      <c r="B741" s="23" t="s">
        <v>17</v>
      </c>
      <c r="C741" s="23" t="str">
        <f>VLOOKUP(Squads[[#This Row],[National Team]],Qualified[],3,TRUE)</f>
        <v>Tunisia (TUN)</v>
      </c>
      <c r="D741" s="25">
        <v>14</v>
      </c>
      <c r="E741" s="23" t="s">
        <v>139</v>
      </c>
      <c r="F741" s="23" t="s">
        <v>526</v>
      </c>
      <c r="G741" s="26">
        <v>35412</v>
      </c>
      <c r="H741" s="65">
        <f>DATEDIF(Squads[[#This Row],[Date Of Birth]],World_Cup_Start_Date,"Y")</f>
        <v>25</v>
      </c>
      <c r="I741" s="27">
        <v>25</v>
      </c>
      <c r="J741" s="27">
        <v>1</v>
      </c>
      <c r="K741" s="78" t="s">
        <v>1860</v>
      </c>
      <c r="L741" s="27" t="str">
        <f>_xlfn.XLOOKUP(Squads[[#This Row],[Current Club]],Clubs[Current Club],Clubs[Club_ID])</f>
        <v>TUR-08</v>
      </c>
      <c r="M741" s="27" t="str">
        <f>_xlfn.XLOOKUP(Squads[[#This Row],[National Team]],Football_Associations[Football Association],Football_Associations[World Cup Result])</f>
        <v>Group Stage</v>
      </c>
      <c r="N74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42" spans="1:14" ht="15" customHeight="1" x14ac:dyDescent="0.25">
      <c r="A742" s="33">
        <f t="shared" si="11"/>
        <v>1741</v>
      </c>
      <c r="B742" s="23" t="s">
        <v>17</v>
      </c>
      <c r="C742" s="23" t="str">
        <f>VLOOKUP(Squads[[#This Row],[National Team]],Qualified[],3,TRUE)</f>
        <v>Tunisia (TUN)</v>
      </c>
      <c r="D742" s="25">
        <v>15</v>
      </c>
      <c r="E742" s="23" t="s">
        <v>139</v>
      </c>
      <c r="F742" s="23" t="s">
        <v>527</v>
      </c>
      <c r="G742" s="26">
        <v>36409</v>
      </c>
      <c r="H742" s="65">
        <f>DATEDIF(Squads[[#This Row],[Date Of Birth]],World_Cup_Start_Date,"Y")</f>
        <v>23</v>
      </c>
      <c r="I742" s="27">
        <v>23</v>
      </c>
      <c r="J742" s="27">
        <v>1</v>
      </c>
      <c r="K742" s="78" t="s">
        <v>1730</v>
      </c>
      <c r="L742" s="27" t="str">
        <f>_xlfn.XLOOKUP(Squads[[#This Row],[Current Club]],Clubs[Current Club],Clubs[Club_ID])</f>
        <v>TUN-01</v>
      </c>
      <c r="M742" s="27" t="str">
        <f>_xlfn.XLOOKUP(Squads[[#This Row],[National Team]],Football_Associations[Football Association],Football_Associations[World Cup Result])</f>
        <v>Group Stage</v>
      </c>
      <c r="N74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43" spans="1:14" ht="15" customHeight="1" x14ac:dyDescent="0.25">
      <c r="A743" s="33">
        <f t="shared" si="11"/>
        <v>1742</v>
      </c>
      <c r="B743" s="23" t="s">
        <v>17</v>
      </c>
      <c r="C743" s="23" t="str">
        <f>VLOOKUP(Squads[[#This Row],[National Team]],Qualified[],3,TRUE)</f>
        <v>Tunisia (TUN)</v>
      </c>
      <c r="D743" s="25">
        <v>16</v>
      </c>
      <c r="E743" s="23" t="s">
        <v>133</v>
      </c>
      <c r="F743" s="23" t="s">
        <v>528</v>
      </c>
      <c r="G743" s="26">
        <v>35458</v>
      </c>
      <c r="H743" s="65">
        <f>DATEDIF(Squads[[#This Row],[Date Of Birth]],World_Cup_Start_Date,"Y")</f>
        <v>25</v>
      </c>
      <c r="I743" s="27">
        <v>5</v>
      </c>
      <c r="J743" s="27">
        <v>0</v>
      </c>
      <c r="K743" s="78" t="s">
        <v>1847</v>
      </c>
      <c r="L743" s="27" t="str">
        <f>_xlfn.XLOOKUP(Squads[[#This Row],[Current Club]],Clubs[Current Club],Clubs[Club_ID])</f>
        <v>TUN-03</v>
      </c>
      <c r="M743" s="27" t="str">
        <f>_xlfn.XLOOKUP(Squads[[#This Row],[National Team]],Football_Associations[Football Association],Football_Associations[World Cup Result])</f>
        <v>Group Stage</v>
      </c>
      <c r="N74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44" spans="1:14" ht="15" customHeight="1" x14ac:dyDescent="0.25">
      <c r="A744" s="33">
        <f t="shared" si="11"/>
        <v>1743</v>
      </c>
      <c r="B744" s="23" t="s">
        <v>17</v>
      </c>
      <c r="C744" s="23" t="str">
        <f>VLOOKUP(Squads[[#This Row],[National Team]],Qualified[],3,TRUE)</f>
        <v>Tunisia (TUN)</v>
      </c>
      <c r="D744" s="25">
        <v>17</v>
      </c>
      <c r="E744" s="23" t="s">
        <v>139</v>
      </c>
      <c r="F744" s="23" t="s">
        <v>529</v>
      </c>
      <c r="G744" s="26">
        <v>34829</v>
      </c>
      <c r="H744" s="65">
        <f>DATEDIF(Squads[[#This Row],[Date Of Birth]],World_Cup_Start_Date,"Y")</f>
        <v>27</v>
      </c>
      <c r="I744" s="27">
        <v>49</v>
      </c>
      <c r="J744" s="27">
        <v>3</v>
      </c>
      <c r="K744" s="78" t="s">
        <v>1810</v>
      </c>
      <c r="L744" s="27" t="str">
        <f>_xlfn.XLOOKUP(Squads[[#This Row],[Current Club]],Clubs[Current Club],Clubs[Club_ID])</f>
        <v>GER-14</v>
      </c>
      <c r="M744" s="27" t="str">
        <f>_xlfn.XLOOKUP(Squads[[#This Row],[National Team]],Football_Associations[Football Association],Football_Associations[World Cup Result])</f>
        <v>Group Stage</v>
      </c>
      <c r="N74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45" spans="1:14" ht="15" customHeight="1" x14ac:dyDescent="0.25">
      <c r="A745" s="33">
        <f t="shared" si="11"/>
        <v>1744</v>
      </c>
      <c r="B745" s="23" t="s">
        <v>17</v>
      </c>
      <c r="C745" s="23" t="str">
        <f>VLOOKUP(Squads[[#This Row],[National Team]],Qualified[],3,TRUE)</f>
        <v>Tunisia (TUN)</v>
      </c>
      <c r="D745" s="25">
        <v>18</v>
      </c>
      <c r="E745" s="23" t="s">
        <v>139</v>
      </c>
      <c r="F745" s="23" t="s">
        <v>530</v>
      </c>
      <c r="G745" s="26">
        <v>34393</v>
      </c>
      <c r="H745" s="65">
        <f>DATEDIF(Squads[[#This Row],[Date Of Birth]],World_Cup_Start_Date,"Y")</f>
        <v>28</v>
      </c>
      <c r="I745" s="27">
        <v>31</v>
      </c>
      <c r="J745" s="27">
        <v>1</v>
      </c>
      <c r="K745" s="78" t="s">
        <v>1730</v>
      </c>
      <c r="L745" s="27" t="str">
        <f>_xlfn.XLOOKUP(Squads[[#This Row],[Current Club]],Clubs[Current Club],Clubs[Club_ID])</f>
        <v>TUN-01</v>
      </c>
      <c r="M745" s="27" t="str">
        <f>_xlfn.XLOOKUP(Squads[[#This Row],[National Team]],Football_Associations[Football Association],Football_Associations[World Cup Result])</f>
        <v>Group Stage</v>
      </c>
      <c r="N74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46" spans="1:14" ht="15" customHeight="1" x14ac:dyDescent="0.25">
      <c r="A746" s="33">
        <f t="shared" si="11"/>
        <v>1745</v>
      </c>
      <c r="B746" s="23" t="s">
        <v>17</v>
      </c>
      <c r="C746" s="23" t="str">
        <f>VLOOKUP(Squads[[#This Row],[National Team]],Qualified[],3,TRUE)</f>
        <v>Tunisia (TUN)</v>
      </c>
      <c r="D746" s="25">
        <v>19</v>
      </c>
      <c r="E746" s="23" t="s">
        <v>146</v>
      </c>
      <c r="F746" s="23" t="s">
        <v>531</v>
      </c>
      <c r="G746" s="26">
        <v>34012</v>
      </c>
      <c r="H746" s="65">
        <f>DATEDIF(Squads[[#This Row],[Date Of Birth]],World_Cup_Start_Date,"Y")</f>
        <v>29</v>
      </c>
      <c r="I746" s="27">
        <v>29</v>
      </c>
      <c r="J746" s="27">
        <v>10</v>
      </c>
      <c r="K746" s="78" t="s">
        <v>1947</v>
      </c>
      <c r="L746" s="27" t="str">
        <f>_xlfn.XLOOKUP(Squads[[#This Row],[Current Club]],Clubs[Current Club],Clubs[Club_ID])</f>
        <v>EGY-02</v>
      </c>
      <c r="M746" s="27" t="str">
        <f>_xlfn.XLOOKUP(Squads[[#This Row],[National Team]],Football_Associations[Football Association],Football_Associations[World Cup Result])</f>
        <v>Group Stage</v>
      </c>
      <c r="N74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47" spans="1:14" ht="15" customHeight="1" x14ac:dyDescent="0.25">
      <c r="A747" s="33">
        <f t="shared" si="11"/>
        <v>1746</v>
      </c>
      <c r="B747" s="23" t="s">
        <v>17</v>
      </c>
      <c r="C747" s="23" t="str">
        <f>VLOOKUP(Squads[[#This Row],[National Team]],Qualified[],3,TRUE)</f>
        <v>Tunisia (TUN)</v>
      </c>
      <c r="D747" s="25">
        <v>20</v>
      </c>
      <c r="E747" s="23" t="s">
        <v>135</v>
      </c>
      <c r="F747" s="23" t="s">
        <v>532</v>
      </c>
      <c r="G747" s="26">
        <v>35241</v>
      </c>
      <c r="H747" s="65">
        <f>DATEDIF(Squads[[#This Row],[Date Of Birth]],World_Cup_Start_Date,"Y")</f>
        <v>26</v>
      </c>
      <c r="I747" s="27">
        <v>34</v>
      </c>
      <c r="J747" s="27">
        <v>3</v>
      </c>
      <c r="K747" s="78" t="s">
        <v>1788</v>
      </c>
      <c r="L747" s="27" t="str">
        <f>_xlfn.XLOOKUP(Squads[[#This Row],[Current Club]],Clubs[Current Club],Clubs[Club_ID])</f>
        <v>SWI-03</v>
      </c>
      <c r="M747" s="27" t="str">
        <f>_xlfn.XLOOKUP(Squads[[#This Row],[National Team]],Football_Associations[Football Association],Football_Associations[World Cup Result])</f>
        <v>Group Stage</v>
      </c>
      <c r="N74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48" spans="1:14" ht="15" customHeight="1" x14ac:dyDescent="0.25">
      <c r="A748" s="33">
        <f t="shared" si="11"/>
        <v>1747</v>
      </c>
      <c r="B748" s="23" t="s">
        <v>17</v>
      </c>
      <c r="C748" s="23" t="str">
        <f>VLOOKUP(Squads[[#This Row],[National Team]],Qualified[],3,TRUE)</f>
        <v>Tunisia (TUN)</v>
      </c>
      <c r="D748" s="25">
        <v>21</v>
      </c>
      <c r="E748" s="23" t="s">
        <v>135</v>
      </c>
      <c r="F748" s="23" t="s">
        <v>533</v>
      </c>
      <c r="G748" s="26">
        <v>35008</v>
      </c>
      <c r="H748" s="65">
        <f>DATEDIF(Squads[[#This Row],[Date Of Birth]],World_Cup_Start_Date,"Y")</f>
        <v>27</v>
      </c>
      <c r="I748" s="27">
        <v>19</v>
      </c>
      <c r="J748" s="27">
        <v>0</v>
      </c>
      <c r="K748" s="78" t="s">
        <v>1827</v>
      </c>
      <c r="L748" s="27" t="str">
        <f>_xlfn.XLOOKUP(Squads[[#This Row],[Current Club]],Clubs[Current Club],Clubs[Club_ID])</f>
        <v>GRE-04</v>
      </c>
      <c r="M748" s="27" t="str">
        <f>_xlfn.XLOOKUP(Squads[[#This Row],[National Team]],Football_Associations[Football Association],Football_Associations[World Cup Result])</f>
        <v>Group Stage</v>
      </c>
      <c r="N74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49" spans="1:14" ht="15" customHeight="1" x14ac:dyDescent="0.25">
      <c r="A749" s="33">
        <f t="shared" si="11"/>
        <v>1748</v>
      </c>
      <c r="B749" s="23" t="s">
        <v>17</v>
      </c>
      <c r="C749" s="23" t="str">
        <f>VLOOKUP(Squads[[#This Row],[National Team]],Qualified[],3,TRUE)</f>
        <v>Tunisia (TUN)</v>
      </c>
      <c r="D749" s="25">
        <v>22</v>
      </c>
      <c r="E749" s="23" t="s">
        <v>133</v>
      </c>
      <c r="F749" s="23" t="s">
        <v>534</v>
      </c>
      <c r="G749" s="26">
        <v>33937</v>
      </c>
      <c r="H749" s="65">
        <f>DATEDIF(Squads[[#This Row],[Date Of Birth]],World_Cup_Start_Date,"Y")</f>
        <v>29</v>
      </c>
      <c r="I749" s="27">
        <v>10</v>
      </c>
      <c r="J749" s="27">
        <v>0</v>
      </c>
      <c r="K749" s="78" t="s">
        <v>1941</v>
      </c>
      <c r="L749" s="27" t="str">
        <f>_xlfn.XLOOKUP(Squads[[#This Row],[Current Club]],Clubs[Current Club],Clubs[Club_ID])</f>
        <v>TUN-05</v>
      </c>
      <c r="M749" s="27" t="str">
        <f>_xlfn.XLOOKUP(Squads[[#This Row],[National Team]],Football_Associations[Football Association],Football_Associations[World Cup Result])</f>
        <v>Group Stage</v>
      </c>
      <c r="N74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50" spans="1:14" ht="15" customHeight="1" x14ac:dyDescent="0.25">
      <c r="A750" s="33">
        <f t="shared" si="11"/>
        <v>1749</v>
      </c>
      <c r="B750" s="23" t="s">
        <v>17</v>
      </c>
      <c r="C750" s="23" t="str">
        <f>VLOOKUP(Squads[[#This Row],[National Team]],Qualified[],3,TRUE)</f>
        <v>Tunisia (TUN)</v>
      </c>
      <c r="D750" s="25">
        <v>23</v>
      </c>
      <c r="E750" s="23" t="s">
        <v>146</v>
      </c>
      <c r="F750" s="23" t="s">
        <v>535</v>
      </c>
      <c r="G750" s="26">
        <v>33812</v>
      </c>
      <c r="H750" s="65">
        <f>DATEDIF(Squads[[#This Row],[Date Of Birth]],World_Cup_Start_Date,"Y")</f>
        <v>30</v>
      </c>
      <c r="I750" s="27">
        <v>69</v>
      </c>
      <c r="J750" s="27">
        <v>14</v>
      </c>
      <c r="K750" s="78" t="s">
        <v>1816</v>
      </c>
      <c r="L750" s="27" t="str">
        <f>_xlfn.XLOOKUP(Squads[[#This Row],[Current Club]],Clubs[Current Club],Clubs[Club_ID])</f>
        <v>SAU-08</v>
      </c>
      <c r="M750" s="27" t="str">
        <f>_xlfn.XLOOKUP(Squads[[#This Row],[National Team]],Football_Associations[Football Association],Football_Associations[World Cup Result])</f>
        <v>Group Stage</v>
      </c>
      <c r="N75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51" spans="1:14" ht="15" customHeight="1" x14ac:dyDescent="0.25">
      <c r="A751" s="33">
        <f t="shared" si="11"/>
        <v>1750</v>
      </c>
      <c r="B751" s="23" t="s">
        <v>17</v>
      </c>
      <c r="C751" s="23" t="str">
        <f>VLOOKUP(Squads[[#This Row],[National Team]],Qualified[],3,TRUE)</f>
        <v>Tunisia (TUN)</v>
      </c>
      <c r="D751" s="25">
        <v>24</v>
      </c>
      <c r="E751" s="23" t="s">
        <v>135</v>
      </c>
      <c r="F751" s="23" t="s">
        <v>536</v>
      </c>
      <c r="G751" s="26">
        <v>34323</v>
      </c>
      <c r="H751" s="65">
        <f>DATEDIF(Squads[[#This Row],[Date Of Birth]],World_Cup_Start_Date,"Y")</f>
        <v>28</v>
      </c>
      <c r="I751" s="27">
        <v>10</v>
      </c>
      <c r="J751" s="27">
        <v>2</v>
      </c>
      <c r="K751" s="78" t="s">
        <v>1836</v>
      </c>
      <c r="L751" s="27" t="str">
        <f>_xlfn.XLOOKUP(Squads[[#This Row],[Current Club]],Clubs[Current Club],Clubs[Club_ID])</f>
        <v>FRA-17</v>
      </c>
      <c r="M751" s="27" t="str">
        <f>_xlfn.XLOOKUP(Squads[[#This Row],[National Team]],Football_Associations[Football Association],Football_Associations[World Cup Result])</f>
        <v>Group Stage</v>
      </c>
      <c r="N75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52" spans="1:14" ht="15" customHeight="1" x14ac:dyDescent="0.25">
      <c r="A752" s="33">
        <f t="shared" si="11"/>
        <v>1751</v>
      </c>
      <c r="B752" s="23" t="s">
        <v>17</v>
      </c>
      <c r="C752" s="23" t="str">
        <f>VLOOKUP(Squads[[#This Row],[National Team]],Qualified[],3,TRUE)</f>
        <v>Tunisia (TUN)</v>
      </c>
      <c r="D752" s="25">
        <v>25</v>
      </c>
      <c r="E752" s="23" t="s">
        <v>146</v>
      </c>
      <c r="F752" s="23" t="s">
        <v>537</v>
      </c>
      <c r="G752" s="26">
        <v>36966</v>
      </c>
      <c r="H752" s="65">
        <f>DATEDIF(Squads[[#This Row],[Date Of Birth]],World_Cup_Start_Date,"Y")</f>
        <v>21</v>
      </c>
      <c r="I752" s="27">
        <v>25</v>
      </c>
      <c r="J752" s="27">
        <v>4</v>
      </c>
      <c r="K752" s="78" t="s">
        <v>1769</v>
      </c>
      <c r="L752" s="27" t="str">
        <f>_xlfn.XLOOKUP(Squads[[#This Row],[Current Club]],Clubs[Current Club],Clubs[Club_ID])</f>
        <v>DEN-02</v>
      </c>
      <c r="M752" s="27" t="str">
        <f>_xlfn.XLOOKUP(Squads[[#This Row],[National Team]],Football_Associations[Football Association],Football_Associations[World Cup Result])</f>
        <v>Group Stage</v>
      </c>
      <c r="N75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53" spans="1:14" ht="15" customHeight="1" x14ac:dyDescent="0.25">
      <c r="A753" s="33">
        <f t="shared" si="11"/>
        <v>1752</v>
      </c>
      <c r="B753" s="23" t="s">
        <v>17</v>
      </c>
      <c r="C753" s="23" t="str">
        <f>VLOOKUP(Squads[[#This Row],[National Team]],Qualified[],3,TRUE)</f>
        <v>Tunisia (TUN)</v>
      </c>
      <c r="D753" s="25">
        <v>26</v>
      </c>
      <c r="E753" s="23" t="s">
        <v>133</v>
      </c>
      <c r="F753" s="23" t="s">
        <v>538</v>
      </c>
      <c r="G753" s="26">
        <v>34763</v>
      </c>
      <c r="H753" s="65">
        <f>DATEDIF(Squads[[#This Row],[Date Of Birth]],World_Cup_Start_Date,"Y")</f>
        <v>27</v>
      </c>
      <c r="I753" s="27">
        <v>20</v>
      </c>
      <c r="J753" s="27">
        <v>0</v>
      </c>
      <c r="K753" s="78" t="s">
        <v>1774</v>
      </c>
      <c r="L753" s="27" t="str">
        <f>_xlfn.XLOOKUP(Squads[[#This Row],[Current Club]],Clubs[Current Club],Clubs[Club_ID])</f>
        <v>TUN-02</v>
      </c>
      <c r="M753" s="27" t="str">
        <f>_xlfn.XLOOKUP(Squads[[#This Row],[National Team]],Football_Associations[Football Association],Football_Associations[World Cup Result])</f>
        <v>Group Stage</v>
      </c>
      <c r="N75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54" spans="1:14" ht="15" customHeight="1" x14ac:dyDescent="0.25">
      <c r="A754" s="33">
        <f t="shared" si="11"/>
        <v>1753</v>
      </c>
      <c r="B754" s="23" t="s">
        <v>36</v>
      </c>
      <c r="C754" s="23" t="str">
        <f>VLOOKUP(Squads[[#This Row],[National Team]],Qualified[],3,TRUE)</f>
        <v>Uruguay (URU)</v>
      </c>
      <c r="D754" s="25">
        <v>1</v>
      </c>
      <c r="E754" s="23" t="s">
        <v>133</v>
      </c>
      <c r="F754" s="23" t="s">
        <v>916</v>
      </c>
      <c r="G754" s="26">
        <v>31579</v>
      </c>
      <c r="H754" s="65">
        <f>DATEDIF(Squads[[#This Row],[Date Of Birth]],World_Cup_Start_Date,"Y")</f>
        <v>36</v>
      </c>
      <c r="I754" s="27">
        <v>133</v>
      </c>
      <c r="J754" s="27">
        <v>0</v>
      </c>
      <c r="K754" s="78" t="s">
        <v>1692</v>
      </c>
      <c r="L754" s="27" t="str">
        <f>_xlfn.XLOOKUP(Squads[[#This Row],[Current Club]],Clubs[Current Club],Clubs[Club_ID])</f>
        <v>TUR-01</v>
      </c>
      <c r="M754" s="27" t="str">
        <f>_xlfn.XLOOKUP(Squads[[#This Row],[National Team]],Football_Associations[Football Association],Football_Associations[World Cup Result])</f>
        <v>Group Stage</v>
      </c>
      <c r="N75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55" spans="1:14" ht="15" customHeight="1" x14ac:dyDescent="0.25">
      <c r="A755" s="33">
        <f t="shared" si="11"/>
        <v>1754</v>
      </c>
      <c r="B755" s="23" t="s">
        <v>36</v>
      </c>
      <c r="C755" s="23" t="str">
        <f>VLOOKUP(Squads[[#This Row],[National Team]],Qualified[],3,TRUE)</f>
        <v>Uruguay (URU)</v>
      </c>
      <c r="D755" s="25">
        <v>2</v>
      </c>
      <c r="E755" s="23" t="s">
        <v>135</v>
      </c>
      <c r="F755" s="23" t="s">
        <v>917</v>
      </c>
      <c r="G755" s="26">
        <v>34719</v>
      </c>
      <c r="H755" s="65">
        <f>DATEDIF(Squads[[#This Row],[Date Of Birth]],World_Cup_Start_Date,"Y")</f>
        <v>27</v>
      </c>
      <c r="I755" s="27">
        <v>78</v>
      </c>
      <c r="J755" s="27">
        <v>8</v>
      </c>
      <c r="K755" s="78" t="s">
        <v>1660</v>
      </c>
      <c r="L755" s="27" t="str">
        <f>_xlfn.XLOOKUP(Squads[[#This Row],[Current Club]],Clubs[Current Club],Clubs[Club_ID])</f>
        <v>ESP-03</v>
      </c>
      <c r="M755" s="27" t="str">
        <f>_xlfn.XLOOKUP(Squads[[#This Row],[National Team]],Football_Associations[Football Association],Football_Associations[World Cup Result])</f>
        <v>Group Stage</v>
      </c>
      <c r="N75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56" spans="1:14" ht="15" customHeight="1" x14ac:dyDescent="0.25">
      <c r="A756" s="33">
        <f t="shared" si="11"/>
        <v>1755</v>
      </c>
      <c r="B756" s="23" t="s">
        <v>36</v>
      </c>
      <c r="C756" s="23" t="str">
        <f>VLOOKUP(Squads[[#This Row],[National Team]],Qualified[],3,TRUE)</f>
        <v>Uruguay (URU)</v>
      </c>
      <c r="D756" s="25">
        <v>3</v>
      </c>
      <c r="E756" s="23" t="s">
        <v>135</v>
      </c>
      <c r="F756" s="27" t="s">
        <v>1006</v>
      </c>
      <c r="G756" s="26">
        <v>31459</v>
      </c>
      <c r="H756" s="65">
        <f>DATEDIF(Squads[[#This Row],[Date Of Birth]],World_Cup_Start_Date,"Y")</f>
        <v>36</v>
      </c>
      <c r="I756" s="27">
        <v>159</v>
      </c>
      <c r="J756" s="27">
        <v>8</v>
      </c>
      <c r="K756" s="78" t="s">
        <v>1944</v>
      </c>
      <c r="L756" s="27" t="str">
        <f>_xlfn.XLOOKUP(Squads[[#This Row],[Current Club]],Clubs[Current Club],Clubs[Club_ID])</f>
        <v>ARG-05</v>
      </c>
      <c r="M756" s="27" t="str">
        <f>_xlfn.XLOOKUP(Squads[[#This Row],[National Team]],Football_Associations[Football Association],Football_Associations[World Cup Result])</f>
        <v>Group Stage</v>
      </c>
      <c r="N75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57" spans="1:14" ht="15" customHeight="1" x14ac:dyDescent="0.25">
      <c r="A757" s="33">
        <f t="shared" si="11"/>
        <v>1756</v>
      </c>
      <c r="B757" s="23" t="s">
        <v>36</v>
      </c>
      <c r="C757" s="23" t="str">
        <f>VLOOKUP(Squads[[#This Row],[National Team]],Qualified[],3,TRUE)</f>
        <v>Uruguay (URU)</v>
      </c>
      <c r="D757" s="25">
        <v>4</v>
      </c>
      <c r="E757" s="23" t="s">
        <v>135</v>
      </c>
      <c r="F757" s="23" t="s">
        <v>918</v>
      </c>
      <c r="G757" s="26">
        <v>36226</v>
      </c>
      <c r="H757" s="65">
        <f>DATEDIF(Squads[[#This Row],[Date Of Birth]],World_Cup_Start_Date,"Y")</f>
        <v>23</v>
      </c>
      <c r="I757" s="27">
        <v>12</v>
      </c>
      <c r="J757" s="27">
        <v>0</v>
      </c>
      <c r="K757" s="78" t="s">
        <v>1653</v>
      </c>
      <c r="L757" s="27" t="str">
        <f>_xlfn.XLOOKUP(Squads[[#This Row],[Current Club]],Clubs[Current Club],Clubs[Club_ID])</f>
        <v>ESP-01</v>
      </c>
      <c r="M757" s="27" t="str">
        <f>_xlfn.XLOOKUP(Squads[[#This Row],[National Team]],Football_Associations[Football Association],Football_Associations[World Cup Result])</f>
        <v>Group Stage</v>
      </c>
      <c r="N75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58" spans="1:14" ht="15" customHeight="1" x14ac:dyDescent="0.25">
      <c r="A758" s="33">
        <f t="shared" si="11"/>
        <v>1757</v>
      </c>
      <c r="B758" s="23" t="s">
        <v>36</v>
      </c>
      <c r="C758" s="23" t="str">
        <f>VLOOKUP(Squads[[#This Row],[National Team]],Qualified[],3,TRUE)</f>
        <v>Uruguay (URU)</v>
      </c>
      <c r="D758" s="25">
        <v>5</v>
      </c>
      <c r="E758" s="23" t="s">
        <v>139</v>
      </c>
      <c r="F758" s="23" t="s">
        <v>919</v>
      </c>
      <c r="G758" s="26">
        <v>33474</v>
      </c>
      <c r="H758" s="65">
        <f>DATEDIF(Squads[[#This Row],[Date Of Birth]],World_Cup_Start_Date,"Y")</f>
        <v>31</v>
      </c>
      <c r="I758" s="27">
        <v>62</v>
      </c>
      <c r="J758" s="27">
        <v>4</v>
      </c>
      <c r="K758" s="78" t="s">
        <v>1784</v>
      </c>
      <c r="L758" s="27" t="str">
        <f>_xlfn.XLOOKUP(Squads[[#This Row],[Current Club]],Clubs[Current Club],Clubs[Club_ID])</f>
        <v>ITA-13</v>
      </c>
      <c r="M758" s="27" t="str">
        <f>_xlfn.XLOOKUP(Squads[[#This Row],[National Team]],Football_Associations[Football Association],Football_Associations[World Cup Result])</f>
        <v>Group Stage</v>
      </c>
      <c r="N75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59" spans="1:14" ht="15" customHeight="1" x14ac:dyDescent="0.25">
      <c r="A759" s="33">
        <f t="shared" si="11"/>
        <v>1758</v>
      </c>
      <c r="B759" s="23" t="s">
        <v>36</v>
      </c>
      <c r="C759" s="23" t="str">
        <f>VLOOKUP(Squads[[#This Row],[National Team]],Qualified[],3,TRUE)</f>
        <v>Uruguay (URU)</v>
      </c>
      <c r="D759" s="25">
        <v>6</v>
      </c>
      <c r="E759" s="23" t="s">
        <v>139</v>
      </c>
      <c r="F759" s="23" t="s">
        <v>920</v>
      </c>
      <c r="G759" s="26">
        <v>35606</v>
      </c>
      <c r="H759" s="65">
        <f>DATEDIF(Squads[[#This Row],[Date Of Birth]],World_Cup_Start_Date,"Y")</f>
        <v>25</v>
      </c>
      <c r="I759" s="27">
        <v>51</v>
      </c>
      <c r="J759" s="27">
        <v>1</v>
      </c>
      <c r="K759" s="78" t="s">
        <v>1666</v>
      </c>
      <c r="L759" s="27" t="str">
        <f>_xlfn.XLOOKUP(Squads[[#This Row],[Current Club]],Clubs[Current Club],Clubs[Club_ID])</f>
        <v>ENG-04</v>
      </c>
      <c r="M759" s="27" t="str">
        <f>_xlfn.XLOOKUP(Squads[[#This Row],[National Team]],Football_Associations[Football Association],Football_Associations[World Cup Result])</f>
        <v>Group Stage</v>
      </c>
      <c r="N75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60" spans="1:14" ht="15" customHeight="1" x14ac:dyDescent="0.25">
      <c r="A760" s="33">
        <f t="shared" si="11"/>
        <v>1759</v>
      </c>
      <c r="B760" s="23" t="s">
        <v>36</v>
      </c>
      <c r="C760" s="23" t="str">
        <f>VLOOKUP(Squads[[#This Row],[National Team]],Qualified[],3,TRUE)</f>
        <v>Uruguay (URU)</v>
      </c>
      <c r="D760" s="25">
        <v>7</v>
      </c>
      <c r="E760" s="23" t="s">
        <v>139</v>
      </c>
      <c r="F760" s="23" t="s">
        <v>921</v>
      </c>
      <c r="G760" s="26">
        <v>35582</v>
      </c>
      <c r="H760" s="65">
        <f>DATEDIF(Squads[[#This Row],[Date Of Birth]],World_Cup_Start_Date,"Y")</f>
        <v>25</v>
      </c>
      <c r="I760" s="27">
        <v>17</v>
      </c>
      <c r="J760" s="27">
        <v>2</v>
      </c>
      <c r="K760" s="78" t="s">
        <v>1798</v>
      </c>
      <c r="L760" s="27" t="str">
        <f>_xlfn.XLOOKUP(Squads[[#This Row],[Current Club]],Clubs[Current Club],Clubs[Club_ID])</f>
        <v>ARG-01</v>
      </c>
      <c r="M760" s="27" t="str">
        <f>_xlfn.XLOOKUP(Squads[[#This Row],[National Team]],Football_Associations[Football Association],Football_Associations[World Cup Result])</f>
        <v>Group Stage</v>
      </c>
      <c r="N76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61" spans="1:14" ht="15" customHeight="1" x14ac:dyDescent="0.25">
      <c r="A761" s="33">
        <f t="shared" si="11"/>
        <v>1760</v>
      </c>
      <c r="B761" s="23" t="s">
        <v>36</v>
      </c>
      <c r="C761" s="23" t="str">
        <f>VLOOKUP(Squads[[#This Row],[National Team]],Qualified[],3,TRUE)</f>
        <v>Uruguay (URU)</v>
      </c>
      <c r="D761" s="25">
        <v>8</v>
      </c>
      <c r="E761" s="23" t="s">
        <v>146</v>
      </c>
      <c r="F761" s="23" t="s">
        <v>922</v>
      </c>
      <c r="G761" s="26">
        <v>37245</v>
      </c>
      <c r="H761" s="65">
        <f>DATEDIF(Squads[[#This Row],[Date Of Birth]],World_Cup_Start_Date,"Y")</f>
        <v>20</v>
      </c>
      <c r="I761" s="27">
        <v>7</v>
      </c>
      <c r="J761" s="27">
        <v>0</v>
      </c>
      <c r="K761" s="78" t="s">
        <v>1657</v>
      </c>
      <c r="L761" s="27" t="str">
        <f>_xlfn.XLOOKUP(Squads[[#This Row],[Current Club]],Clubs[Current Club],Clubs[Club_ID])</f>
        <v>ENG-02</v>
      </c>
      <c r="M761" s="27" t="str">
        <f>_xlfn.XLOOKUP(Squads[[#This Row],[National Team]],Football_Associations[Football Association],Football_Associations[World Cup Result])</f>
        <v>Group Stage</v>
      </c>
      <c r="N76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62" spans="1:14" ht="15" customHeight="1" x14ac:dyDescent="0.25">
      <c r="A762" s="33">
        <f t="shared" si="11"/>
        <v>1761</v>
      </c>
      <c r="B762" s="23" t="s">
        <v>36</v>
      </c>
      <c r="C762" s="23" t="str">
        <f>VLOOKUP(Squads[[#This Row],[National Team]],Qualified[],3,TRUE)</f>
        <v>Uruguay (URU)</v>
      </c>
      <c r="D762" s="25">
        <v>9</v>
      </c>
      <c r="E762" s="23" t="s">
        <v>146</v>
      </c>
      <c r="F762" s="23" t="s">
        <v>923</v>
      </c>
      <c r="G762" s="26">
        <v>31801</v>
      </c>
      <c r="H762" s="65">
        <f>DATEDIF(Squads[[#This Row],[Date Of Birth]],World_Cup_Start_Date,"Y")</f>
        <v>35</v>
      </c>
      <c r="I762" s="27">
        <v>134</v>
      </c>
      <c r="J762" s="27">
        <v>68</v>
      </c>
      <c r="K762" s="78" t="s">
        <v>1740</v>
      </c>
      <c r="L762" s="27" t="str">
        <f>_xlfn.XLOOKUP(Squads[[#This Row],[Current Club]],Clubs[Current Club],Clubs[Club_ID])</f>
        <v>URU-01</v>
      </c>
      <c r="M762" s="27" t="str">
        <f>_xlfn.XLOOKUP(Squads[[#This Row],[National Team]],Football_Associations[Football Association],Football_Associations[World Cup Result])</f>
        <v>Group Stage</v>
      </c>
      <c r="N76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63" spans="1:14" ht="15" customHeight="1" x14ac:dyDescent="0.25">
      <c r="A763" s="33">
        <f t="shared" si="11"/>
        <v>1762</v>
      </c>
      <c r="B763" s="23" t="s">
        <v>36</v>
      </c>
      <c r="C763" s="23" t="str">
        <f>VLOOKUP(Squads[[#This Row],[National Team]],Qualified[],3,TRUE)</f>
        <v>Uruguay (URU)</v>
      </c>
      <c r="D763" s="25">
        <v>10</v>
      </c>
      <c r="E763" s="23" t="s">
        <v>139</v>
      </c>
      <c r="F763" s="23" t="s">
        <v>924</v>
      </c>
      <c r="G763" s="26">
        <v>34486</v>
      </c>
      <c r="H763" s="65">
        <f>DATEDIF(Squads[[#This Row],[Date Of Birth]],World_Cup_Start_Date,"Y")</f>
        <v>28</v>
      </c>
      <c r="I763" s="27">
        <v>40</v>
      </c>
      <c r="J763" s="27">
        <v>8</v>
      </c>
      <c r="K763" s="78" t="s">
        <v>1712</v>
      </c>
      <c r="L763" s="27" t="str">
        <f>_xlfn.XLOOKUP(Squads[[#This Row],[Current Club]],Clubs[Current Club],Clubs[Club_ID])</f>
        <v>BRA-01</v>
      </c>
      <c r="M763" s="27" t="str">
        <f>_xlfn.XLOOKUP(Squads[[#This Row],[National Team]],Football_Associations[Football Association],Football_Associations[World Cup Result])</f>
        <v>Group Stage</v>
      </c>
      <c r="N76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64" spans="1:14" ht="15" customHeight="1" x14ac:dyDescent="0.25">
      <c r="A764" s="33">
        <f t="shared" si="11"/>
        <v>1763</v>
      </c>
      <c r="B764" s="23" t="s">
        <v>36</v>
      </c>
      <c r="C764" s="23" t="str">
        <f>VLOOKUP(Squads[[#This Row],[National Team]],Qualified[],3,TRUE)</f>
        <v>Uruguay (URU)</v>
      </c>
      <c r="D764" s="25">
        <v>11</v>
      </c>
      <c r="E764" s="23" t="s">
        <v>146</v>
      </c>
      <c r="F764" s="23" t="s">
        <v>925</v>
      </c>
      <c r="G764" s="26">
        <v>36335</v>
      </c>
      <c r="H764" s="65">
        <f>DATEDIF(Squads[[#This Row],[Date Of Birth]],World_Cup_Start_Date,"Y")</f>
        <v>23</v>
      </c>
      <c r="I764" s="27">
        <v>13</v>
      </c>
      <c r="J764" s="27">
        <v>3</v>
      </c>
      <c r="K764" s="78" t="s">
        <v>1676</v>
      </c>
      <c r="L764" s="27" t="str">
        <f>_xlfn.XLOOKUP(Squads[[#This Row],[Current Club]],Clubs[Current Club],Clubs[Club_ID])</f>
        <v>ENG-08</v>
      </c>
      <c r="M764" s="27" t="str">
        <f>_xlfn.XLOOKUP(Squads[[#This Row],[National Team]],Football_Associations[Football Association],Football_Associations[World Cup Result])</f>
        <v>Group Stage</v>
      </c>
      <c r="N76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65" spans="1:14" ht="15" customHeight="1" x14ac:dyDescent="0.25">
      <c r="A765" s="33">
        <f t="shared" si="11"/>
        <v>1764</v>
      </c>
      <c r="B765" s="23" t="s">
        <v>36</v>
      </c>
      <c r="C765" s="23" t="str">
        <f>VLOOKUP(Squads[[#This Row],[National Team]],Qualified[],3,TRUE)</f>
        <v>Uruguay (URU)</v>
      </c>
      <c r="D765" s="25">
        <v>12</v>
      </c>
      <c r="E765" s="23" t="s">
        <v>133</v>
      </c>
      <c r="F765" s="23" t="s">
        <v>926</v>
      </c>
      <c r="G765" s="26">
        <v>31643</v>
      </c>
      <c r="H765" s="65">
        <f>DATEDIF(Squads[[#This Row],[Date Of Birth]],World_Cup_Start_Date,"Y")</f>
        <v>36</v>
      </c>
      <c r="I765" s="27">
        <v>1</v>
      </c>
      <c r="J765" s="27">
        <v>0</v>
      </c>
      <c r="K765" s="78" t="s">
        <v>1876</v>
      </c>
      <c r="L765" s="27" t="str">
        <f>_xlfn.XLOOKUP(Squads[[#This Row],[Current Club]],Clubs[Current Club],Clubs[Club_ID])</f>
        <v>ARG-02</v>
      </c>
      <c r="M765" s="27" t="str">
        <f>_xlfn.XLOOKUP(Squads[[#This Row],[National Team]],Football_Associations[Football Association],Football_Associations[World Cup Result])</f>
        <v>Group Stage</v>
      </c>
      <c r="N76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66" spans="1:14" ht="15" customHeight="1" x14ac:dyDescent="0.25">
      <c r="A766" s="33">
        <f t="shared" si="11"/>
        <v>1765</v>
      </c>
      <c r="B766" s="23" t="s">
        <v>36</v>
      </c>
      <c r="C766" s="23" t="str">
        <f>VLOOKUP(Squads[[#This Row],[National Team]],Qualified[],3,TRUE)</f>
        <v>Uruguay (URU)</v>
      </c>
      <c r="D766" s="25">
        <v>13</v>
      </c>
      <c r="E766" s="23" t="s">
        <v>135</v>
      </c>
      <c r="F766" s="23" t="s">
        <v>927</v>
      </c>
      <c r="G766" s="26">
        <v>34052</v>
      </c>
      <c r="H766" s="65">
        <f>DATEDIF(Squads[[#This Row],[Date Of Birth]],World_Cup_Start_Date,"Y")</f>
        <v>29</v>
      </c>
      <c r="I766" s="27">
        <v>9</v>
      </c>
      <c r="J766" s="27">
        <v>0</v>
      </c>
      <c r="K766" s="78" t="s">
        <v>1712</v>
      </c>
      <c r="L766" s="27" t="str">
        <f>_xlfn.XLOOKUP(Squads[[#This Row],[Current Club]],Clubs[Current Club],Clubs[Club_ID])</f>
        <v>BRA-01</v>
      </c>
      <c r="M766" s="27" t="str">
        <f>_xlfn.XLOOKUP(Squads[[#This Row],[National Team]],Football_Associations[Football Association],Football_Associations[World Cup Result])</f>
        <v>Group Stage</v>
      </c>
      <c r="N76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67" spans="1:14" ht="15" customHeight="1" x14ac:dyDescent="0.25">
      <c r="A767" s="33">
        <f t="shared" si="11"/>
        <v>1766</v>
      </c>
      <c r="B767" s="23" t="s">
        <v>36</v>
      </c>
      <c r="C767" s="23" t="str">
        <f>VLOOKUP(Squads[[#This Row],[National Team]],Qualified[],3,TRUE)</f>
        <v>Uruguay (URU)</v>
      </c>
      <c r="D767" s="25">
        <v>14</v>
      </c>
      <c r="E767" s="23" t="s">
        <v>139</v>
      </c>
      <c r="F767" s="23" t="s">
        <v>928</v>
      </c>
      <c r="G767" s="26">
        <v>35106</v>
      </c>
      <c r="H767" s="65">
        <f>DATEDIF(Squads[[#This Row],[Date Of Birth]],World_Cup_Start_Date,"Y")</f>
        <v>26</v>
      </c>
      <c r="I767" s="27">
        <v>40</v>
      </c>
      <c r="J767" s="27">
        <v>0</v>
      </c>
      <c r="K767" s="78" t="s">
        <v>1692</v>
      </c>
      <c r="L767" s="27" t="str">
        <f>_xlfn.XLOOKUP(Squads[[#This Row],[Current Club]],Clubs[Current Club],Clubs[Club_ID])</f>
        <v>TUR-01</v>
      </c>
      <c r="M767" s="27" t="str">
        <f>_xlfn.XLOOKUP(Squads[[#This Row],[National Team]],Football_Associations[Football Association],Football_Associations[World Cup Result])</f>
        <v>Group Stage</v>
      </c>
      <c r="N76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68" spans="1:14" ht="15" customHeight="1" x14ac:dyDescent="0.25">
      <c r="A768" s="33">
        <f t="shared" si="11"/>
        <v>1767</v>
      </c>
      <c r="B768" s="23" t="s">
        <v>36</v>
      </c>
      <c r="C768" s="23" t="str">
        <f>VLOOKUP(Squads[[#This Row],[National Team]],Qualified[],3,TRUE)</f>
        <v>Uruguay (URU)</v>
      </c>
      <c r="D768" s="25">
        <v>15</v>
      </c>
      <c r="E768" s="23" t="s">
        <v>139</v>
      </c>
      <c r="F768" s="23" t="s">
        <v>929</v>
      </c>
      <c r="G768" s="26">
        <v>35998</v>
      </c>
      <c r="H768" s="65">
        <f>DATEDIF(Squads[[#This Row],[Date Of Birth]],World_Cup_Start_Date,"Y")</f>
        <v>24</v>
      </c>
      <c r="I768" s="27">
        <v>44</v>
      </c>
      <c r="J768" s="27">
        <v>4</v>
      </c>
      <c r="K768" s="78" t="s">
        <v>1658</v>
      </c>
      <c r="L768" s="27" t="str">
        <f>_xlfn.XLOOKUP(Squads[[#This Row],[Current Club]],Clubs[Current Club],Clubs[Club_ID])</f>
        <v>ESP-02</v>
      </c>
      <c r="M768" s="27" t="str">
        <f>_xlfn.XLOOKUP(Squads[[#This Row],[National Team]],Football_Associations[Football Association],Football_Associations[World Cup Result])</f>
        <v>Group Stage</v>
      </c>
      <c r="N76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69" spans="1:14" ht="15" customHeight="1" x14ac:dyDescent="0.25">
      <c r="A769" s="33">
        <f t="shared" si="11"/>
        <v>1768</v>
      </c>
      <c r="B769" s="23" t="s">
        <v>36</v>
      </c>
      <c r="C769" s="23" t="str">
        <f>VLOOKUP(Squads[[#This Row],[National Team]],Qualified[],3,TRUE)</f>
        <v>Uruguay (URU)</v>
      </c>
      <c r="D769" s="25">
        <v>16</v>
      </c>
      <c r="E769" s="23" t="s">
        <v>135</v>
      </c>
      <c r="F769" s="23" t="s">
        <v>930</v>
      </c>
      <c r="G769" s="26">
        <v>35734</v>
      </c>
      <c r="H769" s="65">
        <f>DATEDIF(Squads[[#This Row],[Date Of Birth]],World_Cup_Start_Date,"Y")</f>
        <v>25</v>
      </c>
      <c r="I769" s="27">
        <v>8</v>
      </c>
      <c r="J769" s="27">
        <v>0</v>
      </c>
      <c r="K769" s="78" t="s">
        <v>1696</v>
      </c>
      <c r="L769" s="27" t="str">
        <f>_xlfn.XLOOKUP(Squads[[#This Row],[Current Club]],Clubs[Current Club],Clubs[Club_ID])</f>
        <v>ITA-04</v>
      </c>
      <c r="M769" s="27" t="str">
        <f>_xlfn.XLOOKUP(Squads[[#This Row],[National Team]],Football_Associations[Football Association],Football_Associations[World Cup Result])</f>
        <v>Group Stage</v>
      </c>
      <c r="N76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70" spans="1:14" ht="15" customHeight="1" x14ac:dyDescent="0.25">
      <c r="A770" s="33">
        <f t="shared" si="11"/>
        <v>1769</v>
      </c>
      <c r="B770" s="23" t="s">
        <v>36</v>
      </c>
      <c r="C770" s="23" t="str">
        <f>VLOOKUP(Squads[[#This Row],[National Team]],Qualified[],3,TRUE)</f>
        <v>Uruguay (URU)</v>
      </c>
      <c r="D770" s="25">
        <v>17</v>
      </c>
      <c r="E770" s="23" t="s">
        <v>135</v>
      </c>
      <c r="F770" s="23" t="s">
        <v>931</v>
      </c>
      <c r="G770" s="26">
        <v>35743</v>
      </c>
      <c r="H770" s="65">
        <f>DATEDIF(Squads[[#This Row],[Date Of Birth]],World_Cup_Start_Date,"Y")</f>
        <v>25</v>
      </c>
      <c r="I770" s="27">
        <v>26</v>
      </c>
      <c r="J770" s="27">
        <v>0</v>
      </c>
      <c r="K770" s="78" t="s">
        <v>1718</v>
      </c>
      <c r="L770" s="27" t="str">
        <f>_xlfn.XLOOKUP(Squads[[#This Row],[Current Club]],Clubs[Current Club],Clubs[Club_ID])</f>
        <v>ITA-09</v>
      </c>
      <c r="M770" s="27" t="str">
        <f>_xlfn.XLOOKUP(Squads[[#This Row],[National Team]],Football_Associations[Football Association],Football_Associations[World Cup Result])</f>
        <v>Group Stage</v>
      </c>
      <c r="N77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71" spans="1:14" ht="15" customHeight="1" x14ac:dyDescent="0.25">
      <c r="A771" s="33">
        <f t="shared" ref="A771:A831" si="12">A770+1</f>
        <v>1770</v>
      </c>
      <c r="B771" s="23" t="s">
        <v>36</v>
      </c>
      <c r="C771" s="23" t="str">
        <f>VLOOKUP(Squads[[#This Row],[National Team]],Qualified[],3,TRUE)</f>
        <v>Uruguay (URU)</v>
      </c>
      <c r="D771" s="25">
        <v>18</v>
      </c>
      <c r="E771" s="23" t="s">
        <v>146</v>
      </c>
      <c r="F771" s="23" t="s">
        <v>932</v>
      </c>
      <c r="G771" s="26">
        <v>35291</v>
      </c>
      <c r="H771" s="65">
        <f>DATEDIF(Squads[[#This Row],[Date Of Birth]],World_Cup_Start_Date,"Y")</f>
        <v>26</v>
      </c>
      <c r="I771" s="27">
        <v>27</v>
      </c>
      <c r="J771" s="27">
        <v>4</v>
      </c>
      <c r="K771" s="78" t="s">
        <v>1806</v>
      </c>
      <c r="L771" s="27" t="str">
        <f>_xlfn.XLOOKUP(Squads[[#This Row],[Current Club]],Clubs[Current Club],Clubs[Club_ID])</f>
        <v>TUR-05</v>
      </c>
      <c r="M771" s="27" t="str">
        <f>_xlfn.XLOOKUP(Squads[[#This Row],[National Team]],Football_Associations[Football Association],Football_Associations[World Cup Result])</f>
        <v>Group Stage</v>
      </c>
      <c r="N77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72" spans="1:14" ht="15" customHeight="1" x14ac:dyDescent="0.25">
      <c r="A772" s="33">
        <f t="shared" si="12"/>
        <v>1771</v>
      </c>
      <c r="B772" s="23" t="s">
        <v>36</v>
      </c>
      <c r="C772" s="23" t="str">
        <f>VLOOKUP(Squads[[#This Row],[National Team]],Qualified[],3,TRUE)</f>
        <v>Uruguay (URU)</v>
      </c>
      <c r="D772" s="25">
        <v>19</v>
      </c>
      <c r="E772" s="23" t="s">
        <v>135</v>
      </c>
      <c r="F772" s="23" t="s">
        <v>933</v>
      </c>
      <c r="G772" s="26">
        <v>33153</v>
      </c>
      <c r="H772" s="65">
        <f>DATEDIF(Squads[[#This Row],[Date Of Birth]],World_Cup_Start_Date,"Y")</f>
        <v>32</v>
      </c>
      <c r="I772" s="27">
        <v>47</v>
      </c>
      <c r="J772" s="27">
        <v>1</v>
      </c>
      <c r="K772" s="78" t="s">
        <v>1720</v>
      </c>
      <c r="L772" s="27" t="str">
        <f>_xlfn.XLOOKUP(Squads[[#This Row],[Current Club]],Clubs[Current Club],Clubs[Club_ID])</f>
        <v>POR-03</v>
      </c>
      <c r="M772" s="27" t="str">
        <f>_xlfn.XLOOKUP(Squads[[#This Row],[National Team]],Football_Associations[Football Association],Football_Associations[World Cup Result])</f>
        <v>Group Stage</v>
      </c>
      <c r="N77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73" spans="1:14" ht="15" customHeight="1" x14ac:dyDescent="0.25">
      <c r="A773" s="33">
        <f t="shared" si="12"/>
        <v>1772</v>
      </c>
      <c r="B773" s="23" t="s">
        <v>36</v>
      </c>
      <c r="C773" s="23" t="str">
        <f>VLOOKUP(Squads[[#This Row],[National Team]],Qualified[],3,TRUE)</f>
        <v>Uruguay (URU)</v>
      </c>
      <c r="D773" s="25">
        <v>20</v>
      </c>
      <c r="E773" s="23" t="s">
        <v>146</v>
      </c>
      <c r="F773" s="23" t="s">
        <v>934</v>
      </c>
      <c r="G773" s="26">
        <v>36629</v>
      </c>
      <c r="H773" s="65">
        <f>DATEDIF(Squads[[#This Row],[Date Of Birth]],World_Cup_Start_Date,"Y")</f>
        <v>22</v>
      </c>
      <c r="I773" s="27">
        <v>10</v>
      </c>
      <c r="J773" s="27">
        <v>0</v>
      </c>
      <c r="K773" s="78" t="s">
        <v>1901</v>
      </c>
      <c r="L773" s="27" t="str">
        <f>_xlfn.XLOOKUP(Squads[[#This Row],[Current Club]],Clubs[Current Club],Clubs[Club_ID])</f>
        <v>USA-18</v>
      </c>
      <c r="M773" s="27" t="str">
        <f>_xlfn.XLOOKUP(Squads[[#This Row],[National Team]],Football_Associations[Football Association],Football_Associations[World Cup Result])</f>
        <v>Group Stage</v>
      </c>
      <c r="N77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74" spans="1:14" ht="15" customHeight="1" x14ac:dyDescent="0.25">
      <c r="A774" s="33">
        <f t="shared" si="12"/>
        <v>1773</v>
      </c>
      <c r="B774" s="23" t="s">
        <v>36</v>
      </c>
      <c r="C774" s="23" t="str">
        <f>VLOOKUP(Squads[[#This Row],[National Team]],Qualified[],3,TRUE)</f>
        <v>Uruguay (URU)</v>
      </c>
      <c r="D774" s="25">
        <v>21</v>
      </c>
      <c r="E774" s="23" t="s">
        <v>146</v>
      </c>
      <c r="F774" s="23" t="s">
        <v>935</v>
      </c>
      <c r="G774" s="26">
        <v>31822</v>
      </c>
      <c r="H774" s="65">
        <f>DATEDIF(Squads[[#This Row],[Date Of Birth]],World_Cup_Start_Date,"Y")</f>
        <v>35</v>
      </c>
      <c r="I774" s="27">
        <v>133</v>
      </c>
      <c r="J774" s="27">
        <v>58</v>
      </c>
      <c r="K774" s="78" t="s">
        <v>1721</v>
      </c>
      <c r="L774" s="27" t="str">
        <f>_xlfn.XLOOKUP(Squads[[#This Row],[Current Club]],Clubs[Current Club],Clubs[Club_ID])</f>
        <v>ESP-07</v>
      </c>
      <c r="M774" s="27" t="str">
        <f>_xlfn.XLOOKUP(Squads[[#This Row],[National Team]],Football_Associations[Football Association],Football_Associations[World Cup Result])</f>
        <v>Group Stage</v>
      </c>
      <c r="N77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75" spans="1:14" ht="15" customHeight="1" x14ac:dyDescent="0.25">
      <c r="A775" s="33">
        <f t="shared" si="12"/>
        <v>1774</v>
      </c>
      <c r="B775" s="23" t="s">
        <v>36</v>
      </c>
      <c r="C775" s="23" t="str">
        <f>VLOOKUP(Squads[[#This Row],[National Team]],Qualified[],3,TRUE)</f>
        <v>Uruguay (URU)</v>
      </c>
      <c r="D775" s="25">
        <v>22</v>
      </c>
      <c r="E775" s="23" t="s">
        <v>135</v>
      </c>
      <c r="F775" s="23" t="s">
        <v>936</v>
      </c>
      <c r="G775" s="26">
        <v>31874</v>
      </c>
      <c r="H775" s="65">
        <f>DATEDIF(Squads[[#This Row],[Date Of Birth]],World_Cup_Start_Date,"Y")</f>
        <v>35</v>
      </c>
      <c r="I775" s="27">
        <v>115</v>
      </c>
      <c r="J775" s="27">
        <v>4</v>
      </c>
      <c r="K775" s="78" t="s">
        <v>1881</v>
      </c>
      <c r="L775" s="27" t="str">
        <f>_xlfn.XLOOKUP(Squads[[#This Row],[Current Club]],Clubs[Current Club],Clubs[Club_ID])</f>
        <v>USA-14</v>
      </c>
      <c r="M775" s="27" t="str">
        <f>_xlfn.XLOOKUP(Squads[[#This Row],[National Team]],Football_Associations[Football Association],Football_Associations[World Cup Result])</f>
        <v>Group Stage</v>
      </c>
      <c r="N77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76" spans="1:14" ht="15" customHeight="1" x14ac:dyDescent="0.25">
      <c r="A776" s="33">
        <f t="shared" si="12"/>
        <v>1775</v>
      </c>
      <c r="B776" s="23" t="s">
        <v>36</v>
      </c>
      <c r="C776" s="23" t="str">
        <f>VLOOKUP(Squads[[#This Row],[National Team]],Qualified[],3,TRUE)</f>
        <v>Uruguay (URU)</v>
      </c>
      <c r="D776" s="25">
        <v>23</v>
      </c>
      <c r="E776" s="23" t="s">
        <v>133</v>
      </c>
      <c r="F776" s="23" t="s">
        <v>937</v>
      </c>
      <c r="G776" s="26">
        <v>34051</v>
      </c>
      <c r="H776" s="65">
        <f>DATEDIF(Squads[[#This Row],[Date Of Birth]],World_Cup_Start_Date,"Y")</f>
        <v>29</v>
      </c>
      <c r="I776" s="27">
        <v>8</v>
      </c>
      <c r="J776" s="27">
        <v>0</v>
      </c>
      <c r="K776" s="78" t="s">
        <v>1740</v>
      </c>
      <c r="L776" s="27" t="str">
        <f>_xlfn.XLOOKUP(Squads[[#This Row],[Current Club]],Clubs[Current Club],Clubs[Club_ID])</f>
        <v>URU-01</v>
      </c>
      <c r="M776" s="27" t="str">
        <f>_xlfn.XLOOKUP(Squads[[#This Row],[National Team]],Football_Associations[Football Association],Football_Associations[World Cup Result])</f>
        <v>Group Stage</v>
      </c>
      <c r="N77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77" spans="1:14" ht="15" customHeight="1" x14ac:dyDescent="0.25">
      <c r="A777" s="33">
        <f t="shared" si="12"/>
        <v>1776</v>
      </c>
      <c r="B777" s="23" t="s">
        <v>36</v>
      </c>
      <c r="C777" s="23" t="str">
        <f>VLOOKUP(Squads[[#This Row],[National Team]],Qualified[],3,TRUE)</f>
        <v>Uruguay (URU)</v>
      </c>
      <c r="D777" s="25">
        <v>24</v>
      </c>
      <c r="E777" s="23" t="s">
        <v>139</v>
      </c>
      <c r="F777" s="23" t="s">
        <v>938</v>
      </c>
      <c r="G777" s="26">
        <v>36069</v>
      </c>
      <c r="H777" s="65">
        <f>DATEDIF(Squads[[#This Row],[Date Of Birth]],World_Cup_Start_Date,"Y")</f>
        <v>24</v>
      </c>
      <c r="I777" s="27">
        <v>3</v>
      </c>
      <c r="J777" s="27">
        <v>0</v>
      </c>
      <c r="K777" s="78" t="s">
        <v>1825</v>
      </c>
      <c r="L777" s="27" t="str">
        <f>_xlfn.XLOOKUP(Squads[[#This Row],[Current Club]],Clubs[Current Club],Clubs[Club_ID])</f>
        <v>BRA-02</v>
      </c>
      <c r="M777" s="27" t="str">
        <f>_xlfn.XLOOKUP(Squads[[#This Row],[National Team]],Football_Associations[Football Association],Football_Associations[World Cup Result])</f>
        <v>Group Stage</v>
      </c>
      <c r="N77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78" spans="1:14" ht="15" customHeight="1" x14ac:dyDescent="0.25">
      <c r="A778" s="33">
        <f t="shared" si="12"/>
        <v>1777</v>
      </c>
      <c r="B778" s="23" t="s">
        <v>36</v>
      </c>
      <c r="C778" s="23" t="str">
        <f>VLOOKUP(Squads[[#This Row],[National Team]],Qualified[],3,TRUE)</f>
        <v>Uruguay (URU)</v>
      </c>
      <c r="D778" s="25">
        <v>25</v>
      </c>
      <c r="E778" s="23" t="s">
        <v>139</v>
      </c>
      <c r="F778" s="23" t="s">
        <v>939</v>
      </c>
      <c r="G778" s="26">
        <v>36992</v>
      </c>
      <c r="H778" s="65">
        <f>DATEDIF(Squads[[#This Row],[Date Of Birth]],World_Cup_Start_Date,"Y")</f>
        <v>21</v>
      </c>
      <c r="I778" s="27">
        <v>6</v>
      </c>
      <c r="J778" s="27">
        <v>0</v>
      </c>
      <c r="K778" s="78" t="s">
        <v>1720</v>
      </c>
      <c r="L778" s="27" t="str">
        <f>_xlfn.XLOOKUP(Squads[[#This Row],[Current Club]],Clubs[Current Club],Clubs[Club_ID])</f>
        <v>POR-03</v>
      </c>
      <c r="M778" s="27" t="str">
        <f>_xlfn.XLOOKUP(Squads[[#This Row],[National Team]],Football_Associations[Football Association],Football_Associations[World Cup Result])</f>
        <v>Group Stage</v>
      </c>
      <c r="N77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79" spans="1:14" ht="15" customHeight="1" x14ac:dyDescent="0.25">
      <c r="A779" s="33">
        <f t="shared" si="12"/>
        <v>1778</v>
      </c>
      <c r="B779" s="23" t="s">
        <v>36</v>
      </c>
      <c r="C779" s="23" t="str">
        <f>VLOOKUP(Squads[[#This Row],[National Team]],Qualified[],3,TRUE)</f>
        <v>Uruguay (URU)</v>
      </c>
      <c r="D779" s="25">
        <v>26</v>
      </c>
      <c r="E779" s="23" t="s">
        <v>135</v>
      </c>
      <c r="F779" s="23" t="s">
        <v>940</v>
      </c>
      <c r="G779" s="26">
        <v>35503</v>
      </c>
      <c r="H779" s="65">
        <f>DATEDIF(Squads[[#This Row],[Date Of Birth]],World_Cup_Start_Date,"Y")</f>
        <v>25</v>
      </c>
      <c r="I779" s="27">
        <v>0</v>
      </c>
      <c r="J779" s="27">
        <v>0</v>
      </c>
      <c r="K779" s="78" t="s">
        <v>1740</v>
      </c>
      <c r="L779" s="27" t="str">
        <f>_xlfn.XLOOKUP(Squads[[#This Row],[Current Club]],Clubs[Current Club],Clubs[Club_ID])</f>
        <v>URU-01</v>
      </c>
      <c r="M779" s="27" t="str">
        <f>_xlfn.XLOOKUP(Squads[[#This Row],[National Team]],Football_Associations[Football Association],Football_Associations[World Cup Result])</f>
        <v>Group Stage</v>
      </c>
      <c r="N77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80" spans="1:14" ht="15" customHeight="1" x14ac:dyDescent="0.25">
      <c r="A780" s="33">
        <f t="shared" si="12"/>
        <v>1779</v>
      </c>
      <c r="B780" s="23" t="s">
        <v>10</v>
      </c>
      <c r="C780" s="23" t="str">
        <f>VLOOKUP(Squads[[#This Row],[National Team]],Qualified[],3,TRUE)</f>
        <v>USA (USA)</v>
      </c>
      <c r="D780" s="25">
        <v>1</v>
      </c>
      <c r="E780" s="23" t="s">
        <v>133</v>
      </c>
      <c r="F780" s="23" t="s">
        <v>288</v>
      </c>
      <c r="G780" s="26">
        <v>34509</v>
      </c>
      <c r="H780" s="65">
        <f>DATEDIF(Squads[[#This Row],[Date Of Birth]],World_Cup_Start_Date,"Y")</f>
        <v>28</v>
      </c>
      <c r="I780" s="27">
        <v>20</v>
      </c>
      <c r="J780" s="27">
        <v>0</v>
      </c>
      <c r="K780" s="78" t="s">
        <v>1667</v>
      </c>
      <c r="L780" s="27" t="str">
        <f>_xlfn.XLOOKUP(Squads[[#This Row],[Current Club]],Clubs[Current Club],Clubs[Club_ID])</f>
        <v>ENG-05</v>
      </c>
      <c r="M780" s="27" t="str">
        <f>_xlfn.XLOOKUP(Squads[[#This Row],[National Team]],Football_Associations[Football Association],Football_Associations[World Cup Result])</f>
        <v>Last 16</v>
      </c>
      <c r="N78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81" spans="1:14" ht="15" customHeight="1" x14ac:dyDescent="0.25">
      <c r="A781" s="33">
        <f t="shared" si="12"/>
        <v>1780</v>
      </c>
      <c r="B781" s="23" t="s">
        <v>10</v>
      </c>
      <c r="C781" s="23" t="str">
        <f>VLOOKUP(Squads[[#This Row],[National Team]],Qualified[],3,TRUE)</f>
        <v>USA (USA)</v>
      </c>
      <c r="D781" s="25">
        <v>2</v>
      </c>
      <c r="E781" s="23" t="s">
        <v>135</v>
      </c>
      <c r="F781" s="23" t="s">
        <v>289</v>
      </c>
      <c r="G781" s="26">
        <v>36833</v>
      </c>
      <c r="H781" s="65">
        <f>DATEDIF(Squads[[#This Row],[Date Of Birth]],World_Cup_Start_Date,"Y")</f>
        <v>22</v>
      </c>
      <c r="I781" s="27">
        <v>19</v>
      </c>
      <c r="J781" s="27">
        <v>2</v>
      </c>
      <c r="K781" s="78" t="s">
        <v>1677</v>
      </c>
      <c r="L781" s="27" t="str">
        <f>_xlfn.XLOOKUP(Squads[[#This Row],[Current Club]],Clubs[Current Club],Clubs[Club_ID])</f>
        <v>ITA-02</v>
      </c>
      <c r="M781" s="27" t="str">
        <f>_xlfn.XLOOKUP(Squads[[#This Row],[National Team]],Football_Associations[Football Association],Football_Associations[World Cup Result])</f>
        <v>Last 16</v>
      </c>
      <c r="N78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82" spans="1:14" ht="15" customHeight="1" x14ac:dyDescent="0.25">
      <c r="A782" s="33">
        <f t="shared" si="12"/>
        <v>1781</v>
      </c>
      <c r="B782" s="23" t="s">
        <v>10</v>
      </c>
      <c r="C782" s="23" t="str">
        <f>VLOOKUP(Squads[[#This Row],[National Team]],Qualified[],3,TRUE)</f>
        <v>USA (USA)</v>
      </c>
      <c r="D782" s="25">
        <v>3</v>
      </c>
      <c r="E782" s="23" t="s">
        <v>135</v>
      </c>
      <c r="F782" s="23" t="s">
        <v>290</v>
      </c>
      <c r="G782" s="26">
        <v>34108</v>
      </c>
      <c r="H782" s="65">
        <f>DATEDIF(Squads[[#This Row],[Date Of Birth]],World_Cup_Start_Date,"Y")</f>
        <v>29</v>
      </c>
      <c r="I782" s="27">
        <v>33</v>
      </c>
      <c r="J782" s="27">
        <v>3</v>
      </c>
      <c r="K782" s="78" t="s">
        <v>1793</v>
      </c>
      <c r="L782" s="27" t="str">
        <f>_xlfn.XLOOKUP(Squads[[#This Row],[Current Club]],Clubs[Current Club],Clubs[Club_ID])</f>
        <v>USA-05</v>
      </c>
      <c r="M782" s="27" t="str">
        <f>_xlfn.XLOOKUP(Squads[[#This Row],[National Team]],Football_Associations[Football Association],Football_Associations[World Cup Result])</f>
        <v>Last 16</v>
      </c>
      <c r="N78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83" spans="1:14" ht="15" customHeight="1" x14ac:dyDescent="0.25">
      <c r="A783" s="33">
        <f t="shared" si="12"/>
        <v>1782</v>
      </c>
      <c r="B783" s="23" t="s">
        <v>10</v>
      </c>
      <c r="C783" s="23" t="str">
        <f>VLOOKUP(Squads[[#This Row],[National Team]],Qualified[],3,TRUE)</f>
        <v>USA (USA)</v>
      </c>
      <c r="D783" s="25">
        <v>4</v>
      </c>
      <c r="E783" s="23" t="s">
        <v>139</v>
      </c>
      <c r="F783" s="23" t="s">
        <v>291</v>
      </c>
      <c r="G783" s="26">
        <v>36205</v>
      </c>
      <c r="H783" s="65">
        <f>DATEDIF(Squads[[#This Row],[Date Of Birth]],World_Cup_Start_Date,"Y")</f>
        <v>23</v>
      </c>
      <c r="I783" s="27">
        <v>32</v>
      </c>
      <c r="J783" s="27">
        <v>1</v>
      </c>
      <c r="K783" s="78" t="s">
        <v>1736</v>
      </c>
      <c r="L783" s="27" t="str">
        <f>_xlfn.XLOOKUP(Squads[[#This Row],[Current Club]],Clubs[Current Club],Clubs[Club_ID])</f>
        <v>ENG-17</v>
      </c>
      <c r="M783" s="27" t="str">
        <f>_xlfn.XLOOKUP(Squads[[#This Row],[National Team]],Football_Associations[Football Association],Football_Associations[World Cup Result])</f>
        <v>Last 16</v>
      </c>
      <c r="N78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84" spans="1:14" ht="15" customHeight="1" x14ac:dyDescent="0.25">
      <c r="A784" s="33">
        <f t="shared" si="12"/>
        <v>1783</v>
      </c>
      <c r="B784" s="23" t="s">
        <v>10</v>
      </c>
      <c r="C784" s="23" t="str">
        <f>VLOOKUP(Squads[[#This Row],[National Team]],Qualified[],3,TRUE)</f>
        <v>USA (USA)</v>
      </c>
      <c r="D784" s="25">
        <v>5</v>
      </c>
      <c r="E784" s="23" t="s">
        <v>135</v>
      </c>
      <c r="F784" s="23" t="s">
        <v>292</v>
      </c>
      <c r="G784" s="26">
        <v>35650</v>
      </c>
      <c r="H784" s="65">
        <f>DATEDIF(Squads[[#This Row],[Date Of Birth]],World_Cup_Start_Date,"Y")</f>
        <v>25</v>
      </c>
      <c r="I784" s="27">
        <v>29</v>
      </c>
      <c r="J784" s="27">
        <v>2</v>
      </c>
      <c r="K784" s="78" t="s">
        <v>1683</v>
      </c>
      <c r="L784" s="27" t="str">
        <f>_xlfn.XLOOKUP(Squads[[#This Row],[Current Club]],Clubs[Current Club],Clubs[Club_ID])</f>
        <v>ENG-10</v>
      </c>
      <c r="M784" s="27" t="str">
        <f>_xlfn.XLOOKUP(Squads[[#This Row],[National Team]],Football_Associations[Football Association],Football_Associations[World Cup Result])</f>
        <v>Last 16</v>
      </c>
      <c r="N78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85" spans="1:14" ht="15" customHeight="1" x14ac:dyDescent="0.25">
      <c r="A785" s="33">
        <f t="shared" si="12"/>
        <v>1784</v>
      </c>
      <c r="B785" s="23" t="s">
        <v>10</v>
      </c>
      <c r="C785" s="23" t="str">
        <f>VLOOKUP(Squads[[#This Row],[National Team]],Qualified[],3,TRUE)</f>
        <v>USA (USA)</v>
      </c>
      <c r="D785" s="25">
        <v>6</v>
      </c>
      <c r="E785" s="23" t="s">
        <v>139</v>
      </c>
      <c r="F785" s="23" t="s">
        <v>293</v>
      </c>
      <c r="G785" s="26">
        <v>37589</v>
      </c>
      <c r="H785" s="65">
        <f>DATEDIF(Squads[[#This Row],[Date Of Birth]],World_Cup_Start_Date,"Y")</f>
        <v>19</v>
      </c>
      <c r="I785" s="27">
        <v>19</v>
      </c>
      <c r="J785" s="27">
        <v>0</v>
      </c>
      <c r="K785" s="78" t="s">
        <v>1721</v>
      </c>
      <c r="L785" s="27" t="str">
        <f>_xlfn.XLOOKUP(Squads[[#This Row],[Current Club]],Clubs[Current Club],Clubs[Club_ID])</f>
        <v>ESP-07</v>
      </c>
      <c r="M785" s="27" t="str">
        <f>_xlfn.XLOOKUP(Squads[[#This Row],[National Team]],Football_Associations[Football Association],Football_Associations[World Cup Result])</f>
        <v>Last 16</v>
      </c>
      <c r="N78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86" spans="1:14" ht="15" customHeight="1" x14ac:dyDescent="0.25">
      <c r="A786" s="33">
        <f t="shared" si="12"/>
        <v>1785</v>
      </c>
      <c r="B786" s="23" t="s">
        <v>10</v>
      </c>
      <c r="C786" s="23" t="str">
        <f>VLOOKUP(Squads[[#This Row],[National Team]],Qualified[],3,TRUE)</f>
        <v>USA (USA)</v>
      </c>
      <c r="D786" s="25">
        <v>7</v>
      </c>
      <c r="E786" s="23" t="s">
        <v>146</v>
      </c>
      <c r="F786" s="23" t="s">
        <v>294</v>
      </c>
      <c r="G786" s="26">
        <v>37573</v>
      </c>
      <c r="H786" s="65">
        <f>DATEDIF(Squads[[#This Row],[Date Of Birth]],World_Cup_Start_Date,"Y")</f>
        <v>20</v>
      </c>
      <c r="I786" s="27">
        <v>14</v>
      </c>
      <c r="J786" s="27">
        <v>4</v>
      </c>
      <c r="K786" s="78" t="s">
        <v>1663</v>
      </c>
      <c r="L786" s="27" t="str">
        <f>_xlfn.XLOOKUP(Squads[[#This Row],[Current Club]],Clubs[Current Club],Clubs[Club_ID])</f>
        <v>GER-02</v>
      </c>
      <c r="M786" s="27" t="str">
        <f>_xlfn.XLOOKUP(Squads[[#This Row],[National Team]],Football_Associations[Football Association],Football_Associations[World Cup Result])</f>
        <v>Last 16</v>
      </c>
      <c r="N78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87" spans="1:14" ht="15" customHeight="1" x14ac:dyDescent="0.25">
      <c r="A787" s="33">
        <f t="shared" si="12"/>
        <v>1786</v>
      </c>
      <c r="B787" s="23" t="s">
        <v>10</v>
      </c>
      <c r="C787" s="23" t="str">
        <f>VLOOKUP(Squads[[#This Row],[National Team]],Qualified[],3,TRUE)</f>
        <v>USA (USA)</v>
      </c>
      <c r="D787" s="25">
        <v>8</v>
      </c>
      <c r="E787" s="23" t="s">
        <v>139</v>
      </c>
      <c r="F787" s="23" t="s">
        <v>295</v>
      </c>
      <c r="G787" s="26">
        <v>36035</v>
      </c>
      <c r="H787" s="65">
        <f>DATEDIF(Squads[[#This Row],[Date Of Birth]],World_Cup_Start_Date,"Y")</f>
        <v>24</v>
      </c>
      <c r="I787" s="27">
        <v>37</v>
      </c>
      <c r="J787" s="27">
        <v>9</v>
      </c>
      <c r="K787" s="78" t="s">
        <v>1664</v>
      </c>
      <c r="L787" s="27" t="str">
        <f>_xlfn.XLOOKUP(Squads[[#This Row],[Current Club]],Clubs[Current Club],Clubs[Club_ID])</f>
        <v>ITA-01</v>
      </c>
      <c r="M787" s="27" t="str">
        <f>_xlfn.XLOOKUP(Squads[[#This Row],[National Team]],Football_Associations[Football Association],Football_Associations[World Cup Result])</f>
        <v>Last 16</v>
      </c>
      <c r="N78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88" spans="1:14" ht="15" customHeight="1" x14ac:dyDescent="0.25">
      <c r="A788" s="33">
        <f t="shared" si="12"/>
        <v>1787</v>
      </c>
      <c r="B788" s="23" t="s">
        <v>10</v>
      </c>
      <c r="C788" s="23" t="str">
        <f>VLOOKUP(Squads[[#This Row],[National Team]],Qualified[],3,TRUE)</f>
        <v>USA (USA)</v>
      </c>
      <c r="D788" s="25">
        <v>9</v>
      </c>
      <c r="E788" s="23" t="s">
        <v>146</v>
      </c>
      <c r="F788" s="23" t="s">
        <v>296</v>
      </c>
      <c r="G788" s="26">
        <v>36884</v>
      </c>
      <c r="H788" s="65">
        <f>DATEDIF(Squads[[#This Row],[Date Of Birth]],World_Cup_Start_Date,"Y")</f>
        <v>21</v>
      </c>
      <c r="I788" s="27">
        <v>15</v>
      </c>
      <c r="J788" s="27">
        <v>7</v>
      </c>
      <c r="K788" s="78" t="s">
        <v>1857</v>
      </c>
      <c r="L788" s="27" t="str">
        <f>_xlfn.XLOOKUP(Squads[[#This Row],[Current Club]],Clubs[Current Club],Clubs[Club_ID])</f>
        <v>USA-11</v>
      </c>
      <c r="M788" s="27" t="str">
        <f>_xlfn.XLOOKUP(Squads[[#This Row],[National Team]],Football_Associations[Football Association],Football_Associations[World Cup Result])</f>
        <v>Last 16</v>
      </c>
      <c r="N78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89" spans="1:14" ht="15" customHeight="1" x14ac:dyDescent="0.25">
      <c r="A789" s="33">
        <f t="shared" si="12"/>
        <v>1788</v>
      </c>
      <c r="B789" s="23" t="s">
        <v>10</v>
      </c>
      <c r="C789" s="23" t="str">
        <f>VLOOKUP(Squads[[#This Row],[National Team]],Qualified[],3,TRUE)</f>
        <v>USA (USA)</v>
      </c>
      <c r="D789" s="25">
        <v>10</v>
      </c>
      <c r="E789" s="23" t="s">
        <v>146</v>
      </c>
      <c r="F789" s="23" t="s">
        <v>297</v>
      </c>
      <c r="G789" s="26">
        <v>36056</v>
      </c>
      <c r="H789" s="65">
        <f>DATEDIF(Squads[[#This Row],[Date Of Birth]],World_Cup_Start_Date,"Y")</f>
        <v>24</v>
      </c>
      <c r="I789" s="27">
        <v>52</v>
      </c>
      <c r="J789" s="27">
        <v>21</v>
      </c>
      <c r="K789" s="78" t="s">
        <v>1661</v>
      </c>
      <c r="L789" s="27" t="str">
        <f>_xlfn.XLOOKUP(Squads[[#This Row],[Current Club]],Clubs[Current Club],Clubs[Club_ID])</f>
        <v>ENG-03</v>
      </c>
      <c r="M789" s="27" t="str">
        <f>_xlfn.XLOOKUP(Squads[[#This Row],[National Team]],Football_Associations[Football Association],Football_Associations[World Cup Result])</f>
        <v>Last 16</v>
      </c>
      <c r="N78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90" spans="1:14" ht="15" customHeight="1" x14ac:dyDescent="0.25">
      <c r="A790" s="33">
        <f t="shared" si="12"/>
        <v>1789</v>
      </c>
      <c r="B790" s="23" t="s">
        <v>10</v>
      </c>
      <c r="C790" s="23" t="str">
        <f>VLOOKUP(Squads[[#This Row],[National Team]],Qualified[],3,TRUE)</f>
        <v>USA (USA)</v>
      </c>
      <c r="D790" s="25">
        <v>11</v>
      </c>
      <c r="E790" s="23" t="s">
        <v>146</v>
      </c>
      <c r="F790" s="23" t="s">
        <v>298</v>
      </c>
      <c r="G790" s="26">
        <v>36821</v>
      </c>
      <c r="H790" s="65">
        <f>DATEDIF(Squads[[#This Row],[Date Of Birth]],World_Cup_Start_Date,"Y")</f>
        <v>22</v>
      </c>
      <c r="I790" s="27">
        <v>24</v>
      </c>
      <c r="J790" s="27">
        <v>6</v>
      </c>
      <c r="K790" s="78" t="s">
        <v>1736</v>
      </c>
      <c r="L790" s="27" t="str">
        <f>_xlfn.XLOOKUP(Squads[[#This Row],[Current Club]],Clubs[Current Club],Clubs[Club_ID])</f>
        <v>ENG-17</v>
      </c>
      <c r="M790" s="27" t="str">
        <f>_xlfn.XLOOKUP(Squads[[#This Row],[National Team]],Football_Associations[Football Association],Football_Associations[World Cup Result])</f>
        <v>Last 16</v>
      </c>
      <c r="N79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91" spans="1:14" ht="15" customHeight="1" x14ac:dyDescent="0.25">
      <c r="A791" s="33">
        <f t="shared" si="12"/>
        <v>1790</v>
      </c>
      <c r="B791" s="23" t="s">
        <v>10</v>
      </c>
      <c r="C791" s="23" t="str">
        <f>VLOOKUP(Squads[[#This Row],[National Team]],Qualified[],3,TRUE)</f>
        <v>USA (USA)</v>
      </c>
      <c r="D791" s="25">
        <v>12</v>
      </c>
      <c r="E791" s="23" t="s">
        <v>133</v>
      </c>
      <c r="F791" s="23" t="s">
        <v>299</v>
      </c>
      <c r="G791" s="26">
        <v>34859</v>
      </c>
      <c r="H791" s="65">
        <f>DATEDIF(Squads[[#This Row],[Date Of Birth]],World_Cup_Start_Date,"Y")</f>
        <v>27</v>
      </c>
      <c r="I791" s="27">
        <v>8</v>
      </c>
      <c r="J791" s="27">
        <v>0</v>
      </c>
      <c r="K791" s="78" t="s">
        <v>1787</v>
      </c>
      <c r="L791" s="27" t="str">
        <f>_xlfn.XLOOKUP(Squads[[#This Row],[Current Club]],Clubs[Current Club],Clubs[Club_ID])</f>
        <v>ENG-25</v>
      </c>
      <c r="M791" s="27" t="str">
        <f>_xlfn.XLOOKUP(Squads[[#This Row],[National Team]],Football_Associations[Football Association],Football_Associations[World Cup Result])</f>
        <v>Last 16</v>
      </c>
      <c r="N79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92" spans="1:14" ht="15" customHeight="1" x14ac:dyDescent="0.25">
      <c r="A792" s="33">
        <f t="shared" si="12"/>
        <v>1791</v>
      </c>
      <c r="B792" s="23" t="s">
        <v>10</v>
      </c>
      <c r="C792" s="23" t="str">
        <f>VLOOKUP(Squads[[#This Row],[National Team]],Qualified[],3,TRUE)</f>
        <v>USA (USA)</v>
      </c>
      <c r="D792" s="25">
        <v>13</v>
      </c>
      <c r="E792" s="23" t="s">
        <v>135</v>
      </c>
      <c r="F792" s="23" t="s">
        <v>300</v>
      </c>
      <c r="G792" s="26">
        <v>32055</v>
      </c>
      <c r="H792" s="65">
        <f>DATEDIF(Squads[[#This Row],[Date Of Birth]],World_Cup_Start_Date,"Y")</f>
        <v>35</v>
      </c>
      <c r="I792" s="27">
        <v>46</v>
      </c>
      <c r="J792" s="27">
        <v>1</v>
      </c>
      <c r="K792" s="78" t="s">
        <v>1683</v>
      </c>
      <c r="L792" s="27" t="str">
        <f>_xlfn.XLOOKUP(Squads[[#This Row],[Current Club]],Clubs[Current Club],Clubs[Club_ID])</f>
        <v>ENG-10</v>
      </c>
      <c r="M792" s="27" t="str">
        <f>_xlfn.XLOOKUP(Squads[[#This Row],[National Team]],Football_Associations[Football Association],Football_Associations[World Cup Result])</f>
        <v>Last 16</v>
      </c>
      <c r="N79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93" spans="1:14" ht="15" customHeight="1" x14ac:dyDescent="0.25">
      <c r="A793" s="33">
        <f t="shared" si="12"/>
        <v>1792</v>
      </c>
      <c r="B793" s="23" t="s">
        <v>10</v>
      </c>
      <c r="C793" s="23" t="str">
        <f>VLOOKUP(Squads[[#This Row],[National Team]],Qualified[],3,TRUE)</f>
        <v>USA (USA)</v>
      </c>
      <c r="D793" s="25">
        <v>14</v>
      </c>
      <c r="E793" s="23" t="s">
        <v>139</v>
      </c>
      <c r="F793" s="23" t="s">
        <v>301</v>
      </c>
      <c r="G793" s="26">
        <v>35938</v>
      </c>
      <c r="H793" s="65">
        <f>DATEDIF(Squads[[#This Row],[Date Of Birth]],World_Cup_Start_Date,"Y")</f>
        <v>24</v>
      </c>
      <c r="I793" s="27">
        <v>12</v>
      </c>
      <c r="J793" s="27">
        <v>0</v>
      </c>
      <c r="K793" s="78" t="s">
        <v>1772</v>
      </c>
      <c r="L793" s="27" t="str">
        <f>_xlfn.XLOOKUP(Squads[[#This Row],[Current Club]],Clubs[Current Club],Clubs[Club_ID])</f>
        <v>ESP-09</v>
      </c>
      <c r="M793" s="27" t="str">
        <f>_xlfn.XLOOKUP(Squads[[#This Row],[National Team]],Football_Associations[Football Association],Football_Associations[World Cup Result])</f>
        <v>Last 16</v>
      </c>
      <c r="N79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94" spans="1:14" ht="15" customHeight="1" x14ac:dyDescent="0.25">
      <c r="A794" s="33">
        <f t="shared" si="12"/>
        <v>1793</v>
      </c>
      <c r="B794" s="23" t="s">
        <v>10</v>
      </c>
      <c r="C794" s="23" t="str">
        <f>VLOOKUP(Squads[[#This Row],[National Team]],Qualified[],3,TRUE)</f>
        <v>USA (USA)</v>
      </c>
      <c r="D794" s="25">
        <v>15</v>
      </c>
      <c r="E794" s="23" t="s">
        <v>135</v>
      </c>
      <c r="F794" s="23" t="s">
        <v>302</v>
      </c>
      <c r="G794" s="26">
        <v>33889</v>
      </c>
      <c r="H794" s="65">
        <f>DATEDIF(Squads[[#This Row],[Date Of Birth]],World_Cup_Start_Date,"Y")</f>
        <v>30</v>
      </c>
      <c r="I794" s="27">
        <v>29</v>
      </c>
      <c r="J794" s="27">
        <v>3</v>
      </c>
      <c r="K794" s="78" t="s">
        <v>1897</v>
      </c>
      <c r="L794" s="27" t="str">
        <f>_xlfn.XLOOKUP(Squads[[#This Row],[Current Club]],Clubs[Current Club],Clubs[Club_ID])</f>
        <v>USA-17</v>
      </c>
      <c r="M794" s="27" t="str">
        <f>_xlfn.XLOOKUP(Squads[[#This Row],[National Team]],Football_Associations[Football Association],Football_Associations[World Cup Result])</f>
        <v>Last 16</v>
      </c>
      <c r="N79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95" spans="1:14" ht="15" customHeight="1" x14ac:dyDescent="0.25">
      <c r="A795" s="33">
        <f t="shared" si="12"/>
        <v>1794</v>
      </c>
      <c r="B795" s="23" t="s">
        <v>10</v>
      </c>
      <c r="C795" s="23" t="str">
        <f>VLOOKUP(Squads[[#This Row],[National Team]],Qualified[],3,TRUE)</f>
        <v>USA (USA)</v>
      </c>
      <c r="D795" s="25">
        <v>16</v>
      </c>
      <c r="E795" s="23" t="s">
        <v>146</v>
      </c>
      <c r="F795" s="23" t="s">
        <v>303</v>
      </c>
      <c r="G795" s="26">
        <v>34633</v>
      </c>
      <c r="H795" s="65">
        <f>DATEDIF(Squads[[#This Row],[Date Of Birth]],World_Cup_Start_Date,"Y")</f>
        <v>28</v>
      </c>
      <c r="I795" s="27">
        <v>49</v>
      </c>
      <c r="J795" s="27">
        <v>11</v>
      </c>
      <c r="K795" s="78" t="s">
        <v>1719</v>
      </c>
      <c r="L795" s="27" t="str">
        <f>_xlfn.XLOOKUP(Squads[[#This Row],[Current Club]],Clubs[Current Club],Clubs[Club_ID])</f>
        <v>USA-03</v>
      </c>
      <c r="M795" s="27" t="str">
        <f>_xlfn.XLOOKUP(Squads[[#This Row],[National Team]],Football_Associations[Football Association],Football_Associations[World Cup Result])</f>
        <v>Last 16</v>
      </c>
      <c r="N79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96" spans="1:14" ht="15" customHeight="1" x14ac:dyDescent="0.25">
      <c r="A796" s="33">
        <f t="shared" si="12"/>
        <v>1795</v>
      </c>
      <c r="B796" s="23" t="s">
        <v>10</v>
      </c>
      <c r="C796" s="23" t="str">
        <f>VLOOKUP(Squads[[#This Row],[National Team]],Qualified[],3,TRUE)</f>
        <v>USA (USA)</v>
      </c>
      <c r="D796" s="25">
        <v>17</v>
      </c>
      <c r="E796" s="23" t="s">
        <v>139</v>
      </c>
      <c r="F796" s="23" t="s">
        <v>304</v>
      </c>
      <c r="G796" s="26">
        <v>34853</v>
      </c>
      <c r="H796" s="65">
        <f>DATEDIF(Squads[[#This Row],[Date Of Birth]],World_Cup_Start_Date,"Y")</f>
        <v>27</v>
      </c>
      <c r="I796" s="27">
        <v>32</v>
      </c>
      <c r="J796" s="27">
        <v>0</v>
      </c>
      <c r="K796" s="78" t="s">
        <v>1719</v>
      </c>
      <c r="L796" s="27" t="str">
        <f>_xlfn.XLOOKUP(Squads[[#This Row],[Current Club]],Clubs[Current Club],Clubs[Club_ID])</f>
        <v>USA-03</v>
      </c>
      <c r="M796" s="27" t="str">
        <f>_xlfn.XLOOKUP(Squads[[#This Row],[National Team]],Football_Associations[Football Association],Football_Associations[World Cup Result])</f>
        <v>Last 16</v>
      </c>
      <c r="N79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97" spans="1:14" ht="15" customHeight="1" x14ac:dyDescent="0.25">
      <c r="A797" s="33">
        <f t="shared" si="12"/>
        <v>1796</v>
      </c>
      <c r="B797" s="23" t="s">
        <v>10</v>
      </c>
      <c r="C797" s="23" t="str">
        <f>VLOOKUP(Squads[[#This Row],[National Team]],Qualified[],3,TRUE)</f>
        <v>USA (USA)</v>
      </c>
      <c r="D797" s="25">
        <v>18</v>
      </c>
      <c r="E797" s="23" t="s">
        <v>135</v>
      </c>
      <c r="F797" s="23" t="s">
        <v>305</v>
      </c>
      <c r="G797" s="26">
        <v>35371</v>
      </c>
      <c r="H797" s="65">
        <f>DATEDIF(Squads[[#This Row],[Date Of Birth]],World_Cup_Start_Date,"Y")</f>
        <v>26</v>
      </c>
      <c r="I797" s="27">
        <v>15</v>
      </c>
      <c r="J797" s="27">
        <v>1</v>
      </c>
      <c r="K797" s="78" t="s">
        <v>1793</v>
      </c>
      <c r="L797" s="27" t="str">
        <f>_xlfn.XLOOKUP(Squads[[#This Row],[Current Club]],Clubs[Current Club],Clubs[Club_ID])</f>
        <v>USA-05</v>
      </c>
      <c r="M797" s="27" t="str">
        <f>_xlfn.XLOOKUP(Squads[[#This Row],[National Team]],Football_Associations[Football Association],Football_Associations[World Cup Result])</f>
        <v>Last 16</v>
      </c>
      <c r="N79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98" spans="1:14" ht="15" customHeight="1" x14ac:dyDescent="0.25">
      <c r="A798" s="33">
        <f t="shared" si="12"/>
        <v>1797</v>
      </c>
      <c r="B798" s="23" t="s">
        <v>10</v>
      </c>
      <c r="C798" s="23" t="str">
        <f>VLOOKUP(Squads[[#This Row],[National Team]],Qualified[],3,TRUE)</f>
        <v>USA (USA)</v>
      </c>
      <c r="D798" s="25">
        <v>19</v>
      </c>
      <c r="E798" s="23" t="s">
        <v>146</v>
      </c>
      <c r="F798" s="23" t="s">
        <v>306</v>
      </c>
      <c r="G798" s="26">
        <v>35881</v>
      </c>
      <c r="H798" s="65">
        <f>DATEDIF(Squads[[#This Row],[Date Of Birth]],World_Cup_Start_Date,"Y")</f>
        <v>24</v>
      </c>
      <c r="I798" s="27">
        <v>3</v>
      </c>
      <c r="J798" s="27">
        <v>1</v>
      </c>
      <c r="K798" s="78" t="s">
        <v>1822</v>
      </c>
      <c r="L798" s="27" t="str">
        <f>_xlfn.XLOOKUP(Squads[[#This Row],[Current Club]],Clubs[Current Club],Clubs[Club_ID])</f>
        <v>TUR-07</v>
      </c>
      <c r="M798" s="27" t="str">
        <f>_xlfn.XLOOKUP(Squads[[#This Row],[National Team]],Football_Associations[Football Association],Football_Associations[World Cup Result])</f>
        <v>Last 16</v>
      </c>
      <c r="N79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799" spans="1:14" ht="15" customHeight="1" x14ac:dyDescent="0.25">
      <c r="A799" s="33">
        <f t="shared" si="12"/>
        <v>1798</v>
      </c>
      <c r="B799" s="23" t="s">
        <v>10</v>
      </c>
      <c r="C799" s="23" t="str">
        <f>VLOOKUP(Squads[[#This Row],[National Team]],Qualified[],3,TRUE)</f>
        <v>USA (USA)</v>
      </c>
      <c r="D799" s="25">
        <v>20</v>
      </c>
      <c r="E799" s="23" t="s">
        <v>135</v>
      </c>
      <c r="F799" s="23" t="s">
        <v>307</v>
      </c>
      <c r="G799" s="26">
        <v>35795</v>
      </c>
      <c r="H799" s="65">
        <f>DATEDIF(Squads[[#This Row],[Date Of Birth]],World_Cup_Start_Date,"Y")</f>
        <v>24</v>
      </c>
      <c r="I799" s="27">
        <v>11</v>
      </c>
      <c r="J799" s="27">
        <v>0</v>
      </c>
      <c r="K799" s="78" t="s">
        <v>1709</v>
      </c>
      <c r="L799" s="27" t="str">
        <f>_xlfn.XLOOKUP(Squads[[#This Row],[Current Club]],Clubs[Current Club],Clubs[Club_ID])</f>
        <v>SCO-01</v>
      </c>
      <c r="M799" s="27" t="str">
        <f>_xlfn.XLOOKUP(Squads[[#This Row],[National Team]],Football_Associations[Football Association],Football_Associations[World Cup Result])</f>
        <v>Last 16</v>
      </c>
      <c r="N79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00" spans="1:14" ht="15" customHeight="1" x14ac:dyDescent="0.25">
      <c r="A800" s="33">
        <f t="shared" si="12"/>
        <v>1799</v>
      </c>
      <c r="B800" s="23" t="s">
        <v>10</v>
      </c>
      <c r="C800" s="23" t="str">
        <f>VLOOKUP(Squads[[#This Row],[National Team]],Qualified[],3,TRUE)</f>
        <v>USA (USA)</v>
      </c>
      <c r="D800" s="25">
        <v>21</v>
      </c>
      <c r="E800" s="23" t="s">
        <v>146</v>
      </c>
      <c r="F800" s="23" t="s">
        <v>308</v>
      </c>
      <c r="G800" s="26">
        <v>36578</v>
      </c>
      <c r="H800" s="65">
        <f>DATEDIF(Squads[[#This Row],[Date Of Birth]],World_Cup_Start_Date,"Y")</f>
        <v>22</v>
      </c>
      <c r="I800" s="27">
        <v>25</v>
      </c>
      <c r="J800" s="27">
        <v>3</v>
      </c>
      <c r="K800" s="78" t="s">
        <v>1786</v>
      </c>
      <c r="L800" s="27" t="str">
        <f>_xlfn.XLOOKUP(Squads[[#This Row],[Current Club]],Clubs[Current Club],Clubs[Club_ID])</f>
        <v>FRA-08</v>
      </c>
      <c r="M800" s="27" t="str">
        <f>_xlfn.XLOOKUP(Squads[[#This Row],[National Team]],Football_Associations[Football Association],Football_Associations[World Cup Result])</f>
        <v>Last 16</v>
      </c>
      <c r="N80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01" spans="1:14" ht="15" customHeight="1" x14ac:dyDescent="0.25">
      <c r="A801" s="33">
        <f t="shared" si="12"/>
        <v>1800</v>
      </c>
      <c r="B801" s="23" t="s">
        <v>10</v>
      </c>
      <c r="C801" s="23" t="str">
        <f>VLOOKUP(Squads[[#This Row],[National Team]],Qualified[],3,TRUE)</f>
        <v>USA (USA)</v>
      </c>
      <c r="D801" s="25">
        <v>22</v>
      </c>
      <c r="E801" s="23" t="s">
        <v>135</v>
      </c>
      <c r="F801" s="23" t="s">
        <v>309</v>
      </c>
      <c r="G801" s="26">
        <v>34159</v>
      </c>
      <c r="H801" s="65">
        <f>DATEDIF(Squads[[#This Row],[Date Of Birth]],World_Cup_Start_Date,"Y")</f>
        <v>29</v>
      </c>
      <c r="I801" s="27">
        <v>75</v>
      </c>
      <c r="J801" s="27">
        <v>0</v>
      </c>
      <c r="K801" s="78" t="s">
        <v>1878</v>
      </c>
      <c r="L801" s="27" t="str">
        <f>_xlfn.XLOOKUP(Squads[[#This Row],[Current Club]],Clubs[Current Club],Clubs[Club_ID])</f>
        <v>USA-13</v>
      </c>
      <c r="M801" s="27" t="str">
        <f>_xlfn.XLOOKUP(Squads[[#This Row],[National Team]],Football_Associations[Football Association],Football_Associations[World Cup Result])</f>
        <v>Last 16</v>
      </c>
      <c r="N80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02" spans="1:14" ht="15" customHeight="1" x14ac:dyDescent="0.25">
      <c r="A802" s="33">
        <f t="shared" si="12"/>
        <v>1801</v>
      </c>
      <c r="B802" s="23" t="s">
        <v>10</v>
      </c>
      <c r="C802" s="23" t="str">
        <f>VLOOKUP(Squads[[#This Row],[National Team]],Qualified[],3,TRUE)</f>
        <v>USA (USA)</v>
      </c>
      <c r="D802" s="25">
        <v>23</v>
      </c>
      <c r="E802" s="23" t="s">
        <v>139</v>
      </c>
      <c r="F802" s="23" t="s">
        <v>310</v>
      </c>
      <c r="G802" s="26">
        <v>34904</v>
      </c>
      <c r="H802" s="65">
        <f>DATEDIF(Squads[[#This Row],[Date Of Birth]],World_Cup_Start_Date,"Y")</f>
        <v>27</v>
      </c>
      <c r="I802" s="27">
        <v>53</v>
      </c>
      <c r="J802" s="27">
        <v>2</v>
      </c>
      <c r="K802" s="78" t="s">
        <v>1693</v>
      </c>
      <c r="L802" s="27" t="str">
        <f>_xlfn.XLOOKUP(Squads[[#This Row],[Current Club]],Clubs[Current Club],Clubs[Club_ID])</f>
        <v>USA-02</v>
      </c>
      <c r="M802" s="27" t="str">
        <f>_xlfn.XLOOKUP(Squads[[#This Row],[National Team]],Football_Associations[Football Association],Football_Associations[World Cup Result])</f>
        <v>Last 16</v>
      </c>
      <c r="N80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03" spans="1:14" ht="15" customHeight="1" x14ac:dyDescent="0.25">
      <c r="A803" s="33">
        <f t="shared" si="12"/>
        <v>1802</v>
      </c>
      <c r="B803" s="23" t="s">
        <v>10</v>
      </c>
      <c r="C803" s="23" t="str">
        <f>VLOOKUP(Squads[[#This Row],[National Team]],Qualified[],3,TRUE)</f>
        <v>USA (USA)</v>
      </c>
      <c r="D803" s="25">
        <v>24</v>
      </c>
      <c r="E803" s="23" t="s">
        <v>146</v>
      </c>
      <c r="F803" s="23" t="s">
        <v>311</v>
      </c>
      <c r="G803" s="26">
        <v>36576</v>
      </c>
      <c r="H803" s="65">
        <f>DATEDIF(Squads[[#This Row],[Date Of Birth]],World_Cup_Start_Date,"Y")</f>
        <v>22</v>
      </c>
      <c r="I803" s="27">
        <v>20</v>
      </c>
      <c r="J803" s="27">
        <v>5</v>
      </c>
      <c r="K803" s="78" t="s">
        <v>1899</v>
      </c>
      <c r="L803" s="27" t="str">
        <f>_xlfn.XLOOKUP(Squads[[#This Row],[Current Club]],Clubs[Current Club],Clubs[Club_ID])</f>
        <v>ENG-35</v>
      </c>
      <c r="M803" s="27" t="str">
        <f>_xlfn.XLOOKUP(Squads[[#This Row],[National Team]],Football_Associations[Football Association],Football_Associations[World Cup Result])</f>
        <v>Last 16</v>
      </c>
      <c r="N80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04" spans="1:14" ht="15" customHeight="1" x14ac:dyDescent="0.25">
      <c r="A804" s="33">
        <f t="shared" si="12"/>
        <v>1803</v>
      </c>
      <c r="B804" s="23" t="s">
        <v>10</v>
      </c>
      <c r="C804" s="23" t="str">
        <f>VLOOKUP(Squads[[#This Row],[National Team]],Qualified[],3,TRUE)</f>
        <v>USA (USA)</v>
      </c>
      <c r="D804" s="25">
        <v>25</v>
      </c>
      <c r="E804" s="23" t="s">
        <v>133</v>
      </c>
      <c r="F804" s="23" t="s">
        <v>312</v>
      </c>
      <c r="G804" s="26">
        <v>32659</v>
      </c>
      <c r="H804" s="65">
        <f>DATEDIF(Squads[[#This Row],[Date Of Birth]],World_Cup_Start_Date,"Y")</f>
        <v>33</v>
      </c>
      <c r="I804" s="27">
        <v>10</v>
      </c>
      <c r="J804" s="27">
        <v>0</v>
      </c>
      <c r="K804" s="78" t="s">
        <v>1896</v>
      </c>
      <c r="L804" s="27" t="str">
        <f>_xlfn.XLOOKUP(Squads[[#This Row],[Current Club]],Clubs[Current Club],Clubs[Club_ID])</f>
        <v>USA-16</v>
      </c>
      <c r="M804" s="27" t="str">
        <f>_xlfn.XLOOKUP(Squads[[#This Row],[National Team]],Football_Associations[Football Association],Football_Associations[World Cup Result])</f>
        <v>Last 16</v>
      </c>
      <c r="N80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05" spans="1:14" ht="15" customHeight="1" x14ac:dyDescent="0.25">
      <c r="A805" s="33">
        <f t="shared" si="12"/>
        <v>1804</v>
      </c>
      <c r="B805" s="23" t="s">
        <v>10</v>
      </c>
      <c r="C805" s="23" t="str">
        <f>VLOOKUP(Squads[[#This Row],[National Team]],Qualified[],3,TRUE)</f>
        <v>USA (USA)</v>
      </c>
      <c r="D805" s="25">
        <v>26</v>
      </c>
      <c r="E805" s="23" t="s">
        <v>135</v>
      </c>
      <c r="F805" s="23" t="s">
        <v>313</v>
      </c>
      <c r="G805" s="26">
        <v>37621</v>
      </c>
      <c r="H805" s="65">
        <f>DATEDIF(Squads[[#This Row],[Date Of Birth]],World_Cup_Start_Date,"Y")</f>
        <v>19</v>
      </c>
      <c r="I805" s="27">
        <v>3</v>
      </c>
      <c r="J805" s="27">
        <v>0</v>
      </c>
      <c r="K805" s="78" t="s">
        <v>1680</v>
      </c>
      <c r="L805" s="27" t="str">
        <f>_xlfn.XLOOKUP(Squads[[#This Row],[Current Club]],Clubs[Current Club],Clubs[Club_ID])</f>
        <v>GER-05</v>
      </c>
      <c r="M805" s="27" t="str">
        <f>_xlfn.XLOOKUP(Squads[[#This Row],[National Team]],Football_Associations[Football Association],Football_Associations[World Cup Result])</f>
        <v>Last 16</v>
      </c>
      <c r="N80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06" spans="1:14" ht="15" customHeight="1" x14ac:dyDescent="0.25">
      <c r="A806" s="33">
        <f t="shared" si="12"/>
        <v>1805</v>
      </c>
      <c r="B806" s="23" t="s">
        <v>11</v>
      </c>
      <c r="C806" s="23" t="str">
        <f>VLOOKUP(Squads[[#This Row],[National Team]],Qualified[],3,TRUE)</f>
        <v>Wales (WAL)</v>
      </c>
      <c r="D806" s="25">
        <v>1</v>
      </c>
      <c r="E806" s="23" t="s">
        <v>133</v>
      </c>
      <c r="F806" s="23" t="s">
        <v>314</v>
      </c>
      <c r="G806" s="26">
        <v>31801</v>
      </c>
      <c r="H806" s="65">
        <f>DATEDIF(Squads[[#This Row],[Date Of Birth]],World_Cup_Start_Date,"Y")</f>
        <v>35</v>
      </c>
      <c r="I806" s="27">
        <v>106</v>
      </c>
      <c r="J806" s="27">
        <v>0</v>
      </c>
      <c r="K806" s="78" t="s">
        <v>1698</v>
      </c>
      <c r="L806" s="27" t="str">
        <f>_xlfn.XLOOKUP(Squads[[#This Row],[Current Club]],Clubs[Current Club],Clubs[Club_ID])</f>
        <v>ENG-12</v>
      </c>
      <c r="M806" s="27" t="str">
        <f>_xlfn.XLOOKUP(Squads[[#This Row],[National Team]],Football_Associations[Football Association],Football_Associations[World Cup Result])</f>
        <v>Group Stage</v>
      </c>
      <c r="N80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07" spans="1:14" ht="15" customHeight="1" x14ac:dyDescent="0.25">
      <c r="A807" s="33">
        <f t="shared" si="12"/>
        <v>1806</v>
      </c>
      <c r="B807" s="23" t="s">
        <v>11</v>
      </c>
      <c r="C807" s="23" t="str">
        <f>VLOOKUP(Squads[[#This Row],[National Team]],Qualified[],3,TRUE)</f>
        <v>Wales (WAL)</v>
      </c>
      <c r="D807" s="25">
        <v>2</v>
      </c>
      <c r="E807" s="23" t="s">
        <v>135</v>
      </c>
      <c r="F807" s="23" t="s">
        <v>315</v>
      </c>
      <c r="G807" s="26">
        <v>32710</v>
      </c>
      <c r="H807" s="65">
        <f>DATEDIF(Squads[[#This Row],[Date Of Birth]],World_Cup_Start_Date,"Y")</f>
        <v>33</v>
      </c>
      <c r="I807" s="27">
        <v>109</v>
      </c>
      <c r="J807" s="27">
        <v>0</v>
      </c>
      <c r="K807" s="78" t="s">
        <v>1812</v>
      </c>
      <c r="L807" s="27" t="str">
        <f>_xlfn.XLOOKUP(Squads[[#This Row],[Current Club]],Clubs[Current Club],Clubs[Club_ID])</f>
        <v>ENG-30</v>
      </c>
      <c r="M807" s="27" t="str">
        <f>_xlfn.XLOOKUP(Squads[[#This Row],[National Team]],Football_Associations[Football Association],Football_Associations[World Cup Result])</f>
        <v>Group Stage</v>
      </c>
      <c r="N80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08" spans="1:14" ht="15" customHeight="1" x14ac:dyDescent="0.25">
      <c r="A808" s="33">
        <f t="shared" si="12"/>
        <v>1807</v>
      </c>
      <c r="B808" s="23" t="s">
        <v>11</v>
      </c>
      <c r="C808" s="23" t="str">
        <f>VLOOKUP(Squads[[#This Row],[National Team]],Qualified[],3,TRUE)</f>
        <v>Wales (WAL)</v>
      </c>
      <c r="D808" s="25">
        <v>3</v>
      </c>
      <c r="E808" s="23" t="s">
        <v>135</v>
      </c>
      <c r="F808" s="23" t="s">
        <v>316</v>
      </c>
      <c r="G808" s="26">
        <v>36994</v>
      </c>
      <c r="H808" s="65">
        <f>DATEDIF(Squads[[#This Row],[Date Of Birth]],World_Cup_Start_Date,"Y")</f>
        <v>21</v>
      </c>
      <c r="I808" s="27">
        <v>23</v>
      </c>
      <c r="J808" s="27">
        <v>2</v>
      </c>
      <c r="K808" s="78" t="s">
        <v>1698</v>
      </c>
      <c r="L808" s="27" t="str">
        <f>_xlfn.XLOOKUP(Squads[[#This Row],[Current Club]],Clubs[Current Club],Clubs[Club_ID])</f>
        <v>ENG-12</v>
      </c>
      <c r="M808" s="27" t="str">
        <f>_xlfn.XLOOKUP(Squads[[#This Row],[National Team]],Football_Associations[Football Association],Football_Associations[World Cup Result])</f>
        <v>Group Stage</v>
      </c>
      <c r="N80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09" spans="1:14" ht="15" customHeight="1" x14ac:dyDescent="0.25">
      <c r="A809" s="33">
        <f t="shared" si="12"/>
        <v>1808</v>
      </c>
      <c r="B809" s="23" t="s">
        <v>11</v>
      </c>
      <c r="C809" s="23" t="str">
        <f>VLOOKUP(Squads[[#This Row],[National Team]],Qualified[],3,TRUE)</f>
        <v>Wales (WAL)</v>
      </c>
      <c r="D809" s="25">
        <v>4</v>
      </c>
      <c r="E809" s="23" t="s">
        <v>135</v>
      </c>
      <c r="F809" s="23" t="s">
        <v>317</v>
      </c>
      <c r="G809" s="26">
        <v>34083</v>
      </c>
      <c r="H809" s="65">
        <f>DATEDIF(Squads[[#This Row],[Date Of Birth]],World_Cup_Start_Date,"Y")</f>
        <v>29</v>
      </c>
      <c r="I809" s="27">
        <v>74</v>
      </c>
      <c r="J809" s="27">
        <v>1</v>
      </c>
      <c r="K809" s="78" t="s">
        <v>1666</v>
      </c>
      <c r="L809" s="27" t="str">
        <f>_xlfn.XLOOKUP(Squads[[#This Row],[Current Club]],Clubs[Current Club],Clubs[Club_ID])</f>
        <v>ENG-04</v>
      </c>
      <c r="M809" s="27" t="str">
        <f>_xlfn.XLOOKUP(Squads[[#This Row],[National Team]],Football_Associations[Football Association],Football_Associations[World Cup Result])</f>
        <v>Group Stage</v>
      </c>
      <c r="N80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10" spans="1:14" ht="15" customHeight="1" x14ac:dyDescent="0.25">
      <c r="A810" s="33">
        <f t="shared" si="12"/>
        <v>1809</v>
      </c>
      <c r="B810" s="23" t="s">
        <v>11</v>
      </c>
      <c r="C810" s="23" t="str">
        <f>VLOOKUP(Squads[[#This Row],[National Team]],Qualified[],3,TRUE)</f>
        <v>Wales (WAL)</v>
      </c>
      <c r="D810" s="25">
        <v>5</v>
      </c>
      <c r="E810" s="23" t="s">
        <v>135</v>
      </c>
      <c r="F810" s="23" t="s">
        <v>318</v>
      </c>
      <c r="G810" s="26">
        <v>35739</v>
      </c>
      <c r="H810" s="65">
        <f>DATEDIF(Squads[[#This Row],[Date Of Birth]],World_Cup_Start_Date,"Y")</f>
        <v>25</v>
      </c>
      <c r="I810" s="27">
        <v>33</v>
      </c>
      <c r="J810" s="27">
        <v>0</v>
      </c>
      <c r="K810" s="78" t="s">
        <v>1767</v>
      </c>
      <c r="L810" s="27" t="str">
        <f>_xlfn.XLOOKUP(Squads[[#This Row],[Current Club]],Clubs[Current Club],Clubs[Club_ID])</f>
        <v>ENG-21</v>
      </c>
      <c r="M810" s="27" t="str">
        <f>_xlfn.XLOOKUP(Squads[[#This Row],[National Team]],Football_Associations[Football Association],Football_Associations[World Cup Result])</f>
        <v>Group Stage</v>
      </c>
      <c r="N81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11" spans="1:14" ht="15" customHeight="1" x14ac:dyDescent="0.25">
      <c r="A811" s="33">
        <f t="shared" si="12"/>
        <v>1810</v>
      </c>
      <c r="B811" s="23" t="s">
        <v>11</v>
      </c>
      <c r="C811" s="23" t="str">
        <f>VLOOKUP(Squads[[#This Row],[National Team]],Qualified[],3,TRUE)</f>
        <v>Wales (WAL)</v>
      </c>
      <c r="D811" s="25">
        <v>6</v>
      </c>
      <c r="E811" s="23" t="s">
        <v>135</v>
      </c>
      <c r="F811" s="23" t="s">
        <v>319</v>
      </c>
      <c r="G811" s="26">
        <v>35725</v>
      </c>
      <c r="H811" s="65">
        <f>DATEDIF(Squads[[#This Row],[Date Of Birth]],World_Cup_Start_Date,"Y")</f>
        <v>25</v>
      </c>
      <c r="I811" s="27">
        <v>30</v>
      </c>
      <c r="J811" s="27">
        <v>0</v>
      </c>
      <c r="K811" s="78" t="s">
        <v>1671</v>
      </c>
      <c r="L811" s="27" t="str">
        <f>_xlfn.XLOOKUP(Squads[[#This Row],[Current Club]],Clubs[Current Club],Clubs[Club_ID])</f>
        <v>FRA-02</v>
      </c>
      <c r="M811" s="27" t="str">
        <f>_xlfn.XLOOKUP(Squads[[#This Row],[National Team]],Football_Associations[Football Association],Football_Associations[World Cup Result])</f>
        <v>Group Stage</v>
      </c>
      <c r="N81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12" spans="1:14" ht="15" customHeight="1" x14ac:dyDescent="0.25">
      <c r="A812" s="33">
        <f t="shared" si="12"/>
        <v>1811</v>
      </c>
      <c r="B812" s="23" t="s">
        <v>11</v>
      </c>
      <c r="C812" s="23" t="str">
        <f>VLOOKUP(Squads[[#This Row],[National Team]],Qualified[],3,TRUE)</f>
        <v>Wales (WAL)</v>
      </c>
      <c r="D812" s="25">
        <v>7</v>
      </c>
      <c r="E812" s="23" t="s">
        <v>139</v>
      </c>
      <c r="F812" s="23" t="s">
        <v>320</v>
      </c>
      <c r="G812" s="26">
        <v>32946</v>
      </c>
      <c r="H812" s="65">
        <f>DATEDIF(Squads[[#This Row],[Date Of Birth]],World_Cup_Start_Date,"Y")</f>
        <v>32</v>
      </c>
      <c r="I812" s="27">
        <v>72</v>
      </c>
      <c r="J812" s="27">
        <v>2</v>
      </c>
      <c r="K812" s="78" t="s">
        <v>1747</v>
      </c>
      <c r="L812" s="27" t="str">
        <f>_xlfn.XLOOKUP(Squads[[#This Row],[Current Club]],Clubs[Current Club],Clubs[Club_ID])</f>
        <v>ENG-19</v>
      </c>
      <c r="M812" s="27" t="str">
        <f>_xlfn.XLOOKUP(Squads[[#This Row],[National Team]],Football_Associations[Football Association],Football_Associations[World Cup Result])</f>
        <v>Group Stage</v>
      </c>
      <c r="N81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13" spans="1:14" ht="15" customHeight="1" x14ac:dyDescent="0.25">
      <c r="A813" s="33">
        <f t="shared" si="12"/>
        <v>1812</v>
      </c>
      <c r="B813" s="23" t="s">
        <v>11</v>
      </c>
      <c r="C813" s="23" t="str">
        <f>VLOOKUP(Squads[[#This Row],[National Team]],Qualified[],3,TRUE)</f>
        <v>Wales (WAL)</v>
      </c>
      <c r="D813" s="25">
        <v>8</v>
      </c>
      <c r="E813" s="23" t="s">
        <v>139</v>
      </c>
      <c r="F813" s="23" t="s">
        <v>321</v>
      </c>
      <c r="G813" s="26">
        <v>35511</v>
      </c>
      <c r="H813" s="65">
        <f>DATEDIF(Squads[[#This Row],[Date Of Birth]],World_Cup_Start_Date,"Y")</f>
        <v>25</v>
      </c>
      <c r="I813" s="27">
        <v>39</v>
      </c>
      <c r="J813" s="27">
        <v>5</v>
      </c>
      <c r="K813" s="78" t="s">
        <v>1683</v>
      </c>
      <c r="L813" s="27" t="str">
        <f>_xlfn.XLOOKUP(Squads[[#This Row],[Current Club]],Clubs[Current Club],Clubs[Club_ID])</f>
        <v>ENG-10</v>
      </c>
      <c r="M813" s="27" t="str">
        <f>_xlfn.XLOOKUP(Squads[[#This Row],[National Team]],Football_Associations[Football Association],Football_Associations[World Cup Result])</f>
        <v>Group Stage</v>
      </c>
      <c r="N81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14" spans="1:14" ht="15" customHeight="1" x14ac:dyDescent="0.25">
      <c r="A814" s="33">
        <f t="shared" si="12"/>
        <v>1813</v>
      </c>
      <c r="B814" s="23" t="s">
        <v>11</v>
      </c>
      <c r="C814" s="23" t="str">
        <f>VLOOKUP(Squads[[#This Row],[National Team]],Qualified[],3,TRUE)</f>
        <v>Wales (WAL)</v>
      </c>
      <c r="D814" s="25">
        <v>9</v>
      </c>
      <c r="E814" s="23" t="s">
        <v>146</v>
      </c>
      <c r="F814" s="23" t="s">
        <v>322</v>
      </c>
      <c r="G814" s="26">
        <v>37034</v>
      </c>
      <c r="H814" s="65">
        <f>DATEDIF(Squads[[#This Row],[Date Of Birth]],World_Cup_Start_Date,"Y")</f>
        <v>21</v>
      </c>
      <c r="I814" s="27">
        <v>15</v>
      </c>
      <c r="J814" s="27">
        <v>2</v>
      </c>
      <c r="K814" s="78" t="s">
        <v>1698</v>
      </c>
      <c r="L814" s="27" t="str">
        <f>_xlfn.XLOOKUP(Squads[[#This Row],[Current Club]],Clubs[Current Club],Clubs[Club_ID])</f>
        <v>ENG-12</v>
      </c>
      <c r="M814" s="27" t="str">
        <f>_xlfn.XLOOKUP(Squads[[#This Row],[National Team]],Football_Associations[Football Association],Football_Associations[World Cup Result])</f>
        <v>Group Stage</v>
      </c>
      <c r="N81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15" spans="1:14" ht="15" customHeight="1" x14ac:dyDescent="0.25">
      <c r="A815" s="33">
        <f t="shared" si="12"/>
        <v>1814</v>
      </c>
      <c r="B815" s="23" t="s">
        <v>11</v>
      </c>
      <c r="C815" s="23" t="str">
        <f>VLOOKUP(Squads[[#This Row],[National Team]],Qualified[],3,TRUE)</f>
        <v>Wales (WAL)</v>
      </c>
      <c r="D815" s="25">
        <v>10</v>
      </c>
      <c r="E815" s="23" t="s">
        <v>139</v>
      </c>
      <c r="F815" s="23" t="s">
        <v>323</v>
      </c>
      <c r="G815" s="26">
        <v>33233</v>
      </c>
      <c r="H815" s="65">
        <f>DATEDIF(Squads[[#This Row],[Date Of Birth]],World_Cup_Start_Date,"Y")</f>
        <v>31</v>
      </c>
      <c r="I815" s="27">
        <v>75</v>
      </c>
      <c r="J815" s="27">
        <v>20</v>
      </c>
      <c r="K815" s="78" t="s">
        <v>1794</v>
      </c>
      <c r="L815" s="27" t="str">
        <f>_xlfn.XLOOKUP(Squads[[#This Row],[Current Club]],Clubs[Current Club],Clubs[Club_ID])</f>
        <v>FRA-11</v>
      </c>
      <c r="M815" s="27" t="str">
        <f>_xlfn.XLOOKUP(Squads[[#This Row],[National Team]],Football_Associations[Football Association],Football_Associations[World Cup Result])</f>
        <v>Group Stage</v>
      </c>
      <c r="N81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16" spans="1:14" ht="15" customHeight="1" x14ac:dyDescent="0.25">
      <c r="A816" s="33">
        <f t="shared" si="12"/>
        <v>1815</v>
      </c>
      <c r="B816" s="23" t="s">
        <v>11</v>
      </c>
      <c r="C816" s="23" t="str">
        <f>VLOOKUP(Squads[[#This Row],[National Team]],Qualified[],3,TRUE)</f>
        <v>Wales (WAL)</v>
      </c>
      <c r="D816" s="25">
        <v>11</v>
      </c>
      <c r="E816" s="23" t="s">
        <v>146</v>
      </c>
      <c r="F816" s="27" t="s">
        <v>977</v>
      </c>
      <c r="G816" s="26">
        <v>32705</v>
      </c>
      <c r="H816" s="65">
        <f>DATEDIF(Squads[[#This Row],[Date Of Birth]],World_Cup_Start_Date,"Y")</f>
        <v>33</v>
      </c>
      <c r="I816" s="27">
        <v>108</v>
      </c>
      <c r="J816" s="27">
        <v>40</v>
      </c>
      <c r="K816" s="78" t="s">
        <v>1693</v>
      </c>
      <c r="L816" s="27" t="str">
        <f>_xlfn.XLOOKUP(Squads[[#This Row],[Current Club]],Clubs[Current Club],Clubs[Club_ID])</f>
        <v>USA-02</v>
      </c>
      <c r="M816" s="27" t="str">
        <f>_xlfn.XLOOKUP(Squads[[#This Row],[National Team]],Football_Associations[Football Association],Football_Associations[World Cup Result])</f>
        <v>Group Stage</v>
      </c>
      <c r="N81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17" spans="1:14" ht="15" customHeight="1" x14ac:dyDescent="0.25">
      <c r="A817" s="33">
        <f t="shared" si="12"/>
        <v>1816</v>
      </c>
      <c r="B817" s="23" t="s">
        <v>11</v>
      </c>
      <c r="C817" s="23" t="str">
        <f>VLOOKUP(Squads[[#This Row],[National Team]],Qualified[],3,TRUE)</f>
        <v>Wales (WAL)</v>
      </c>
      <c r="D817" s="25">
        <v>12</v>
      </c>
      <c r="E817" s="23" t="s">
        <v>133</v>
      </c>
      <c r="F817" s="23" t="s">
        <v>324</v>
      </c>
      <c r="G817" s="26">
        <v>34142</v>
      </c>
      <c r="H817" s="65">
        <f>DATEDIF(Squads[[#This Row],[Date Of Birth]],World_Cup_Start_Date,"Y")</f>
        <v>29</v>
      </c>
      <c r="I817" s="27">
        <v>26</v>
      </c>
      <c r="J817" s="27">
        <v>0</v>
      </c>
      <c r="K817" s="78" t="s">
        <v>1675</v>
      </c>
      <c r="L817" s="27" t="str">
        <f>_xlfn.XLOOKUP(Squads[[#This Row],[Current Club]],Clubs[Current Club],Clubs[Club_ID])</f>
        <v>ENG-07</v>
      </c>
      <c r="M817" s="27" t="str">
        <f>_xlfn.XLOOKUP(Squads[[#This Row],[National Team]],Football_Associations[Football Association],Football_Associations[World Cup Result])</f>
        <v>Group Stage</v>
      </c>
      <c r="N81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18" spans="1:14" ht="15" customHeight="1" x14ac:dyDescent="0.25">
      <c r="A818" s="33">
        <f t="shared" si="12"/>
        <v>1817</v>
      </c>
      <c r="B818" s="23" t="s">
        <v>11</v>
      </c>
      <c r="C818" s="23" t="str">
        <f>VLOOKUP(Squads[[#This Row],[National Team]],Qualified[],3,TRUE)</f>
        <v>Wales (WAL)</v>
      </c>
      <c r="D818" s="25">
        <v>13</v>
      </c>
      <c r="E818" s="23" t="s">
        <v>146</v>
      </c>
      <c r="F818" s="23" t="s">
        <v>325</v>
      </c>
      <c r="G818" s="26">
        <v>33824</v>
      </c>
      <c r="H818" s="65">
        <f>DATEDIF(Squads[[#This Row],[Date Of Birth]],World_Cup_Start_Date,"Y")</f>
        <v>30</v>
      </c>
      <c r="I818" s="27">
        <v>28</v>
      </c>
      <c r="J818" s="27">
        <v>9</v>
      </c>
      <c r="K818" s="78" t="s">
        <v>1767</v>
      </c>
      <c r="L818" s="27" t="str">
        <f>_xlfn.XLOOKUP(Squads[[#This Row],[Current Club]],Clubs[Current Club],Clubs[Club_ID])</f>
        <v>ENG-21</v>
      </c>
      <c r="M818" s="27" t="str">
        <f>_xlfn.XLOOKUP(Squads[[#This Row],[National Team]],Football_Associations[Football Association],Football_Associations[World Cup Result])</f>
        <v>Group Stage</v>
      </c>
      <c r="N81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19" spans="1:14" ht="15" customHeight="1" x14ac:dyDescent="0.25">
      <c r="A819" s="33">
        <f t="shared" si="12"/>
        <v>1818</v>
      </c>
      <c r="B819" s="23" t="s">
        <v>11</v>
      </c>
      <c r="C819" s="23" t="str">
        <f>VLOOKUP(Squads[[#This Row],[National Team]],Qualified[],3,TRUE)</f>
        <v>Wales (WAL)</v>
      </c>
      <c r="D819" s="25">
        <v>14</v>
      </c>
      <c r="E819" s="23" t="s">
        <v>135</v>
      </c>
      <c r="F819" s="23" t="s">
        <v>326</v>
      </c>
      <c r="G819" s="26">
        <v>34965</v>
      </c>
      <c r="H819" s="65">
        <f>DATEDIF(Squads[[#This Row],[Date Of Birth]],World_Cup_Start_Date,"Y")</f>
        <v>27</v>
      </c>
      <c r="I819" s="27">
        <v>41</v>
      </c>
      <c r="J819" s="27">
        <v>3</v>
      </c>
      <c r="K819" s="78" t="s">
        <v>1770</v>
      </c>
      <c r="L819" s="27" t="str">
        <f>_xlfn.XLOOKUP(Squads[[#This Row],[Current Club]],Clubs[Current Club],Clubs[Club_ID])</f>
        <v>ENG-22</v>
      </c>
      <c r="M819" s="27" t="str">
        <f>_xlfn.XLOOKUP(Squads[[#This Row],[National Team]],Football_Associations[Football Association],Football_Associations[World Cup Result])</f>
        <v>Group Stage</v>
      </c>
      <c r="N81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20" spans="1:14" ht="15" customHeight="1" x14ac:dyDescent="0.25">
      <c r="A820" s="33">
        <f t="shared" si="12"/>
        <v>1819</v>
      </c>
      <c r="B820" s="23" t="s">
        <v>11</v>
      </c>
      <c r="C820" s="23" t="str">
        <f>VLOOKUP(Squads[[#This Row],[National Team]],Qualified[],3,TRUE)</f>
        <v>Wales (WAL)</v>
      </c>
      <c r="D820" s="25">
        <v>15</v>
      </c>
      <c r="E820" s="23" t="s">
        <v>135</v>
      </c>
      <c r="F820" s="23" t="s">
        <v>327</v>
      </c>
      <c r="G820" s="26">
        <v>36783</v>
      </c>
      <c r="H820" s="65">
        <f>DATEDIF(Squads[[#This Row],[Date Of Birth]],World_Cup_Start_Date,"Y")</f>
        <v>22</v>
      </c>
      <c r="I820" s="27">
        <v>37</v>
      </c>
      <c r="J820" s="27">
        <v>0</v>
      </c>
      <c r="K820" s="78" t="s">
        <v>1803</v>
      </c>
      <c r="L820" s="27" t="str">
        <f>_xlfn.XLOOKUP(Squads[[#This Row],[Current Club]],Clubs[Current Club],Clubs[Club_ID])</f>
        <v>ITA-14</v>
      </c>
      <c r="M820" s="27" t="str">
        <f>_xlfn.XLOOKUP(Squads[[#This Row],[National Team]],Football_Associations[Football Association],Football_Associations[World Cup Result])</f>
        <v>Group Stage</v>
      </c>
      <c r="N82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21" spans="1:14" ht="15" customHeight="1" x14ac:dyDescent="0.25">
      <c r="A821" s="33">
        <f t="shared" si="12"/>
        <v>1820</v>
      </c>
      <c r="B821" s="23" t="s">
        <v>11</v>
      </c>
      <c r="C821" s="23" t="str">
        <f>VLOOKUP(Squads[[#This Row],[National Team]],Qualified[],3,TRUE)</f>
        <v>Wales (WAL)</v>
      </c>
      <c r="D821" s="25">
        <v>16</v>
      </c>
      <c r="E821" s="23" t="s">
        <v>139</v>
      </c>
      <c r="F821" s="23" t="s">
        <v>328</v>
      </c>
      <c r="G821" s="26">
        <v>35433</v>
      </c>
      <c r="H821" s="65">
        <f>DATEDIF(Squads[[#This Row],[Date Of Birth]],World_Cup_Start_Date,"Y")</f>
        <v>25</v>
      </c>
      <c r="I821" s="27">
        <v>30</v>
      </c>
      <c r="J821" s="27">
        <v>0</v>
      </c>
      <c r="K821" s="78" t="s">
        <v>1910</v>
      </c>
      <c r="L821" s="27" t="str">
        <f>_xlfn.XLOOKUP(Squads[[#This Row],[Current Club]],Clubs[Current Club],Clubs[Club_ID])</f>
        <v>ENG-36</v>
      </c>
      <c r="M821" s="27" t="str">
        <f>_xlfn.XLOOKUP(Squads[[#This Row],[National Team]],Football_Associations[Football Association],Football_Associations[World Cup Result])</f>
        <v>Group Stage</v>
      </c>
      <c r="N821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22" spans="1:14" ht="15" customHeight="1" x14ac:dyDescent="0.25">
      <c r="A822" s="33">
        <f t="shared" si="12"/>
        <v>1821</v>
      </c>
      <c r="B822" s="23" t="s">
        <v>11</v>
      </c>
      <c r="C822" s="23" t="str">
        <f>VLOOKUP(Squads[[#This Row],[National Team]],Qualified[],3,TRUE)</f>
        <v>Wales (WAL)</v>
      </c>
      <c r="D822" s="25">
        <v>17</v>
      </c>
      <c r="E822" s="23" t="s">
        <v>135</v>
      </c>
      <c r="F822" s="23" t="s">
        <v>329</v>
      </c>
      <c r="G822" s="26">
        <v>34671</v>
      </c>
      <c r="H822" s="65">
        <f>DATEDIF(Squads[[#This Row],[Date Of Birth]],World_Cup_Start_Date,"Y")</f>
        <v>27</v>
      </c>
      <c r="I822" s="27">
        <v>14</v>
      </c>
      <c r="J822" s="27">
        <v>0</v>
      </c>
      <c r="K822" s="78" t="s">
        <v>1787</v>
      </c>
      <c r="L822" s="27" t="str">
        <f>_xlfn.XLOOKUP(Squads[[#This Row],[Current Club]],Clubs[Current Club],Clubs[Club_ID])</f>
        <v>ENG-25</v>
      </c>
      <c r="M822" s="27" t="str">
        <f>_xlfn.XLOOKUP(Squads[[#This Row],[National Team]],Football_Associations[Football Association],Football_Associations[World Cup Result])</f>
        <v>Group Stage</v>
      </c>
      <c r="N822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23" spans="1:14" ht="15" customHeight="1" x14ac:dyDescent="0.25">
      <c r="A823" s="33">
        <f t="shared" si="12"/>
        <v>1822</v>
      </c>
      <c r="B823" s="23" t="s">
        <v>11</v>
      </c>
      <c r="C823" s="23" t="str">
        <f>VLOOKUP(Squads[[#This Row],[National Team]],Qualified[],3,TRUE)</f>
        <v>Wales (WAL)</v>
      </c>
      <c r="D823" s="25">
        <v>18</v>
      </c>
      <c r="E823" s="23" t="s">
        <v>139</v>
      </c>
      <c r="F823" s="23" t="s">
        <v>330</v>
      </c>
      <c r="G823" s="26">
        <v>34251</v>
      </c>
      <c r="H823" s="65">
        <f>DATEDIF(Squads[[#This Row],[Date Of Birth]],World_Cup_Start_Date,"Y")</f>
        <v>29</v>
      </c>
      <c r="I823" s="27">
        <v>33</v>
      </c>
      <c r="J823" s="27">
        <v>2</v>
      </c>
      <c r="K823" s="78" t="s">
        <v>1933</v>
      </c>
      <c r="L823" s="27" t="str">
        <f>_xlfn.XLOOKUP(Squads[[#This Row],[Current Club]],Clubs[Current Club],Clubs[Club_ID])</f>
        <v>ENG-38</v>
      </c>
      <c r="M823" s="27" t="str">
        <f>_xlfn.XLOOKUP(Squads[[#This Row],[National Team]],Football_Associations[Football Association],Football_Associations[World Cup Result])</f>
        <v>Group Stage</v>
      </c>
      <c r="N823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24" spans="1:14" ht="15" customHeight="1" x14ac:dyDescent="0.25">
      <c r="A824" s="33">
        <f t="shared" si="12"/>
        <v>1823</v>
      </c>
      <c r="B824" s="23" t="s">
        <v>11</v>
      </c>
      <c r="C824" s="23" t="str">
        <f>VLOOKUP(Squads[[#This Row],[National Team]],Qualified[],3,TRUE)</f>
        <v>Wales (WAL)</v>
      </c>
      <c r="D824" s="25">
        <v>19</v>
      </c>
      <c r="E824" s="23" t="s">
        <v>146</v>
      </c>
      <c r="F824" s="23" t="s">
        <v>331</v>
      </c>
      <c r="G824" s="26">
        <v>36158</v>
      </c>
      <c r="H824" s="65">
        <f>DATEDIF(Squads[[#This Row],[Date Of Birth]],World_Cup_Start_Date,"Y")</f>
        <v>23</v>
      </c>
      <c r="I824" s="27">
        <v>5</v>
      </c>
      <c r="J824" s="27">
        <v>0</v>
      </c>
      <c r="K824" s="78" t="s">
        <v>1771</v>
      </c>
      <c r="L824" s="27" t="str">
        <f>_xlfn.XLOOKUP(Squads[[#This Row],[Current Club]],Clubs[Current Club],Clubs[Club_ID])</f>
        <v>ENG-23</v>
      </c>
      <c r="M824" s="27" t="str">
        <f>_xlfn.XLOOKUP(Squads[[#This Row],[National Team]],Football_Associations[Football Association],Football_Associations[World Cup Result])</f>
        <v>Group Stage</v>
      </c>
      <c r="N824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25" spans="1:14" ht="15" customHeight="1" x14ac:dyDescent="0.25">
      <c r="A825" s="33">
        <f t="shared" si="12"/>
        <v>1824</v>
      </c>
      <c r="B825" s="23" t="s">
        <v>11</v>
      </c>
      <c r="C825" s="23" t="str">
        <f>VLOOKUP(Squads[[#This Row],[National Team]],Qualified[],3,TRUE)</f>
        <v>Wales (WAL)</v>
      </c>
      <c r="D825" s="25">
        <v>20</v>
      </c>
      <c r="E825" s="23" t="s">
        <v>146</v>
      </c>
      <c r="F825" s="23" t="s">
        <v>332</v>
      </c>
      <c r="G825" s="26">
        <v>35744</v>
      </c>
      <c r="H825" s="65">
        <f>DATEDIF(Squads[[#This Row],[Date Of Birth]],World_Cup_Start_Date,"Y")</f>
        <v>25</v>
      </c>
      <c r="I825" s="27">
        <v>38</v>
      </c>
      <c r="J825" s="27">
        <v>5</v>
      </c>
      <c r="K825" s="78" t="s">
        <v>1683</v>
      </c>
      <c r="L825" s="27" t="str">
        <f>_xlfn.XLOOKUP(Squads[[#This Row],[Current Club]],Clubs[Current Club],Clubs[Club_ID])</f>
        <v>ENG-10</v>
      </c>
      <c r="M825" s="27" t="str">
        <f>_xlfn.XLOOKUP(Squads[[#This Row],[National Team]],Football_Associations[Football Association],Football_Associations[World Cup Result])</f>
        <v>Group Stage</v>
      </c>
      <c r="N825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26" spans="1:14" ht="15" customHeight="1" x14ac:dyDescent="0.25">
      <c r="A826" s="33">
        <f t="shared" si="12"/>
        <v>1825</v>
      </c>
      <c r="B826" s="23" t="s">
        <v>11</v>
      </c>
      <c r="C826" s="23" t="str">
        <f>VLOOKUP(Squads[[#This Row],[National Team]],Qualified[],3,TRUE)</f>
        <v>Wales (WAL)</v>
      </c>
      <c r="D826" s="25">
        <v>21</v>
      </c>
      <c r="E826" s="23" t="s">
        <v>133</v>
      </c>
      <c r="F826" s="23" t="s">
        <v>333</v>
      </c>
      <c r="G826" s="26">
        <v>33802</v>
      </c>
      <c r="H826" s="65">
        <f>DATEDIF(Squads[[#This Row],[Date Of Birth]],World_Cup_Start_Date,"Y")</f>
        <v>30</v>
      </c>
      <c r="I826" s="27">
        <v>4</v>
      </c>
      <c r="J826" s="27">
        <v>0</v>
      </c>
      <c r="K826" s="78" t="s">
        <v>1801</v>
      </c>
      <c r="L826" s="27" t="str">
        <f>_xlfn.XLOOKUP(Squads[[#This Row],[Current Club]],Clubs[Current Club],Clubs[Club_ID])</f>
        <v>ENG-27</v>
      </c>
      <c r="M826" s="27" t="str">
        <f>_xlfn.XLOOKUP(Squads[[#This Row],[National Team]],Football_Associations[Football Association],Football_Associations[World Cup Result])</f>
        <v>Group Stage</v>
      </c>
      <c r="N826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27" spans="1:14" ht="15" customHeight="1" x14ac:dyDescent="0.25">
      <c r="A827" s="33">
        <f t="shared" si="12"/>
        <v>1826</v>
      </c>
      <c r="B827" s="23" t="s">
        <v>11</v>
      </c>
      <c r="C827" s="23" t="str">
        <f>VLOOKUP(Squads[[#This Row],[National Team]],Qualified[],3,TRUE)</f>
        <v>Wales (WAL)</v>
      </c>
      <c r="D827" s="25">
        <v>22</v>
      </c>
      <c r="E827" s="23" t="s">
        <v>139</v>
      </c>
      <c r="F827" s="23" t="s">
        <v>334</v>
      </c>
      <c r="G827" s="26">
        <v>36185</v>
      </c>
      <c r="H827" s="65">
        <f>DATEDIF(Squads[[#This Row],[Date Of Birth]],World_Cup_Start_Date,"Y")</f>
        <v>23</v>
      </c>
      <c r="I827" s="27">
        <v>6</v>
      </c>
      <c r="J827" s="27">
        <v>0</v>
      </c>
      <c r="K827" s="78" t="s">
        <v>1874</v>
      </c>
      <c r="L827" s="27" t="str">
        <f>_xlfn.XLOOKUP(Squads[[#This Row],[Current Club]],Clubs[Current Club],Clubs[Club_ID])</f>
        <v>ENG-32</v>
      </c>
      <c r="M827" s="27" t="str">
        <f>_xlfn.XLOOKUP(Squads[[#This Row],[National Team]],Football_Associations[Football Association],Football_Associations[World Cup Result])</f>
        <v>Group Stage</v>
      </c>
      <c r="N827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28" spans="1:14" ht="15" customHeight="1" x14ac:dyDescent="0.25">
      <c r="A828" s="33">
        <f t="shared" si="12"/>
        <v>1827</v>
      </c>
      <c r="B828" s="23" t="s">
        <v>11</v>
      </c>
      <c r="C828" s="23" t="str">
        <f>VLOOKUP(Squads[[#This Row],[National Team]],Qualified[],3,TRUE)</f>
        <v>Wales (WAL)</v>
      </c>
      <c r="D828" s="25">
        <v>23</v>
      </c>
      <c r="E828" s="23" t="s">
        <v>139</v>
      </c>
      <c r="F828" s="23" t="s">
        <v>335</v>
      </c>
      <c r="G828" s="26">
        <v>36847</v>
      </c>
      <c r="H828" s="65">
        <f>DATEDIF(Squads[[#This Row],[Date Of Birth]],World_Cup_Start_Date,"Y")</f>
        <v>22</v>
      </c>
      <c r="I828" s="27">
        <v>13</v>
      </c>
      <c r="J828" s="27">
        <v>0</v>
      </c>
      <c r="K828" s="78" t="s">
        <v>1776</v>
      </c>
      <c r="L828" s="27" t="str">
        <f>_xlfn.XLOOKUP(Squads[[#This Row],[Current Club]],Clubs[Current Club],Clubs[Club_ID])</f>
        <v>SCO-03</v>
      </c>
      <c r="M828" s="27" t="str">
        <f>_xlfn.XLOOKUP(Squads[[#This Row],[National Team]],Football_Associations[Football Association],Football_Associations[World Cup Result])</f>
        <v>Group Stage</v>
      </c>
      <c r="N828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29" spans="1:14" ht="15" customHeight="1" x14ac:dyDescent="0.25">
      <c r="A829" s="33">
        <f t="shared" si="12"/>
        <v>1828</v>
      </c>
      <c r="B829" s="23" t="s">
        <v>11</v>
      </c>
      <c r="C829" s="23" t="str">
        <f>VLOOKUP(Squads[[#This Row],[National Team]],Qualified[],3,TRUE)</f>
        <v>Wales (WAL)</v>
      </c>
      <c r="D829" s="25">
        <v>24</v>
      </c>
      <c r="E829" s="23" t="s">
        <v>135</v>
      </c>
      <c r="F829" s="23" t="s">
        <v>336</v>
      </c>
      <c r="G829" s="26">
        <v>36676</v>
      </c>
      <c r="H829" s="65">
        <f>DATEDIF(Squads[[#This Row],[Date Of Birth]],World_Cup_Start_Date,"Y")</f>
        <v>22</v>
      </c>
      <c r="I829" s="27">
        <v>5</v>
      </c>
      <c r="J829" s="27">
        <v>0</v>
      </c>
      <c r="K829" s="78" t="s">
        <v>1747</v>
      </c>
      <c r="L829" s="27" t="str">
        <f>_xlfn.XLOOKUP(Squads[[#This Row],[Current Club]],Clubs[Current Club],Clubs[Club_ID])</f>
        <v>ENG-19</v>
      </c>
      <c r="M829" s="27" t="str">
        <f>_xlfn.XLOOKUP(Squads[[#This Row],[National Team]],Football_Associations[Football Association],Football_Associations[World Cup Result])</f>
        <v>Group Stage</v>
      </c>
      <c r="N829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30" spans="1:14" ht="15" customHeight="1" x14ac:dyDescent="0.25">
      <c r="A830" s="33">
        <f t="shared" si="12"/>
        <v>1829</v>
      </c>
      <c r="B830" s="23" t="s">
        <v>11</v>
      </c>
      <c r="C830" s="23" t="str">
        <f>VLOOKUP(Squads[[#This Row],[National Team]],Qualified[],3,TRUE)</f>
        <v>Wales (WAL)</v>
      </c>
      <c r="D830" s="25">
        <v>25</v>
      </c>
      <c r="E830" s="23" t="s">
        <v>139</v>
      </c>
      <c r="F830" s="23" t="s">
        <v>337</v>
      </c>
      <c r="G830" s="26">
        <v>37373</v>
      </c>
      <c r="H830" s="65">
        <f>DATEDIF(Squads[[#This Row],[Date Of Birth]],World_Cup_Start_Date,"Y")</f>
        <v>20</v>
      </c>
      <c r="I830" s="27">
        <v>7</v>
      </c>
      <c r="J830" s="27">
        <v>1</v>
      </c>
      <c r="K830" s="78" t="s">
        <v>1771</v>
      </c>
      <c r="L830" s="27" t="str">
        <f>_xlfn.XLOOKUP(Squads[[#This Row],[Current Club]],Clubs[Current Club],Clubs[Club_ID])</f>
        <v>ENG-23</v>
      </c>
      <c r="M830" s="27" t="str">
        <f>_xlfn.XLOOKUP(Squads[[#This Row],[National Team]],Football_Associations[Football Association],Football_Associations[World Cup Result])</f>
        <v>Group Stage</v>
      </c>
      <c r="N830" s="27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31" spans="1:14" ht="15" customHeight="1" x14ac:dyDescent="0.25">
      <c r="A831" s="33">
        <f t="shared" si="12"/>
        <v>1830</v>
      </c>
      <c r="B831" s="23" t="s">
        <v>11</v>
      </c>
      <c r="C831" s="23" t="str">
        <f>VLOOKUP(Squads[[#This Row],[National Team]],Qualified[],3,TRUE)</f>
        <v>Wales (WAL)</v>
      </c>
      <c r="D831" s="25">
        <v>26</v>
      </c>
      <c r="E831" s="23" t="s">
        <v>139</v>
      </c>
      <c r="F831" s="23" t="s">
        <v>338</v>
      </c>
      <c r="G831" s="26">
        <v>36486</v>
      </c>
      <c r="H831" s="65">
        <f>DATEDIF(Squads[[#This Row],[Date Of Birth]],World_Cup_Start_Date,"Y")</f>
        <v>22</v>
      </c>
      <c r="I831" s="27">
        <v>19</v>
      </c>
      <c r="J831" s="27">
        <v>0</v>
      </c>
      <c r="K831" s="78" t="s">
        <v>1891</v>
      </c>
      <c r="L831" s="31" t="str">
        <f>_xlfn.XLOOKUP(Squads[[#This Row],[Current Club]],Clubs[Current Club],Clubs[Club_ID])</f>
        <v>ENG-34</v>
      </c>
      <c r="M831" s="31" t="str">
        <f>_xlfn.XLOOKUP(Squads[[#This Row],[National Team]],Football_Associations[Football Association],Football_Associations[World Cup Result])</f>
        <v>Group Stage</v>
      </c>
      <c r="N831" s="31">
        <f>IF(Squads[[#This Row],[World Cup Result]]="Winner",1,IF(Squads[[#This Row],[World Cup Result]]="Runner Up",1,IF(Squads[[#This Row],[World Cup Result]]="third",1,IF(Squads[[#This Row],[World Cup Result]]="Fourth",1,0))))</f>
        <v>0</v>
      </c>
    </row>
    <row r="832" spans="1:14" x14ac:dyDescent="0.25">
      <c r="A832" s="36"/>
      <c r="B832" s="37"/>
      <c r="C832" s="37"/>
      <c r="D832" s="38"/>
      <c r="E832" s="39"/>
      <c r="F832" s="40"/>
      <c r="G832" s="36"/>
      <c r="H832" s="36"/>
      <c r="I832" s="36"/>
      <c r="J832" s="36"/>
      <c r="K832" s="36">
        <f>SUBTOTAL(103,Squads[Current Club])</f>
        <v>830</v>
      </c>
      <c r="L832" s="36"/>
      <c r="M832" s="36"/>
      <c r="N832" s="36"/>
    </row>
  </sheetData>
  <phoneticPr fontId="18" type="noConversion"/>
  <pageMargins left="0.7" right="0.7" top="0.75" bottom="0.75" header="0.3" footer="0.3"/>
  <pageSetup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73645-C059-4BCC-9C54-60A23115B444}">
  <sheetPr codeName="Sheet6"/>
  <dimension ref="A1:I519"/>
  <sheetViews>
    <sheetView workbookViewId="0">
      <pane ySplit="1" topLeftCell="A2" activePane="bottomLeft" state="frozen"/>
      <selection pane="bottomLeft" activeCell="P500" sqref="P500"/>
    </sheetView>
  </sheetViews>
  <sheetFormatPr defaultRowHeight="15" x14ac:dyDescent="0.25"/>
  <cols>
    <col min="1" max="1" width="7.42578125" customWidth="1"/>
    <col min="2" max="2" width="19" customWidth="1"/>
    <col min="3" max="3" width="19.42578125" hidden="1" customWidth="1"/>
    <col min="4" max="4" width="17.7109375" hidden="1" customWidth="1"/>
    <col min="5" max="5" width="17.85546875" customWidth="1"/>
    <col min="6" max="6" width="13.7109375" customWidth="1"/>
    <col min="7" max="7" width="11.140625" customWidth="1"/>
    <col min="8" max="8" width="25.28515625" hidden="1" customWidth="1"/>
    <col min="9" max="9" width="12" hidden="1" customWidth="1"/>
    <col min="10" max="10" width="15.85546875" customWidth="1"/>
  </cols>
  <sheetData>
    <row r="1" spans="1:9" ht="32.25" customHeight="1" x14ac:dyDescent="0.25">
      <c r="A1" s="34" t="s">
        <v>104</v>
      </c>
      <c r="B1" s="34" t="s">
        <v>1</v>
      </c>
      <c r="C1" s="34" t="s">
        <v>46</v>
      </c>
      <c r="D1" s="34" t="s">
        <v>47</v>
      </c>
      <c r="E1" s="34" t="s">
        <v>1075</v>
      </c>
      <c r="F1" s="34" t="s">
        <v>1082</v>
      </c>
      <c r="G1" s="34" t="s">
        <v>1101</v>
      </c>
      <c r="H1" s="34" t="s">
        <v>1077</v>
      </c>
      <c r="I1" s="34" t="s">
        <v>163</v>
      </c>
    </row>
    <row r="2" spans="1:9" x14ac:dyDescent="0.25">
      <c r="A2" s="18">
        <v>1</v>
      </c>
      <c r="B2" s="35">
        <f>IFERROR(VLOOKUP(Match_Record[[#This Row],[Match No]],Fixtures[[#All],[Match No]:[Location]],2,TRUE),"")</f>
        <v>44885</v>
      </c>
      <c r="C2" s="2" t="str">
        <f>IFERROR(VLOOKUP(Match_Record[[#This Row],[Match No]],Fixtures[[#All],[Match No]:[Location]],5,TRUE),"")</f>
        <v>Qatar</v>
      </c>
      <c r="D2" s="2" t="str">
        <f>IFERROR(VLOOKUP(Match_Record[[#This Row],[Match No]],Fixtures[[#All],[Match No]:[Location]],8,TRUE),"")</f>
        <v>Ecuador</v>
      </c>
      <c r="E2" s="2" t="s">
        <v>1080</v>
      </c>
      <c r="F2" s="18">
        <v>15</v>
      </c>
      <c r="G2" s="2">
        <v>1572</v>
      </c>
      <c r="H2" s="2" t="str">
        <f>IFERROR(VLOOKUP(Match_Record[[#This Row],[Player_No]],Squads[[Player No]:[Player Name]],6,TRUE),"")</f>
        <v>Saad Al-Sheeb</v>
      </c>
      <c r="I2" s="2" t="str">
        <f>IFERROR(VLOOKUP(Match_Record[[#This Row],[Player_No]],Squads[[Player No]:[Player Name]],2,TRUE),"")</f>
        <v>Qatar</v>
      </c>
    </row>
    <row r="3" spans="1:9" x14ac:dyDescent="0.25">
      <c r="A3" s="18">
        <v>1</v>
      </c>
      <c r="B3" s="35">
        <f>IFERROR(VLOOKUP(Match_Record[[#This Row],[Match No]],Fixtures[[#All],[Match No]:[Location]],2,TRUE),"")</f>
        <v>44885</v>
      </c>
      <c r="C3" s="2" t="str">
        <f>IFERROR(VLOOKUP(Match_Record[[#This Row],[Match No]],Fixtures[[#All],[Match No]:[Location]],5,TRUE),"")</f>
        <v>Qatar</v>
      </c>
      <c r="D3" s="2" t="str">
        <f>IFERROR(VLOOKUP(Match_Record[[#This Row],[Match No]],Fixtures[[#All],[Match No]:[Location]],8,TRUE),"")</f>
        <v>Ecuador</v>
      </c>
      <c r="E3" s="2" t="s">
        <v>1078</v>
      </c>
      <c r="F3" s="18">
        <v>16</v>
      </c>
      <c r="G3" s="2">
        <v>1247</v>
      </c>
      <c r="H3" s="2" t="str">
        <f>IFERROR(VLOOKUP(Match_Record[[#This Row],[Player_No]],Squads[[Player No]:[Player Name]],6,TRUE),"")</f>
        <v>Enner Valencia</v>
      </c>
      <c r="I3" s="2" t="str">
        <f>IFERROR(VLOOKUP(Match_Record[[#This Row],[Player_No]],Squads[[Player No]:[Player Name]],2,TRUE),"")</f>
        <v>Ecuador</v>
      </c>
    </row>
    <row r="4" spans="1:9" x14ac:dyDescent="0.25">
      <c r="A4" s="18">
        <v>1</v>
      </c>
      <c r="B4" s="35">
        <f>IFERROR(VLOOKUP(Match_Record[[#This Row],[Match No]],Fixtures[[#All],[Match No]:[Location]],2,TRUE),"")</f>
        <v>44885</v>
      </c>
      <c r="C4" s="2" t="str">
        <f>IFERROR(VLOOKUP(Match_Record[[#This Row],[Match No]],Fixtures[[#All],[Match No]:[Location]],5,TRUE),"")</f>
        <v>Qatar</v>
      </c>
      <c r="D4" s="2" t="str">
        <f>IFERROR(VLOOKUP(Match_Record[[#This Row],[Match No]],Fixtures[[#All],[Match No]:[Location]],8,TRUE),"")</f>
        <v>Ecuador</v>
      </c>
      <c r="E4" s="2" t="s">
        <v>1080</v>
      </c>
      <c r="F4" s="18">
        <v>22</v>
      </c>
      <c r="G4" s="2">
        <v>1590</v>
      </c>
      <c r="H4" s="2" t="str">
        <f>IFERROR(VLOOKUP(Match_Record[[#This Row],[Player_No]],Squads[[Player No]:[Player Name]],6,TRUE),"")</f>
        <v>Almoez Ali</v>
      </c>
      <c r="I4" s="2" t="str">
        <f>IFERROR(VLOOKUP(Match_Record[[#This Row],[Player_No]],Squads[[Player No]:[Player Name]],2,TRUE),"")</f>
        <v>Qatar</v>
      </c>
    </row>
    <row r="5" spans="1:9" x14ac:dyDescent="0.25">
      <c r="A5" s="18">
        <v>1</v>
      </c>
      <c r="B5" s="35">
        <f>IFERROR(VLOOKUP(Match_Record[[#This Row],[Match No]],Fixtures[[#All],[Match No]:[Location]],2,TRUE),"")</f>
        <v>44885</v>
      </c>
      <c r="C5" s="2" t="str">
        <f>IFERROR(VLOOKUP(Match_Record[[#This Row],[Match No]],Fixtures[[#All],[Match No]:[Location]],5,TRUE),"")</f>
        <v>Qatar</v>
      </c>
      <c r="D5" s="2" t="str">
        <f>IFERROR(VLOOKUP(Match_Record[[#This Row],[Match No]],Fixtures[[#All],[Match No]:[Location]],8,TRUE),"")</f>
        <v>Ecuador</v>
      </c>
      <c r="E5" s="2" t="s">
        <v>1080</v>
      </c>
      <c r="F5" s="18">
        <v>29</v>
      </c>
      <c r="G5" s="2">
        <v>1257</v>
      </c>
      <c r="H5" s="2" t="str">
        <f>IFERROR(VLOOKUP(Match_Record[[#This Row],[Player_No]],Squads[[Player No]:[Player Name]],6,TRUE),"")</f>
        <v>Moisés Caicedo</v>
      </c>
      <c r="I5" s="2" t="str">
        <f>IFERROR(VLOOKUP(Match_Record[[#This Row],[Player_No]],Squads[[Player No]:[Player Name]],2,TRUE),"")</f>
        <v>Ecuador</v>
      </c>
    </row>
    <row r="6" spans="1:9" x14ac:dyDescent="0.25">
      <c r="A6" s="18">
        <v>1</v>
      </c>
      <c r="B6" s="35">
        <f>IFERROR(VLOOKUP(Match_Record[[#This Row],[Match No]],Fixtures[[#All],[Match No]:[Location]],2,TRUE),"")</f>
        <v>44885</v>
      </c>
      <c r="C6" s="2" t="str">
        <f>IFERROR(VLOOKUP(Match_Record[[#This Row],[Match No]],Fixtures[[#All],[Match No]:[Location]],5,TRUE),"")</f>
        <v>Qatar</v>
      </c>
      <c r="D6" s="2" t="str">
        <f>IFERROR(VLOOKUP(Match_Record[[#This Row],[Match No]],Fixtures[[#All],[Match No]:[Location]],8,TRUE),"")</f>
        <v>Ecuador</v>
      </c>
      <c r="E6" s="2" t="s">
        <v>1078</v>
      </c>
      <c r="F6" s="18">
        <v>31</v>
      </c>
      <c r="G6" s="2">
        <v>1247</v>
      </c>
      <c r="H6" s="2" t="str">
        <f>IFERROR(VLOOKUP(Match_Record[[#This Row],[Player_No]],Squads[[Player No]:[Player Name]],6,TRUE),"")</f>
        <v>Enner Valencia</v>
      </c>
      <c r="I6" s="2" t="str">
        <f>IFERROR(VLOOKUP(Match_Record[[#This Row],[Player_No]],Squads[[Player No]:[Player Name]],2,TRUE),"")</f>
        <v>Ecuador</v>
      </c>
    </row>
    <row r="7" spans="1:9" x14ac:dyDescent="0.25">
      <c r="A7" s="18">
        <v>1</v>
      </c>
      <c r="B7" s="35">
        <f>IFERROR(VLOOKUP(Match_Record[[#This Row],[Match No]],Fixtures[[#All],[Match No]:[Location]],2,TRUE),"")</f>
        <v>44885</v>
      </c>
      <c r="C7" s="2" t="str">
        <f>IFERROR(VLOOKUP(Match_Record[[#This Row],[Match No]],Fixtures[[#All],[Match No]:[Location]],5,TRUE),"")</f>
        <v>Qatar</v>
      </c>
      <c r="D7" s="2" t="str">
        <f>IFERROR(VLOOKUP(Match_Record[[#This Row],[Match No]],Fixtures[[#All],[Match No]:[Location]],8,TRUE),"")</f>
        <v>Ecuador</v>
      </c>
      <c r="E7" s="2" t="s">
        <v>1080</v>
      </c>
      <c r="F7" s="18">
        <v>36</v>
      </c>
      <c r="G7" s="2">
        <v>1583</v>
      </c>
      <c r="H7" s="2" t="str">
        <f>IFERROR(VLOOKUP(Match_Record[[#This Row],[Player_No]],Squads[[Player No]:[Player Name]],6,TRUE),"")</f>
        <v>Karim Boudiaf</v>
      </c>
      <c r="I7" s="2" t="str">
        <f>IFERROR(VLOOKUP(Match_Record[[#This Row],[Player_No]],Squads[[Player No]:[Player Name]],2,TRUE),"")</f>
        <v>Qatar</v>
      </c>
    </row>
    <row r="8" spans="1:9" x14ac:dyDescent="0.25">
      <c r="A8" s="18">
        <v>1</v>
      </c>
      <c r="B8" s="35">
        <f>IFERROR(VLOOKUP(Match_Record[[#This Row],[Match No]],Fixtures[[#All],[Match No]:[Location]],2,TRUE),"")</f>
        <v>44885</v>
      </c>
      <c r="C8" s="2" t="str">
        <f>IFERROR(VLOOKUP(Match_Record[[#This Row],[Match No]],Fixtures[[#All],[Match No]:[Location]],5,TRUE),"")</f>
        <v>Qatar</v>
      </c>
      <c r="D8" s="2" t="str">
        <f>IFERROR(VLOOKUP(Match_Record[[#This Row],[Match No]],Fixtures[[#All],[Match No]:[Location]],8,TRUE),"")</f>
        <v>Ecuador</v>
      </c>
      <c r="E8" s="2" t="s">
        <v>1080</v>
      </c>
      <c r="F8" s="18">
        <v>78</v>
      </c>
      <c r="G8" s="2">
        <v>1582</v>
      </c>
      <c r="H8" s="2" t="str">
        <f>IFERROR(VLOOKUP(Match_Record[[#This Row],[Player_No]],Squads[[Player No]:[Player Name]],6,TRUE),"")</f>
        <v>Akram Afif</v>
      </c>
      <c r="I8" s="2" t="str">
        <f>IFERROR(VLOOKUP(Match_Record[[#This Row],[Player_No]],Squads[[Player No]:[Player Name]],2,TRUE),"")</f>
        <v>Qatar</v>
      </c>
    </row>
    <row r="9" spans="1:9" x14ac:dyDescent="0.25">
      <c r="A9" s="18">
        <v>1</v>
      </c>
      <c r="B9" s="35">
        <f>IFERROR(VLOOKUP(Match_Record[[#This Row],[Match No]],Fixtures[[#All],[Match No]:[Location]],2,TRUE),"")</f>
        <v>44885</v>
      </c>
      <c r="C9" s="2" t="str">
        <f>IFERROR(VLOOKUP(Match_Record[[#This Row],[Match No]],Fixtures[[#All],[Match No]:[Location]],5,TRUE),"")</f>
        <v>Qatar</v>
      </c>
      <c r="D9" s="2" t="str">
        <f>IFERROR(VLOOKUP(Match_Record[[#This Row],[Match No]],Fixtures[[#All],[Match No]:[Location]],8,TRUE),"")</f>
        <v>Ecuador</v>
      </c>
      <c r="E9" s="2" t="s">
        <v>1079</v>
      </c>
      <c r="F9" s="18">
        <v>31</v>
      </c>
      <c r="G9" s="2">
        <v>1251</v>
      </c>
      <c r="H9" s="2" t="str">
        <f>IFERROR(VLOOKUP(Match_Record[[#This Row],[Player_No]],Squads[[Player No]:[Player Name]],6,TRUE),"")</f>
        <v>Ángelo Preciado</v>
      </c>
      <c r="I9" s="2" t="str">
        <f>IFERROR(VLOOKUP(Match_Record[[#This Row],[Player_No]],Squads[[Player No]:[Player Name]],2,TRUE),"")</f>
        <v>Ecuador</v>
      </c>
    </row>
    <row r="10" spans="1:9" x14ac:dyDescent="0.25">
      <c r="A10" s="18">
        <v>1</v>
      </c>
      <c r="B10" s="35">
        <f>IFERROR(VLOOKUP(Match_Record[[#This Row],[Match No]],Fixtures[[#All],[Match No]:[Location]],2,TRUE),"")</f>
        <v>44885</v>
      </c>
      <c r="C10" s="2" t="str">
        <f>IFERROR(VLOOKUP(Match_Record[[#This Row],[Match No]],Fixtures[[#All],[Match No]:[Location]],5,TRUE),"")</f>
        <v>Qatar</v>
      </c>
      <c r="D10" s="2" t="str">
        <f>IFERROR(VLOOKUP(Match_Record[[#This Row],[Match No]],Fixtures[[#All],[Match No]:[Location]],8,TRUE),"")</f>
        <v>Ecuador</v>
      </c>
      <c r="E10" s="2" t="s">
        <v>1080</v>
      </c>
      <c r="F10" s="18">
        <v>56</v>
      </c>
      <c r="G10" s="2">
        <v>1254</v>
      </c>
      <c r="H10" s="2" t="str">
        <f>IFERROR(VLOOKUP(Match_Record[[#This Row],[Player_No]],Squads[[Player No]:[Player Name]],6,TRUE),"")</f>
        <v>Jhegson Méndez</v>
      </c>
      <c r="I10" s="2" t="str">
        <f>IFERROR(VLOOKUP(Match_Record[[#This Row],[Player_No]],Squads[[Player No]:[Player Name]],2,TRUE),"")</f>
        <v>Ecuador</v>
      </c>
    </row>
    <row r="11" spans="1:9" x14ac:dyDescent="0.25">
      <c r="A11" s="18">
        <v>3</v>
      </c>
      <c r="B11" s="35">
        <f>IFERROR(VLOOKUP(Match_Record[[#This Row],[Match No]],Fixtures[[#All],[Match No]:[Location]],2,TRUE),"")</f>
        <v>44886</v>
      </c>
      <c r="C11" s="2" t="str">
        <f>IFERROR(VLOOKUP(Match_Record[[#This Row],[Match No]],Fixtures[[#All],[Match No]:[Location]],5,TRUE),"")</f>
        <v>England</v>
      </c>
      <c r="D11" s="2" t="str">
        <f>IFERROR(VLOOKUP(Match_Record[[#This Row],[Match No]],Fixtures[[#All],[Match No]:[Location]],8,TRUE),"")</f>
        <v>Iran</v>
      </c>
      <c r="E11" s="2" t="s">
        <v>1078</v>
      </c>
      <c r="F11" s="18">
        <v>35</v>
      </c>
      <c r="G11" s="2">
        <v>1282</v>
      </c>
      <c r="H11" s="2" t="str">
        <f>IFERROR(VLOOKUP(Match_Record[[#This Row],[Player_No]],Squads[[Player No]:[Player Name]],6,TRUE),"")</f>
        <v>Jude Bellingham</v>
      </c>
      <c r="I11" s="2" t="str">
        <f>IFERROR(VLOOKUP(Match_Record[[#This Row],[Player_No]],Squads[[Player No]:[Player Name]],2,TRUE),"")</f>
        <v>England</v>
      </c>
    </row>
    <row r="12" spans="1:9" x14ac:dyDescent="0.25">
      <c r="A12" s="18">
        <v>3</v>
      </c>
      <c r="B12" s="35">
        <f>IFERROR(VLOOKUP(Match_Record[[#This Row],[Match No]],Fixtures[[#All],[Match No]:[Location]],2,TRUE),"")</f>
        <v>44886</v>
      </c>
      <c r="C12" s="2" t="str">
        <f>IFERROR(VLOOKUP(Match_Record[[#This Row],[Match No]],Fixtures[[#All],[Match No]:[Location]],5,TRUE),"")</f>
        <v>England</v>
      </c>
      <c r="D12" s="2" t="str">
        <f>IFERROR(VLOOKUP(Match_Record[[#This Row],[Match No]],Fixtures[[#All],[Match No]:[Location]],8,TRUE),"")</f>
        <v>Iran</v>
      </c>
      <c r="E12" s="2" t="s">
        <v>1079</v>
      </c>
      <c r="F12" s="18">
        <v>35</v>
      </c>
      <c r="G12" s="2">
        <v>1263</v>
      </c>
      <c r="H12" s="2" t="str">
        <f>IFERROR(VLOOKUP(Match_Record[[#This Row],[Player_No]],Squads[[Player No]:[Player Name]],6,TRUE),"")</f>
        <v>Luke Shaw</v>
      </c>
      <c r="I12" s="2" t="str">
        <f>IFERROR(VLOOKUP(Match_Record[[#This Row],[Player_No]],Squads[[Player No]:[Player Name]],2,TRUE),"")</f>
        <v>England</v>
      </c>
    </row>
    <row r="13" spans="1:9" x14ac:dyDescent="0.25">
      <c r="A13" s="18">
        <v>3</v>
      </c>
      <c r="B13" s="35">
        <f>IFERROR(VLOOKUP(Match_Record[[#This Row],[Match No]],Fixtures[[#All],[Match No]:[Location]],2,TRUE),"")</f>
        <v>44886</v>
      </c>
      <c r="C13" s="2" t="str">
        <f>IFERROR(VLOOKUP(Match_Record[[#This Row],[Match No]],Fixtures[[#All],[Match No]:[Location]],5,TRUE),"")</f>
        <v>England</v>
      </c>
      <c r="D13" s="2" t="str">
        <f>IFERROR(VLOOKUP(Match_Record[[#This Row],[Match No]],Fixtures[[#All],[Match No]:[Location]],8,TRUE),"")</f>
        <v>Iran</v>
      </c>
      <c r="E13" s="2" t="s">
        <v>1078</v>
      </c>
      <c r="F13" s="18">
        <v>43</v>
      </c>
      <c r="G13" s="2">
        <v>1277</v>
      </c>
      <c r="H13" s="2" t="str">
        <f>IFERROR(VLOOKUP(Match_Record[[#This Row],[Player_No]],Squads[[Player No]:[Player Name]],6,TRUE),"")</f>
        <v>Bukayo Saka</v>
      </c>
      <c r="I13" s="2" t="str">
        <f>IFERROR(VLOOKUP(Match_Record[[#This Row],[Player_No]],Squads[[Player No]:[Player Name]],2,TRUE),"")</f>
        <v>England</v>
      </c>
    </row>
    <row r="14" spans="1:9" x14ac:dyDescent="0.25">
      <c r="A14" s="18">
        <v>3</v>
      </c>
      <c r="B14" s="35">
        <f>IFERROR(VLOOKUP(Match_Record[[#This Row],[Match No]],Fixtures[[#All],[Match No]:[Location]],2,TRUE),"")</f>
        <v>44886</v>
      </c>
      <c r="C14" s="2" t="str">
        <f>IFERROR(VLOOKUP(Match_Record[[#This Row],[Match No]],Fixtures[[#All],[Match No]:[Location]],5,TRUE),"")</f>
        <v>England</v>
      </c>
      <c r="D14" s="2" t="str">
        <f>IFERROR(VLOOKUP(Match_Record[[#This Row],[Match No]],Fixtures[[#All],[Match No]:[Location]],8,TRUE),"")</f>
        <v>Iran</v>
      </c>
      <c r="E14" s="2" t="s">
        <v>1079</v>
      </c>
      <c r="F14" s="18">
        <v>43</v>
      </c>
      <c r="G14" s="2">
        <v>1266</v>
      </c>
      <c r="H14" s="2" t="str">
        <f>IFERROR(VLOOKUP(Match_Record[[#This Row],[Player_No]],Squads[[Player No]:[Player Name]],6,TRUE),"")</f>
        <v>Harry Maguire</v>
      </c>
      <c r="I14" s="2" t="str">
        <f>IFERROR(VLOOKUP(Match_Record[[#This Row],[Player_No]],Squads[[Player No]:[Player Name]],2,TRUE),"")</f>
        <v>England</v>
      </c>
    </row>
    <row r="15" spans="1:9" x14ac:dyDescent="0.25">
      <c r="A15" s="18">
        <v>3</v>
      </c>
      <c r="B15" s="35">
        <f>IFERROR(VLOOKUP(Match_Record[[#This Row],[Match No]],Fixtures[[#All],[Match No]:[Location]],2,TRUE),"")</f>
        <v>44886</v>
      </c>
      <c r="C15" s="2" t="str">
        <f>IFERROR(VLOOKUP(Match_Record[[#This Row],[Match No]],Fixtures[[#All],[Match No]:[Location]],5,TRUE),"")</f>
        <v>England</v>
      </c>
      <c r="D15" s="2" t="str">
        <f>IFERROR(VLOOKUP(Match_Record[[#This Row],[Match No]],Fixtures[[#All],[Match No]:[Location]],8,TRUE),"")</f>
        <v>Iran</v>
      </c>
      <c r="E15" s="2" t="s">
        <v>1078</v>
      </c>
      <c r="F15" s="18">
        <v>45</v>
      </c>
      <c r="G15" s="2">
        <v>1270</v>
      </c>
      <c r="H15" s="2" t="str">
        <f>IFERROR(VLOOKUP(Match_Record[[#This Row],[Player_No]],Squads[[Player No]:[Player Name]],6,TRUE),"")</f>
        <v>Raheem Sterling</v>
      </c>
      <c r="I15" s="2" t="str">
        <f>IFERROR(VLOOKUP(Match_Record[[#This Row],[Player_No]],Squads[[Player No]:[Player Name]],2,TRUE),"")</f>
        <v>England</v>
      </c>
    </row>
    <row r="16" spans="1:9" x14ac:dyDescent="0.25">
      <c r="A16" s="18">
        <v>3</v>
      </c>
      <c r="B16" s="35">
        <f>IFERROR(VLOOKUP(Match_Record[[#This Row],[Match No]],Fixtures[[#All],[Match No]:[Location]],2,TRUE),"")</f>
        <v>44886</v>
      </c>
      <c r="C16" s="2" t="str">
        <f>IFERROR(VLOOKUP(Match_Record[[#This Row],[Match No]],Fixtures[[#All],[Match No]:[Location]],5,TRUE),"")</f>
        <v>England</v>
      </c>
      <c r="D16" s="2" t="str">
        <f>IFERROR(VLOOKUP(Match_Record[[#This Row],[Match No]],Fixtures[[#All],[Match No]:[Location]],8,TRUE),"")</f>
        <v>Iran</v>
      </c>
      <c r="E16" s="2" t="s">
        <v>1079</v>
      </c>
      <c r="F16" s="18">
        <v>45</v>
      </c>
      <c r="G16" s="2">
        <v>1269</v>
      </c>
      <c r="H16" s="2" t="str">
        <f>IFERROR(VLOOKUP(Match_Record[[#This Row],[Player_No]],Squads[[Player No]:[Player Name]],6,TRUE),"")</f>
        <v>Harry Kane </v>
      </c>
      <c r="I16" s="2" t="str">
        <f>IFERROR(VLOOKUP(Match_Record[[#This Row],[Player_No]],Squads[[Player No]:[Player Name]],2,TRUE),"")</f>
        <v>England</v>
      </c>
    </row>
    <row r="17" spans="1:9" x14ac:dyDescent="0.25">
      <c r="A17" s="18">
        <v>3</v>
      </c>
      <c r="B17" s="35">
        <f>IFERROR(VLOOKUP(Match_Record[[#This Row],[Match No]],Fixtures[[#All],[Match No]:[Location]],2,TRUE),"")</f>
        <v>44886</v>
      </c>
      <c r="C17" s="2" t="str">
        <f>IFERROR(VLOOKUP(Match_Record[[#This Row],[Match No]],Fixtures[[#All],[Match No]:[Location]],5,TRUE),"")</f>
        <v>England</v>
      </c>
      <c r="D17" s="2" t="str">
        <f>IFERROR(VLOOKUP(Match_Record[[#This Row],[Match No]],Fixtures[[#All],[Match No]:[Location]],8,TRUE),"")</f>
        <v>Iran</v>
      </c>
      <c r="E17" s="2" t="s">
        <v>1078</v>
      </c>
      <c r="F17" s="18">
        <v>62</v>
      </c>
      <c r="G17" s="2">
        <v>1277</v>
      </c>
      <c r="H17" s="2" t="str">
        <f>IFERROR(VLOOKUP(Match_Record[[#This Row],[Player_No]],Squads[[Player No]:[Player Name]],6,TRUE),"")</f>
        <v>Bukayo Saka</v>
      </c>
      <c r="I17" s="2" t="str">
        <f>IFERROR(VLOOKUP(Match_Record[[#This Row],[Player_No]],Squads[[Player No]:[Player Name]],2,TRUE),"")</f>
        <v>England</v>
      </c>
    </row>
    <row r="18" spans="1:9" x14ac:dyDescent="0.25">
      <c r="A18" s="18">
        <v>3</v>
      </c>
      <c r="B18" s="35">
        <f>IFERROR(VLOOKUP(Match_Record[[#This Row],[Match No]],Fixtures[[#All],[Match No]:[Location]],2,TRUE),"")</f>
        <v>44886</v>
      </c>
      <c r="C18" s="2" t="str">
        <f>IFERROR(VLOOKUP(Match_Record[[#This Row],[Match No]],Fixtures[[#All],[Match No]:[Location]],5,TRUE),"")</f>
        <v>England</v>
      </c>
      <c r="D18" s="2" t="str">
        <f>IFERROR(VLOOKUP(Match_Record[[#This Row],[Match No]],Fixtures[[#All],[Match No]:[Location]],8,TRUE),"")</f>
        <v>Iran</v>
      </c>
      <c r="E18" s="2" t="s">
        <v>1079</v>
      </c>
      <c r="F18" s="18">
        <v>62</v>
      </c>
      <c r="G18" s="2">
        <v>1270</v>
      </c>
      <c r="H18" s="2" t="str">
        <f>IFERROR(VLOOKUP(Match_Record[[#This Row],[Player_No]],Squads[[Player No]:[Player Name]],6,TRUE),"")</f>
        <v>Raheem Sterling</v>
      </c>
      <c r="I18" s="2" t="str">
        <f>IFERROR(VLOOKUP(Match_Record[[#This Row],[Player_No]],Squads[[Player No]:[Player Name]],2,TRUE),"")</f>
        <v>England</v>
      </c>
    </row>
    <row r="19" spans="1:9" x14ac:dyDescent="0.25">
      <c r="A19" s="18">
        <v>3</v>
      </c>
      <c r="B19" s="35">
        <f>IFERROR(VLOOKUP(Match_Record[[#This Row],[Match No]],Fixtures[[#All],[Match No]:[Location]],2,TRUE),"")</f>
        <v>44886</v>
      </c>
      <c r="C19" s="2" t="str">
        <f>IFERROR(VLOOKUP(Match_Record[[#This Row],[Match No]],Fixtures[[#All],[Match No]:[Location]],5,TRUE),"")</f>
        <v>England</v>
      </c>
      <c r="D19" s="2" t="str">
        <f>IFERROR(VLOOKUP(Match_Record[[#This Row],[Match No]],Fixtures[[#All],[Match No]:[Location]],8,TRUE),"")</f>
        <v>Iran</v>
      </c>
      <c r="E19" s="2" t="s">
        <v>1078</v>
      </c>
      <c r="F19" s="18">
        <v>71</v>
      </c>
      <c r="G19" s="2">
        <v>1271</v>
      </c>
      <c r="H19" s="2" t="str">
        <f>IFERROR(VLOOKUP(Match_Record[[#This Row],[Player_No]],Squads[[Player No]:[Player Name]],6,TRUE),"")</f>
        <v>Marcus Rashford</v>
      </c>
      <c r="I19" s="2" t="str">
        <f>IFERROR(VLOOKUP(Match_Record[[#This Row],[Player_No]],Squads[[Player No]:[Player Name]],2,TRUE),"")</f>
        <v>England</v>
      </c>
    </row>
    <row r="20" spans="1:9" x14ac:dyDescent="0.25">
      <c r="A20" s="18">
        <v>3</v>
      </c>
      <c r="B20" s="35">
        <f>IFERROR(VLOOKUP(Match_Record[[#This Row],[Match No]],Fixtures[[#All],[Match No]:[Location]],2,TRUE),"")</f>
        <v>44886</v>
      </c>
      <c r="C20" s="2" t="str">
        <f>IFERROR(VLOOKUP(Match_Record[[#This Row],[Match No]],Fixtures[[#All],[Match No]:[Location]],5,TRUE),"")</f>
        <v>England</v>
      </c>
      <c r="D20" s="2" t="str">
        <f>IFERROR(VLOOKUP(Match_Record[[#This Row],[Match No]],Fixtures[[#All],[Match No]:[Location]],8,TRUE),"")</f>
        <v>Iran</v>
      </c>
      <c r="E20" s="2" t="s">
        <v>1079</v>
      </c>
      <c r="F20" s="18">
        <v>71</v>
      </c>
      <c r="G20" s="2">
        <v>1269</v>
      </c>
      <c r="H20" s="2" t="str">
        <f>IFERROR(VLOOKUP(Match_Record[[#This Row],[Player_No]],Squads[[Player No]:[Player Name]],6,TRUE),"")</f>
        <v>Harry Kane </v>
      </c>
      <c r="I20" s="2" t="str">
        <f>IFERROR(VLOOKUP(Match_Record[[#This Row],[Player_No]],Squads[[Player No]:[Player Name]],2,TRUE),"")</f>
        <v>England</v>
      </c>
    </row>
    <row r="21" spans="1:9" x14ac:dyDescent="0.25">
      <c r="A21" s="18">
        <v>3</v>
      </c>
      <c r="B21" s="35">
        <f>IFERROR(VLOOKUP(Match_Record[[#This Row],[Match No]],Fixtures[[#All],[Match No]:[Location]],2,TRUE),"")</f>
        <v>44886</v>
      </c>
      <c r="C21" s="2" t="str">
        <f>IFERROR(VLOOKUP(Match_Record[[#This Row],[Match No]],Fixtures[[#All],[Match No]:[Location]],5,TRUE),"")</f>
        <v>England</v>
      </c>
      <c r="D21" s="2" t="str">
        <f>IFERROR(VLOOKUP(Match_Record[[#This Row],[Match No]],Fixtures[[#All],[Match No]:[Location]],8,TRUE),"")</f>
        <v>Iran</v>
      </c>
      <c r="E21" s="2" t="s">
        <v>1078</v>
      </c>
      <c r="F21" s="18">
        <v>90</v>
      </c>
      <c r="G21" s="2">
        <v>1267</v>
      </c>
      <c r="H21" s="2" t="str">
        <f>IFERROR(VLOOKUP(Match_Record[[#This Row],[Player_No]],Squads[[Player No]:[Player Name]],6,TRUE),"")</f>
        <v>Jack Grealish</v>
      </c>
      <c r="I21" s="2" t="str">
        <f>IFERROR(VLOOKUP(Match_Record[[#This Row],[Player_No]],Squads[[Player No]:[Player Name]],2,TRUE),"")</f>
        <v>England</v>
      </c>
    </row>
    <row r="22" spans="1:9" x14ac:dyDescent="0.25">
      <c r="A22" s="18">
        <v>3</v>
      </c>
      <c r="B22" s="35">
        <f>IFERROR(VLOOKUP(Match_Record[[#This Row],[Match No]],Fixtures[[#All],[Match No]:[Location]],2,TRUE),"")</f>
        <v>44886</v>
      </c>
      <c r="C22" s="2" t="str">
        <f>IFERROR(VLOOKUP(Match_Record[[#This Row],[Match No]],Fixtures[[#All],[Match No]:[Location]],5,TRUE),"")</f>
        <v>England</v>
      </c>
      <c r="D22" s="2" t="str">
        <f>IFERROR(VLOOKUP(Match_Record[[#This Row],[Match No]],Fixtures[[#All],[Match No]:[Location]],8,TRUE),"")</f>
        <v>Iran</v>
      </c>
      <c r="E22" s="2" t="s">
        <v>1079</v>
      </c>
      <c r="F22" s="18">
        <v>90</v>
      </c>
      <c r="G22" s="18">
        <v>1284</v>
      </c>
      <c r="H22" s="2" t="str">
        <f>IFERROR(VLOOKUP(Match_Record[[#This Row],[Player_No]],Squads[[Player No]:[Player Name]],6,TRUE),"")</f>
        <v>Callum Wilson</v>
      </c>
      <c r="I22" s="2" t="str">
        <f>IFERROR(VLOOKUP(Match_Record[[#This Row],[Player_No]],Squads[[Player No]:[Player Name]],2,TRUE),"")</f>
        <v>England</v>
      </c>
    </row>
    <row r="23" spans="1:9" x14ac:dyDescent="0.25">
      <c r="A23" s="18">
        <v>3</v>
      </c>
      <c r="B23" s="35">
        <f>IFERROR(VLOOKUP(Match_Record[[#This Row],[Match No]],Fixtures[[#All],[Match No]:[Location]],2,TRUE),"")</f>
        <v>44886</v>
      </c>
      <c r="C23" s="2" t="str">
        <f>IFERROR(VLOOKUP(Match_Record[[#This Row],[Match No]],Fixtures[[#All],[Match No]:[Location]],5,TRUE),"")</f>
        <v>England</v>
      </c>
      <c r="D23" s="2" t="str">
        <f>IFERROR(VLOOKUP(Match_Record[[#This Row],[Match No]],Fixtures[[#All],[Match No]:[Location]],8,TRUE),"")</f>
        <v>Iran</v>
      </c>
      <c r="E23" s="2" t="s">
        <v>1080</v>
      </c>
      <c r="F23" s="18">
        <v>25</v>
      </c>
      <c r="G23" s="2">
        <v>1371</v>
      </c>
      <c r="H23" s="2" t="str">
        <f>IFERROR(VLOOKUP(Match_Record[[#This Row],[Player_No]],Squads[[Player No]:[Player Name]],6,TRUE),"")</f>
        <v>Alireza Jahanbakhsh</v>
      </c>
      <c r="I23" s="2" t="str">
        <f>IFERROR(VLOOKUP(Match_Record[[#This Row],[Player_No]],Squads[[Player No]:[Player Name]],2,TRUE),"")</f>
        <v>Iran</v>
      </c>
    </row>
    <row r="24" spans="1:9" x14ac:dyDescent="0.25">
      <c r="A24" s="18">
        <v>3</v>
      </c>
      <c r="B24" s="35">
        <f>IFERROR(VLOOKUP(Match_Record[[#This Row],[Match No]],Fixtures[[#All],[Match No]:[Location]],2,TRUE),"")</f>
        <v>44886</v>
      </c>
      <c r="C24" s="2" t="str">
        <f>IFERROR(VLOOKUP(Match_Record[[#This Row],[Match No]],Fixtures[[#All],[Match No]:[Location]],5,TRUE),"")</f>
        <v>England</v>
      </c>
      <c r="D24" s="2" t="str">
        <f>IFERROR(VLOOKUP(Match_Record[[#This Row],[Match No]],Fixtures[[#All],[Match No]:[Location]],8,TRUE),"")</f>
        <v>Iran</v>
      </c>
      <c r="E24" s="2" t="s">
        <v>1080</v>
      </c>
      <c r="F24" s="18">
        <v>48</v>
      </c>
      <c r="G24" s="2">
        <v>1372</v>
      </c>
      <c r="H24" s="2" t="str">
        <f>IFERROR(VLOOKUP(Match_Record[[#This Row],[Player_No]],Squads[[Player No]:[Player Name]],6,TRUE),"")</f>
        <v>Morteza Pouraliganji</v>
      </c>
      <c r="I24" s="2" t="str">
        <f>IFERROR(VLOOKUP(Match_Record[[#This Row],[Player_No]],Squads[[Player No]:[Player Name]],2,TRUE),"")</f>
        <v>Iran</v>
      </c>
    </row>
    <row r="25" spans="1:9" x14ac:dyDescent="0.25">
      <c r="A25" s="18">
        <v>3</v>
      </c>
      <c r="B25" s="35">
        <f>IFERROR(VLOOKUP(Match_Record[[#This Row],[Match No]],Fixtures[[#All],[Match No]:[Location]],2,TRUE),"")</f>
        <v>44886</v>
      </c>
      <c r="C25" s="2" t="str">
        <f>IFERROR(VLOOKUP(Match_Record[[#This Row],[Match No]],Fixtures[[#All],[Match No]:[Location]],5,TRUE),"")</f>
        <v>England</v>
      </c>
      <c r="D25" s="2" t="str">
        <f>IFERROR(VLOOKUP(Match_Record[[#This Row],[Match No]],Fixtures[[#All],[Match No]:[Location]],8,TRUE),"")</f>
        <v>Iran</v>
      </c>
      <c r="E25" s="2" t="s">
        <v>1078</v>
      </c>
      <c r="F25" s="18">
        <v>65</v>
      </c>
      <c r="G25" s="2">
        <v>1373</v>
      </c>
      <c r="H25" s="2" t="str">
        <f>IFERROR(VLOOKUP(Match_Record[[#This Row],[Player_No]],Squads[[Player No]:[Player Name]],6,TRUE),"")</f>
        <v>Mehdi Taremi</v>
      </c>
      <c r="I25" s="2" t="str">
        <f>IFERROR(VLOOKUP(Match_Record[[#This Row],[Player_No]],Squads[[Player No]:[Player Name]],2,TRUE),"")</f>
        <v>Iran</v>
      </c>
    </row>
    <row r="26" spans="1:9" x14ac:dyDescent="0.25">
      <c r="A26" s="18">
        <v>3</v>
      </c>
      <c r="B26" s="35">
        <f>IFERROR(VLOOKUP(Match_Record[[#This Row],[Match No]],Fixtures[[#All],[Match No]:[Location]],2,TRUE),"")</f>
        <v>44886</v>
      </c>
      <c r="C26" s="2" t="str">
        <f>IFERROR(VLOOKUP(Match_Record[[#This Row],[Match No]],Fixtures[[#All],[Match No]:[Location]],5,TRUE),"")</f>
        <v>England</v>
      </c>
      <c r="D26" s="2" t="str">
        <f>IFERROR(VLOOKUP(Match_Record[[#This Row],[Match No]],Fixtures[[#All],[Match No]:[Location]],8,TRUE),"")</f>
        <v>Iran</v>
      </c>
      <c r="E26" s="2" t="s">
        <v>1078</v>
      </c>
      <c r="F26" s="18">
        <v>103</v>
      </c>
      <c r="G26" s="2">
        <v>1373</v>
      </c>
      <c r="H26" s="2" t="str">
        <f>IFERROR(VLOOKUP(Match_Record[[#This Row],[Player_No]],Squads[[Player No]:[Player Name]],6,TRUE),"")</f>
        <v>Mehdi Taremi</v>
      </c>
      <c r="I26" s="2" t="str">
        <f>IFERROR(VLOOKUP(Match_Record[[#This Row],[Player_No]],Squads[[Player No]:[Player Name]],2,TRUE),"")</f>
        <v>Iran</v>
      </c>
    </row>
    <row r="27" spans="1:9" x14ac:dyDescent="0.25">
      <c r="A27" s="18">
        <v>2</v>
      </c>
      <c r="B27" s="35">
        <f>IFERROR(VLOOKUP(Match_Record[[#This Row],[Match No]],Fixtures[[#All],[Match No]:[Location]],2,TRUE),"")</f>
        <v>44886</v>
      </c>
      <c r="C27" s="2" t="str">
        <f>IFERROR(VLOOKUP(Match_Record[[#This Row],[Match No]],Fixtures[[#All],[Match No]:[Location]],5,TRUE),"")</f>
        <v>Senegal</v>
      </c>
      <c r="D27" s="2" t="str">
        <f>IFERROR(VLOOKUP(Match_Record[[#This Row],[Match No]],Fixtures[[#All],[Match No]:[Location]],8,TRUE),"")</f>
        <v>Netherlands</v>
      </c>
      <c r="E27" s="2" t="s">
        <v>1080</v>
      </c>
      <c r="F27" s="18">
        <v>56</v>
      </c>
      <c r="G27" s="2">
        <v>1496</v>
      </c>
      <c r="H27" s="2" t="str">
        <f>IFERROR(VLOOKUP(Match_Record[[#This Row],[Player_No]],Squads[[Player No]:[Player Name]],6,TRUE),"")</f>
        <v>Matthijs de Ligt</v>
      </c>
      <c r="I27" s="2" t="str">
        <f>IFERROR(VLOOKUP(Match_Record[[#This Row],[Player_No]],Squads[[Player No]:[Player Name]],2,TRUE),"")</f>
        <v>Netherlands</v>
      </c>
    </row>
    <row r="28" spans="1:9" x14ac:dyDescent="0.25">
      <c r="A28" s="18">
        <v>2</v>
      </c>
      <c r="B28" s="35">
        <f>IFERROR(VLOOKUP(Match_Record[[#This Row],[Match No]],Fixtures[[#All],[Match No]:[Location]],2,TRUE),"")</f>
        <v>44886</v>
      </c>
      <c r="C28" s="2" t="str">
        <f>IFERROR(VLOOKUP(Match_Record[[#This Row],[Match No]],Fixtures[[#All],[Match No]:[Location]],5,TRUE),"")</f>
        <v>Senegal</v>
      </c>
      <c r="D28" s="2" t="str">
        <f>IFERROR(VLOOKUP(Match_Record[[#This Row],[Match No]],Fixtures[[#All],[Match No]:[Location]],8,TRUE),"")</f>
        <v>Netherlands</v>
      </c>
      <c r="E28" s="2" t="s">
        <v>1078</v>
      </c>
      <c r="F28" s="18">
        <v>84</v>
      </c>
      <c r="G28" s="2">
        <v>1501</v>
      </c>
      <c r="H28" s="2" t="str">
        <f>IFERROR(VLOOKUP(Match_Record[[#This Row],[Player_No]],Squads[[Player No]:[Player Name]],6,TRUE),"")</f>
        <v>Cody Gakpo</v>
      </c>
      <c r="I28" s="2" t="str">
        <f>IFERROR(VLOOKUP(Match_Record[[#This Row],[Player_No]],Squads[[Player No]:[Player Name]],2,TRUE),"")</f>
        <v>Netherlands</v>
      </c>
    </row>
    <row r="29" spans="1:9" x14ac:dyDescent="0.25">
      <c r="A29" s="18">
        <v>2</v>
      </c>
      <c r="B29" s="35">
        <f>IFERROR(VLOOKUP(Match_Record[[#This Row],[Match No]],Fixtures[[#All],[Match No]:[Location]],2,TRUE),"")</f>
        <v>44886</v>
      </c>
      <c r="C29" s="2" t="str">
        <f>IFERROR(VLOOKUP(Match_Record[[#This Row],[Match No]],Fixtures[[#All],[Match No]:[Location]],5,TRUE),"")</f>
        <v>Senegal</v>
      </c>
      <c r="D29" s="2" t="str">
        <f>IFERROR(VLOOKUP(Match_Record[[#This Row],[Match No]],Fixtures[[#All],[Match No]:[Location]],8,TRUE),"")</f>
        <v>Netherlands</v>
      </c>
      <c r="E29" s="2" t="s">
        <v>1079</v>
      </c>
      <c r="F29" s="18">
        <v>84</v>
      </c>
      <c r="G29" s="2">
        <v>1514</v>
      </c>
      <c r="H29" s="2" t="str">
        <f>IFERROR(VLOOKUP(Match_Record[[#This Row],[Player_No]],Squads[[Player No]:[Player Name]],6,TRUE),"")</f>
        <v>Frenkie de Jong</v>
      </c>
      <c r="I29" s="2" t="str">
        <f>IFERROR(VLOOKUP(Match_Record[[#This Row],[Player_No]],Squads[[Player No]:[Player Name]],2,TRUE),"")</f>
        <v>Netherlands</v>
      </c>
    </row>
    <row r="30" spans="1:9" x14ac:dyDescent="0.25">
      <c r="A30" s="18">
        <v>2</v>
      </c>
      <c r="B30" s="35">
        <f>IFERROR(VLOOKUP(Match_Record[[#This Row],[Match No]],Fixtures[[#All],[Match No]:[Location]],2,TRUE),"")</f>
        <v>44886</v>
      </c>
      <c r="C30" s="2" t="str">
        <f>IFERROR(VLOOKUP(Match_Record[[#This Row],[Match No]],Fixtures[[#All],[Match No]:[Location]],5,TRUE),"")</f>
        <v>Senegal</v>
      </c>
      <c r="D30" s="2" t="str">
        <f>IFERROR(VLOOKUP(Match_Record[[#This Row],[Match No]],Fixtures[[#All],[Match No]:[Location]],8,TRUE),"")</f>
        <v>Netherlands</v>
      </c>
      <c r="E30" s="2" t="s">
        <v>1078</v>
      </c>
      <c r="F30" s="18">
        <v>99</v>
      </c>
      <c r="G30" s="2">
        <v>1507</v>
      </c>
      <c r="H30" s="2" t="str">
        <f>IFERROR(VLOOKUP(Match_Record[[#This Row],[Player_No]],Squads[[Player No]:[Player Name]],6,TRUE),"")</f>
        <v>Davy Klaassen</v>
      </c>
      <c r="I30" s="2" t="str">
        <f>IFERROR(VLOOKUP(Match_Record[[#This Row],[Player_No]],Squads[[Player No]:[Player Name]],2,TRUE),"")</f>
        <v>Netherlands</v>
      </c>
    </row>
    <row r="31" spans="1:9" x14ac:dyDescent="0.25">
      <c r="A31" s="18">
        <v>2</v>
      </c>
      <c r="B31" s="35">
        <f>IFERROR(VLOOKUP(Match_Record[[#This Row],[Match No]],Fixtures[[#All],[Match No]:[Location]],2,TRUE),"")</f>
        <v>44886</v>
      </c>
      <c r="C31" s="2" t="str">
        <f>IFERROR(VLOOKUP(Match_Record[[#This Row],[Match No]],Fixtures[[#All],[Match No]:[Location]],5,TRUE),"")</f>
        <v>Senegal</v>
      </c>
      <c r="D31" s="2" t="str">
        <f>IFERROR(VLOOKUP(Match_Record[[#This Row],[Match No]],Fixtures[[#All],[Match No]:[Location]],8,TRUE),"")</f>
        <v>Netherlands</v>
      </c>
      <c r="E31" s="2" t="s">
        <v>1080</v>
      </c>
      <c r="F31" s="18">
        <v>94</v>
      </c>
      <c r="G31" s="2">
        <v>1629</v>
      </c>
      <c r="H31" s="2" t="str">
        <f>IFERROR(VLOOKUP(Match_Record[[#This Row],[Player_No]],Squads[[Player No]:[Player Name]],6,TRUE),"")</f>
        <v>Nampalys Mendy</v>
      </c>
      <c r="I31" s="2" t="str">
        <f>IFERROR(VLOOKUP(Match_Record[[#This Row],[Player_No]],Squads[[Player No]:[Player Name]],2,TRUE),"")</f>
        <v>Senegal</v>
      </c>
    </row>
    <row r="32" spans="1:9" x14ac:dyDescent="0.25">
      <c r="A32" s="18">
        <v>2</v>
      </c>
      <c r="B32" s="35">
        <f>IFERROR(VLOOKUP(Match_Record[[#This Row],[Match No]],Fixtures[[#All],[Match No]:[Location]],2,TRUE),"")</f>
        <v>44886</v>
      </c>
      <c r="C32" s="2" t="str">
        <f>IFERROR(VLOOKUP(Match_Record[[#This Row],[Match No]],Fixtures[[#All],[Match No]:[Location]],5,TRUE),"")</f>
        <v>Senegal</v>
      </c>
      <c r="D32" s="2" t="str">
        <f>IFERROR(VLOOKUP(Match_Record[[#This Row],[Match No]],Fixtures[[#All],[Match No]:[Location]],8,TRUE),"")</f>
        <v>Netherlands</v>
      </c>
      <c r="E32" s="2" t="s">
        <v>1080</v>
      </c>
      <c r="F32" s="18">
        <v>96</v>
      </c>
      <c r="G32" s="2">
        <v>1628</v>
      </c>
      <c r="H32" s="2" t="str">
        <f>IFERROR(VLOOKUP(Match_Record[[#This Row],[Player_No]],Squads[[Player No]:[Player Name]],6,TRUE),"")</f>
        <v>Idrissa Gueye</v>
      </c>
      <c r="I32" s="2" t="str">
        <f>IFERROR(VLOOKUP(Match_Record[[#This Row],[Player_No]],Squads[[Player No]:[Player Name]],2,TRUE),"")</f>
        <v>Senegal</v>
      </c>
    </row>
    <row r="33" spans="1:9" x14ac:dyDescent="0.25">
      <c r="A33" s="18">
        <v>4</v>
      </c>
      <c r="B33" s="35">
        <f>IFERROR(VLOOKUP(Match_Record[[#This Row],[Match No]],Fixtures[[#All],[Match No]:[Location]],2,TRUE),"")</f>
        <v>44886</v>
      </c>
      <c r="C33" s="2" t="str">
        <f>IFERROR(VLOOKUP(Match_Record[[#This Row],[Match No]],Fixtures[[#All],[Match No]:[Location]],5,TRUE),"")</f>
        <v>USA</v>
      </c>
      <c r="D33" s="2" t="str">
        <f>IFERROR(VLOOKUP(Match_Record[[#This Row],[Match No]],Fixtures[[#All],[Match No]:[Location]],8,TRUE),"")</f>
        <v>Wales</v>
      </c>
      <c r="E33" s="2" t="s">
        <v>1080</v>
      </c>
      <c r="F33" s="18">
        <v>11</v>
      </c>
      <c r="G33" s="2">
        <v>1780</v>
      </c>
      <c r="H33" s="2" t="str">
        <f>IFERROR(VLOOKUP(Match_Record[[#This Row],[Player_No]],Squads[[Player No]:[Player Name]],6,TRUE),"")</f>
        <v>Sergiño Dest</v>
      </c>
      <c r="I33" s="2" t="str">
        <f>IFERROR(VLOOKUP(Match_Record[[#This Row],[Player_No]],Squads[[Player No]:[Player Name]],2,TRUE),"")</f>
        <v>USA</v>
      </c>
    </row>
    <row r="34" spans="1:9" x14ac:dyDescent="0.25">
      <c r="A34" s="18">
        <v>4</v>
      </c>
      <c r="B34" s="35">
        <f>IFERROR(VLOOKUP(Match_Record[[#This Row],[Match No]],Fixtures[[#All],[Match No]:[Location]],2,TRUE),"")</f>
        <v>44886</v>
      </c>
      <c r="C34" s="2" t="str">
        <f>IFERROR(VLOOKUP(Match_Record[[#This Row],[Match No]],Fixtures[[#All],[Match No]:[Location]],5,TRUE),"")</f>
        <v>USA</v>
      </c>
      <c r="D34" s="2" t="str">
        <f>IFERROR(VLOOKUP(Match_Record[[#This Row],[Match No]],Fixtures[[#All],[Match No]:[Location]],8,TRUE),"")</f>
        <v>Wales</v>
      </c>
      <c r="E34" s="2" t="s">
        <v>1080</v>
      </c>
      <c r="F34" s="18">
        <v>13</v>
      </c>
      <c r="G34" s="2">
        <v>1786</v>
      </c>
      <c r="H34" s="2" t="str">
        <f>IFERROR(VLOOKUP(Match_Record[[#This Row],[Player_No]],Squads[[Player No]:[Player Name]],6,TRUE),"")</f>
        <v>Weston McKennie</v>
      </c>
      <c r="I34" s="2" t="str">
        <f>IFERROR(VLOOKUP(Match_Record[[#This Row],[Player_No]],Squads[[Player No]:[Player Name]],2,TRUE),"")</f>
        <v>USA</v>
      </c>
    </row>
    <row r="35" spans="1:9" x14ac:dyDescent="0.25">
      <c r="A35" s="18">
        <v>4</v>
      </c>
      <c r="B35" s="35">
        <f>IFERROR(VLOOKUP(Match_Record[[#This Row],[Match No]],Fixtures[[#All],[Match No]:[Location]],2,TRUE),"")</f>
        <v>44886</v>
      </c>
      <c r="C35" s="2" t="str">
        <f>IFERROR(VLOOKUP(Match_Record[[#This Row],[Match No]],Fixtures[[#All],[Match No]:[Location]],5,TRUE),"")</f>
        <v>USA</v>
      </c>
      <c r="D35" s="2" t="str">
        <f>IFERROR(VLOOKUP(Match_Record[[#This Row],[Match No]],Fixtures[[#All],[Match No]:[Location]],8,TRUE),"")</f>
        <v>Wales</v>
      </c>
      <c r="E35" s="2" t="s">
        <v>1078</v>
      </c>
      <c r="F35" s="18">
        <v>36</v>
      </c>
      <c r="G35" s="2">
        <v>1799</v>
      </c>
      <c r="H35" s="2" t="str">
        <f>IFERROR(VLOOKUP(Match_Record[[#This Row],[Player_No]],Squads[[Player No]:[Player Name]],6,TRUE),"")</f>
        <v>Timothy Weah</v>
      </c>
      <c r="I35" s="2" t="str">
        <f>IFERROR(VLOOKUP(Match_Record[[#This Row],[Player_No]],Squads[[Player No]:[Player Name]],2,TRUE),"")</f>
        <v>USA</v>
      </c>
    </row>
    <row r="36" spans="1:9" x14ac:dyDescent="0.25">
      <c r="A36" s="18">
        <v>4</v>
      </c>
      <c r="B36" s="35">
        <f>IFERROR(VLOOKUP(Match_Record[[#This Row],[Match No]],Fixtures[[#All],[Match No]:[Location]],2,TRUE),"")</f>
        <v>44886</v>
      </c>
      <c r="C36" s="2" t="str">
        <f>IFERROR(VLOOKUP(Match_Record[[#This Row],[Match No]],Fixtures[[#All],[Match No]:[Location]],5,TRUE),"")</f>
        <v>USA</v>
      </c>
      <c r="D36" s="2" t="str">
        <f>IFERROR(VLOOKUP(Match_Record[[#This Row],[Match No]],Fixtures[[#All],[Match No]:[Location]],8,TRUE),"")</f>
        <v>Wales</v>
      </c>
      <c r="E36" s="2" t="s">
        <v>1079</v>
      </c>
      <c r="F36" s="18">
        <v>36</v>
      </c>
      <c r="G36" s="2">
        <v>1788</v>
      </c>
      <c r="H36" s="2" t="str">
        <f>IFERROR(VLOOKUP(Match_Record[[#This Row],[Player_No]],Squads[[Player No]:[Player Name]],6,TRUE),"")</f>
        <v>Christian Pulisic</v>
      </c>
      <c r="I36" s="2" t="str">
        <f>IFERROR(VLOOKUP(Match_Record[[#This Row],[Player_No]],Squads[[Player No]:[Player Name]],2,TRUE),"")</f>
        <v>USA</v>
      </c>
    </row>
    <row r="37" spans="1:9" x14ac:dyDescent="0.25">
      <c r="A37" s="18">
        <v>4</v>
      </c>
      <c r="B37" s="35">
        <f>IFERROR(VLOOKUP(Match_Record[[#This Row],[Match No]],Fixtures[[#All],[Match No]:[Location]],2,TRUE),"")</f>
        <v>44886</v>
      </c>
      <c r="C37" s="2" t="str">
        <f>IFERROR(VLOOKUP(Match_Record[[#This Row],[Match No]],Fixtures[[#All],[Match No]:[Location]],5,TRUE),"")</f>
        <v>USA</v>
      </c>
      <c r="D37" s="2" t="str">
        <f>IFERROR(VLOOKUP(Match_Record[[#This Row],[Match No]],Fixtures[[#All],[Match No]:[Location]],8,TRUE),"")</f>
        <v>Wales</v>
      </c>
      <c r="E37" s="2" t="s">
        <v>1080</v>
      </c>
      <c r="F37" s="18">
        <v>51</v>
      </c>
      <c r="G37" s="2">
        <v>1791</v>
      </c>
      <c r="H37" s="2" t="str">
        <f>IFERROR(VLOOKUP(Match_Record[[#This Row],[Player_No]],Squads[[Player No]:[Player Name]],6,TRUE),"")</f>
        <v>Tim Ream</v>
      </c>
      <c r="I37" s="2" t="str">
        <f>IFERROR(VLOOKUP(Match_Record[[#This Row],[Player_No]],Squads[[Player No]:[Player Name]],2,TRUE),"")</f>
        <v>USA</v>
      </c>
    </row>
    <row r="38" spans="1:9" x14ac:dyDescent="0.25">
      <c r="A38" s="18">
        <v>4</v>
      </c>
      <c r="B38" s="35">
        <f>IFERROR(VLOOKUP(Match_Record[[#This Row],[Match No]],Fixtures[[#All],[Match No]:[Location]],2,TRUE),"")</f>
        <v>44886</v>
      </c>
      <c r="C38" s="2" t="str">
        <f>IFERROR(VLOOKUP(Match_Record[[#This Row],[Match No]],Fixtures[[#All],[Match No]:[Location]],5,TRUE),"")</f>
        <v>USA</v>
      </c>
      <c r="D38" s="2" t="str">
        <f>IFERROR(VLOOKUP(Match_Record[[#This Row],[Match No]],Fixtures[[#All],[Match No]:[Location]],8,TRUE),"")</f>
        <v>Wales</v>
      </c>
      <c r="E38" s="2" t="s">
        <v>1080</v>
      </c>
      <c r="F38" s="18">
        <v>100</v>
      </c>
      <c r="G38" s="2">
        <v>1801</v>
      </c>
      <c r="H38" s="2" t="str">
        <f>IFERROR(VLOOKUP(Match_Record[[#This Row],[Player_No]],Squads[[Player No]:[Player Name]],6,TRUE),"")</f>
        <v>Kellyn Acosta</v>
      </c>
      <c r="I38" s="2" t="str">
        <f>IFERROR(VLOOKUP(Match_Record[[#This Row],[Player_No]],Squads[[Player No]:[Player Name]],2,TRUE),"")</f>
        <v>USA</v>
      </c>
    </row>
    <row r="39" spans="1:9" x14ac:dyDescent="0.25">
      <c r="A39" s="18">
        <v>4</v>
      </c>
      <c r="B39" s="35">
        <f>IFERROR(VLOOKUP(Match_Record[[#This Row],[Match No]],Fixtures[[#All],[Match No]:[Location]],2,TRUE),"")</f>
        <v>44886</v>
      </c>
      <c r="C39" s="2" t="str">
        <f>IFERROR(VLOOKUP(Match_Record[[#This Row],[Match No]],Fixtures[[#All],[Match No]:[Location]],5,TRUE),"")</f>
        <v>USA</v>
      </c>
      <c r="D39" s="2" t="str">
        <f>IFERROR(VLOOKUP(Match_Record[[#This Row],[Match No]],Fixtures[[#All],[Match No]:[Location]],8,TRUE),"")</f>
        <v>Wales</v>
      </c>
      <c r="E39" s="2" t="s">
        <v>1080</v>
      </c>
      <c r="F39" s="18">
        <v>40</v>
      </c>
      <c r="G39" s="2">
        <v>1815</v>
      </c>
      <c r="H39" s="2" t="str">
        <f>IFERROR(VLOOKUP(Match_Record[[#This Row],[Player_No]],Squads[[Player No]:[Player Name]],6,TRUE),"")</f>
        <v>Gareth Bale </v>
      </c>
      <c r="I39" s="2" t="str">
        <f>IFERROR(VLOOKUP(Match_Record[[#This Row],[Player_No]],Squads[[Player No]:[Player Name]],2,TRUE),"")</f>
        <v>Wales</v>
      </c>
    </row>
    <row r="40" spans="1:9" x14ac:dyDescent="0.25">
      <c r="A40" s="18">
        <v>4</v>
      </c>
      <c r="B40" s="35">
        <f>IFERROR(VLOOKUP(Match_Record[[#This Row],[Match No]],Fixtures[[#All],[Match No]:[Location]],2,TRUE),"")</f>
        <v>44886</v>
      </c>
      <c r="C40" s="2" t="str">
        <f>IFERROR(VLOOKUP(Match_Record[[#This Row],[Match No]],Fixtures[[#All],[Match No]:[Location]],5,TRUE),"")</f>
        <v>USA</v>
      </c>
      <c r="D40" s="2" t="str">
        <f>IFERROR(VLOOKUP(Match_Record[[#This Row],[Match No]],Fixtures[[#All],[Match No]:[Location]],8,TRUE),"")</f>
        <v>Wales</v>
      </c>
      <c r="E40" s="2" t="s">
        <v>1080</v>
      </c>
      <c r="F40" s="18">
        <v>45</v>
      </c>
      <c r="G40" s="2">
        <v>1809</v>
      </c>
      <c r="H40" s="2" t="str">
        <f>IFERROR(VLOOKUP(Match_Record[[#This Row],[Player_No]],Squads[[Player No]:[Player Name]],6,TRUE),"")</f>
        <v>Chris Mepham</v>
      </c>
      <c r="I40" s="2" t="str">
        <f>IFERROR(VLOOKUP(Match_Record[[#This Row],[Player_No]],Squads[[Player No]:[Player Name]],2,TRUE),"")</f>
        <v>Wales</v>
      </c>
    </row>
    <row r="41" spans="1:9" x14ac:dyDescent="0.25">
      <c r="A41" s="18">
        <v>4</v>
      </c>
      <c r="B41" s="35">
        <f>IFERROR(VLOOKUP(Match_Record[[#This Row],[Match No]],Fixtures[[#All],[Match No]:[Location]],2,TRUE),"")</f>
        <v>44886</v>
      </c>
      <c r="C41" s="2" t="str">
        <f>IFERROR(VLOOKUP(Match_Record[[#This Row],[Match No]],Fixtures[[#All],[Match No]:[Location]],5,TRUE),"")</f>
        <v>USA</v>
      </c>
      <c r="D41" s="2" t="str">
        <f>IFERROR(VLOOKUP(Match_Record[[#This Row],[Match No]],Fixtures[[#All],[Match No]:[Location]],8,TRUE),"")</f>
        <v>Wales</v>
      </c>
      <c r="E41" s="2" t="s">
        <v>1078</v>
      </c>
      <c r="F41" s="18">
        <v>82</v>
      </c>
      <c r="G41" s="2">
        <v>1815</v>
      </c>
      <c r="H41" s="2" t="str">
        <f>IFERROR(VLOOKUP(Match_Record[[#This Row],[Player_No]],Squads[[Player No]:[Player Name]],6,TRUE),"")</f>
        <v>Gareth Bale </v>
      </c>
      <c r="I41" s="2" t="str">
        <f>IFERROR(VLOOKUP(Match_Record[[#This Row],[Player_No]],Squads[[Player No]:[Player Name]],2,TRUE),"")</f>
        <v>Wales</v>
      </c>
    </row>
    <row r="42" spans="1:9" x14ac:dyDescent="0.25">
      <c r="A42" s="18">
        <v>5</v>
      </c>
      <c r="B42" s="35">
        <f>IFERROR(VLOOKUP(Match_Record[[#This Row],[Match No]],Fixtures[[#All],[Match No]:[Location]],2,TRUE),"")</f>
        <v>44887</v>
      </c>
      <c r="C42" s="2" t="str">
        <f>IFERROR(VLOOKUP(Match_Record[[#This Row],[Match No]],Fixtures[[#All],[Match No]:[Location]],5,TRUE),"")</f>
        <v>Argentina</v>
      </c>
      <c r="D42" s="2" t="str">
        <f>IFERROR(VLOOKUP(Match_Record[[#This Row],[Match No]],Fixtures[[#All],[Match No]:[Location]],8,TRUE),"")</f>
        <v>Saudi Arabia</v>
      </c>
      <c r="E42" s="2" t="s">
        <v>1078</v>
      </c>
      <c r="F42" s="18">
        <v>10</v>
      </c>
      <c r="G42" s="2">
        <v>1010</v>
      </c>
      <c r="H42" s="2" t="str">
        <f>IFERROR(VLOOKUP(Match_Record[[#This Row],[Player_No]],Squads[[Player No]:[Player Name]],6,TRUE),"")</f>
        <v>Lionel Messi</v>
      </c>
      <c r="I42" s="2" t="str">
        <f>IFERROR(VLOOKUP(Match_Record[[#This Row],[Player_No]],Squads[[Player No]:[Player Name]],2,TRUE),"")</f>
        <v>Argentina</v>
      </c>
    </row>
    <row r="43" spans="1:9" x14ac:dyDescent="0.25">
      <c r="A43" s="18">
        <v>5</v>
      </c>
      <c r="B43" s="35">
        <f>IFERROR(VLOOKUP(Match_Record[[#This Row],[Match No]],Fixtures[[#All],[Match No]:[Location]],2,TRUE),"")</f>
        <v>44887</v>
      </c>
      <c r="C43" s="2" t="str">
        <f>IFERROR(VLOOKUP(Match_Record[[#This Row],[Match No]],Fixtures[[#All],[Match No]:[Location]],5,TRUE),"")</f>
        <v>Argentina</v>
      </c>
      <c r="D43" s="2" t="str">
        <f>IFERROR(VLOOKUP(Match_Record[[#This Row],[Match No]],Fixtures[[#All],[Match No]:[Location]],8,TRUE),"")</f>
        <v>Saudi Arabia</v>
      </c>
      <c r="E43" s="2" t="s">
        <v>1078</v>
      </c>
      <c r="F43" s="18">
        <v>48</v>
      </c>
      <c r="G43" s="2">
        <v>1608</v>
      </c>
      <c r="H43" s="2" t="str">
        <f>IFERROR(VLOOKUP(Match_Record[[#This Row],[Player_No]],Squads[[Player No]:[Player Name]],6,TRUE),"")</f>
        <v>Saleh Al-Shehri</v>
      </c>
      <c r="I43" s="2" t="str">
        <f>IFERROR(VLOOKUP(Match_Record[[#This Row],[Player_No]],Squads[[Player No]:[Player Name]],2,TRUE),"")</f>
        <v>Saudi Arabia</v>
      </c>
    </row>
    <row r="44" spans="1:9" x14ac:dyDescent="0.25">
      <c r="A44" s="18">
        <v>5</v>
      </c>
      <c r="B44" s="35">
        <f>IFERROR(VLOOKUP(Match_Record[[#This Row],[Match No]],Fixtures[[#All],[Match No]:[Location]],2,TRUE),"")</f>
        <v>44887</v>
      </c>
      <c r="C44" s="2" t="str">
        <f>IFERROR(VLOOKUP(Match_Record[[#This Row],[Match No]],Fixtures[[#All],[Match No]:[Location]],5,TRUE),"")</f>
        <v>Argentina</v>
      </c>
      <c r="D44" s="2" t="str">
        <f>IFERROR(VLOOKUP(Match_Record[[#This Row],[Match No]],Fixtures[[#All],[Match No]:[Location]],8,TRUE),"")</f>
        <v>Saudi Arabia</v>
      </c>
      <c r="E44" s="2" t="s">
        <v>1079</v>
      </c>
      <c r="F44" s="18">
        <v>48</v>
      </c>
      <c r="G44" s="2">
        <v>1606</v>
      </c>
      <c r="H44" s="2" t="str">
        <f>IFERROR(VLOOKUP(Match_Record[[#This Row],[Player_No]],Squads[[Player No]:[Player Name]],6,TRUE),"")</f>
        <v>Firas Al-Buraikan</v>
      </c>
      <c r="I44" s="2" t="str">
        <f>IFERROR(VLOOKUP(Match_Record[[#This Row],[Player_No]],Squads[[Player No]:[Player Name]],2,TRUE),"")</f>
        <v>Saudi Arabia</v>
      </c>
    </row>
    <row r="45" spans="1:9" x14ac:dyDescent="0.25">
      <c r="A45" s="18">
        <v>5</v>
      </c>
      <c r="B45" s="35">
        <f>IFERROR(VLOOKUP(Match_Record[[#This Row],[Match No]],Fixtures[[#All],[Match No]:[Location]],2,TRUE),"")</f>
        <v>44887</v>
      </c>
      <c r="C45" s="2" t="str">
        <f>IFERROR(VLOOKUP(Match_Record[[#This Row],[Match No]],Fixtures[[#All],[Match No]:[Location]],5,TRUE),"")</f>
        <v>Argentina</v>
      </c>
      <c r="D45" s="2" t="str">
        <f>IFERROR(VLOOKUP(Match_Record[[#This Row],[Match No]],Fixtures[[#All],[Match No]:[Location]],8,TRUE),"")</f>
        <v>Saudi Arabia</v>
      </c>
      <c r="E45" s="2" t="s">
        <v>1078</v>
      </c>
      <c r="F45" s="18">
        <v>53</v>
      </c>
      <c r="G45" s="2">
        <v>1607</v>
      </c>
      <c r="H45" s="2" t="str">
        <f>IFERROR(VLOOKUP(Match_Record[[#This Row],[Player_No]],Squads[[Player No]:[Player Name]],6,TRUE),"")</f>
        <v>Salem Al-Dawsari</v>
      </c>
      <c r="I45" s="2" t="str">
        <f>IFERROR(VLOOKUP(Match_Record[[#This Row],[Player_No]],Squads[[Player No]:[Player Name]],2,TRUE),"")</f>
        <v>Saudi Arabia</v>
      </c>
    </row>
    <row r="46" spans="1:9" x14ac:dyDescent="0.25">
      <c r="A46" s="18">
        <v>5</v>
      </c>
      <c r="B46" s="35">
        <f>IFERROR(VLOOKUP(Match_Record[[#This Row],[Match No]],Fixtures[[#All],[Match No]:[Location]],2,TRUE),"")</f>
        <v>44887</v>
      </c>
      <c r="C46" s="2" t="str">
        <f>IFERROR(VLOOKUP(Match_Record[[#This Row],[Match No]],Fixtures[[#All],[Match No]:[Location]],5,TRUE),"")</f>
        <v>Argentina</v>
      </c>
      <c r="D46" s="2" t="str">
        <f>IFERROR(VLOOKUP(Match_Record[[#This Row],[Match No]],Fixtures[[#All],[Match No]:[Location]],8,TRUE),"")</f>
        <v>Saudi Arabia</v>
      </c>
      <c r="E46" s="2" t="s">
        <v>1080</v>
      </c>
      <c r="F46" s="18">
        <v>67</v>
      </c>
      <c r="G46" s="2">
        <v>1605</v>
      </c>
      <c r="H46" s="2" t="str">
        <f>IFERROR(VLOOKUP(Match_Record[[#This Row],[Player_No]],Squads[[Player No]:[Player Name]],6,TRUE),"")</f>
        <v>Abdulellah Al-Malki</v>
      </c>
      <c r="I46" s="2" t="str">
        <f>IFERROR(VLOOKUP(Match_Record[[#This Row],[Player_No]],Squads[[Player No]:[Player Name]],2,TRUE),"")</f>
        <v>Saudi Arabia</v>
      </c>
    </row>
    <row r="47" spans="1:9" x14ac:dyDescent="0.25">
      <c r="A47" s="18">
        <v>5</v>
      </c>
      <c r="B47" s="35">
        <f>IFERROR(VLOOKUP(Match_Record[[#This Row],[Match No]],Fixtures[[#All],[Match No]:[Location]],2,TRUE),"")</f>
        <v>44887</v>
      </c>
      <c r="C47" s="2" t="str">
        <f>IFERROR(VLOOKUP(Match_Record[[#This Row],[Match No]],Fixtures[[#All],[Match No]:[Location]],5,TRUE),"")</f>
        <v>Argentina</v>
      </c>
      <c r="D47" s="2" t="str">
        <f>IFERROR(VLOOKUP(Match_Record[[#This Row],[Match No]],Fixtures[[#All],[Match No]:[Location]],8,TRUE),"")</f>
        <v>Saudi Arabia</v>
      </c>
      <c r="E47" s="2" t="s">
        <v>1080</v>
      </c>
      <c r="F47" s="18">
        <v>75</v>
      </c>
      <c r="G47" s="2">
        <v>1602</v>
      </c>
      <c r="H47" s="2" t="str">
        <f>IFERROR(VLOOKUP(Match_Record[[#This Row],[Player_No]],Squads[[Player No]:[Player Name]],6,TRUE),"")</f>
        <v>Ali Al-Bulaihi</v>
      </c>
      <c r="I47" s="2" t="str">
        <f>IFERROR(VLOOKUP(Match_Record[[#This Row],[Player_No]],Squads[[Player No]:[Player Name]],2,TRUE),"")</f>
        <v>Saudi Arabia</v>
      </c>
    </row>
    <row r="48" spans="1:9" x14ac:dyDescent="0.25">
      <c r="A48" s="18">
        <v>5</v>
      </c>
      <c r="B48" s="35">
        <f>IFERROR(VLOOKUP(Match_Record[[#This Row],[Match No]],Fixtures[[#All],[Match No]:[Location]],2,TRUE),"")</f>
        <v>44887</v>
      </c>
      <c r="C48" s="2" t="str">
        <f>IFERROR(VLOOKUP(Match_Record[[#This Row],[Match No]],Fixtures[[#All],[Match No]:[Location]],5,TRUE),"")</f>
        <v>Argentina</v>
      </c>
      <c r="D48" s="2" t="str">
        <f>IFERROR(VLOOKUP(Match_Record[[#This Row],[Match No]],Fixtures[[#All],[Match No]:[Location]],8,TRUE),"")</f>
        <v>Saudi Arabia</v>
      </c>
      <c r="E48" s="2" t="s">
        <v>1080</v>
      </c>
      <c r="F48" s="18">
        <v>79</v>
      </c>
      <c r="G48" s="2">
        <v>1607</v>
      </c>
      <c r="H48" s="2" t="str">
        <f>IFERROR(VLOOKUP(Match_Record[[#This Row],[Player_No]],Squads[[Player No]:[Player Name]],6,TRUE),"")</f>
        <v>Salem Al-Dawsari</v>
      </c>
      <c r="I48" s="2" t="str">
        <f>IFERROR(VLOOKUP(Match_Record[[#This Row],[Player_No]],Squads[[Player No]:[Player Name]],2,TRUE),"")</f>
        <v>Saudi Arabia</v>
      </c>
    </row>
    <row r="49" spans="1:9" x14ac:dyDescent="0.25">
      <c r="A49" s="18">
        <v>5</v>
      </c>
      <c r="B49" s="35">
        <f>IFERROR(VLOOKUP(Match_Record[[#This Row],[Match No]],Fixtures[[#All],[Match No]:[Location]],2,TRUE),"")</f>
        <v>44887</v>
      </c>
      <c r="C49" s="2" t="str">
        <f>IFERROR(VLOOKUP(Match_Record[[#This Row],[Match No]],Fixtures[[#All],[Match No]:[Location]],5,TRUE),"")</f>
        <v>Argentina</v>
      </c>
      <c r="D49" s="2" t="str">
        <f>IFERROR(VLOOKUP(Match_Record[[#This Row],[Match No]],Fixtures[[#All],[Match No]:[Location]],8,TRUE),"")</f>
        <v>Saudi Arabia</v>
      </c>
      <c r="E49" s="2" t="s">
        <v>1080</v>
      </c>
      <c r="F49" s="18">
        <v>82</v>
      </c>
      <c r="G49" s="2">
        <v>1609</v>
      </c>
      <c r="H49" s="2" t="str">
        <f>IFERROR(VLOOKUP(Match_Record[[#This Row],[Player_No]],Squads[[Player No]:[Player Name]],6,TRUE),"")</f>
        <v>Saud Abdulhamid</v>
      </c>
      <c r="I49" s="2" t="str">
        <f>IFERROR(VLOOKUP(Match_Record[[#This Row],[Player_No]],Squads[[Player No]:[Player Name]],2,TRUE),"")</f>
        <v>Saudi Arabia</v>
      </c>
    </row>
    <row r="50" spans="1:9" x14ac:dyDescent="0.25">
      <c r="A50" s="18">
        <v>5</v>
      </c>
      <c r="B50" s="35">
        <f>IFERROR(VLOOKUP(Match_Record[[#This Row],[Match No]],Fixtures[[#All],[Match No]:[Location]],2,TRUE),"")</f>
        <v>44887</v>
      </c>
      <c r="C50" s="2" t="str">
        <f>IFERROR(VLOOKUP(Match_Record[[#This Row],[Match No]],Fixtures[[#All],[Match No]:[Location]],5,TRUE),"")</f>
        <v>Argentina</v>
      </c>
      <c r="D50" s="2" t="str">
        <f>IFERROR(VLOOKUP(Match_Record[[#This Row],[Match No]],Fixtures[[#All],[Match No]:[Location]],8,TRUE),"")</f>
        <v>Saudi Arabia</v>
      </c>
      <c r="E50" s="2" t="s">
        <v>1080</v>
      </c>
      <c r="F50" s="18">
        <v>88</v>
      </c>
      <c r="G50" s="2">
        <v>1615</v>
      </c>
      <c r="H50" s="2" t="str">
        <f>IFERROR(VLOOKUP(Match_Record[[#This Row],[Player_No]],Squads[[Player No]:[Player Name]],6,TRUE),"")</f>
        <v>Nawaf Al-Abed</v>
      </c>
      <c r="I50" s="2" t="str">
        <f>IFERROR(VLOOKUP(Match_Record[[#This Row],[Player_No]],Squads[[Player No]:[Player Name]],2,TRUE),"")</f>
        <v>Saudi Arabia</v>
      </c>
    </row>
    <row r="51" spans="1:9" x14ac:dyDescent="0.25">
      <c r="A51" s="18">
        <v>5</v>
      </c>
      <c r="B51" s="35">
        <f>IFERROR(VLOOKUP(Match_Record[[#This Row],[Match No]],Fixtures[[#All],[Match No]:[Location]],2,TRUE),"")</f>
        <v>44887</v>
      </c>
      <c r="C51" s="2" t="str">
        <f>IFERROR(VLOOKUP(Match_Record[[#This Row],[Match No]],Fixtures[[#All],[Match No]:[Location]],5,TRUE),"")</f>
        <v>Argentina</v>
      </c>
      <c r="D51" s="2" t="str">
        <f>IFERROR(VLOOKUP(Match_Record[[#This Row],[Match No]],Fixtures[[#All],[Match No]:[Location]],8,TRUE),"")</f>
        <v>Saudi Arabia</v>
      </c>
      <c r="E51" s="2" t="s">
        <v>1080</v>
      </c>
      <c r="F51" s="18">
        <v>92</v>
      </c>
      <c r="G51" s="2">
        <v>1618</v>
      </c>
      <c r="H51" s="2" t="str">
        <f>IFERROR(VLOOKUP(Match_Record[[#This Row],[Player_No]],Squads[[Player No]:[Player Name]],6,TRUE),"")</f>
        <v>Mohammed Al-Owais</v>
      </c>
      <c r="I51" s="2" t="str">
        <f>IFERROR(VLOOKUP(Match_Record[[#This Row],[Player_No]],Squads[[Player No]:[Player Name]],2,TRUE),"")</f>
        <v>Saudi Arabia</v>
      </c>
    </row>
    <row r="52" spans="1:9" x14ac:dyDescent="0.25">
      <c r="A52" s="18">
        <v>6</v>
      </c>
      <c r="B52" s="35">
        <f>IFERROR(VLOOKUP(Match_Record[[#This Row],[Match No]],Fixtures[[#All],[Match No]:[Location]],2,TRUE),"")</f>
        <v>44887</v>
      </c>
      <c r="C52" s="2" t="str">
        <f>IFERROR(VLOOKUP(Match_Record[[#This Row],[Match No]],Fixtures[[#All],[Match No]:[Location]],5,TRUE),"")</f>
        <v>Denmark</v>
      </c>
      <c r="D52" s="2" t="str">
        <f>IFERROR(VLOOKUP(Match_Record[[#This Row],[Match No]],Fixtures[[#All],[Match No]:[Location]],8,TRUE),"")</f>
        <v>Tunisia</v>
      </c>
      <c r="E52" s="2" t="s">
        <v>1080</v>
      </c>
      <c r="F52" s="18">
        <v>24</v>
      </c>
      <c r="G52" s="2">
        <v>1221</v>
      </c>
      <c r="H52" s="2" t="str">
        <f>IFERROR(VLOOKUP(Match_Record[[#This Row],[Player_No]],Squads[[Player No]:[Player Name]],6,TRUE),"")</f>
        <v>Rasmus Kristensen</v>
      </c>
      <c r="I52" s="2" t="str">
        <f>IFERROR(VLOOKUP(Match_Record[[#This Row],[Player_No]],Squads[[Player No]:[Player Name]],2,TRUE),"")</f>
        <v>Denmark</v>
      </c>
    </row>
    <row r="53" spans="1:9" x14ac:dyDescent="0.25">
      <c r="A53" s="18">
        <v>6</v>
      </c>
      <c r="B53" s="35">
        <f>IFERROR(VLOOKUP(Match_Record[[#This Row],[Match No]],Fixtures[[#All],[Match No]:[Location]],2,TRUE),"")</f>
        <v>44887</v>
      </c>
      <c r="C53" s="2" t="str">
        <f>IFERROR(VLOOKUP(Match_Record[[#This Row],[Match No]],Fixtures[[#All],[Match No]:[Location]],5,TRUE),"")</f>
        <v>Denmark</v>
      </c>
      <c r="D53" s="2" t="str">
        <f>IFERROR(VLOOKUP(Match_Record[[#This Row],[Match No]],Fixtures[[#All],[Match No]:[Location]],8,TRUE),"")</f>
        <v>Tunisia</v>
      </c>
      <c r="E53" s="2" t="s">
        <v>1080</v>
      </c>
      <c r="F53" s="18">
        <v>78</v>
      </c>
      <c r="G53" s="2">
        <v>1215</v>
      </c>
      <c r="H53" s="2" t="str">
        <f>IFERROR(VLOOKUP(Match_Record[[#This Row],[Player_No]],Squads[[Player No]:[Player Name]],6,TRUE),"")</f>
        <v>Mathias Jensen</v>
      </c>
      <c r="I53" s="2" t="str">
        <f>IFERROR(VLOOKUP(Match_Record[[#This Row],[Player_No]],Squads[[Player No]:[Player Name]],2,TRUE),"")</f>
        <v>Denmark</v>
      </c>
    </row>
    <row r="54" spans="1:9" x14ac:dyDescent="0.25">
      <c r="A54" s="18">
        <v>6</v>
      </c>
      <c r="B54" s="35">
        <f>IFERROR(VLOOKUP(Match_Record[[#This Row],[Match No]],Fixtures[[#All],[Match No]:[Location]],2,TRUE),"")</f>
        <v>44887</v>
      </c>
      <c r="C54" s="2" t="str">
        <f>IFERROR(VLOOKUP(Match_Record[[#This Row],[Match No]],Fixtures[[#All],[Match No]:[Location]],5,TRUE),"")</f>
        <v>Denmark</v>
      </c>
      <c r="D54" s="2" t="str">
        <f>IFERROR(VLOOKUP(Match_Record[[#This Row],[Match No]],Fixtures[[#All],[Match No]:[Location]],8,TRUE),"")</f>
        <v>Tunisia</v>
      </c>
      <c r="E54" s="2" t="s">
        <v>1080</v>
      </c>
      <c r="F54" s="18">
        <v>86</v>
      </c>
      <c r="G54" s="2">
        <v>1737</v>
      </c>
      <c r="H54" s="2" t="str">
        <f>IFERROR(VLOOKUP(Match_Record[[#This Row],[Player_No]],Squads[[Player No]:[Player Name]],6,TRUE),"")</f>
        <v>Taha Yassine Khenissi</v>
      </c>
      <c r="I54" s="2" t="str">
        <f>IFERROR(VLOOKUP(Match_Record[[#This Row],[Player_No]],Squads[[Player No]:[Player Name]],2,TRUE),"")</f>
        <v>Tunisia</v>
      </c>
    </row>
    <row r="55" spans="1:9" x14ac:dyDescent="0.25">
      <c r="A55" s="18">
        <v>7</v>
      </c>
      <c r="B55" s="35">
        <f>IFERROR(VLOOKUP(Match_Record[[#This Row],[Match No]],Fixtures[[#All],[Match No]:[Location]],2,TRUE),"")</f>
        <v>44887</v>
      </c>
      <c r="C55" s="2" t="str">
        <f>IFERROR(VLOOKUP(Match_Record[[#This Row],[Match No]],Fixtures[[#All],[Match No]:[Location]],5,TRUE),"")</f>
        <v>Mexico</v>
      </c>
      <c r="D55" s="2" t="str">
        <f>IFERROR(VLOOKUP(Match_Record[[#This Row],[Match No]],Fixtures[[#All],[Match No]:[Location]],8,TRUE),"")</f>
        <v>Poland</v>
      </c>
      <c r="E55" s="2" t="s">
        <v>1080</v>
      </c>
      <c r="F55" s="18">
        <v>29</v>
      </c>
      <c r="G55" s="2">
        <v>1460</v>
      </c>
      <c r="H55" s="2" t="str">
        <f>IFERROR(VLOOKUP(Match_Record[[#This Row],[Player_No]],Squads[[Player No]:[Player Name]],6,TRUE),"")</f>
        <v>Jorge Sánchez</v>
      </c>
      <c r="I55" s="2" t="str">
        <f>IFERROR(VLOOKUP(Match_Record[[#This Row],[Player_No]],Squads[[Player No]:[Player Name]],2,TRUE),"")</f>
        <v>Mexico</v>
      </c>
    </row>
    <row r="56" spans="1:9" x14ac:dyDescent="0.25">
      <c r="A56" s="18">
        <v>7</v>
      </c>
      <c r="B56" s="35">
        <f>IFERROR(VLOOKUP(Match_Record[[#This Row],[Match No]],Fixtures[[#All],[Match No]:[Location]],2,TRUE),"")</f>
        <v>44887</v>
      </c>
      <c r="C56" s="2" t="str">
        <f>IFERROR(VLOOKUP(Match_Record[[#This Row],[Match No]],Fixtures[[#All],[Match No]:[Location]],5,TRUE),"")</f>
        <v>Mexico</v>
      </c>
      <c r="D56" s="2" t="str">
        <f>IFERROR(VLOOKUP(Match_Record[[#This Row],[Match No]],Fixtures[[#All],[Match No]:[Location]],8,TRUE),"")</f>
        <v>Poland</v>
      </c>
      <c r="E56" s="2" t="s">
        <v>1080</v>
      </c>
      <c r="F56" s="18">
        <v>56</v>
      </c>
      <c r="G56" s="2">
        <v>1456</v>
      </c>
      <c r="H56" s="2" t="str">
        <f>IFERROR(VLOOKUP(Match_Record[[#This Row],[Player_No]],Squads[[Player No]:[Player Name]],6,TRUE),"")</f>
        <v>Héctor Moreno</v>
      </c>
      <c r="I56" s="2" t="str">
        <f>IFERROR(VLOOKUP(Match_Record[[#This Row],[Player_No]],Squads[[Player No]:[Player Name]],2,TRUE),"")</f>
        <v>Mexico</v>
      </c>
    </row>
    <row r="57" spans="1:9" x14ac:dyDescent="0.25">
      <c r="A57" s="18">
        <v>7</v>
      </c>
      <c r="B57" s="35">
        <f>IFERROR(VLOOKUP(Match_Record[[#This Row],[Match No]],Fixtures[[#All],[Match No]:[Location]],2,TRUE),"")</f>
        <v>44887</v>
      </c>
      <c r="C57" s="2" t="str">
        <f>IFERROR(VLOOKUP(Match_Record[[#This Row],[Match No]],Fixtures[[#All],[Match No]:[Location]],5,TRUE),"")</f>
        <v>Mexico</v>
      </c>
      <c r="D57" s="2" t="str">
        <f>IFERROR(VLOOKUP(Match_Record[[#This Row],[Match No]],Fixtures[[#All],[Match No]:[Location]],8,TRUE),"")</f>
        <v>Poland</v>
      </c>
      <c r="E57" s="2" t="s">
        <v>1538</v>
      </c>
      <c r="F57" s="18">
        <v>58</v>
      </c>
      <c r="G57" s="2">
        <v>1528</v>
      </c>
      <c r="H57" s="2" t="str">
        <f>IFERROR(VLOOKUP(Match_Record[[#This Row],[Player_No]],Squads[[Player No]:[Player Name]],6,TRUE),"")</f>
        <v>Robert Lewandowski </v>
      </c>
      <c r="I57" s="2" t="str">
        <f>IFERROR(VLOOKUP(Match_Record[[#This Row],[Player_No]],Squads[[Player No]:[Player Name]],2,TRUE),"")</f>
        <v>Poland</v>
      </c>
    </row>
    <row r="58" spans="1:9" x14ac:dyDescent="0.25">
      <c r="A58" s="18">
        <v>7</v>
      </c>
      <c r="B58" s="35">
        <f>IFERROR(VLOOKUP(Match_Record[[#This Row],[Match No]],Fixtures[[#All],[Match No]:[Location]],2,TRUE),"")</f>
        <v>44887</v>
      </c>
      <c r="C58" s="2" t="str">
        <f>IFERROR(VLOOKUP(Match_Record[[#This Row],[Match No]],Fixtures[[#All],[Match No]:[Location]],5,TRUE),"")</f>
        <v>Mexico</v>
      </c>
      <c r="D58" s="2" t="str">
        <f>IFERROR(VLOOKUP(Match_Record[[#This Row],[Match No]],Fixtures[[#All],[Match No]:[Location]],8,TRUE),"")</f>
        <v>Poland</v>
      </c>
      <c r="E58" s="2" t="s">
        <v>1080</v>
      </c>
      <c r="F58" s="18">
        <v>76</v>
      </c>
      <c r="G58" s="2">
        <v>1543</v>
      </c>
      <c r="H58" s="2" t="str">
        <f>IFERROR(VLOOKUP(Match_Record[[#This Row],[Player_No]],Squads[[Player No]:[Player Name]],6,TRUE),"")</f>
        <v>Przemysław Frankowski</v>
      </c>
      <c r="I58" s="2" t="str">
        <f>IFERROR(VLOOKUP(Match_Record[[#This Row],[Player_No]],Squads[[Player No]:[Player Name]],2,TRUE),"")</f>
        <v>Poland</v>
      </c>
    </row>
    <row r="59" spans="1:9" x14ac:dyDescent="0.25">
      <c r="A59" s="18">
        <v>8</v>
      </c>
      <c r="B59" s="35">
        <f>IFERROR(VLOOKUP(Match_Record[[#This Row],[Match No]],Fixtures[[#All],[Match No]:[Location]],2,TRUE),"")</f>
        <v>44887</v>
      </c>
      <c r="C59" s="2" t="str">
        <f>IFERROR(VLOOKUP(Match_Record[[#This Row],[Match No]],Fixtures[[#All],[Match No]:[Location]],5,TRUE),"")</f>
        <v>France</v>
      </c>
      <c r="D59" s="2" t="str">
        <f>IFERROR(VLOOKUP(Match_Record[[#This Row],[Match No]],Fixtures[[#All],[Match No]:[Location]],8,TRUE),"")</f>
        <v>Australia</v>
      </c>
      <c r="E59" s="2" t="s">
        <v>1078</v>
      </c>
      <c r="F59" s="18">
        <v>9</v>
      </c>
      <c r="G59" s="2">
        <v>1049</v>
      </c>
      <c r="H59" s="2" t="str">
        <f>IFERROR(VLOOKUP(Match_Record[[#This Row],[Player_No]],Squads[[Player No]:[Player Name]],6,TRUE),"")</f>
        <v>Craig Goodwin</v>
      </c>
      <c r="I59" s="2" t="str">
        <f>IFERROR(VLOOKUP(Match_Record[[#This Row],[Player_No]],Squads[[Player No]:[Player Name]],2,TRUE),"")</f>
        <v>Australia</v>
      </c>
    </row>
    <row r="60" spans="1:9" x14ac:dyDescent="0.25">
      <c r="A60" s="18">
        <v>8</v>
      </c>
      <c r="B60" s="35">
        <f>IFERROR(VLOOKUP(Match_Record[[#This Row],[Match No]],Fixtures[[#All],[Match No]:[Location]],2,TRUE),"")</f>
        <v>44887</v>
      </c>
      <c r="C60" s="2" t="str">
        <f>IFERROR(VLOOKUP(Match_Record[[#This Row],[Match No]],Fixtures[[#All],[Match No]:[Location]],5,TRUE),"")</f>
        <v>France</v>
      </c>
      <c r="D60" s="2" t="str">
        <f>IFERROR(VLOOKUP(Match_Record[[#This Row],[Match No]],Fixtures[[#All],[Match No]:[Location]],8,TRUE),"")</f>
        <v>Australia</v>
      </c>
      <c r="E60" s="2" t="s">
        <v>1079</v>
      </c>
      <c r="F60" s="18">
        <v>9</v>
      </c>
      <c r="G60" s="2">
        <v>1033</v>
      </c>
      <c r="H60" s="2" t="str">
        <f>IFERROR(VLOOKUP(Match_Record[[#This Row],[Player_No]],Squads[[Player No]:[Player Name]],6,TRUE),"")</f>
        <v>Mathew Leckie</v>
      </c>
      <c r="I60" s="2" t="str">
        <f>IFERROR(VLOOKUP(Match_Record[[#This Row],[Player_No]],Squads[[Player No]:[Player Name]],2,TRUE),"")</f>
        <v>Australia</v>
      </c>
    </row>
    <row r="61" spans="1:9" x14ac:dyDescent="0.25">
      <c r="A61" s="18">
        <v>8</v>
      </c>
      <c r="B61" s="35">
        <f>IFERROR(VLOOKUP(Match_Record[[#This Row],[Match No]],Fixtures[[#All],[Match No]:[Location]],2,TRUE),"")</f>
        <v>44887</v>
      </c>
      <c r="C61" s="2" t="str">
        <f>IFERROR(VLOOKUP(Match_Record[[#This Row],[Match No]],Fixtures[[#All],[Match No]:[Location]],5,TRUE),"")</f>
        <v>France</v>
      </c>
      <c r="D61" s="2" t="str">
        <f>IFERROR(VLOOKUP(Match_Record[[#This Row],[Match No]],Fixtures[[#All],[Match No]:[Location]],8,TRUE),"")</f>
        <v>Australia</v>
      </c>
      <c r="E61" s="2" t="s">
        <v>1080</v>
      </c>
      <c r="F61" s="18">
        <v>55</v>
      </c>
      <c r="G61" s="2">
        <v>1041</v>
      </c>
      <c r="H61" s="2" t="str">
        <f>IFERROR(VLOOKUP(Match_Record[[#This Row],[Player_No]],Squads[[Player No]:[Player Name]],6,TRUE),"")</f>
        <v>Mitchell Duke</v>
      </c>
      <c r="I61" s="2" t="str">
        <f>IFERROR(VLOOKUP(Match_Record[[#This Row],[Player_No]],Squads[[Player No]:[Player Name]],2,TRUE),"")</f>
        <v>Australia</v>
      </c>
    </row>
    <row r="62" spans="1:9" x14ac:dyDescent="0.25">
      <c r="A62" s="18">
        <v>8</v>
      </c>
      <c r="B62" s="35">
        <f>IFERROR(VLOOKUP(Match_Record[[#This Row],[Match No]],Fixtures[[#All],[Match No]:[Location]],2,TRUE),"")</f>
        <v>44887</v>
      </c>
      <c r="C62" s="2" t="str">
        <f>IFERROR(VLOOKUP(Match_Record[[#This Row],[Match No]],Fixtures[[#All],[Match No]:[Location]],5,TRUE),"")</f>
        <v>France</v>
      </c>
      <c r="D62" s="2" t="str">
        <f>IFERROR(VLOOKUP(Match_Record[[#This Row],[Match No]],Fixtures[[#All],[Match No]:[Location]],8,TRUE),"")</f>
        <v>Australia</v>
      </c>
      <c r="E62" s="2" t="s">
        <v>1080</v>
      </c>
      <c r="F62" s="18">
        <v>80</v>
      </c>
      <c r="G62" s="2">
        <v>1048</v>
      </c>
      <c r="H62" s="2" t="str">
        <f>IFERROR(VLOOKUP(Match_Record[[#This Row],[Player_No]],Squads[[Player No]:[Player Name]],6,TRUE),"")</f>
        <v>Jackson Irvine</v>
      </c>
      <c r="I62" s="2" t="str">
        <f>IFERROR(VLOOKUP(Match_Record[[#This Row],[Player_No]],Squads[[Player No]:[Player Name]],2,TRUE),"")</f>
        <v>Australia</v>
      </c>
    </row>
    <row r="63" spans="1:9" x14ac:dyDescent="0.25">
      <c r="A63" s="18">
        <v>8</v>
      </c>
      <c r="B63" s="35">
        <f>IFERROR(VLOOKUP(Match_Record[[#This Row],[Match No]],Fixtures[[#All],[Match No]:[Location]],2,TRUE),"")</f>
        <v>44887</v>
      </c>
      <c r="C63" s="2" t="str">
        <f>IFERROR(VLOOKUP(Match_Record[[#This Row],[Match No]],Fixtures[[#All],[Match No]:[Location]],5,TRUE),"")</f>
        <v>France</v>
      </c>
      <c r="D63" s="2" t="str">
        <f>IFERROR(VLOOKUP(Match_Record[[#This Row],[Match No]],Fixtures[[#All],[Match No]:[Location]],8,TRUE),"")</f>
        <v>Australia</v>
      </c>
      <c r="E63" s="2" t="s">
        <v>1080</v>
      </c>
      <c r="F63" s="18">
        <v>95</v>
      </c>
      <c r="G63" s="2">
        <v>1039</v>
      </c>
      <c r="H63" s="2" t="str">
        <f>IFERROR(VLOOKUP(Match_Record[[#This Row],[Player_No]],Squads[[Player No]:[Player Name]],6,TRUE),"")</f>
        <v>Aaron Mooy</v>
      </c>
      <c r="I63" s="2" t="str">
        <f>IFERROR(VLOOKUP(Match_Record[[#This Row],[Player_No]],Squads[[Player No]:[Player Name]],2,TRUE),"")</f>
        <v>Australia</v>
      </c>
    </row>
    <row r="64" spans="1:9" x14ac:dyDescent="0.25">
      <c r="A64" s="18">
        <v>8</v>
      </c>
      <c r="B64" s="35">
        <f>IFERROR(VLOOKUP(Match_Record[[#This Row],[Match No]],Fixtures[[#All],[Match No]:[Location]],2,TRUE),"")</f>
        <v>44887</v>
      </c>
      <c r="C64" s="2" t="str">
        <f>IFERROR(VLOOKUP(Match_Record[[#This Row],[Match No]],Fixtures[[#All],[Match No]:[Location]],5,TRUE),"")</f>
        <v>France</v>
      </c>
      <c r="D64" s="2" t="str">
        <f>IFERROR(VLOOKUP(Match_Record[[#This Row],[Match No]],Fixtures[[#All],[Match No]:[Location]],8,TRUE),"")</f>
        <v>Australia</v>
      </c>
      <c r="E64" s="2" t="s">
        <v>1078</v>
      </c>
      <c r="F64" s="18">
        <v>27</v>
      </c>
      <c r="G64" s="2">
        <v>1300</v>
      </c>
      <c r="H64" s="2" t="str">
        <f>IFERROR(VLOOKUP(Match_Record[[#This Row],[Player_No]],Squads[[Player No]:[Player Name]],6,TRUE),"")</f>
        <v>Adrien Rabiot</v>
      </c>
      <c r="I64" s="2" t="str">
        <f>IFERROR(VLOOKUP(Match_Record[[#This Row],[Player_No]],Squads[[Player No]:[Player Name]],2,TRUE),"")</f>
        <v>France</v>
      </c>
    </row>
    <row r="65" spans="1:9" x14ac:dyDescent="0.25">
      <c r="A65" s="18">
        <v>8</v>
      </c>
      <c r="B65" s="35">
        <f>IFERROR(VLOOKUP(Match_Record[[#This Row],[Match No]],Fixtures[[#All],[Match No]:[Location]],2,TRUE),"")</f>
        <v>44887</v>
      </c>
      <c r="C65" s="2" t="str">
        <f>IFERROR(VLOOKUP(Match_Record[[#This Row],[Match No]],Fixtures[[#All],[Match No]:[Location]],5,TRUE),"")</f>
        <v>France</v>
      </c>
      <c r="D65" s="2" t="str">
        <f>IFERROR(VLOOKUP(Match_Record[[#This Row],[Match No]],Fixtures[[#All],[Match No]:[Location]],8,TRUE),"")</f>
        <v>Australia</v>
      </c>
      <c r="E65" s="2" t="s">
        <v>1079</v>
      </c>
      <c r="F65" s="18">
        <v>27</v>
      </c>
      <c r="G65" s="2">
        <v>1308</v>
      </c>
      <c r="H65" s="2" t="str">
        <f>IFERROR(VLOOKUP(Match_Record[[#This Row],[Player_No]],Squads[[Player No]:[Player Name]],6,TRUE),"")</f>
        <v>Theo Hernandez</v>
      </c>
      <c r="I65" s="2" t="str">
        <f>IFERROR(VLOOKUP(Match_Record[[#This Row],[Player_No]],Squads[[Player No]:[Player Name]],2,TRUE),"")</f>
        <v>France</v>
      </c>
    </row>
    <row r="66" spans="1:9" x14ac:dyDescent="0.25">
      <c r="A66" s="18">
        <v>8</v>
      </c>
      <c r="B66" s="35">
        <f>IFERROR(VLOOKUP(Match_Record[[#This Row],[Match No]],Fixtures[[#All],[Match No]:[Location]],2,TRUE),"")</f>
        <v>44887</v>
      </c>
      <c r="C66" s="2" t="str">
        <f>IFERROR(VLOOKUP(Match_Record[[#This Row],[Match No]],Fixtures[[#All],[Match No]:[Location]],5,TRUE),"")</f>
        <v>France</v>
      </c>
      <c r="D66" s="2" t="str">
        <f>IFERROR(VLOOKUP(Match_Record[[#This Row],[Match No]],Fixtures[[#All],[Match No]:[Location]],8,TRUE),"")</f>
        <v>Australia</v>
      </c>
      <c r="E66" s="2" t="s">
        <v>1078</v>
      </c>
      <c r="F66" s="18">
        <v>32</v>
      </c>
      <c r="G66" s="2">
        <v>1295</v>
      </c>
      <c r="H66" s="2" t="str">
        <f>IFERROR(VLOOKUP(Match_Record[[#This Row],[Player_No]],Squads[[Player No]:[Player Name]],6,TRUE),"")</f>
        <v>Olivier Giroud</v>
      </c>
      <c r="I66" s="2" t="str">
        <f>IFERROR(VLOOKUP(Match_Record[[#This Row],[Player_No]],Squads[[Player No]:[Player Name]],2,TRUE),"")</f>
        <v>France</v>
      </c>
    </row>
    <row r="67" spans="1:9" x14ac:dyDescent="0.25">
      <c r="A67" s="18">
        <v>8</v>
      </c>
      <c r="B67" s="35">
        <f>IFERROR(VLOOKUP(Match_Record[[#This Row],[Match No]],Fixtures[[#All],[Match No]:[Location]],2,TRUE),"")</f>
        <v>44887</v>
      </c>
      <c r="C67" s="2" t="str">
        <f>IFERROR(VLOOKUP(Match_Record[[#This Row],[Match No]],Fixtures[[#All],[Match No]:[Location]],5,TRUE),"")</f>
        <v>France</v>
      </c>
      <c r="D67" s="2" t="str">
        <f>IFERROR(VLOOKUP(Match_Record[[#This Row],[Match No]],Fixtures[[#All],[Match No]:[Location]],8,TRUE),"")</f>
        <v>Australia</v>
      </c>
      <c r="E67" s="2" t="s">
        <v>1079</v>
      </c>
      <c r="F67" s="18">
        <v>32</v>
      </c>
      <c r="G67" s="2">
        <v>1300</v>
      </c>
      <c r="H67" s="2" t="str">
        <f>IFERROR(VLOOKUP(Match_Record[[#This Row],[Player_No]],Squads[[Player No]:[Player Name]],6,TRUE),"")</f>
        <v>Adrien Rabiot</v>
      </c>
      <c r="I67" s="2" t="str">
        <f>IFERROR(VLOOKUP(Match_Record[[#This Row],[Player_No]],Squads[[Player No]:[Player Name]],2,TRUE),"")</f>
        <v>France</v>
      </c>
    </row>
    <row r="68" spans="1:9" x14ac:dyDescent="0.25">
      <c r="A68" s="18">
        <v>8</v>
      </c>
      <c r="B68" s="35">
        <f>IFERROR(VLOOKUP(Match_Record[[#This Row],[Match No]],Fixtures[[#All],[Match No]:[Location]],2,TRUE),"")</f>
        <v>44887</v>
      </c>
      <c r="C68" s="2" t="str">
        <f>IFERROR(VLOOKUP(Match_Record[[#This Row],[Match No]],Fixtures[[#All],[Match No]:[Location]],5,TRUE),"")</f>
        <v>France</v>
      </c>
      <c r="D68" s="2" t="str">
        <f>IFERROR(VLOOKUP(Match_Record[[#This Row],[Match No]],Fixtures[[#All],[Match No]:[Location]],8,TRUE),"")</f>
        <v>Australia</v>
      </c>
      <c r="E68" s="2" t="s">
        <v>1078</v>
      </c>
      <c r="F68" s="18">
        <v>68</v>
      </c>
      <c r="G68" s="2">
        <v>1296</v>
      </c>
      <c r="H68" s="2" t="str">
        <f>IFERROR(VLOOKUP(Match_Record[[#This Row],[Player_No]],Squads[[Player No]:[Player Name]],6,TRUE),"")</f>
        <v>Kylian Mbappé</v>
      </c>
      <c r="I68" s="2" t="str">
        <f>IFERROR(VLOOKUP(Match_Record[[#This Row],[Player_No]],Squads[[Player No]:[Player Name]],2,TRUE),"")</f>
        <v>France</v>
      </c>
    </row>
    <row r="69" spans="1:9" x14ac:dyDescent="0.25">
      <c r="A69" s="18">
        <v>8</v>
      </c>
      <c r="B69" s="35">
        <f>IFERROR(VLOOKUP(Match_Record[[#This Row],[Match No]],Fixtures[[#All],[Match No]:[Location]],2,TRUE),"")</f>
        <v>44887</v>
      </c>
      <c r="C69" s="2" t="str">
        <f>IFERROR(VLOOKUP(Match_Record[[#This Row],[Match No]],Fixtures[[#All],[Match No]:[Location]],5,TRUE),"")</f>
        <v>France</v>
      </c>
      <c r="D69" s="2" t="str">
        <f>IFERROR(VLOOKUP(Match_Record[[#This Row],[Match No]],Fixtures[[#All],[Match No]:[Location]],8,TRUE),"")</f>
        <v>Australia</v>
      </c>
      <c r="E69" s="2" t="s">
        <v>1079</v>
      </c>
      <c r="F69" s="18">
        <v>68</v>
      </c>
      <c r="G69" s="2">
        <v>1297</v>
      </c>
      <c r="H69" s="2" t="str">
        <f>IFERROR(VLOOKUP(Match_Record[[#This Row],[Player_No]],Squads[[Player No]:[Player Name]],6,TRUE),"")</f>
        <v>Ousmane Dembélé</v>
      </c>
      <c r="I69" s="2" t="str">
        <f>IFERROR(VLOOKUP(Match_Record[[#This Row],[Player_No]],Squads[[Player No]:[Player Name]],2,TRUE),"")</f>
        <v>France</v>
      </c>
    </row>
    <row r="70" spans="1:9" x14ac:dyDescent="0.25">
      <c r="A70" s="18">
        <v>8</v>
      </c>
      <c r="B70" s="35">
        <f>IFERROR(VLOOKUP(Match_Record[[#This Row],[Match No]],Fixtures[[#All],[Match No]:[Location]],2,TRUE),"")</f>
        <v>44887</v>
      </c>
      <c r="C70" s="2" t="str">
        <f>IFERROR(VLOOKUP(Match_Record[[#This Row],[Match No]],Fixtures[[#All],[Match No]:[Location]],5,TRUE),"")</f>
        <v>France</v>
      </c>
      <c r="D70" s="2" t="str">
        <f>IFERROR(VLOOKUP(Match_Record[[#This Row],[Match No]],Fixtures[[#All],[Match No]:[Location]],8,TRUE),"")</f>
        <v>Australia</v>
      </c>
      <c r="E70" s="2" t="s">
        <v>1078</v>
      </c>
      <c r="F70" s="18">
        <v>71</v>
      </c>
      <c r="G70" s="2">
        <v>1295</v>
      </c>
      <c r="H70" s="2" t="str">
        <f>IFERROR(VLOOKUP(Match_Record[[#This Row],[Player_No]],Squads[[Player No]:[Player Name]],6,TRUE),"")</f>
        <v>Olivier Giroud</v>
      </c>
      <c r="I70" s="2" t="str">
        <f>IFERROR(VLOOKUP(Match_Record[[#This Row],[Player_No]],Squads[[Player No]:[Player Name]],2,TRUE),"")</f>
        <v>France</v>
      </c>
    </row>
    <row r="71" spans="1:9" x14ac:dyDescent="0.25">
      <c r="A71" s="18">
        <v>8</v>
      </c>
      <c r="B71" s="35">
        <f>IFERROR(VLOOKUP(Match_Record[[#This Row],[Match No]],Fixtures[[#All],[Match No]:[Location]],2,TRUE),"")</f>
        <v>44887</v>
      </c>
      <c r="C71" s="2" t="str">
        <f>IFERROR(VLOOKUP(Match_Record[[#This Row],[Match No]],Fixtures[[#All],[Match No]:[Location]],5,TRUE),"")</f>
        <v>France</v>
      </c>
      <c r="D71" s="2" t="str">
        <f>IFERROR(VLOOKUP(Match_Record[[#This Row],[Match No]],Fixtures[[#All],[Match No]:[Location]],8,TRUE),"")</f>
        <v>Australia</v>
      </c>
      <c r="E71" s="2" t="s">
        <v>1079</v>
      </c>
      <c r="F71" s="18">
        <v>71</v>
      </c>
      <c r="G71" s="2">
        <v>1296</v>
      </c>
      <c r="H71" s="2" t="str">
        <f>IFERROR(VLOOKUP(Match_Record[[#This Row],[Player_No]],Squads[[Player No]:[Player Name]],6,TRUE),"")</f>
        <v>Kylian Mbappé</v>
      </c>
      <c r="I71" s="2" t="str">
        <f>IFERROR(VLOOKUP(Match_Record[[#This Row],[Player_No]],Squads[[Player No]:[Player Name]],2,TRUE),"")</f>
        <v>France</v>
      </c>
    </row>
    <row r="72" spans="1:9" x14ac:dyDescent="0.25">
      <c r="A72" s="18">
        <v>9</v>
      </c>
      <c r="B72" s="35">
        <f>IFERROR(VLOOKUP(Match_Record[[#This Row],[Match No]],Fixtures[[#All],[Match No]:[Location]],2,TRUE),"")</f>
        <v>44888</v>
      </c>
      <c r="C72" s="2" t="str">
        <f>IFERROR(VLOOKUP(Match_Record[[#This Row],[Match No]],Fixtures[[#All],[Match No]:[Location]],5,TRUE),"")</f>
        <v>Morocco</v>
      </c>
      <c r="D72" s="2" t="str">
        <f>IFERROR(VLOOKUP(Match_Record[[#This Row],[Match No]],Fixtures[[#All],[Match No]:[Location]],8,TRUE),"")</f>
        <v>Croatia</v>
      </c>
      <c r="E72" s="2" t="s">
        <v>1080</v>
      </c>
      <c r="F72" s="18">
        <v>78</v>
      </c>
      <c r="G72" s="2">
        <v>1471</v>
      </c>
      <c r="H72" s="2" t="str">
        <f>IFERROR(VLOOKUP(Match_Record[[#This Row],[Player_No]],Squads[[Player No]:[Player Name]],6,TRUE),"")</f>
        <v>Sofyan Amrabat</v>
      </c>
      <c r="I72" s="2" t="str">
        <f>IFERROR(VLOOKUP(Match_Record[[#This Row],[Player_No]],Squads[[Player No]:[Player Name]],2,TRUE),"")</f>
        <v>Morocco</v>
      </c>
    </row>
    <row r="73" spans="1:9" x14ac:dyDescent="0.25">
      <c r="A73" s="18">
        <v>10</v>
      </c>
      <c r="B73" s="35">
        <f>IFERROR(VLOOKUP(Match_Record[[#This Row],[Match No]],Fixtures[[#All],[Match No]:[Location]],2,TRUE),"")</f>
        <v>44888</v>
      </c>
      <c r="C73" s="2" t="str">
        <f>IFERROR(VLOOKUP(Match_Record[[#This Row],[Match No]],Fixtures[[#All],[Match No]:[Location]],5,TRUE),"")</f>
        <v>Germany</v>
      </c>
      <c r="D73" s="2" t="str">
        <f>IFERROR(VLOOKUP(Match_Record[[#This Row],[Match No]],Fixtures[[#All],[Match No]:[Location]],8,TRUE),"")</f>
        <v>Japan</v>
      </c>
      <c r="E73" s="2" t="s">
        <v>1078</v>
      </c>
      <c r="F73" s="18">
        <v>33</v>
      </c>
      <c r="G73" s="2">
        <v>1333</v>
      </c>
      <c r="H73" s="2" t="str">
        <f>IFERROR(VLOOKUP(Match_Record[[#This Row],[Player_No]],Squads[[Player No]:[Player Name]],6,TRUE),"")</f>
        <v>İlkay Gündoğan</v>
      </c>
      <c r="I73" s="2" t="str">
        <f>IFERROR(VLOOKUP(Match_Record[[#This Row],[Player_No]],Squads[[Player No]:[Player Name]],2,TRUE),"")</f>
        <v>Germany</v>
      </c>
    </row>
    <row r="74" spans="1:9" x14ac:dyDescent="0.25">
      <c r="A74" s="18">
        <v>10</v>
      </c>
      <c r="B74" s="35">
        <f>IFERROR(VLOOKUP(Match_Record[[#This Row],[Match No]],Fixtures[[#All],[Match No]:[Location]],2,TRUE),"")</f>
        <v>44888</v>
      </c>
      <c r="C74" s="2" t="str">
        <f>IFERROR(VLOOKUP(Match_Record[[#This Row],[Match No]],Fixtures[[#All],[Match No]:[Location]],5,TRUE),"")</f>
        <v>Germany</v>
      </c>
      <c r="D74" s="2" t="str">
        <f>IFERROR(VLOOKUP(Match_Record[[#This Row],[Match No]],Fixtures[[#All],[Match No]:[Location]],8,TRUE),"")</f>
        <v>Japan</v>
      </c>
      <c r="E74" s="2" t="s">
        <v>1078</v>
      </c>
      <c r="F74" s="18">
        <v>75</v>
      </c>
      <c r="G74" s="2">
        <v>1397</v>
      </c>
      <c r="H74" s="2" t="str">
        <f>IFERROR(VLOOKUP(Match_Record[[#This Row],[Player_No]],Squads[[Player No]:[Player Name]],6,TRUE),"")</f>
        <v>Ritsu Dōan</v>
      </c>
      <c r="I74" s="2" t="str">
        <f>IFERROR(VLOOKUP(Match_Record[[#This Row],[Player_No]],Squads[[Player No]:[Player Name]],2,TRUE),"")</f>
        <v>Japan</v>
      </c>
    </row>
    <row r="75" spans="1:9" x14ac:dyDescent="0.25">
      <c r="A75" s="18">
        <v>10</v>
      </c>
      <c r="B75" s="35">
        <f>IFERROR(VLOOKUP(Match_Record[[#This Row],[Match No]],Fixtures[[#All],[Match No]:[Location]],2,TRUE),"")</f>
        <v>44888</v>
      </c>
      <c r="C75" s="2" t="str">
        <f>IFERROR(VLOOKUP(Match_Record[[#This Row],[Match No]],Fixtures[[#All],[Match No]:[Location]],5,TRUE),"")</f>
        <v>Germany</v>
      </c>
      <c r="D75" s="2" t="str">
        <f>IFERROR(VLOOKUP(Match_Record[[#This Row],[Match No]],Fixtures[[#All],[Match No]:[Location]],8,TRUE),"")</f>
        <v>Japan</v>
      </c>
      <c r="E75" s="2" t="s">
        <v>1078</v>
      </c>
      <c r="F75" s="18">
        <v>83</v>
      </c>
      <c r="G75" s="2">
        <v>1407</v>
      </c>
      <c r="H75" s="2" t="str">
        <f>IFERROR(VLOOKUP(Match_Record[[#This Row],[Player_No]],Squads[[Player No]:[Player Name]],6,TRUE),"")</f>
        <v>Takuma Asano</v>
      </c>
      <c r="I75" s="2" t="str">
        <f>IFERROR(VLOOKUP(Match_Record[[#This Row],[Player_No]],Squads[[Player No]:[Player Name]],2,TRUE),"")</f>
        <v>Japan</v>
      </c>
    </row>
    <row r="76" spans="1:9" x14ac:dyDescent="0.25">
      <c r="A76" s="18">
        <v>10</v>
      </c>
      <c r="B76" s="35">
        <f>IFERROR(VLOOKUP(Match_Record[[#This Row],[Match No]],Fixtures[[#All],[Match No]:[Location]],2,TRUE),"")</f>
        <v>44888</v>
      </c>
      <c r="C76" s="2" t="str">
        <f>IFERROR(VLOOKUP(Match_Record[[#This Row],[Match No]],Fixtures[[#All],[Match No]:[Location]],5,TRUE),"")</f>
        <v>Germany</v>
      </c>
      <c r="D76" s="2" t="str">
        <f>IFERROR(VLOOKUP(Match_Record[[#This Row],[Match No]],Fixtures[[#All],[Match No]:[Location]],8,TRUE),"")</f>
        <v>Japan</v>
      </c>
      <c r="E76" s="2" t="s">
        <v>1079</v>
      </c>
      <c r="F76" s="18">
        <v>83</v>
      </c>
      <c r="G76" s="2">
        <v>1393</v>
      </c>
      <c r="H76" s="2" t="str">
        <f>IFERROR(VLOOKUP(Match_Record[[#This Row],[Player_No]],Squads[[Player No]:[Player Name]],6,TRUE),"")</f>
        <v>Ko Itakura</v>
      </c>
      <c r="I76" s="2" t="str">
        <f>IFERROR(VLOOKUP(Match_Record[[#This Row],[Player_No]],Squads[[Player No]:[Player Name]],2,TRUE),"")</f>
        <v>Japan</v>
      </c>
    </row>
    <row r="77" spans="1:9" x14ac:dyDescent="0.25">
      <c r="A77" s="18">
        <v>11</v>
      </c>
      <c r="B77" s="35">
        <f>IFERROR(VLOOKUP(Match_Record[[#This Row],[Match No]],Fixtures[[#All],[Match No]:[Location]],2,TRUE),"")</f>
        <v>44888</v>
      </c>
      <c r="C77" s="2" t="str">
        <f>IFERROR(VLOOKUP(Match_Record[[#This Row],[Match No]],Fixtures[[#All],[Match No]:[Location]],5,TRUE),"")</f>
        <v>Spain</v>
      </c>
      <c r="D77" s="2" t="str">
        <f>IFERROR(VLOOKUP(Match_Record[[#This Row],[Match No]],Fixtures[[#All],[Match No]:[Location]],8,TRUE),"")</f>
        <v>Costa Rica</v>
      </c>
      <c r="E77" s="2" t="s">
        <v>1078</v>
      </c>
      <c r="F77" s="18">
        <v>11</v>
      </c>
      <c r="G77" s="2">
        <v>1695</v>
      </c>
      <c r="H77" s="2" t="str">
        <f>IFERROR(VLOOKUP(Match_Record[[#This Row],[Player_No]],Squads[[Player No]:[Player Name]],6,TRUE),"")</f>
        <v>Dani Olmo</v>
      </c>
      <c r="I77" s="2" t="str">
        <f>IFERROR(VLOOKUP(Match_Record[[#This Row],[Player_No]],Squads[[Player No]:[Player Name]],2,TRUE),"")</f>
        <v>Spain</v>
      </c>
    </row>
    <row r="78" spans="1:9" x14ac:dyDescent="0.25">
      <c r="A78" s="18">
        <v>11</v>
      </c>
      <c r="B78" s="35">
        <f>IFERROR(VLOOKUP(Match_Record[[#This Row],[Match No]],Fixtures[[#All],[Match No]:[Location]],2,TRUE),"")</f>
        <v>44888</v>
      </c>
      <c r="C78" s="2" t="str">
        <f>IFERROR(VLOOKUP(Match_Record[[#This Row],[Match No]],Fixtures[[#All],[Match No]:[Location]],5,TRUE),"")</f>
        <v>Spain</v>
      </c>
      <c r="D78" s="2" t="str">
        <f>IFERROR(VLOOKUP(Match_Record[[#This Row],[Match No]],Fixtures[[#All],[Match No]:[Location]],8,TRUE),"")</f>
        <v>Costa Rica</v>
      </c>
      <c r="E78" s="2" t="s">
        <v>1078</v>
      </c>
      <c r="F78" s="18">
        <v>21</v>
      </c>
      <c r="G78" s="2">
        <v>1684</v>
      </c>
      <c r="H78" s="2" t="str">
        <f>IFERROR(VLOOKUP(Match_Record[[#This Row],[Player_No]],Squads[[Player No]:[Player Name]],6,TRUE),"")</f>
        <v>Marco Asensio</v>
      </c>
      <c r="I78" s="2" t="str">
        <f>IFERROR(VLOOKUP(Match_Record[[#This Row],[Player_No]],Squads[[Player No]:[Player Name]],2,TRUE),"")</f>
        <v>Spain</v>
      </c>
    </row>
    <row r="79" spans="1:9" x14ac:dyDescent="0.25">
      <c r="A79" s="18">
        <v>11</v>
      </c>
      <c r="B79" s="35">
        <f>IFERROR(VLOOKUP(Match_Record[[#This Row],[Match No]],Fixtures[[#All],[Match No]:[Location]],2,TRUE),"")</f>
        <v>44888</v>
      </c>
      <c r="C79" s="2" t="str">
        <f>IFERROR(VLOOKUP(Match_Record[[#This Row],[Match No]],Fixtures[[#All],[Match No]:[Location]],5,TRUE),"")</f>
        <v>Spain</v>
      </c>
      <c r="D79" s="2" t="str">
        <f>IFERROR(VLOOKUP(Match_Record[[#This Row],[Match No]],Fixtures[[#All],[Match No]:[Location]],8,TRUE),"")</f>
        <v>Costa Rica</v>
      </c>
      <c r="E79" s="2" t="s">
        <v>1079</v>
      </c>
      <c r="F79" s="18">
        <v>21</v>
      </c>
      <c r="G79" s="2">
        <v>1692</v>
      </c>
      <c r="H79" s="2" t="str">
        <f>IFERROR(VLOOKUP(Match_Record[[#This Row],[Player_No]],Squads[[Player No]:[Player Name]],6,TRUE),"")</f>
        <v>Jordi Alba</v>
      </c>
      <c r="I79" s="2" t="str">
        <f>IFERROR(VLOOKUP(Match_Record[[#This Row],[Player_No]],Squads[[Player No]:[Player Name]],2,TRUE),"")</f>
        <v>Spain</v>
      </c>
    </row>
    <row r="80" spans="1:9" x14ac:dyDescent="0.25">
      <c r="A80" s="18">
        <v>11</v>
      </c>
      <c r="B80" s="35">
        <f>IFERROR(VLOOKUP(Match_Record[[#This Row],[Match No]],Fixtures[[#All],[Match No]:[Location]],2,TRUE),"")</f>
        <v>44888</v>
      </c>
      <c r="C80" s="2" t="str">
        <f>IFERROR(VLOOKUP(Match_Record[[#This Row],[Match No]],Fixtures[[#All],[Match No]:[Location]],5,TRUE),"")</f>
        <v>Spain</v>
      </c>
      <c r="D80" s="2" t="str">
        <f>IFERROR(VLOOKUP(Match_Record[[#This Row],[Match No]],Fixtures[[#All],[Match No]:[Location]],8,TRUE),"")</f>
        <v>Costa Rica</v>
      </c>
      <c r="E80" s="2" t="s">
        <v>1078</v>
      </c>
      <c r="F80" s="18">
        <v>31</v>
      </c>
      <c r="G80" s="2">
        <v>1685</v>
      </c>
      <c r="H80" s="2" t="str">
        <f>IFERROR(VLOOKUP(Match_Record[[#This Row],[Player_No]],Squads[[Player No]:[Player Name]],6,TRUE),"")</f>
        <v>Ferran Torres</v>
      </c>
      <c r="I80" s="2" t="str">
        <f>IFERROR(VLOOKUP(Match_Record[[#This Row],[Player_No]],Squads[[Player No]:[Player Name]],2,TRUE),"")</f>
        <v>Spain</v>
      </c>
    </row>
    <row r="81" spans="1:9" x14ac:dyDescent="0.25">
      <c r="A81" s="18">
        <v>11</v>
      </c>
      <c r="B81" s="35">
        <f>IFERROR(VLOOKUP(Match_Record[[#This Row],[Match No]],Fixtures[[#All],[Match No]:[Location]],2,TRUE),"")</f>
        <v>44888</v>
      </c>
      <c r="C81" s="2" t="str">
        <f>IFERROR(VLOOKUP(Match_Record[[#This Row],[Match No]],Fixtures[[#All],[Match No]:[Location]],5,TRUE),"")</f>
        <v>Spain</v>
      </c>
      <c r="D81" s="2" t="str">
        <f>IFERROR(VLOOKUP(Match_Record[[#This Row],[Match No]],Fixtures[[#All],[Match No]:[Location]],8,TRUE),"")</f>
        <v>Costa Rica</v>
      </c>
      <c r="E81" s="2" t="s">
        <v>1078</v>
      </c>
      <c r="F81" s="18">
        <v>54</v>
      </c>
      <c r="G81" s="2">
        <v>1685</v>
      </c>
      <c r="H81" s="2" t="str">
        <f>IFERROR(VLOOKUP(Match_Record[[#This Row],[Player_No]],Squads[[Player No]:[Player Name]],6,TRUE),"")</f>
        <v>Ferran Torres</v>
      </c>
      <c r="I81" s="2" t="str">
        <f>IFERROR(VLOOKUP(Match_Record[[#This Row],[Player_No]],Squads[[Player No]:[Player Name]],2,TRUE),"")</f>
        <v>Spain</v>
      </c>
    </row>
    <row r="82" spans="1:9" x14ac:dyDescent="0.25">
      <c r="A82" s="18">
        <v>11</v>
      </c>
      <c r="B82" s="35">
        <f>IFERROR(VLOOKUP(Match_Record[[#This Row],[Match No]],Fixtures[[#All],[Match No]:[Location]],2,TRUE),"")</f>
        <v>44888</v>
      </c>
      <c r="C82" s="2" t="str">
        <f>IFERROR(VLOOKUP(Match_Record[[#This Row],[Match No]],Fixtures[[#All],[Match No]:[Location]],5,TRUE),"")</f>
        <v>Spain</v>
      </c>
      <c r="D82" s="2" t="str">
        <f>IFERROR(VLOOKUP(Match_Record[[#This Row],[Match No]],Fixtures[[#All],[Match No]:[Location]],8,TRUE),"")</f>
        <v>Costa Rica</v>
      </c>
      <c r="E82" s="2" t="s">
        <v>1078</v>
      </c>
      <c r="F82" s="18">
        <v>74</v>
      </c>
      <c r="G82" s="2">
        <v>1683</v>
      </c>
      <c r="H82" s="2" t="str">
        <f>IFERROR(VLOOKUP(Match_Record[[#This Row],[Player_No]],Squads[[Player No]:[Player Name]],6,TRUE),"")</f>
        <v>Gavi</v>
      </c>
      <c r="I82" s="2" t="str">
        <f>IFERROR(VLOOKUP(Match_Record[[#This Row],[Player_No]],Squads[[Player No]:[Player Name]],2,TRUE),"")</f>
        <v>Spain</v>
      </c>
    </row>
    <row r="83" spans="1:9" x14ac:dyDescent="0.25">
      <c r="A83" s="18">
        <v>11</v>
      </c>
      <c r="B83" s="35">
        <f>IFERROR(VLOOKUP(Match_Record[[#This Row],[Match No]],Fixtures[[#All],[Match No]:[Location]],2,TRUE),"")</f>
        <v>44888</v>
      </c>
      <c r="C83" s="2" t="str">
        <f>IFERROR(VLOOKUP(Match_Record[[#This Row],[Match No]],Fixtures[[#All],[Match No]:[Location]],5,TRUE),"")</f>
        <v>Spain</v>
      </c>
      <c r="D83" s="2" t="str">
        <f>IFERROR(VLOOKUP(Match_Record[[#This Row],[Match No]],Fixtures[[#All],[Match No]:[Location]],8,TRUE),"")</f>
        <v>Costa Rica</v>
      </c>
      <c r="E83" s="2" t="s">
        <v>1079</v>
      </c>
      <c r="F83" s="18">
        <v>74</v>
      </c>
      <c r="G83" s="2">
        <v>1681</v>
      </c>
      <c r="H83" s="2" t="str">
        <f>IFERROR(VLOOKUP(Match_Record[[#This Row],[Player_No]],Squads[[Player No]:[Player Name]],6,TRUE),"")</f>
        <v>Álvaro Morata</v>
      </c>
      <c r="I83" s="2" t="str">
        <f>IFERROR(VLOOKUP(Match_Record[[#This Row],[Player_No]],Squads[[Player No]:[Player Name]],2,TRUE),"")</f>
        <v>Spain</v>
      </c>
    </row>
    <row r="84" spans="1:9" x14ac:dyDescent="0.25">
      <c r="A84" s="18">
        <v>11</v>
      </c>
      <c r="B84" s="35">
        <f>IFERROR(VLOOKUP(Match_Record[[#This Row],[Match No]],Fixtures[[#All],[Match No]:[Location]],2,TRUE),"")</f>
        <v>44888</v>
      </c>
      <c r="C84" s="2" t="str">
        <f>IFERROR(VLOOKUP(Match_Record[[#This Row],[Match No]],Fixtures[[#All],[Match No]:[Location]],5,TRUE),"")</f>
        <v>Spain</v>
      </c>
      <c r="D84" s="2" t="str">
        <f>IFERROR(VLOOKUP(Match_Record[[#This Row],[Match No]],Fixtures[[#All],[Match No]:[Location]],8,TRUE),"")</f>
        <v>Costa Rica</v>
      </c>
      <c r="E84" s="2" t="s">
        <v>1078</v>
      </c>
      <c r="F84" s="18">
        <v>90</v>
      </c>
      <c r="G84" s="2">
        <v>1693</v>
      </c>
      <c r="H84" s="2" t="str">
        <f>IFERROR(VLOOKUP(Match_Record[[#This Row],[Player_No]],Squads[[Player No]:[Player Name]],6,TRUE),"")</f>
        <v>Carlos Soler</v>
      </c>
      <c r="I84" s="2" t="str">
        <f>IFERROR(VLOOKUP(Match_Record[[#This Row],[Player_No]],Squads[[Player No]:[Player Name]],2,TRUE),"")</f>
        <v>Spain</v>
      </c>
    </row>
    <row r="85" spans="1:9" x14ac:dyDescent="0.25">
      <c r="A85" s="18">
        <v>11</v>
      </c>
      <c r="B85" s="35">
        <f>IFERROR(VLOOKUP(Match_Record[[#This Row],[Match No]],Fixtures[[#All],[Match No]:[Location]],2,TRUE),"")</f>
        <v>44888</v>
      </c>
      <c r="C85" s="2" t="str">
        <f>IFERROR(VLOOKUP(Match_Record[[#This Row],[Match No]],Fixtures[[#All],[Match No]:[Location]],5,TRUE),"")</f>
        <v>Spain</v>
      </c>
      <c r="D85" s="2" t="str">
        <f>IFERROR(VLOOKUP(Match_Record[[#This Row],[Match No]],Fixtures[[#All],[Match No]:[Location]],8,TRUE),"")</f>
        <v>Costa Rica</v>
      </c>
      <c r="E85" s="2" t="s">
        <v>1078</v>
      </c>
      <c r="F85" s="18">
        <v>92</v>
      </c>
      <c r="G85" s="2">
        <v>1681</v>
      </c>
      <c r="H85" s="2" t="str">
        <f>IFERROR(VLOOKUP(Match_Record[[#This Row],[Player_No]],Squads[[Player No]:[Player Name]],6,TRUE),"")</f>
        <v>Álvaro Morata</v>
      </c>
      <c r="I85" s="2" t="str">
        <f>IFERROR(VLOOKUP(Match_Record[[#This Row],[Player_No]],Squads[[Player No]:[Player Name]],2,TRUE),"")</f>
        <v>Spain</v>
      </c>
    </row>
    <row r="86" spans="1:9" x14ac:dyDescent="0.25">
      <c r="A86" s="18">
        <v>11</v>
      </c>
      <c r="B86" s="35">
        <f>IFERROR(VLOOKUP(Match_Record[[#This Row],[Match No]],Fixtures[[#All],[Match No]:[Location]],2,TRUE),"")</f>
        <v>44888</v>
      </c>
      <c r="C86" s="2" t="str">
        <f>IFERROR(VLOOKUP(Match_Record[[#This Row],[Match No]],Fixtures[[#All],[Match No]:[Location]],5,TRUE),"")</f>
        <v>Spain</v>
      </c>
      <c r="D86" s="2" t="str">
        <f>IFERROR(VLOOKUP(Match_Record[[#This Row],[Match No]],Fixtures[[#All],[Match No]:[Location]],8,TRUE),"")</f>
        <v>Costa Rica</v>
      </c>
      <c r="E86" s="2" t="s">
        <v>1079</v>
      </c>
      <c r="F86" s="18">
        <v>92</v>
      </c>
      <c r="G86" s="2">
        <v>1695</v>
      </c>
      <c r="H86" s="2" t="str">
        <f>IFERROR(VLOOKUP(Match_Record[[#This Row],[Player_No]],Squads[[Player No]:[Player Name]],6,TRUE),"")</f>
        <v>Dani Olmo</v>
      </c>
      <c r="I86" s="2" t="str">
        <f>IFERROR(VLOOKUP(Match_Record[[#This Row],[Player_No]],Squads[[Player No]:[Player Name]],2,TRUE),"")</f>
        <v>Spain</v>
      </c>
    </row>
    <row r="87" spans="1:9" x14ac:dyDescent="0.25">
      <c r="A87" s="18">
        <v>11</v>
      </c>
      <c r="B87" s="35">
        <f>IFERROR(VLOOKUP(Match_Record[[#This Row],[Match No]],Fixtures[[#All],[Match No]:[Location]],2,TRUE),"")</f>
        <v>44888</v>
      </c>
      <c r="C87" s="2" t="str">
        <f>IFERROR(VLOOKUP(Match_Record[[#This Row],[Match No]],Fixtures[[#All],[Match No]:[Location]],5,TRUE),"")</f>
        <v>Spain</v>
      </c>
      <c r="D87" s="2" t="str">
        <f>IFERROR(VLOOKUP(Match_Record[[#This Row],[Match No]],Fixtures[[#All],[Match No]:[Location]],8,TRUE),"")</f>
        <v>Costa Rica</v>
      </c>
      <c r="E87" s="2" t="s">
        <v>1080</v>
      </c>
      <c r="F87" s="18">
        <v>68</v>
      </c>
      <c r="G87" s="2">
        <v>1171</v>
      </c>
      <c r="H87" s="2" t="str">
        <f>IFERROR(VLOOKUP(Match_Record[[#This Row],[Player_No]],Squads[[Player No]:[Player Name]],6,TRUE),"")</f>
        <v>Francisco Calvo</v>
      </c>
      <c r="I87" s="2" t="str">
        <f>IFERROR(VLOOKUP(Match_Record[[#This Row],[Player_No]],Squads[[Player No]:[Player Name]],2,TRUE),"")</f>
        <v>Costa Rica</v>
      </c>
    </row>
    <row r="88" spans="1:9" x14ac:dyDescent="0.25">
      <c r="A88" s="18">
        <v>11</v>
      </c>
      <c r="B88" s="35">
        <f>IFERROR(VLOOKUP(Match_Record[[#This Row],[Match No]],Fixtures[[#All],[Match No]:[Location]],2,TRUE),"")</f>
        <v>44888</v>
      </c>
      <c r="C88" s="2" t="str">
        <f>IFERROR(VLOOKUP(Match_Record[[#This Row],[Match No]],Fixtures[[#All],[Match No]:[Location]],5,TRUE),"")</f>
        <v>Spain</v>
      </c>
      <c r="D88" s="2" t="str">
        <f>IFERROR(VLOOKUP(Match_Record[[#This Row],[Match No]],Fixtures[[#All],[Match No]:[Location]],8,TRUE),"")</f>
        <v>Costa Rica</v>
      </c>
      <c r="E88" s="2" t="s">
        <v>1080</v>
      </c>
      <c r="F88" s="18">
        <v>97</v>
      </c>
      <c r="G88" s="2">
        <v>1168</v>
      </c>
      <c r="H88" s="2" t="str">
        <f>IFERROR(VLOOKUP(Match_Record[[#This Row],[Player_No]],Squads[[Player No]:[Player Name]],6,TRUE),"")</f>
        <v>Joel Campbell</v>
      </c>
      <c r="I88" s="2" t="str">
        <f>IFERROR(VLOOKUP(Match_Record[[#This Row],[Player_No]],Squads[[Player No]:[Player Name]],2,TRUE),"")</f>
        <v>Costa Rica</v>
      </c>
    </row>
    <row r="89" spans="1:9" x14ac:dyDescent="0.25">
      <c r="A89" s="18">
        <v>12</v>
      </c>
      <c r="B89" s="35">
        <f>IFERROR(VLOOKUP(Match_Record[[#This Row],[Match No]],Fixtures[[#All],[Match No]:[Location]],2,TRUE),"")</f>
        <v>44888</v>
      </c>
      <c r="C89" s="2" t="str">
        <f>IFERROR(VLOOKUP(Match_Record[[#This Row],[Match No]],Fixtures[[#All],[Match No]:[Location]],5,TRUE),"")</f>
        <v>Belgium</v>
      </c>
      <c r="D89" s="2" t="str">
        <f>IFERROR(VLOOKUP(Match_Record[[#This Row],[Match No]],Fixtures[[#All],[Match No]:[Location]],8,TRUE),"")</f>
        <v>Canada</v>
      </c>
      <c r="E89" s="2" t="s">
        <v>1080</v>
      </c>
      <c r="F89" s="18">
        <v>9</v>
      </c>
      <c r="G89" s="2">
        <v>1063</v>
      </c>
      <c r="H89" s="2" t="str">
        <f>IFERROR(VLOOKUP(Match_Record[[#This Row],[Player_No]],Squads[[Player No]:[Player Name]],6,TRUE),"")</f>
        <v>Yannick Carrasco</v>
      </c>
      <c r="I89" s="2" t="str">
        <f>IFERROR(VLOOKUP(Match_Record[[#This Row],[Player_No]],Squads[[Player No]:[Player Name]],2,TRUE),"")</f>
        <v>Belgium</v>
      </c>
    </row>
    <row r="90" spans="1:9" x14ac:dyDescent="0.25">
      <c r="A90" s="18">
        <v>12</v>
      </c>
      <c r="B90" s="35">
        <f>IFERROR(VLOOKUP(Match_Record[[#This Row],[Match No]],Fixtures[[#All],[Match No]:[Location]],2,TRUE),"")</f>
        <v>44888</v>
      </c>
      <c r="C90" s="2" t="str">
        <f>IFERROR(VLOOKUP(Match_Record[[#This Row],[Match No]],Fixtures[[#All],[Match No]:[Location]],5,TRUE),"")</f>
        <v>Belgium</v>
      </c>
      <c r="D90" s="2" t="str">
        <f>IFERROR(VLOOKUP(Match_Record[[#This Row],[Match No]],Fixtures[[#All],[Match No]:[Location]],8,TRUE),"")</f>
        <v>Canada</v>
      </c>
      <c r="E90" s="2" t="s">
        <v>1078</v>
      </c>
      <c r="F90" s="18">
        <v>44</v>
      </c>
      <c r="G90" s="2">
        <v>1075</v>
      </c>
      <c r="H90" s="2" t="str">
        <f>IFERROR(VLOOKUP(Match_Record[[#This Row],[Player_No]],Squads[[Player No]:[Player Name]],6,TRUE),"")</f>
        <v>Michy Batshuayi</v>
      </c>
      <c r="I90" s="2" t="str">
        <f>IFERROR(VLOOKUP(Match_Record[[#This Row],[Player_No]],Squads[[Player No]:[Player Name]],2,TRUE),"")</f>
        <v>Belgium</v>
      </c>
    </row>
    <row r="91" spans="1:9" x14ac:dyDescent="0.25">
      <c r="A91" s="18">
        <v>12</v>
      </c>
      <c r="B91" s="35">
        <f>IFERROR(VLOOKUP(Match_Record[[#This Row],[Match No]],Fixtures[[#All],[Match No]:[Location]],2,TRUE),"")</f>
        <v>44888</v>
      </c>
      <c r="C91" s="2" t="str">
        <f>IFERROR(VLOOKUP(Match_Record[[#This Row],[Match No]],Fixtures[[#All],[Match No]:[Location]],5,TRUE),"")</f>
        <v>Belgium</v>
      </c>
      <c r="D91" s="2" t="str">
        <f>IFERROR(VLOOKUP(Match_Record[[#This Row],[Match No]],Fixtures[[#All],[Match No]:[Location]],8,TRUE),"")</f>
        <v>Canada</v>
      </c>
      <c r="E91" s="2" t="s">
        <v>1079</v>
      </c>
      <c r="F91" s="18">
        <v>44</v>
      </c>
      <c r="G91" s="2">
        <v>1054</v>
      </c>
      <c r="H91" s="2" t="str">
        <f>IFERROR(VLOOKUP(Match_Record[[#This Row],[Player_No]],Squads[[Player No]:[Player Name]],6,TRUE),"")</f>
        <v>Toby Alderweireld</v>
      </c>
      <c r="I91" s="2" t="str">
        <f>IFERROR(VLOOKUP(Match_Record[[#This Row],[Player_No]],Squads[[Player No]:[Player Name]],2,TRUE),"")</f>
        <v>Belgium</v>
      </c>
    </row>
    <row r="92" spans="1:9" x14ac:dyDescent="0.25">
      <c r="A92" s="18">
        <v>12</v>
      </c>
      <c r="B92" s="35">
        <f>IFERROR(VLOOKUP(Match_Record[[#This Row],[Match No]],Fixtures[[#All],[Match No]:[Location]],2,TRUE),"")</f>
        <v>44888</v>
      </c>
      <c r="C92" s="2" t="str">
        <f>IFERROR(VLOOKUP(Match_Record[[#This Row],[Match No]],Fixtures[[#All],[Match No]:[Location]],5,TRUE),"")</f>
        <v>Belgium</v>
      </c>
      <c r="D92" s="2" t="str">
        <f>IFERROR(VLOOKUP(Match_Record[[#This Row],[Match No]],Fixtures[[#All],[Match No]:[Location]],8,TRUE),"")</f>
        <v>Canada</v>
      </c>
      <c r="E92" s="2" t="s">
        <v>1080</v>
      </c>
      <c r="F92" s="18">
        <v>54</v>
      </c>
      <c r="G92" s="2">
        <v>1067</v>
      </c>
      <c r="H92" s="2" t="str">
        <f>IFERROR(VLOOKUP(Match_Record[[#This Row],[Player_No]],Squads[[Player No]:[Player Name]],6,TRUE),"")</f>
        <v>Thomas Meunier</v>
      </c>
      <c r="I92" s="2" t="str">
        <f>IFERROR(VLOOKUP(Match_Record[[#This Row],[Player_No]],Squads[[Player No]:[Player Name]],2,TRUE),"")</f>
        <v>Belgium</v>
      </c>
    </row>
    <row r="93" spans="1:9" x14ac:dyDescent="0.25">
      <c r="A93" s="18">
        <v>12</v>
      </c>
      <c r="B93" s="35">
        <f>IFERROR(VLOOKUP(Match_Record[[#This Row],[Match No]],Fixtures[[#All],[Match No]:[Location]],2,TRUE),"")</f>
        <v>44888</v>
      </c>
      <c r="C93" s="2" t="str">
        <f>IFERROR(VLOOKUP(Match_Record[[#This Row],[Match No]],Fixtures[[#All],[Match No]:[Location]],5,TRUE),"")</f>
        <v>Belgium</v>
      </c>
      <c r="D93" s="2" t="str">
        <f>IFERROR(VLOOKUP(Match_Record[[#This Row],[Match No]],Fixtures[[#All],[Match No]:[Location]],8,TRUE),"")</f>
        <v>Canada</v>
      </c>
      <c r="E93" s="2" t="s">
        <v>1080</v>
      </c>
      <c r="F93" s="18">
        <v>56</v>
      </c>
      <c r="G93" s="2">
        <v>1070</v>
      </c>
      <c r="H93" s="2" t="str">
        <f>IFERROR(VLOOKUP(Match_Record[[#This Row],[Player_No]],Squads[[Player No]:[Player Name]],6,TRUE),"")</f>
        <v>Amadou Onana</v>
      </c>
      <c r="I93" s="2" t="str">
        <f>IFERROR(VLOOKUP(Match_Record[[#This Row],[Player_No]],Squads[[Player No]:[Player Name]],2,TRUE),"")</f>
        <v>Belgium</v>
      </c>
    </row>
    <row r="94" spans="1:9" x14ac:dyDescent="0.25">
      <c r="A94" s="18">
        <v>12</v>
      </c>
      <c r="B94" s="35">
        <f>IFERROR(VLOOKUP(Match_Record[[#This Row],[Match No]],Fixtures[[#All],[Match No]:[Location]],2,TRUE),"")</f>
        <v>44888</v>
      </c>
      <c r="C94" s="2" t="str">
        <f>IFERROR(VLOOKUP(Match_Record[[#This Row],[Match No]],Fixtures[[#All],[Match No]:[Location]],5,TRUE),"")</f>
        <v>Belgium</v>
      </c>
      <c r="D94" s="2" t="str">
        <f>IFERROR(VLOOKUP(Match_Record[[#This Row],[Match No]],Fixtures[[#All],[Match No]:[Location]],8,TRUE),"")</f>
        <v>Canada</v>
      </c>
      <c r="E94" s="2" t="s">
        <v>1538</v>
      </c>
      <c r="F94" s="18">
        <v>11</v>
      </c>
      <c r="G94" s="2">
        <v>1149</v>
      </c>
      <c r="H94" s="2" t="str">
        <f>IFERROR(VLOOKUP(Match_Record[[#This Row],[Player_No]],Squads[[Player No]:[Player Name]],6,TRUE),"")</f>
        <v>Alphonso Davies</v>
      </c>
      <c r="I94" s="2" t="str">
        <f>IFERROR(VLOOKUP(Match_Record[[#This Row],[Player_No]],Squads[[Player No]:[Player Name]],2,TRUE),"")</f>
        <v>Canada</v>
      </c>
    </row>
    <row r="95" spans="1:9" x14ac:dyDescent="0.25">
      <c r="A95" s="18">
        <v>12</v>
      </c>
      <c r="B95" s="35">
        <f>IFERROR(VLOOKUP(Match_Record[[#This Row],[Match No]],Fixtures[[#All],[Match No]:[Location]],2,TRUE),"")</f>
        <v>44888</v>
      </c>
      <c r="C95" s="2" t="str">
        <f>IFERROR(VLOOKUP(Match_Record[[#This Row],[Match No]],Fixtures[[#All],[Match No]:[Location]],5,TRUE),"")</f>
        <v>Belgium</v>
      </c>
      <c r="D95" s="2" t="str">
        <f>IFERROR(VLOOKUP(Match_Record[[#This Row],[Match No]],Fixtures[[#All],[Match No]:[Location]],8,TRUE),"")</f>
        <v>Canada</v>
      </c>
      <c r="E95" s="2" t="s">
        <v>1080</v>
      </c>
      <c r="F95" s="18">
        <v>81</v>
      </c>
      <c r="G95" s="2">
        <v>1149</v>
      </c>
      <c r="H95" s="2" t="str">
        <f>IFERROR(VLOOKUP(Match_Record[[#This Row],[Player_No]],Squads[[Player No]:[Player Name]],6,TRUE),"")</f>
        <v>Alphonso Davies</v>
      </c>
      <c r="I95" s="2" t="str">
        <f>IFERROR(VLOOKUP(Match_Record[[#This Row],[Player_No]],Squads[[Player No]:[Player Name]],2,TRUE),"")</f>
        <v>Canada</v>
      </c>
    </row>
    <row r="96" spans="1:9" x14ac:dyDescent="0.25">
      <c r="A96" s="18">
        <v>12</v>
      </c>
      <c r="B96" s="35">
        <f>IFERROR(VLOOKUP(Match_Record[[#This Row],[Match No]],Fixtures[[#All],[Match No]:[Location]],2,TRUE),"")</f>
        <v>44888</v>
      </c>
      <c r="C96" s="2" t="str">
        <f>IFERROR(VLOOKUP(Match_Record[[#This Row],[Match No]],Fixtures[[#All],[Match No]:[Location]],5,TRUE),"")</f>
        <v>Belgium</v>
      </c>
      <c r="D96" s="2" t="str">
        <f>IFERROR(VLOOKUP(Match_Record[[#This Row],[Match No]],Fixtures[[#All],[Match No]:[Location]],8,TRUE),"")</f>
        <v>Canada</v>
      </c>
      <c r="E96" s="2" t="s">
        <v>1080</v>
      </c>
      <c r="F96" s="18">
        <v>83</v>
      </c>
      <c r="G96" s="2">
        <v>1132</v>
      </c>
      <c r="H96" s="2" t="str">
        <f>IFERROR(VLOOKUP(Match_Record[[#This Row],[Player_No]],Squads[[Player No]:[Player Name]],6,TRUE),"")</f>
        <v>Alistair Johnston</v>
      </c>
      <c r="I96" s="2" t="str">
        <f>IFERROR(VLOOKUP(Match_Record[[#This Row],[Player_No]],Squads[[Player No]:[Player Name]],2,TRUE),"")</f>
        <v>Canada</v>
      </c>
    </row>
    <row r="97" spans="1:9" x14ac:dyDescent="0.25">
      <c r="A97" s="18">
        <v>13</v>
      </c>
      <c r="B97" s="35">
        <f>IFERROR(VLOOKUP(Match_Record[[#This Row],[Match No]],Fixtures[[#All],[Match No]:[Location]],2,TRUE),"")</f>
        <v>44889</v>
      </c>
      <c r="C97" s="2" t="str">
        <f>IFERROR(VLOOKUP(Match_Record[[#This Row],[Match No]],Fixtures[[#All],[Match No]:[Location]],5,TRUE),"")</f>
        <v>Switzerland</v>
      </c>
      <c r="D97" s="2" t="str">
        <f>IFERROR(VLOOKUP(Match_Record[[#This Row],[Match No]],Fixtures[[#All],[Match No]:[Location]],8,TRUE),"")</f>
        <v>Cameroon</v>
      </c>
      <c r="E97" s="2" t="s">
        <v>1078</v>
      </c>
      <c r="F97" s="18">
        <v>48</v>
      </c>
      <c r="G97" s="2">
        <v>1707</v>
      </c>
      <c r="H97" s="2" t="str">
        <f>IFERROR(VLOOKUP(Match_Record[[#This Row],[Player_No]],Squads[[Player No]:[Player Name]],6,TRUE),"")</f>
        <v>Breel Embolo</v>
      </c>
      <c r="I97" s="2" t="str">
        <f>IFERROR(VLOOKUP(Match_Record[[#This Row],[Player_No]],Squads[[Player No]:[Player Name]],2,TRUE),"")</f>
        <v>Switzerland</v>
      </c>
    </row>
    <row r="98" spans="1:9" x14ac:dyDescent="0.25">
      <c r="A98" s="18">
        <v>13</v>
      </c>
      <c r="B98" s="35">
        <f>IFERROR(VLOOKUP(Match_Record[[#This Row],[Match No]],Fixtures[[#All],[Match No]:[Location]],2,TRUE),"")</f>
        <v>44889</v>
      </c>
      <c r="C98" s="2" t="str">
        <f>IFERROR(VLOOKUP(Match_Record[[#This Row],[Match No]],Fixtures[[#All],[Match No]:[Location]],5,TRUE),"")</f>
        <v>Switzerland</v>
      </c>
      <c r="D98" s="2" t="str">
        <f>IFERROR(VLOOKUP(Match_Record[[#This Row],[Match No]],Fixtures[[#All],[Match No]:[Location]],8,TRUE),"")</f>
        <v>Cameroon</v>
      </c>
      <c r="E98" s="2" t="s">
        <v>1079</v>
      </c>
      <c r="F98" s="18">
        <v>48</v>
      </c>
      <c r="G98" s="2">
        <v>1723</v>
      </c>
      <c r="H98" s="2" t="str">
        <f>IFERROR(VLOOKUP(Match_Record[[#This Row],[Player_No]],Squads[[Player No]:[Player Name]],6,TRUE),"")</f>
        <v>Xherdan Shaqiri</v>
      </c>
      <c r="I98" s="2" t="str">
        <f>IFERROR(VLOOKUP(Match_Record[[#This Row],[Player_No]],Squads[[Player No]:[Player Name]],2,TRUE),"")</f>
        <v>Switzerland</v>
      </c>
    </row>
    <row r="99" spans="1:9" x14ac:dyDescent="0.25">
      <c r="A99" s="18">
        <v>13</v>
      </c>
      <c r="B99" s="35">
        <f>IFERROR(VLOOKUP(Match_Record[[#This Row],[Match No]],Fixtures[[#All],[Match No]:[Location]],2,TRUE),"")</f>
        <v>44889</v>
      </c>
      <c r="C99" s="2" t="str">
        <f>IFERROR(VLOOKUP(Match_Record[[#This Row],[Match No]],Fixtures[[#All],[Match No]:[Location]],5,TRUE),"")</f>
        <v>Switzerland</v>
      </c>
      <c r="D99" s="2" t="str">
        <f>IFERROR(VLOOKUP(Match_Record[[#This Row],[Match No]],Fixtures[[#All],[Match No]:[Location]],8,TRUE),"")</f>
        <v>Cameroon</v>
      </c>
      <c r="E99" s="2" t="s">
        <v>1080</v>
      </c>
      <c r="F99" s="18">
        <v>64</v>
      </c>
      <c r="G99" s="2">
        <v>1704</v>
      </c>
      <c r="H99" s="2" t="str">
        <f>IFERROR(VLOOKUP(Match_Record[[#This Row],[Player_No]],Squads[[Player No]:[Player Name]],6,TRUE),"")</f>
        <v>Nico Elvedi</v>
      </c>
      <c r="I99" s="2" t="str">
        <f>IFERROR(VLOOKUP(Match_Record[[#This Row],[Player_No]],Squads[[Player No]:[Player Name]],2,TRUE),"")</f>
        <v>Switzerland</v>
      </c>
    </row>
    <row r="100" spans="1:9" x14ac:dyDescent="0.25">
      <c r="A100" s="18">
        <v>13</v>
      </c>
      <c r="B100" s="35">
        <f>IFERROR(VLOOKUP(Match_Record[[#This Row],[Match No]],Fixtures[[#All],[Match No]:[Location]],2,TRUE),"")</f>
        <v>44889</v>
      </c>
      <c r="C100" s="2" t="str">
        <f>IFERROR(VLOOKUP(Match_Record[[#This Row],[Match No]],Fixtures[[#All],[Match No]:[Location]],5,TRUE),"")</f>
        <v>Switzerland</v>
      </c>
      <c r="D100" s="2" t="str">
        <f>IFERROR(VLOOKUP(Match_Record[[#This Row],[Match No]],Fixtures[[#All],[Match No]:[Location]],8,TRUE),"")</f>
        <v>Cameroon</v>
      </c>
      <c r="E100" s="2" t="s">
        <v>1080</v>
      </c>
      <c r="F100" s="18">
        <v>83</v>
      </c>
      <c r="G100" s="2">
        <v>1705</v>
      </c>
      <c r="H100" s="2" t="str">
        <f>IFERROR(VLOOKUP(Match_Record[[#This Row],[Player_No]],Squads[[Player No]:[Player Name]],6,TRUE),"")</f>
        <v>Manuel Akanji</v>
      </c>
      <c r="I100" s="2" t="str">
        <f>IFERROR(VLOOKUP(Match_Record[[#This Row],[Player_No]],Squads[[Player No]:[Player Name]],2,TRUE),"")</f>
        <v>Switzerland</v>
      </c>
    </row>
    <row r="101" spans="1:9" x14ac:dyDescent="0.25">
      <c r="A101" s="18">
        <v>13</v>
      </c>
      <c r="B101" s="35">
        <f>IFERROR(VLOOKUP(Match_Record[[#This Row],[Match No]],Fixtures[[#All],[Match No]:[Location]],2,TRUE),"")</f>
        <v>44889</v>
      </c>
      <c r="C101" s="2" t="str">
        <f>IFERROR(VLOOKUP(Match_Record[[#This Row],[Match No]],Fixtures[[#All],[Match No]:[Location]],5,TRUE),"")</f>
        <v>Switzerland</v>
      </c>
      <c r="D101" s="2" t="str">
        <f>IFERROR(VLOOKUP(Match_Record[[#This Row],[Match No]],Fixtures[[#All],[Match No]:[Location]],8,TRUE),"")</f>
        <v>Cameroon</v>
      </c>
      <c r="E101" s="2" t="s">
        <v>1080</v>
      </c>
      <c r="F101" s="18">
        <v>36</v>
      </c>
      <c r="G101" s="2">
        <v>1123</v>
      </c>
      <c r="H101" s="2" t="str">
        <f>IFERROR(VLOOKUP(Match_Record[[#This Row],[Player_No]],Squads[[Player No]:[Player Name]],6,TRUE),"")</f>
        <v>Collins Fai</v>
      </c>
      <c r="I101" s="2" t="str">
        <f>IFERROR(VLOOKUP(Match_Record[[#This Row],[Player_No]],Squads[[Player No]:[Player Name]],2,TRUE),"")</f>
        <v>Cameroon</v>
      </c>
    </row>
    <row r="102" spans="1:9" x14ac:dyDescent="0.25">
      <c r="A102" s="18">
        <v>14</v>
      </c>
      <c r="B102" s="35">
        <f>IFERROR(VLOOKUP(Match_Record[[#This Row],[Match No]],Fixtures[[#All],[Match No]:[Location]],2,TRUE),"")</f>
        <v>44889</v>
      </c>
      <c r="C102" s="2" t="str">
        <f>IFERROR(VLOOKUP(Match_Record[[#This Row],[Match No]],Fixtures[[#All],[Match No]:[Location]],5,TRUE),"")</f>
        <v>Uruguay</v>
      </c>
      <c r="D102" s="2" t="str">
        <f>IFERROR(VLOOKUP(Match_Record[[#This Row],[Match No]],Fixtures[[#All],[Match No]:[Location]],8,TRUE),"")</f>
        <v>Korea Rep</v>
      </c>
      <c r="E102" s="2" t="s">
        <v>1080</v>
      </c>
      <c r="F102" s="18">
        <v>64</v>
      </c>
      <c r="G102" s="2">
        <v>1774</v>
      </c>
      <c r="H102" s="2" t="str">
        <f>IFERROR(VLOOKUP(Match_Record[[#This Row],[Player_No]],Squads[[Player No]:[Player Name]],6,TRUE),"")</f>
        <v>Martín Cáceres</v>
      </c>
      <c r="I102" s="2" t="str">
        <f>IFERROR(VLOOKUP(Match_Record[[#This Row],[Player_No]],Squads[[Player No]:[Player Name]],2,TRUE),"")</f>
        <v>Uruguay</v>
      </c>
    </row>
    <row r="103" spans="1:9" x14ac:dyDescent="0.25">
      <c r="A103" s="18">
        <v>14</v>
      </c>
      <c r="B103" s="35">
        <f>IFERROR(VLOOKUP(Match_Record[[#This Row],[Match No]],Fixtures[[#All],[Match No]:[Location]],2,TRUE),"")</f>
        <v>44889</v>
      </c>
      <c r="C103" s="2" t="str">
        <f>IFERROR(VLOOKUP(Match_Record[[#This Row],[Match No]],Fixtures[[#All],[Match No]:[Location]],5,TRUE),"")</f>
        <v>Uruguay</v>
      </c>
      <c r="D103" s="2" t="str">
        <f>IFERROR(VLOOKUP(Match_Record[[#This Row],[Match No]],Fixtures[[#All],[Match No]:[Location]],8,TRUE),"")</f>
        <v>Korea Rep</v>
      </c>
      <c r="E103" s="2" t="s">
        <v>1080</v>
      </c>
      <c r="F103" s="18">
        <v>88</v>
      </c>
      <c r="G103" s="2">
        <v>1424</v>
      </c>
      <c r="H103" s="2" t="str">
        <f>IFERROR(VLOOKUP(Match_Record[[#This Row],[Player_No]],Squads[[Player No]:[Player Name]],6,TRUE),"")</f>
        <v>Cho Gue-sung</v>
      </c>
      <c r="I103" s="2" t="str">
        <f>IFERROR(VLOOKUP(Match_Record[[#This Row],[Player_No]],Squads[[Player No]:[Player Name]],2,TRUE),"")</f>
        <v>Korea Rep</v>
      </c>
    </row>
    <row r="104" spans="1:9" x14ac:dyDescent="0.25">
      <c r="A104" s="18">
        <v>15</v>
      </c>
      <c r="B104" s="35">
        <f>IFERROR(VLOOKUP(Match_Record[[#This Row],[Match No]],Fixtures[[#All],[Match No]:[Location]],2,TRUE),"")</f>
        <v>44889</v>
      </c>
      <c r="C104" s="2" t="str">
        <f>IFERROR(VLOOKUP(Match_Record[[#This Row],[Match No]],Fixtures[[#All],[Match No]:[Location]],5,TRUE),"")</f>
        <v>Portugal</v>
      </c>
      <c r="D104" s="2" t="str">
        <f>IFERROR(VLOOKUP(Match_Record[[#This Row],[Match No]],Fixtures[[#All],[Match No]:[Location]],8,TRUE),"")</f>
        <v>Ghana</v>
      </c>
      <c r="E104" s="2" t="s">
        <v>1078</v>
      </c>
      <c r="F104" s="18">
        <v>65</v>
      </c>
      <c r="G104" s="2">
        <v>1552</v>
      </c>
      <c r="H104" s="2" t="str">
        <f>IFERROR(VLOOKUP(Match_Record[[#This Row],[Player_No]],Squads[[Player No]:[Player Name]],6,TRUE),"")</f>
        <v>Cristiano Ronaldo </v>
      </c>
      <c r="I104" s="2" t="str">
        <f>IFERROR(VLOOKUP(Match_Record[[#This Row],[Player_No]],Squads[[Player No]:[Player Name]],2,TRUE),"")</f>
        <v>Portugal</v>
      </c>
    </row>
    <row r="105" spans="1:9" x14ac:dyDescent="0.25">
      <c r="A105" s="18">
        <v>15</v>
      </c>
      <c r="B105" s="35">
        <f>IFERROR(VLOOKUP(Match_Record[[#This Row],[Match No]],Fixtures[[#All],[Match No]:[Location]],2,TRUE),"")</f>
        <v>44889</v>
      </c>
      <c r="C105" s="2" t="str">
        <f>IFERROR(VLOOKUP(Match_Record[[#This Row],[Match No]],Fixtures[[#All],[Match No]:[Location]],5,TRUE),"")</f>
        <v>Portugal</v>
      </c>
      <c r="D105" s="2" t="str">
        <f>IFERROR(VLOOKUP(Match_Record[[#This Row],[Match No]],Fixtures[[#All],[Match No]:[Location]],8,TRUE),"")</f>
        <v>Ghana</v>
      </c>
      <c r="E105" s="2" t="s">
        <v>1078</v>
      </c>
      <c r="F105" s="18">
        <v>78</v>
      </c>
      <c r="G105" s="2">
        <v>1556</v>
      </c>
      <c r="H105" s="2" t="str">
        <f>IFERROR(VLOOKUP(Match_Record[[#This Row],[Player_No]],Squads[[Player No]:[Player Name]],6,TRUE),"")</f>
        <v>João Félix</v>
      </c>
      <c r="I105" s="2" t="str">
        <f>IFERROR(VLOOKUP(Match_Record[[#This Row],[Player_No]],Squads[[Player No]:[Player Name]],2,TRUE),"")</f>
        <v>Portugal</v>
      </c>
    </row>
    <row r="106" spans="1:9" x14ac:dyDescent="0.25">
      <c r="A106" s="18">
        <v>15</v>
      </c>
      <c r="B106" s="35">
        <f>IFERROR(VLOOKUP(Match_Record[[#This Row],[Match No]],Fixtures[[#All],[Match No]:[Location]],2,TRUE),"")</f>
        <v>44889</v>
      </c>
      <c r="C106" s="2" t="str">
        <f>IFERROR(VLOOKUP(Match_Record[[#This Row],[Match No]],Fixtures[[#All],[Match No]:[Location]],5,TRUE),"")</f>
        <v>Portugal</v>
      </c>
      <c r="D106" s="2" t="str">
        <f>IFERROR(VLOOKUP(Match_Record[[#This Row],[Match No]],Fixtures[[#All],[Match No]:[Location]],8,TRUE),"")</f>
        <v>Ghana</v>
      </c>
      <c r="E106" s="2" t="s">
        <v>1079</v>
      </c>
      <c r="F106" s="18">
        <v>78</v>
      </c>
      <c r="G106" s="2">
        <v>1553</v>
      </c>
      <c r="H106" s="2" t="str">
        <f>IFERROR(VLOOKUP(Match_Record[[#This Row],[Player_No]],Squads[[Player No]:[Player Name]],6,TRUE),"")</f>
        <v>Bruno Fernandes</v>
      </c>
      <c r="I106" s="2" t="str">
        <f>IFERROR(VLOOKUP(Match_Record[[#This Row],[Player_No]],Squads[[Player No]:[Player Name]],2,TRUE),"")</f>
        <v>Portugal</v>
      </c>
    </row>
    <row r="107" spans="1:9" x14ac:dyDescent="0.25">
      <c r="A107" s="18">
        <v>15</v>
      </c>
      <c r="B107" s="35">
        <f>IFERROR(VLOOKUP(Match_Record[[#This Row],[Match No]],Fixtures[[#All],[Match No]:[Location]],2,TRUE),"")</f>
        <v>44889</v>
      </c>
      <c r="C107" s="2" t="str">
        <f>IFERROR(VLOOKUP(Match_Record[[#This Row],[Match No]],Fixtures[[#All],[Match No]:[Location]],5,TRUE),"")</f>
        <v>Portugal</v>
      </c>
      <c r="D107" s="2" t="str">
        <f>IFERROR(VLOOKUP(Match_Record[[#This Row],[Match No]],Fixtures[[#All],[Match No]:[Location]],8,TRUE),"")</f>
        <v>Ghana</v>
      </c>
      <c r="E107" s="2" t="s">
        <v>1078</v>
      </c>
      <c r="F107" s="18">
        <v>80</v>
      </c>
      <c r="G107" s="2">
        <v>1560</v>
      </c>
      <c r="H107" s="2" t="str">
        <f>IFERROR(VLOOKUP(Match_Record[[#This Row],[Player_No]],Squads[[Player No]:[Player Name]],6,TRUE),"")</f>
        <v>Rafael Leão</v>
      </c>
      <c r="I107" s="2" t="str">
        <f>IFERROR(VLOOKUP(Match_Record[[#This Row],[Player_No]],Squads[[Player No]:[Player Name]],2,TRUE),"")</f>
        <v>Portugal</v>
      </c>
    </row>
    <row r="108" spans="1:9" x14ac:dyDescent="0.25">
      <c r="A108" s="18">
        <v>15</v>
      </c>
      <c r="B108" s="35">
        <f>IFERROR(VLOOKUP(Match_Record[[#This Row],[Match No]],Fixtures[[#All],[Match No]:[Location]],2,TRUE),"")</f>
        <v>44889</v>
      </c>
      <c r="C108" s="2" t="str">
        <f>IFERROR(VLOOKUP(Match_Record[[#This Row],[Match No]],Fixtures[[#All],[Match No]:[Location]],5,TRUE),"")</f>
        <v>Portugal</v>
      </c>
      <c r="D108" s="2" t="str">
        <f>IFERROR(VLOOKUP(Match_Record[[#This Row],[Match No]],Fixtures[[#All],[Match No]:[Location]],8,TRUE),"")</f>
        <v>Ghana</v>
      </c>
      <c r="E108" s="2" t="s">
        <v>1079</v>
      </c>
      <c r="F108" s="18">
        <v>80</v>
      </c>
      <c r="G108" s="2">
        <v>1553</v>
      </c>
      <c r="H108" s="2" t="str">
        <f>IFERROR(VLOOKUP(Match_Record[[#This Row],[Player_No]],Squads[[Player No]:[Player Name]],6,TRUE),"")</f>
        <v>Bruno Fernandes</v>
      </c>
      <c r="I108" s="2" t="str">
        <f>IFERROR(VLOOKUP(Match_Record[[#This Row],[Player_No]],Squads[[Player No]:[Player Name]],2,TRUE),"")</f>
        <v>Portugal</v>
      </c>
    </row>
    <row r="109" spans="1:9" x14ac:dyDescent="0.25">
      <c r="A109" s="18">
        <v>15</v>
      </c>
      <c r="B109" s="35">
        <f>IFERROR(VLOOKUP(Match_Record[[#This Row],[Match No]],Fixtures[[#All],[Match No]:[Location]],2,TRUE),"")</f>
        <v>44889</v>
      </c>
      <c r="C109" s="2" t="str">
        <f>IFERROR(VLOOKUP(Match_Record[[#This Row],[Match No]],Fixtures[[#All],[Match No]:[Location]],5,TRUE),"")</f>
        <v>Portugal</v>
      </c>
      <c r="D109" s="2" t="str">
        <f>IFERROR(VLOOKUP(Match_Record[[#This Row],[Match No]],Fixtures[[#All],[Match No]:[Location]],8,TRUE),"")</f>
        <v>Ghana</v>
      </c>
      <c r="E109" s="2" t="s">
        <v>1080</v>
      </c>
      <c r="F109" s="18">
        <v>91</v>
      </c>
      <c r="G109" s="2">
        <v>1558</v>
      </c>
      <c r="H109" s="2" t="str">
        <f>IFERROR(VLOOKUP(Match_Record[[#This Row],[Player_No]],Squads[[Player No]:[Player Name]],6,TRUE),"")</f>
        <v>Danilo Pereira</v>
      </c>
      <c r="I109" s="2" t="str">
        <f>IFERROR(VLOOKUP(Match_Record[[#This Row],[Player_No]],Squads[[Player No]:[Player Name]],2,TRUE),"")</f>
        <v>Portugal</v>
      </c>
    </row>
    <row r="110" spans="1:9" x14ac:dyDescent="0.25">
      <c r="A110" s="18">
        <v>15</v>
      </c>
      <c r="B110" s="35">
        <f>IFERROR(VLOOKUP(Match_Record[[#This Row],[Match No]],Fixtures[[#All],[Match No]:[Location]],2,TRUE),"")</f>
        <v>44889</v>
      </c>
      <c r="C110" s="2" t="str">
        <f>IFERROR(VLOOKUP(Match_Record[[#This Row],[Match No]],Fixtures[[#All],[Match No]:[Location]],5,TRUE),"")</f>
        <v>Portugal</v>
      </c>
      <c r="D110" s="2" t="str">
        <f>IFERROR(VLOOKUP(Match_Record[[#This Row],[Match No]],Fixtures[[#All],[Match No]:[Location]],8,TRUE),"")</f>
        <v>Ghana</v>
      </c>
      <c r="E110" s="2" t="s">
        <v>1080</v>
      </c>
      <c r="F110" s="18">
        <v>45</v>
      </c>
      <c r="G110" s="2">
        <v>1358</v>
      </c>
      <c r="H110" s="2" t="str">
        <f>IFERROR(VLOOKUP(Match_Record[[#This Row],[Player_No]],Squads[[Player No]:[Player Name]],6,TRUE),"")</f>
        <v>Mohammed Kudus</v>
      </c>
      <c r="I110" s="2" t="str">
        <f>IFERROR(VLOOKUP(Match_Record[[#This Row],[Player_No]],Squads[[Player No]:[Player Name]],2,TRUE),"")</f>
        <v>Ghana</v>
      </c>
    </row>
    <row r="111" spans="1:9" x14ac:dyDescent="0.25">
      <c r="A111" s="18">
        <v>15</v>
      </c>
      <c r="B111" s="35">
        <f>IFERROR(VLOOKUP(Match_Record[[#This Row],[Match No]],Fixtures[[#All],[Match No]:[Location]],2,TRUE),"")</f>
        <v>44889</v>
      </c>
      <c r="C111" s="2" t="str">
        <f>IFERROR(VLOOKUP(Match_Record[[#This Row],[Match No]],Fixtures[[#All],[Match No]:[Location]],5,TRUE),"")</f>
        <v>Portugal</v>
      </c>
      <c r="D111" s="2" t="str">
        <f>IFERROR(VLOOKUP(Match_Record[[#This Row],[Match No]],Fixtures[[#All],[Match No]:[Location]],8,TRUE),"")</f>
        <v>Ghana</v>
      </c>
      <c r="E111" s="2" t="s">
        <v>1080</v>
      </c>
      <c r="F111" s="18">
        <v>49</v>
      </c>
      <c r="G111" s="2">
        <v>1348</v>
      </c>
      <c r="H111" s="2" t="str">
        <f>IFERROR(VLOOKUP(Match_Record[[#This Row],[Player_No]],Squads[[Player No]:[Player Name]],6,TRUE),"")</f>
        <v>André Ayew </v>
      </c>
      <c r="I111" s="2" t="str">
        <f>IFERROR(VLOOKUP(Match_Record[[#This Row],[Player_No]],Squads[[Player No]:[Player Name]],2,TRUE),"")</f>
        <v>Ghana</v>
      </c>
    </row>
    <row r="112" spans="1:9" x14ac:dyDescent="0.25">
      <c r="A112" s="18">
        <v>15</v>
      </c>
      <c r="B112" s="35">
        <f>IFERROR(VLOOKUP(Match_Record[[#This Row],[Match No]],Fixtures[[#All],[Match No]:[Location]],2,TRUE),"")</f>
        <v>44889</v>
      </c>
      <c r="C112" s="2" t="str">
        <f>IFERROR(VLOOKUP(Match_Record[[#This Row],[Match No]],Fixtures[[#All],[Match No]:[Location]],5,TRUE),"")</f>
        <v>Portugal</v>
      </c>
      <c r="D112" s="2" t="str">
        <f>IFERROR(VLOOKUP(Match_Record[[#This Row],[Match No]],Fixtures[[#All],[Match No]:[Location]],8,TRUE),"")</f>
        <v>Ghana</v>
      </c>
      <c r="E112" s="2" t="s">
        <v>1080</v>
      </c>
      <c r="F112" s="18">
        <v>57</v>
      </c>
      <c r="G112" s="2">
        <v>1364</v>
      </c>
      <c r="H112" s="2" t="str">
        <f>IFERROR(VLOOKUP(Match_Record[[#This Row],[Player_No]],Squads[[Player No]:[Player Name]],6,TRUE),"")</f>
        <v>Alidu Seidu</v>
      </c>
      <c r="I112" s="2" t="str">
        <f>IFERROR(VLOOKUP(Match_Record[[#This Row],[Player_No]],Squads[[Player No]:[Player Name]],2,TRUE),"")</f>
        <v>Ghana</v>
      </c>
    </row>
    <row r="113" spans="1:9" x14ac:dyDescent="0.25">
      <c r="A113" s="18">
        <v>15</v>
      </c>
      <c r="B113" s="35">
        <f>IFERROR(VLOOKUP(Match_Record[[#This Row],[Match No]],Fixtures[[#All],[Match No]:[Location]],2,TRUE),"")</f>
        <v>44889</v>
      </c>
      <c r="C113" s="2" t="str">
        <f>IFERROR(VLOOKUP(Match_Record[[#This Row],[Match No]],Fixtures[[#All],[Match No]:[Location]],5,TRUE),"")</f>
        <v>Portugal</v>
      </c>
      <c r="D113" s="2" t="str">
        <f>IFERROR(VLOOKUP(Match_Record[[#This Row],[Match No]],Fixtures[[#All],[Match No]:[Location]],8,TRUE),"")</f>
        <v>Ghana</v>
      </c>
      <c r="E113" s="2" t="s">
        <v>1078</v>
      </c>
      <c r="F113" s="18">
        <v>73</v>
      </c>
      <c r="G113" s="2">
        <v>1348</v>
      </c>
      <c r="H113" s="2" t="str">
        <f>IFERROR(VLOOKUP(Match_Record[[#This Row],[Player_No]],Squads[[Player No]:[Player Name]],6,TRUE),"")</f>
        <v>André Ayew </v>
      </c>
      <c r="I113" s="2" t="str">
        <f>IFERROR(VLOOKUP(Match_Record[[#This Row],[Player_No]],Squads[[Player No]:[Player Name]],2,TRUE),"")</f>
        <v>Ghana</v>
      </c>
    </row>
    <row r="114" spans="1:9" x14ac:dyDescent="0.25">
      <c r="A114" s="18">
        <v>15</v>
      </c>
      <c r="B114" s="35">
        <f>IFERROR(VLOOKUP(Match_Record[[#This Row],[Match No]],Fixtures[[#All],[Match No]:[Location]],2,TRUE),"")</f>
        <v>44889</v>
      </c>
      <c r="C114" s="2" t="str">
        <f>IFERROR(VLOOKUP(Match_Record[[#This Row],[Match No]],Fixtures[[#All],[Match No]:[Location]],5,TRUE),"")</f>
        <v>Portugal</v>
      </c>
      <c r="D114" s="2" t="str">
        <f>IFERROR(VLOOKUP(Match_Record[[#This Row],[Match No]],Fixtures[[#All],[Match No]:[Location]],8,TRUE),"")</f>
        <v>Ghana</v>
      </c>
      <c r="E114" s="2" t="s">
        <v>1078</v>
      </c>
      <c r="F114" s="18">
        <v>89</v>
      </c>
      <c r="G114" s="2">
        <v>1349</v>
      </c>
      <c r="H114" s="2" t="str">
        <f>IFERROR(VLOOKUP(Match_Record[[#This Row],[Player_No]],Squads[[Player No]:[Player Name]],6,TRUE),"")</f>
        <v>Osman Bukari</v>
      </c>
      <c r="I114" s="2" t="str">
        <f>IFERROR(VLOOKUP(Match_Record[[#This Row],[Player_No]],Squads[[Player No]:[Player Name]],2,TRUE),"")</f>
        <v>Ghana</v>
      </c>
    </row>
    <row r="115" spans="1:9" x14ac:dyDescent="0.25">
      <c r="A115" s="18">
        <v>15</v>
      </c>
      <c r="B115" s="35">
        <f>IFERROR(VLOOKUP(Match_Record[[#This Row],[Match No]],Fixtures[[#All],[Match No]:[Location]],2,TRUE),"")</f>
        <v>44889</v>
      </c>
      <c r="C115" s="2" t="str">
        <f>IFERROR(VLOOKUP(Match_Record[[#This Row],[Match No]],Fixtures[[#All],[Match No]:[Location]],5,TRUE),"")</f>
        <v>Portugal</v>
      </c>
      <c r="D115" s="2" t="str">
        <f>IFERROR(VLOOKUP(Match_Record[[#This Row],[Match No]],Fixtures[[#All],[Match No]:[Location]],8,TRUE),"")</f>
        <v>Ghana</v>
      </c>
      <c r="E115" s="2" t="s">
        <v>1080</v>
      </c>
      <c r="F115" s="18">
        <v>91</v>
      </c>
      <c r="G115" s="2">
        <v>1357</v>
      </c>
      <c r="H115" s="2" t="str">
        <f>IFERROR(VLOOKUP(Match_Record[[#This Row],[Player_No]],Squads[[Player No]:[Player Name]],6,TRUE),"")</f>
        <v>Iñaki Williams</v>
      </c>
      <c r="I115" s="2" t="str">
        <f>IFERROR(VLOOKUP(Match_Record[[#This Row],[Player_No]],Squads[[Player No]:[Player Name]],2,TRUE),"")</f>
        <v>Ghana</v>
      </c>
    </row>
    <row r="116" spans="1:9" x14ac:dyDescent="0.25">
      <c r="A116" s="18">
        <v>16</v>
      </c>
      <c r="B116" s="35">
        <f>IFERROR(VLOOKUP(Match_Record[[#This Row],[Match No]],Fixtures[[#All],[Match No]:[Location]],2,TRUE),"")</f>
        <v>44889</v>
      </c>
      <c r="C116" s="2" t="str">
        <f>IFERROR(VLOOKUP(Match_Record[[#This Row],[Match No]],Fixtures[[#All],[Match No]:[Location]],5,TRUE),"")</f>
        <v>Brasil</v>
      </c>
      <c r="D116" s="2" t="str">
        <f>IFERROR(VLOOKUP(Match_Record[[#This Row],[Match No]],Fixtures[[#All],[Match No]:[Location]],8,TRUE),"")</f>
        <v>Serbia</v>
      </c>
      <c r="E116" s="2" t="s">
        <v>1078</v>
      </c>
      <c r="F116" s="18">
        <v>62</v>
      </c>
      <c r="G116" s="2">
        <v>1087</v>
      </c>
      <c r="H116" s="2" t="str">
        <f>IFERROR(VLOOKUP(Match_Record[[#This Row],[Player_No]],Squads[[Player No]:[Player Name]],6,TRUE),"")</f>
        <v>Richarlison</v>
      </c>
      <c r="I116" s="2" t="str">
        <f>IFERROR(VLOOKUP(Match_Record[[#This Row],[Player_No]],Squads[[Player No]:[Player Name]],2,TRUE),"")</f>
        <v>Brasil</v>
      </c>
    </row>
    <row r="117" spans="1:9" x14ac:dyDescent="0.25">
      <c r="A117" s="18">
        <v>16</v>
      </c>
      <c r="B117" s="35">
        <f>IFERROR(VLOOKUP(Match_Record[[#This Row],[Match No]],Fixtures[[#All],[Match No]:[Location]],2,TRUE),"")</f>
        <v>44889</v>
      </c>
      <c r="C117" s="2" t="str">
        <f>IFERROR(VLOOKUP(Match_Record[[#This Row],[Match No]],Fixtures[[#All],[Match No]:[Location]],5,TRUE),"")</f>
        <v>Brasil</v>
      </c>
      <c r="D117" s="2" t="str">
        <f>IFERROR(VLOOKUP(Match_Record[[#This Row],[Match No]],Fixtures[[#All],[Match No]:[Location]],8,TRUE),"")</f>
        <v>Serbia</v>
      </c>
      <c r="E117" s="2" t="s">
        <v>1078</v>
      </c>
      <c r="F117" s="18">
        <v>73</v>
      </c>
      <c r="G117" s="2">
        <v>1087</v>
      </c>
      <c r="H117" s="2" t="str">
        <f>IFERROR(VLOOKUP(Match_Record[[#This Row],[Player_No]],Squads[[Player No]:[Player Name]],6,TRUE),"")</f>
        <v>Richarlison</v>
      </c>
      <c r="I117" s="2" t="str">
        <f>IFERROR(VLOOKUP(Match_Record[[#This Row],[Player_No]],Squads[[Player No]:[Player Name]],2,TRUE),"")</f>
        <v>Brasil</v>
      </c>
    </row>
    <row r="118" spans="1:9" x14ac:dyDescent="0.25">
      <c r="A118" s="18">
        <v>16</v>
      </c>
      <c r="B118" s="35">
        <f>IFERROR(VLOOKUP(Match_Record[[#This Row],[Match No]],Fixtures[[#All],[Match No]:[Location]],2,TRUE),"")</f>
        <v>44889</v>
      </c>
      <c r="C118" s="2" t="str">
        <f>IFERROR(VLOOKUP(Match_Record[[#This Row],[Match No]],Fixtures[[#All],[Match No]:[Location]],5,TRUE),"")</f>
        <v>Brasil</v>
      </c>
      <c r="D118" s="2" t="str">
        <f>IFERROR(VLOOKUP(Match_Record[[#This Row],[Match No]],Fixtures[[#All],[Match No]:[Location]],8,TRUE),"")</f>
        <v>Serbia</v>
      </c>
      <c r="E118" s="2" t="s">
        <v>1079</v>
      </c>
      <c r="F118" s="18">
        <v>73</v>
      </c>
      <c r="G118" s="2">
        <v>1098</v>
      </c>
      <c r="H118" s="2" t="str">
        <f>IFERROR(VLOOKUP(Match_Record[[#This Row],[Player_No]],Squads[[Player No]:[Player Name]],6,TRUE),"")</f>
        <v>Vinícius Júnior</v>
      </c>
      <c r="I118" s="2" t="str">
        <f>IFERROR(VLOOKUP(Match_Record[[#This Row],[Player_No]],Squads[[Player No]:[Player Name]],2,TRUE),"")</f>
        <v>Brasil</v>
      </c>
    </row>
    <row r="119" spans="1:9" x14ac:dyDescent="0.25">
      <c r="A119" s="18">
        <v>16</v>
      </c>
      <c r="B119" s="35">
        <f>IFERROR(VLOOKUP(Match_Record[[#This Row],[Match No]],Fixtures[[#All],[Match No]:[Location]],2,TRUE),"")</f>
        <v>44889</v>
      </c>
      <c r="C119" s="2" t="str">
        <f>IFERROR(VLOOKUP(Match_Record[[#This Row],[Match No]],Fixtures[[#All],[Match No]:[Location]],5,TRUE),"")</f>
        <v>Brasil</v>
      </c>
      <c r="D119" s="2" t="str">
        <f>IFERROR(VLOOKUP(Match_Record[[#This Row],[Match No]],Fixtures[[#All],[Match No]:[Location]],8,TRUE),"")</f>
        <v>Serbia</v>
      </c>
      <c r="E119" s="2" t="s">
        <v>1080</v>
      </c>
      <c r="F119" s="18">
        <v>7</v>
      </c>
      <c r="G119" s="2">
        <v>1650</v>
      </c>
      <c r="H119" s="2" t="str">
        <f>IFERROR(VLOOKUP(Match_Record[[#This Row],[Player_No]],Squads[[Player No]:[Player Name]],6,TRUE),"")</f>
        <v>Strahinja Pavlović</v>
      </c>
      <c r="I119" s="2" t="str">
        <f>IFERROR(VLOOKUP(Match_Record[[#This Row],[Player_No]],Squads[[Player No]:[Player Name]],2,TRUE),"")</f>
        <v>Serbia</v>
      </c>
    </row>
    <row r="120" spans="1:9" x14ac:dyDescent="0.25">
      <c r="A120" s="18">
        <v>16</v>
      </c>
      <c r="B120" s="35">
        <f>IFERROR(VLOOKUP(Match_Record[[#This Row],[Match No]],Fixtures[[#All],[Match No]:[Location]],2,TRUE),"")</f>
        <v>44889</v>
      </c>
      <c r="C120" s="2" t="str">
        <f>IFERROR(VLOOKUP(Match_Record[[#This Row],[Match No]],Fixtures[[#All],[Match No]:[Location]],5,TRUE),"")</f>
        <v>Brasil</v>
      </c>
      <c r="D120" s="2" t="str">
        <f>IFERROR(VLOOKUP(Match_Record[[#This Row],[Match No]],Fixtures[[#All],[Match No]:[Location]],8,TRUE),"")</f>
        <v>Serbia</v>
      </c>
      <c r="E120" s="2" t="s">
        <v>1080</v>
      </c>
      <c r="F120" s="18">
        <v>49</v>
      </c>
      <c r="G120" s="2">
        <v>1656</v>
      </c>
      <c r="H120" s="2" t="str">
        <f>IFERROR(VLOOKUP(Match_Record[[#This Row],[Player_No]],Squads[[Player No]:[Player Name]],6,TRUE),"")</f>
        <v>Nemanja Gudelj</v>
      </c>
      <c r="I120" s="2" t="str">
        <f>IFERROR(VLOOKUP(Match_Record[[#This Row],[Player_No]],Squads[[Player No]:[Player Name]],2,TRUE),"")</f>
        <v>Serbia</v>
      </c>
    </row>
    <row r="121" spans="1:9" x14ac:dyDescent="0.25">
      <c r="A121" s="18">
        <v>16</v>
      </c>
      <c r="B121" s="35">
        <f>IFERROR(VLOOKUP(Match_Record[[#This Row],[Match No]],Fixtures[[#All],[Match No]:[Location]],2,TRUE),"")</f>
        <v>44889</v>
      </c>
      <c r="C121" s="2" t="str">
        <f>IFERROR(VLOOKUP(Match_Record[[#This Row],[Match No]],Fixtures[[#All],[Match No]:[Location]],5,TRUE),"")</f>
        <v>Brasil</v>
      </c>
      <c r="D121" s="2" t="str">
        <f>IFERROR(VLOOKUP(Match_Record[[#This Row],[Match No]],Fixtures[[#All],[Match No]:[Location]],8,TRUE),"")</f>
        <v>Serbia</v>
      </c>
      <c r="E121" s="2" t="s">
        <v>1080</v>
      </c>
      <c r="F121" s="18">
        <v>64</v>
      </c>
      <c r="G121" s="2">
        <v>1664</v>
      </c>
      <c r="H121" s="2" t="str">
        <f>IFERROR(VLOOKUP(Match_Record[[#This Row],[Player_No]],Squads[[Player No]:[Player Name]],6,TRUE),"")</f>
        <v>Saša Lukić</v>
      </c>
      <c r="I121" s="2" t="str">
        <f>IFERROR(VLOOKUP(Match_Record[[#This Row],[Player_No]],Squads[[Player No]:[Player Name]],2,TRUE),"")</f>
        <v>Serbia</v>
      </c>
    </row>
    <row r="122" spans="1:9" x14ac:dyDescent="0.25">
      <c r="A122" s="18">
        <v>17</v>
      </c>
      <c r="B122" s="35">
        <f>IFERROR(VLOOKUP(Match_Record[[#This Row],[Match No]],Fixtures[[#All],[Match No]:[Location]],2,TRUE),"")</f>
        <v>44890</v>
      </c>
      <c r="C122" s="2" t="str">
        <f>IFERROR(VLOOKUP(Match_Record[[#This Row],[Match No]],Fixtures[[#All],[Match No]:[Location]],5,TRUE),"")</f>
        <v>Wales</v>
      </c>
      <c r="D122" s="2" t="str">
        <f>IFERROR(VLOOKUP(Match_Record[[#This Row],[Match No]],Fixtures[[#All],[Match No]:[Location]],8,TRUE),"")</f>
        <v>Iran</v>
      </c>
      <c r="E122" s="2" t="s">
        <v>1080</v>
      </c>
      <c r="F122" s="18">
        <v>45</v>
      </c>
      <c r="G122" s="2">
        <v>1810</v>
      </c>
      <c r="H122" s="2" t="str">
        <f>IFERROR(VLOOKUP(Match_Record[[#This Row],[Player_No]],Squads[[Player No]:[Player Name]],6,TRUE),"")</f>
        <v>Joe Rodon</v>
      </c>
      <c r="I122" s="2" t="str">
        <f>IFERROR(VLOOKUP(Match_Record[[#This Row],[Player_No]],Squads[[Player No]:[Player Name]],2,TRUE),"")</f>
        <v>Wales</v>
      </c>
    </row>
    <row r="123" spans="1:9" x14ac:dyDescent="0.25">
      <c r="A123" s="18">
        <v>17</v>
      </c>
      <c r="B123" s="35">
        <f>IFERROR(VLOOKUP(Match_Record[[#This Row],[Match No]],Fixtures[[#All],[Match No]:[Location]],2,TRUE),"")</f>
        <v>44890</v>
      </c>
      <c r="C123" s="2" t="str">
        <f>IFERROR(VLOOKUP(Match_Record[[#This Row],[Match No]],Fixtures[[#All],[Match No]:[Location]],5,TRUE),"")</f>
        <v>Wales</v>
      </c>
      <c r="D123" s="2" t="str">
        <f>IFERROR(VLOOKUP(Match_Record[[#This Row],[Match No]],Fixtures[[#All],[Match No]:[Location]],8,TRUE),"")</f>
        <v>Iran</v>
      </c>
      <c r="E123" s="2" t="s">
        <v>1081</v>
      </c>
      <c r="F123" s="18">
        <v>86</v>
      </c>
      <c r="G123" s="2">
        <v>1805</v>
      </c>
      <c r="H123" s="2" t="str">
        <f>IFERROR(VLOOKUP(Match_Record[[#This Row],[Player_No]],Squads[[Player No]:[Player Name]],6,TRUE),"")</f>
        <v>Wayne Hennessey</v>
      </c>
      <c r="I123" s="2" t="str">
        <f>IFERROR(VLOOKUP(Match_Record[[#This Row],[Player_No]],Squads[[Player No]:[Player Name]],2,TRUE),"")</f>
        <v>Wales</v>
      </c>
    </row>
    <row r="124" spans="1:9" x14ac:dyDescent="0.25">
      <c r="A124" s="18">
        <v>17</v>
      </c>
      <c r="B124" s="35">
        <f>IFERROR(VLOOKUP(Match_Record[[#This Row],[Match No]],Fixtures[[#All],[Match No]:[Location]],2,TRUE),"")</f>
        <v>44890</v>
      </c>
      <c r="C124" s="2" t="str">
        <f>IFERROR(VLOOKUP(Match_Record[[#This Row],[Match No]],Fixtures[[#All],[Match No]:[Location]],5,TRUE),"")</f>
        <v>Wales</v>
      </c>
      <c r="D124" s="2" t="str">
        <f>IFERROR(VLOOKUP(Match_Record[[#This Row],[Match No]],Fixtures[[#All],[Match No]:[Location]],8,TRUE),"")</f>
        <v>Iran</v>
      </c>
      <c r="E124" s="2" t="s">
        <v>1080</v>
      </c>
      <c r="F124" s="18">
        <v>95</v>
      </c>
      <c r="G124" s="2">
        <v>1387</v>
      </c>
      <c r="H124" s="2" t="str">
        <f>IFERROR(VLOOKUP(Match_Record[[#This Row],[Player_No]],Squads[[Player No]:[Player Name]],6,TRUE),"")</f>
        <v>Ramin Rezaeian</v>
      </c>
      <c r="I124" s="2" t="str">
        <f>IFERROR(VLOOKUP(Match_Record[[#This Row],[Player_No]],Squads[[Player No]:[Player Name]],2,TRUE),"")</f>
        <v>Iran</v>
      </c>
    </row>
    <row r="125" spans="1:9" x14ac:dyDescent="0.25">
      <c r="A125" s="18">
        <v>17</v>
      </c>
      <c r="B125" s="35">
        <f>IFERROR(VLOOKUP(Match_Record[[#This Row],[Match No]],Fixtures[[#All],[Match No]:[Location]],2,TRUE),"")</f>
        <v>44890</v>
      </c>
      <c r="C125" s="2" t="str">
        <f>IFERROR(VLOOKUP(Match_Record[[#This Row],[Match No]],Fixtures[[#All],[Match No]:[Location]],5,TRUE),"")</f>
        <v>Wales</v>
      </c>
      <c r="D125" s="2" t="str">
        <f>IFERROR(VLOOKUP(Match_Record[[#This Row],[Match No]],Fixtures[[#All],[Match No]:[Location]],8,TRUE),"")</f>
        <v>Iran</v>
      </c>
      <c r="E125" s="2" t="s">
        <v>1080</v>
      </c>
      <c r="F125" s="18">
        <v>95</v>
      </c>
      <c r="G125" s="2">
        <v>1371</v>
      </c>
      <c r="H125" s="2" t="str">
        <f>IFERROR(VLOOKUP(Match_Record[[#This Row],[Player_No]],Squads[[Player No]:[Player Name]],6,TRUE),"")</f>
        <v>Alireza Jahanbakhsh</v>
      </c>
      <c r="I125" s="2" t="str">
        <f>IFERROR(VLOOKUP(Match_Record[[#This Row],[Player_No]],Squads[[Player No]:[Player Name]],2,TRUE),"")</f>
        <v>Iran</v>
      </c>
    </row>
    <row r="126" spans="1:9" x14ac:dyDescent="0.25">
      <c r="A126" s="18">
        <v>17</v>
      </c>
      <c r="B126" s="35">
        <f>IFERROR(VLOOKUP(Match_Record[[#This Row],[Match No]],Fixtures[[#All],[Match No]:[Location]],2,TRUE),"")</f>
        <v>44890</v>
      </c>
      <c r="C126" s="2" t="str">
        <f>IFERROR(VLOOKUP(Match_Record[[#This Row],[Match No]],Fixtures[[#All],[Match No]:[Location]],5,TRUE),"")</f>
        <v>Wales</v>
      </c>
      <c r="D126" s="2" t="str">
        <f>IFERROR(VLOOKUP(Match_Record[[#This Row],[Match No]],Fixtures[[#All],[Match No]:[Location]],8,TRUE),"")</f>
        <v>Iran</v>
      </c>
      <c r="E126" s="2" t="s">
        <v>1078</v>
      </c>
      <c r="F126" s="18">
        <v>98</v>
      </c>
      <c r="G126" s="2">
        <v>1379</v>
      </c>
      <c r="H126" s="2" t="str">
        <f>IFERROR(VLOOKUP(Match_Record[[#This Row],[Player_No]],Squads[[Player No]:[Player Name]],6,TRUE),"")</f>
        <v>Rouzbeh Cheshmi</v>
      </c>
      <c r="I126" s="2" t="str">
        <f>IFERROR(VLOOKUP(Match_Record[[#This Row],[Player_No]],Squads[[Player No]:[Player Name]],2,TRUE),"")</f>
        <v>Iran</v>
      </c>
    </row>
    <row r="127" spans="1:9" x14ac:dyDescent="0.25">
      <c r="A127" s="18">
        <v>17</v>
      </c>
      <c r="B127" s="35">
        <f>IFERROR(VLOOKUP(Match_Record[[#This Row],[Match No]],Fixtures[[#All],[Match No]:[Location]],2,TRUE),"")</f>
        <v>44890</v>
      </c>
      <c r="C127" s="2" t="str">
        <f>IFERROR(VLOOKUP(Match_Record[[#This Row],[Match No]],Fixtures[[#All],[Match No]:[Location]],5,TRUE),"")</f>
        <v>Wales</v>
      </c>
      <c r="D127" s="2" t="str">
        <f>IFERROR(VLOOKUP(Match_Record[[#This Row],[Match No]],Fixtures[[#All],[Match No]:[Location]],8,TRUE),"")</f>
        <v>Iran</v>
      </c>
      <c r="E127" s="2" t="s">
        <v>1078</v>
      </c>
      <c r="F127" s="18">
        <v>101</v>
      </c>
      <c r="G127" s="2">
        <v>1387</v>
      </c>
      <c r="H127" s="2" t="str">
        <f>IFERROR(VLOOKUP(Match_Record[[#This Row],[Player_No]],Squads[[Player No]:[Player Name]],6,TRUE),"")</f>
        <v>Ramin Rezaeian</v>
      </c>
      <c r="I127" s="2" t="str">
        <f>IFERROR(VLOOKUP(Match_Record[[#This Row],[Player_No]],Squads[[Player No]:[Player Name]],2,TRUE),"")</f>
        <v>Iran</v>
      </c>
    </row>
    <row r="128" spans="1:9" x14ac:dyDescent="0.25">
      <c r="A128" s="18">
        <v>17</v>
      </c>
      <c r="B128" s="35">
        <f>IFERROR(VLOOKUP(Match_Record[[#This Row],[Match No]],Fixtures[[#All],[Match No]:[Location]],2,TRUE),"")</f>
        <v>44890</v>
      </c>
      <c r="C128" s="2" t="str">
        <f>IFERROR(VLOOKUP(Match_Record[[#This Row],[Match No]],Fixtures[[#All],[Match No]:[Location]],5,TRUE),"")</f>
        <v>Wales</v>
      </c>
      <c r="D128" s="2" t="str">
        <f>IFERROR(VLOOKUP(Match_Record[[#This Row],[Match No]],Fixtures[[#All],[Match No]:[Location]],8,TRUE),"")</f>
        <v>Iran</v>
      </c>
      <c r="E128" s="2" t="s">
        <v>1079</v>
      </c>
      <c r="F128" s="18">
        <v>101</v>
      </c>
      <c r="G128" s="2">
        <v>1373</v>
      </c>
      <c r="H128" s="2" t="str">
        <f>IFERROR(VLOOKUP(Match_Record[[#This Row],[Player_No]],Squads[[Player No]:[Player Name]],6,TRUE),"")</f>
        <v>Mehdi Taremi</v>
      </c>
      <c r="I128" s="2" t="str">
        <f>IFERROR(VLOOKUP(Match_Record[[#This Row],[Player_No]],Squads[[Player No]:[Player Name]],2,TRUE),"")</f>
        <v>Iran</v>
      </c>
    </row>
    <row r="129" spans="1:9" x14ac:dyDescent="0.25">
      <c r="A129" s="18">
        <v>18</v>
      </c>
      <c r="B129" s="35">
        <f>IFERROR(VLOOKUP(Match_Record[[#This Row],[Match No]],Fixtures[[#All],[Match No]:[Location]],2,TRUE),"")</f>
        <v>44890</v>
      </c>
      <c r="C129" s="2" t="str">
        <f>IFERROR(VLOOKUP(Match_Record[[#This Row],[Match No]],Fixtures[[#All],[Match No]:[Location]],5,TRUE),"")</f>
        <v>Qatar</v>
      </c>
      <c r="D129" s="2" t="str">
        <f>IFERROR(VLOOKUP(Match_Record[[#This Row],[Match No]],Fixtures[[#All],[Match No]:[Location]],8,TRUE),"")</f>
        <v>Senegal</v>
      </c>
      <c r="E129" s="2" t="s">
        <v>1080</v>
      </c>
      <c r="F129" s="18">
        <v>20</v>
      </c>
      <c r="G129" s="2">
        <v>1588</v>
      </c>
      <c r="H129" s="2" t="str">
        <f>IFERROR(VLOOKUP(Match_Record[[#This Row],[Player_No]],Squads[[Player No]:[Player Name]],6,TRUE),"")</f>
        <v>Ismaeel Mohammad</v>
      </c>
      <c r="I129" s="2" t="str">
        <f>IFERROR(VLOOKUP(Match_Record[[#This Row],[Player_No]],Squads[[Player No]:[Player Name]],2,TRUE),"")</f>
        <v>Qatar</v>
      </c>
    </row>
    <row r="130" spans="1:9" x14ac:dyDescent="0.25">
      <c r="A130" s="18">
        <v>18</v>
      </c>
      <c r="B130" s="35">
        <f>IFERROR(VLOOKUP(Match_Record[[#This Row],[Match No]],Fixtures[[#All],[Match No]:[Location]],2,TRUE),"")</f>
        <v>44890</v>
      </c>
      <c r="C130" s="2" t="str">
        <f>IFERROR(VLOOKUP(Match_Record[[#This Row],[Match No]],Fixtures[[#All],[Match No]:[Location]],5,TRUE),"")</f>
        <v>Qatar</v>
      </c>
      <c r="D130" s="2" t="str">
        <f>IFERROR(VLOOKUP(Match_Record[[#This Row],[Match No]],Fixtures[[#All],[Match No]:[Location]],8,TRUE),"")</f>
        <v>Senegal</v>
      </c>
      <c r="E130" s="2" t="s">
        <v>1080</v>
      </c>
      <c r="F130" s="18">
        <v>45</v>
      </c>
      <c r="G130" s="2">
        <v>1585</v>
      </c>
      <c r="H130" s="2" t="str">
        <f>IFERROR(VLOOKUP(Match_Record[[#This Row],[Player_No]],Squads[[Player No]:[Player Name]],6,TRUE),"")</f>
        <v>Homam Ahmed</v>
      </c>
      <c r="I130" s="2" t="str">
        <f>IFERROR(VLOOKUP(Match_Record[[#This Row],[Player_No]],Squads[[Player No]:[Player Name]],2,TRUE),"")</f>
        <v>Qatar</v>
      </c>
    </row>
    <row r="131" spans="1:9" x14ac:dyDescent="0.25">
      <c r="A131" s="18">
        <v>18</v>
      </c>
      <c r="B131" s="35">
        <f>IFERROR(VLOOKUP(Match_Record[[#This Row],[Match No]],Fixtures[[#All],[Match No]:[Location]],2,TRUE),"")</f>
        <v>44890</v>
      </c>
      <c r="C131" s="2" t="str">
        <f>IFERROR(VLOOKUP(Match_Record[[#This Row],[Match No]],Fixtures[[#All],[Match No]:[Location]],5,TRUE),"")</f>
        <v>Qatar</v>
      </c>
      <c r="D131" s="2" t="str">
        <f>IFERROR(VLOOKUP(Match_Record[[#This Row],[Match No]],Fixtures[[#All],[Match No]:[Location]],8,TRUE),"")</f>
        <v>Senegal</v>
      </c>
      <c r="E131" s="2" t="s">
        <v>1078</v>
      </c>
      <c r="F131" s="18">
        <v>78</v>
      </c>
      <c r="G131" s="2">
        <v>1580</v>
      </c>
      <c r="H131" s="2" t="str">
        <f>IFERROR(VLOOKUP(Match_Record[[#This Row],[Player_No]],Squads[[Player No]:[Player Name]],6,TRUE),"")</f>
        <v>Mohammed Muntari</v>
      </c>
      <c r="I131" s="2" t="str">
        <f>IFERROR(VLOOKUP(Match_Record[[#This Row],[Player_No]],Squads[[Player No]:[Player Name]],2,TRUE),"")</f>
        <v>Qatar</v>
      </c>
    </row>
    <row r="132" spans="1:9" x14ac:dyDescent="0.25">
      <c r="A132" s="18">
        <v>18</v>
      </c>
      <c r="B132" s="35">
        <f>IFERROR(VLOOKUP(Match_Record[[#This Row],[Match No]],Fixtures[[#All],[Match No]:[Location]],2,TRUE),"")</f>
        <v>44890</v>
      </c>
      <c r="C132" s="2" t="str">
        <f>IFERROR(VLOOKUP(Match_Record[[#This Row],[Match No]],Fixtures[[#All],[Match No]:[Location]],5,TRUE),"")</f>
        <v>Qatar</v>
      </c>
      <c r="D132" s="2" t="str">
        <f>IFERROR(VLOOKUP(Match_Record[[#This Row],[Match No]],Fixtures[[#All],[Match No]:[Location]],8,TRUE),"")</f>
        <v>Senegal</v>
      </c>
      <c r="E132" s="2" t="s">
        <v>1079</v>
      </c>
      <c r="F132" s="18">
        <v>78</v>
      </c>
      <c r="G132" s="2">
        <v>1588</v>
      </c>
      <c r="H132" s="2" t="str">
        <f>IFERROR(VLOOKUP(Match_Record[[#This Row],[Player_No]],Squads[[Player No]:[Player Name]],6,TRUE),"")</f>
        <v>Ismaeel Mohammad</v>
      </c>
      <c r="I132" s="2" t="str">
        <f>IFERROR(VLOOKUP(Match_Record[[#This Row],[Player_No]],Squads[[Player No]:[Player Name]],2,TRUE),"")</f>
        <v>Qatar</v>
      </c>
    </row>
    <row r="133" spans="1:9" x14ac:dyDescent="0.25">
      <c r="A133" s="18">
        <v>18</v>
      </c>
      <c r="B133" s="35">
        <f>IFERROR(VLOOKUP(Match_Record[[#This Row],[Match No]],Fixtures[[#All],[Match No]:[Location]],2,TRUE),"")</f>
        <v>44890</v>
      </c>
      <c r="C133" s="2" t="str">
        <f>IFERROR(VLOOKUP(Match_Record[[#This Row],[Match No]],Fixtures[[#All],[Match No]:[Location]],5,TRUE),"")</f>
        <v>Qatar</v>
      </c>
      <c r="D133" s="2" t="str">
        <f>IFERROR(VLOOKUP(Match_Record[[#This Row],[Match No]],Fixtures[[#All],[Match No]:[Location]],8,TRUE),"")</f>
        <v>Senegal</v>
      </c>
      <c r="E133" s="2" t="s">
        <v>1080</v>
      </c>
      <c r="F133" s="18">
        <v>91</v>
      </c>
      <c r="G133" s="2">
        <v>1594</v>
      </c>
      <c r="H133" s="2" t="str">
        <f>IFERROR(VLOOKUP(Match_Record[[#This Row],[Player_No]],Squads[[Player No]:[Player Name]],6,TRUE),"")</f>
        <v>Assim Madibo</v>
      </c>
      <c r="I133" s="2" t="str">
        <f>IFERROR(VLOOKUP(Match_Record[[#This Row],[Player_No]],Squads[[Player No]:[Player Name]],2,TRUE),"")</f>
        <v>Qatar</v>
      </c>
    </row>
    <row r="134" spans="1:9" x14ac:dyDescent="0.25">
      <c r="A134" s="18">
        <v>18</v>
      </c>
      <c r="B134" s="35">
        <f>IFERROR(VLOOKUP(Match_Record[[#This Row],[Match No]],Fixtures[[#All],[Match No]:[Location]],2,TRUE),"")</f>
        <v>44890</v>
      </c>
      <c r="C134" s="2" t="str">
        <f>IFERROR(VLOOKUP(Match_Record[[#This Row],[Match No]],Fixtures[[#All],[Match No]:[Location]],5,TRUE),"")</f>
        <v>Qatar</v>
      </c>
      <c r="D134" s="2" t="str">
        <f>IFERROR(VLOOKUP(Match_Record[[#This Row],[Match No]],Fixtures[[#All],[Match No]:[Location]],8,TRUE),"")</f>
        <v>Senegal</v>
      </c>
      <c r="E134" s="2" t="s">
        <v>1080</v>
      </c>
      <c r="F134" s="18">
        <v>30</v>
      </c>
      <c r="G134" s="2">
        <v>1632</v>
      </c>
      <c r="H134" s="2" t="str">
        <f>IFERROR(VLOOKUP(Match_Record[[#This Row],[Player_No]],Squads[[Player No]:[Player Name]],6,TRUE),"")</f>
        <v>Boulaye Dia</v>
      </c>
      <c r="I134" s="2" t="str">
        <f>IFERROR(VLOOKUP(Match_Record[[#This Row],[Player_No]],Squads[[Player No]:[Player Name]],2,TRUE),"")</f>
        <v>Senegal</v>
      </c>
    </row>
    <row r="135" spans="1:9" x14ac:dyDescent="0.25">
      <c r="A135" s="18">
        <v>18</v>
      </c>
      <c r="B135" s="35">
        <f>IFERROR(VLOOKUP(Match_Record[[#This Row],[Match No]],Fixtures[[#All],[Match No]:[Location]],2,TRUE),"")</f>
        <v>44890</v>
      </c>
      <c r="C135" s="2" t="str">
        <f>IFERROR(VLOOKUP(Match_Record[[#This Row],[Match No]],Fixtures[[#All],[Match No]:[Location]],5,TRUE),"")</f>
        <v>Qatar</v>
      </c>
      <c r="D135" s="2" t="str">
        <f>IFERROR(VLOOKUP(Match_Record[[#This Row],[Match No]],Fixtures[[#All],[Match No]:[Location]],8,TRUE),"")</f>
        <v>Senegal</v>
      </c>
      <c r="E135" s="2" t="s">
        <v>1078</v>
      </c>
      <c r="F135" s="18">
        <v>41</v>
      </c>
      <c r="G135" s="2">
        <v>1632</v>
      </c>
      <c r="H135" s="2" t="str">
        <f>IFERROR(VLOOKUP(Match_Record[[#This Row],[Player_No]],Squads[[Player No]:[Player Name]],6,TRUE),"")</f>
        <v>Boulaye Dia</v>
      </c>
      <c r="I135" s="2" t="str">
        <f>IFERROR(VLOOKUP(Match_Record[[#This Row],[Player_No]],Squads[[Player No]:[Player Name]],2,TRUE),"")</f>
        <v>Senegal</v>
      </c>
    </row>
    <row r="136" spans="1:9" x14ac:dyDescent="0.25">
      <c r="A136" s="18">
        <v>18</v>
      </c>
      <c r="B136" s="35">
        <f>IFERROR(VLOOKUP(Match_Record[[#This Row],[Match No]],Fixtures[[#All],[Match No]:[Location]],2,TRUE),"")</f>
        <v>44890</v>
      </c>
      <c r="C136" s="2" t="str">
        <f>IFERROR(VLOOKUP(Match_Record[[#This Row],[Match No]],Fixtures[[#All],[Match No]:[Location]],5,TRUE),"")</f>
        <v>Qatar</v>
      </c>
      <c r="D136" s="2" t="str">
        <f>IFERROR(VLOOKUP(Match_Record[[#This Row],[Match No]],Fixtures[[#All],[Match No]:[Location]],8,TRUE),"")</f>
        <v>Senegal</v>
      </c>
      <c r="E136" s="2" t="s">
        <v>1078</v>
      </c>
      <c r="F136" s="18">
        <v>48</v>
      </c>
      <c r="G136" s="2">
        <v>1641</v>
      </c>
      <c r="H136" s="2" t="str">
        <f>IFERROR(VLOOKUP(Match_Record[[#This Row],[Player_No]],Squads[[Player No]:[Player Name]],6,TRUE),"")</f>
        <v>Famara Diédhiou</v>
      </c>
      <c r="I136" s="2" t="str">
        <f>IFERROR(VLOOKUP(Match_Record[[#This Row],[Player_No]],Squads[[Player No]:[Player Name]],2,TRUE),"")</f>
        <v>Senegal</v>
      </c>
    </row>
    <row r="137" spans="1:9" x14ac:dyDescent="0.25">
      <c r="A137" s="18">
        <v>18</v>
      </c>
      <c r="B137" s="35">
        <f>IFERROR(VLOOKUP(Match_Record[[#This Row],[Match No]],Fixtures[[#All],[Match No]:[Location]],2,TRUE),"")</f>
        <v>44890</v>
      </c>
      <c r="C137" s="2" t="str">
        <f>IFERROR(VLOOKUP(Match_Record[[#This Row],[Match No]],Fixtures[[#All],[Match No]:[Location]],5,TRUE),"")</f>
        <v>Qatar</v>
      </c>
      <c r="D137" s="2" t="str">
        <f>IFERROR(VLOOKUP(Match_Record[[#This Row],[Match No]],Fixtures[[#All],[Match No]:[Location]],8,TRUE),"")</f>
        <v>Senegal</v>
      </c>
      <c r="E137" s="2" t="s">
        <v>1079</v>
      </c>
      <c r="F137" s="18">
        <v>48</v>
      </c>
      <c r="G137" s="2">
        <v>1636</v>
      </c>
      <c r="H137" s="2" t="str">
        <f>IFERROR(VLOOKUP(Match_Record[[#This Row],[Player_No]],Squads[[Player No]:[Player Name]],6,TRUE),"")</f>
        <v>Ismail Jakobs</v>
      </c>
      <c r="I137" s="2" t="str">
        <f>IFERROR(VLOOKUP(Match_Record[[#This Row],[Player_No]],Squads[[Player No]:[Player Name]],2,TRUE),"")</f>
        <v>Senegal</v>
      </c>
    </row>
    <row r="138" spans="1:9" x14ac:dyDescent="0.25">
      <c r="A138" s="18">
        <v>18</v>
      </c>
      <c r="B138" s="35">
        <f>IFERROR(VLOOKUP(Match_Record[[#This Row],[Match No]],Fixtures[[#All],[Match No]:[Location]],2,TRUE),"")</f>
        <v>44890</v>
      </c>
      <c r="C138" s="2" t="str">
        <f>IFERROR(VLOOKUP(Match_Record[[#This Row],[Match No]],Fixtures[[#All],[Match No]:[Location]],5,TRUE),"")</f>
        <v>Qatar</v>
      </c>
      <c r="D138" s="2" t="str">
        <f>IFERROR(VLOOKUP(Match_Record[[#This Row],[Match No]],Fixtures[[#All],[Match No]:[Location]],8,TRUE),"")</f>
        <v>Senegal</v>
      </c>
      <c r="E138" s="2" t="s">
        <v>1078</v>
      </c>
      <c r="F138" s="18">
        <v>84</v>
      </c>
      <c r="G138" s="2">
        <v>1642</v>
      </c>
      <c r="H138" s="2" t="str">
        <f>IFERROR(VLOOKUP(Match_Record[[#This Row],[Player_No]],Squads[[Player No]:[Player Name]],6,TRUE),"")</f>
        <v>Bamba Dieng</v>
      </c>
      <c r="I138" s="2" t="str">
        <f>IFERROR(VLOOKUP(Match_Record[[#This Row],[Player_No]],Squads[[Player No]:[Player Name]],2,TRUE),"")</f>
        <v>Senegal</v>
      </c>
    </row>
    <row r="139" spans="1:9" x14ac:dyDescent="0.25">
      <c r="A139" s="18">
        <v>18</v>
      </c>
      <c r="B139" s="35">
        <f>IFERROR(VLOOKUP(Match_Record[[#This Row],[Match No]],Fixtures[[#All],[Match No]:[Location]],2,TRUE),"")</f>
        <v>44890</v>
      </c>
      <c r="C139" s="2" t="str">
        <f>IFERROR(VLOOKUP(Match_Record[[#This Row],[Match No]],Fixtures[[#All],[Match No]:[Location]],5,TRUE),"")</f>
        <v>Qatar</v>
      </c>
      <c r="D139" s="2" t="str">
        <f>IFERROR(VLOOKUP(Match_Record[[#This Row],[Match No]],Fixtures[[#All],[Match No]:[Location]],8,TRUE),"")</f>
        <v>Senegal</v>
      </c>
      <c r="E139" s="2" t="s">
        <v>1079</v>
      </c>
      <c r="F139" s="18">
        <v>84</v>
      </c>
      <c r="G139" s="2">
        <v>1635</v>
      </c>
      <c r="H139" s="2" t="str">
        <f>IFERROR(VLOOKUP(Match_Record[[#This Row],[Player_No]],Squads[[Player No]:[Player Name]],6,TRUE),"")</f>
        <v>Iliman Ndiaye</v>
      </c>
      <c r="I139" s="2" t="str">
        <f>IFERROR(VLOOKUP(Match_Record[[#This Row],[Player_No]],Squads[[Player No]:[Player Name]],2,TRUE),"")</f>
        <v>Senegal</v>
      </c>
    </row>
    <row r="140" spans="1:9" x14ac:dyDescent="0.25">
      <c r="A140" s="18">
        <v>18</v>
      </c>
      <c r="B140" s="35">
        <f>IFERROR(VLOOKUP(Match_Record[[#This Row],[Match No]],Fixtures[[#All],[Match No]:[Location]],2,TRUE),"")</f>
        <v>44890</v>
      </c>
      <c r="C140" s="2" t="str">
        <f>IFERROR(VLOOKUP(Match_Record[[#This Row],[Match No]],Fixtures[[#All],[Match No]:[Location]],5,TRUE),"")</f>
        <v>Qatar</v>
      </c>
      <c r="D140" s="2" t="str">
        <f>IFERROR(VLOOKUP(Match_Record[[#This Row],[Match No]],Fixtures[[#All],[Match No]:[Location]],8,TRUE),"")</f>
        <v>Senegal</v>
      </c>
      <c r="E140" s="2" t="s">
        <v>1080</v>
      </c>
      <c r="F140" s="18">
        <v>87</v>
      </c>
      <c r="G140" s="2">
        <v>1633</v>
      </c>
      <c r="H140" s="2" t="str">
        <f>IFERROR(VLOOKUP(Match_Record[[#This Row],[Player_No]],Squads[[Player No]:[Player Name]],6,TRUE),"")</f>
        <v>Pathé Ciss</v>
      </c>
      <c r="I140" s="2" t="str">
        <f>IFERROR(VLOOKUP(Match_Record[[#This Row],[Player_No]],Squads[[Player No]:[Player Name]],2,TRUE),"")</f>
        <v>Senegal</v>
      </c>
    </row>
    <row r="141" spans="1:9" x14ac:dyDescent="0.25">
      <c r="A141" s="18">
        <v>19</v>
      </c>
      <c r="B141" s="35">
        <f>IFERROR(VLOOKUP(Match_Record[[#This Row],[Match No]],Fixtures[[#All],[Match No]:[Location]],2,TRUE),"")</f>
        <v>44890</v>
      </c>
      <c r="C141" s="2" t="str">
        <f>IFERROR(VLOOKUP(Match_Record[[#This Row],[Match No]],Fixtures[[#All],[Match No]:[Location]],5,TRUE),"")</f>
        <v>Netherlands</v>
      </c>
      <c r="D141" s="2" t="str">
        <f>IFERROR(VLOOKUP(Match_Record[[#This Row],[Match No]],Fixtures[[#All],[Match No]:[Location]],8,TRUE),"")</f>
        <v>Ecuador</v>
      </c>
      <c r="E141" s="2" t="s">
        <v>1078</v>
      </c>
      <c r="F141" s="18">
        <v>6</v>
      </c>
      <c r="G141" s="2">
        <v>1501</v>
      </c>
      <c r="H141" s="2" t="str">
        <f>IFERROR(VLOOKUP(Match_Record[[#This Row],[Player_No]],Squads[[Player No]:[Player Name]],6,TRUE),"")</f>
        <v>Cody Gakpo</v>
      </c>
      <c r="I141" s="2" t="str">
        <f>IFERROR(VLOOKUP(Match_Record[[#This Row],[Player_No]],Squads[[Player No]:[Player Name]],2,TRUE),"")</f>
        <v>Netherlands</v>
      </c>
    </row>
    <row r="142" spans="1:9" x14ac:dyDescent="0.25">
      <c r="A142" s="18">
        <v>19</v>
      </c>
      <c r="B142" s="35">
        <f>IFERROR(VLOOKUP(Match_Record[[#This Row],[Match No]],Fixtures[[#All],[Match No]:[Location]],2,TRUE),"")</f>
        <v>44890</v>
      </c>
      <c r="C142" s="2" t="str">
        <f>IFERROR(VLOOKUP(Match_Record[[#This Row],[Match No]],Fixtures[[#All],[Match No]:[Location]],5,TRUE),"")</f>
        <v>Netherlands</v>
      </c>
      <c r="D142" s="2" t="str">
        <f>IFERROR(VLOOKUP(Match_Record[[#This Row],[Match No]],Fixtures[[#All],[Match No]:[Location]],8,TRUE),"")</f>
        <v>Ecuador</v>
      </c>
      <c r="E142" s="2" t="s">
        <v>1079</v>
      </c>
      <c r="F142" s="18">
        <v>6</v>
      </c>
      <c r="G142" s="2">
        <v>1507</v>
      </c>
      <c r="H142" s="2" t="str">
        <f>IFERROR(VLOOKUP(Match_Record[[#This Row],[Player_No]],Squads[[Player No]:[Player Name]],6,TRUE),"")</f>
        <v>Davy Klaassen</v>
      </c>
      <c r="I142" s="2" t="str">
        <f>IFERROR(VLOOKUP(Match_Record[[#This Row],[Player_No]],Squads[[Player No]:[Player Name]],2,TRUE),"")</f>
        <v>Netherlands</v>
      </c>
    </row>
    <row r="143" spans="1:9" x14ac:dyDescent="0.25">
      <c r="A143" s="18">
        <v>19</v>
      </c>
      <c r="B143" s="35">
        <f>IFERROR(VLOOKUP(Match_Record[[#This Row],[Match No]],Fixtures[[#All],[Match No]:[Location]],2,TRUE),"")</f>
        <v>44890</v>
      </c>
      <c r="C143" s="2" t="str">
        <f>IFERROR(VLOOKUP(Match_Record[[#This Row],[Match No]],Fixtures[[#All],[Match No]:[Location]],5,TRUE),"")</f>
        <v>Netherlands</v>
      </c>
      <c r="D143" s="2" t="str">
        <f>IFERROR(VLOOKUP(Match_Record[[#This Row],[Match No]],Fixtures[[#All],[Match No]:[Location]],8,TRUE),"")</f>
        <v>Ecuador</v>
      </c>
      <c r="E143" s="2" t="s">
        <v>1078</v>
      </c>
      <c r="F143" s="18">
        <v>49</v>
      </c>
      <c r="G143" s="2">
        <v>1247</v>
      </c>
      <c r="H143" s="2" t="str">
        <f>IFERROR(VLOOKUP(Match_Record[[#This Row],[Player_No]],Squads[[Player No]:[Player Name]],6,TRUE),"")</f>
        <v>Enner Valencia</v>
      </c>
      <c r="I143" s="2" t="str">
        <f>IFERROR(VLOOKUP(Match_Record[[#This Row],[Player_No]],Squads[[Player No]:[Player Name]],2,TRUE),"")</f>
        <v>Ecuador</v>
      </c>
    </row>
    <row r="144" spans="1:9" x14ac:dyDescent="0.25">
      <c r="A144" s="18">
        <v>19</v>
      </c>
      <c r="B144" s="35">
        <f>IFERROR(VLOOKUP(Match_Record[[#This Row],[Match No]],Fixtures[[#All],[Match No]:[Location]],2,TRUE),"")</f>
        <v>44890</v>
      </c>
      <c r="C144" s="2" t="str">
        <f>IFERROR(VLOOKUP(Match_Record[[#This Row],[Match No]],Fixtures[[#All],[Match No]:[Location]],5,TRUE),"")</f>
        <v>Netherlands</v>
      </c>
      <c r="D144" s="2" t="str">
        <f>IFERROR(VLOOKUP(Match_Record[[#This Row],[Match No]],Fixtures[[#All],[Match No]:[Location]],8,TRUE),"")</f>
        <v>Ecuador</v>
      </c>
      <c r="E144" s="2" t="s">
        <v>1080</v>
      </c>
      <c r="F144" s="18">
        <v>57</v>
      </c>
      <c r="G144" s="2">
        <v>1254</v>
      </c>
      <c r="H144" s="2" t="str">
        <f>IFERROR(VLOOKUP(Match_Record[[#This Row],[Player_No]],Squads[[Player No]:[Player Name]],6,TRUE),"")</f>
        <v>Jhegson Méndez</v>
      </c>
      <c r="I144" s="2" t="str">
        <f>IFERROR(VLOOKUP(Match_Record[[#This Row],[Player_No]],Squads[[Player No]:[Player Name]],2,TRUE),"")</f>
        <v>Ecuador</v>
      </c>
    </row>
    <row r="145" spans="1:9" x14ac:dyDescent="0.25">
      <c r="A145" s="18">
        <v>21</v>
      </c>
      <c r="B145" s="35">
        <f>IFERROR(VLOOKUP(Match_Record[[#This Row],[Match No]],Fixtures[[#All],[Match No]:[Location]],2,TRUE),"")</f>
        <v>44891</v>
      </c>
      <c r="C145" s="2" t="str">
        <f>IFERROR(VLOOKUP(Match_Record[[#This Row],[Match No]],Fixtures[[#All],[Match No]:[Location]],5,TRUE),"")</f>
        <v>Tunisia</v>
      </c>
      <c r="D145" s="2" t="str">
        <f>IFERROR(VLOOKUP(Match_Record[[#This Row],[Match No]],Fixtures[[#All],[Match No]:[Location]],8,TRUE),"")</f>
        <v>Australia</v>
      </c>
      <c r="E145" s="2" t="s">
        <v>1080</v>
      </c>
      <c r="F145" s="18">
        <v>26</v>
      </c>
      <c r="G145" s="2">
        <v>1740</v>
      </c>
      <c r="H145" s="2" t="str">
        <f>IFERROR(VLOOKUP(Match_Record[[#This Row],[Player_No]],Squads[[Player No]:[Player Name]],6,TRUE),"")</f>
        <v>Aïssa Laïdouni</v>
      </c>
      <c r="I145" s="2" t="str">
        <f>IFERROR(VLOOKUP(Match_Record[[#This Row],[Player_No]],Squads[[Player No]:[Player Name]],2,TRUE),"")</f>
        <v>Tunisia</v>
      </c>
    </row>
    <row r="146" spans="1:9" x14ac:dyDescent="0.25">
      <c r="A146" s="18">
        <v>21</v>
      </c>
      <c r="B146" s="35">
        <f>IFERROR(VLOOKUP(Match_Record[[#This Row],[Match No]],Fixtures[[#All],[Match No]:[Location]],2,TRUE),"")</f>
        <v>44891</v>
      </c>
      <c r="C146" s="2" t="str">
        <f>IFERROR(VLOOKUP(Match_Record[[#This Row],[Match No]],Fixtures[[#All],[Match No]:[Location]],5,TRUE),"")</f>
        <v>Tunisia</v>
      </c>
      <c r="D146" s="2" t="str">
        <f>IFERROR(VLOOKUP(Match_Record[[#This Row],[Match No]],Fixtures[[#All],[Match No]:[Location]],8,TRUE),"")</f>
        <v>Australia</v>
      </c>
      <c r="E146" s="2" t="s">
        <v>1080</v>
      </c>
      <c r="F146" s="18">
        <v>64</v>
      </c>
      <c r="G146" s="2">
        <v>1750</v>
      </c>
      <c r="H146" s="2" t="str">
        <f>IFERROR(VLOOKUP(Match_Record[[#This Row],[Player_No]],Squads[[Player No]:[Player Name]],6,TRUE),"")</f>
        <v>Ali Abdi</v>
      </c>
      <c r="I146" s="2" t="str">
        <f>IFERROR(VLOOKUP(Match_Record[[#This Row],[Player_No]],Squads[[Player No]:[Player Name]],2,TRUE),"")</f>
        <v>Tunisia</v>
      </c>
    </row>
    <row r="147" spans="1:9" x14ac:dyDescent="0.25">
      <c r="A147" s="18">
        <v>21</v>
      </c>
      <c r="B147" s="35">
        <f>IFERROR(VLOOKUP(Match_Record[[#This Row],[Match No]],Fixtures[[#All],[Match No]:[Location]],2,TRUE),"")</f>
        <v>44891</v>
      </c>
      <c r="C147" s="2" t="str">
        <f>IFERROR(VLOOKUP(Match_Record[[#This Row],[Match No]],Fixtures[[#All],[Match No]:[Location]],5,TRUE),"")</f>
        <v>Tunisia</v>
      </c>
      <c r="D147" s="2" t="str">
        <f>IFERROR(VLOOKUP(Match_Record[[#This Row],[Match No]],Fixtures[[#All],[Match No]:[Location]],8,TRUE),"")</f>
        <v>Australia</v>
      </c>
      <c r="E147" s="2" t="s">
        <v>1080</v>
      </c>
      <c r="F147" s="18">
        <v>93</v>
      </c>
      <c r="G147" s="2">
        <v>1739</v>
      </c>
      <c r="H147" s="2" t="str">
        <f>IFERROR(VLOOKUP(Match_Record[[#This Row],[Player_No]],Squads[[Player No]:[Player Name]],6,TRUE),"")</f>
        <v>Ferjani Sassi</v>
      </c>
      <c r="I147" s="2" t="str">
        <f>IFERROR(VLOOKUP(Match_Record[[#This Row],[Player_No]],Squads[[Player No]:[Player Name]],2,TRUE),"")</f>
        <v>Tunisia</v>
      </c>
    </row>
    <row r="148" spans="1:9" x14ac:dyDescent="0.25">
      <c r="A148" s="18">
        <v>21</v>
      </c>
      <c r="B148" s="35">
        <f>IFERROR(VLOOKUP(Match_Record[[#This Row],[Match No]],Fixtures[[#All],[Match No]:[Location]],2,TRUE),"")</f>
        <v>44891</v>
      </c>
      <c r="C148" s="2" t="str">
        <f>IFERROR(VLOOKUP(Match_Record[[#This Row],[Match No]],Fixtures[[#All],[Match No]:[Location]],5,TRUE),"")</f>
        <v>Tunisia</v>
      </c>
      <c r="D148" s="2" t="str">
        <f>IFERROR(VLOOKUP(Match_Record[[#This Row],[Match No]],Fixtures[[#All],[Match No]:[Location]],8,TRUE),"")</f>
        <v>Australia</v>
      </c>
      <c r="E148" s="2" t="s">
        <v>1078</v>
      </c>
      <c r="F148" s="18">
        <v>41</v>
      </c>
      <c r="G148" s="2">
        <v>1041</v>
      </c>
      <c r="H148" s="2" t="str">
        <f>IFERROR(VLOOKUP(Match_Record[[#This Row],[Player_No]],Squads[[Player No]:[Player Name]],6,TRUE),"")</f>
        <v>Mitchell Duke</v>
      </c>
      <c r="I148" s="2" t="str">
        <f>IFERROR(VLOOKUP(Match_Record[[#This Row],[Player_No]],Squads[[Player No]:[Player Name]],2,TRUE),"")</f>
        <v>Australia</v>
      </c>
    </row>
    <row r="149" spans="1:9" x14ac:dyDescent="0.25">
      <c r="A149" s="18">
        <v>22</v>
      </c>
      <c r="B149" s="35">
        <f>IFERROR(VLOOKUP(Match_Record[[#This Row],[Match No]],Fixtures[[#All],[Match No]:[Location]],2,TRUE),"")</f>
        <v>44891</v>
      </c>
      <c r="C149" s="2" t="str">
        <f>IFERROR(VLOOKUP(Match_Record[[#This Row],[Match No]],Fixtures[[#All],[Match No]:[Location]],5,TRUE),"")</f>
        <v>Poland</v>
      </c>
      <c r="D149" s="2" t="str">
        <f>IFERROR(VLOOKUP(Match_Record[[#This Row],[Match No]],Fixtures[[#All],[Match No]:[Location]],8,TRUE),"")</f>
        <v>Saudi Arabia</v>
      </c>
      <c r="E149" s="2" t="s">
        <v>1080</v>
      </c>
      <c r="F149" s="18">
        <v>15</v>
      </c>
      <c r="G149" s="2">
        <v>1533</v>
      </c>
      <c r="H149" s="2" t="str">
        <f>IFERROR(VLOOKUP(Match_Record[[#This Row],[Player_No]],Squads[[Player No]:[Player Name]],6,TRUE),"")</f>
        <v>Jakub Kiwior</v>
      </c>
      <c r="I149" s="2" t="str">
        <f>IFERROR(VLOOKUP(Match_Record[[#This Row],[Player_No]],Squads[[Player No]:[Player Name]],2,TRUE),"")</f>
        <v>Poland</v>
      </c>
    </row>
    <row r="150" spans="1:9" x14ac:dyDescent="0.25">
      <c r="A150" s="18">
        <v>22</v>
      </c>
      <c r="B150" s="35">
        <f>IFERROR(VLOOKUP(Match_Record[[#This Row],[Match No]],Fixtures[[#All],[Match No]:[Location]],2,TRUE),"")</f>
        <v>44891</v>
      </c>
      <c r="C150" s="2" t="str">
        <f>IFERROR(VLOOKUP(Match_Record[[#This Row],[Match No]],Fixtures[[#All],[Match No]:[Location]],5,TRUE),"")</f>
        <v>Poland</v>
      </c>
      <c r="D150" s="2" t="str">
        <f>IFERROR(VLOOKUP(Match_Record[[#This Row],[Match No]],Fixtures[[#All],[Match No]:[Location]],8,TRUE),"")</f>
        <v>Saudi Arabia</v>
      </c>
      <c r="E150" s="2" t="s">
        <v>1080</v>
      </c>
      <c r="F150" s="18">
        <v>16</v>
      </c>
      <c r="G150" s="2">
        <v>1521</v>
      </c>
      <c r="H150" s="2" t="str">
        <f>IFERROR(VLOOKUP(Match_Record[[#This Row],[Player_No]],Squads[[Player No]:[Player Name]],6,TRUE),"")</f>
        <v>Matty Cash</v>
      </c>
      <c r="I150" s="2" t="str">
        <f>IFERROR(VLOOKUP(Match_Record[[#This Row],[Player_No]],Squads[[Player No]:[Player Name]],2,TRUE),"")</f>
        <v>Poland</v>
      </c>
    </row>
    <row r="151" spans="1:9" x14ac:dyDescent="0.25">
      <c r="A151" s="18">
        <v>22</v>
      </c>
      <c r="B151" s="35">
        <f>IFERROR(VLOOKUP(Match_Record[[#This Row],[Match No]],Fixtures[[#All],[Match No]:[Location]],2,TRUE),"")</f>
        <v>44891</v>
      </c>
      <c r="C151" s="2" t="str">
        <f>IFERROR(VLOOKUP(Match_Record[[#This Row],[Match No]],Fixtures[[#All],[Match No]:[Location]],5,TRUE),"")</f>
        <v>Poland</v>
      </c>
      <c r="D151" s="2" t="str">
        <f>IFERROR(VLOOKUP(Match_Record[[#This Row],[Match No]],Fixtures[[#All],[Match No]:[Location]],8,TRUE),"")</f>
        <v>Saudi Arabia</v>
      </c>
      <c r="E151" s="2" t="s">
        <v>1080</v>
      </c>
      <c r="F151" s="18">
        <v>19</v>
      </c>
      <c r="G151" s="2">
        <v>1526</v>
      </c>
      <c r="H151" s="2" t="str">
        <f>IFERROR(VLOOKUP(Match_Record[[#This Row],[Player_No]],Squads[[Player No]:[Player Name]],6,TRUE),"")</f>
        <v>Arkadiusz Milik</v>
      </c>
      <c r="I151" s="2" t="str">
        <f>IFERROR(VLOOKUP(Match_Record[[#This Row],[Player_No]],Squads[[Player No]:[Player Name]],2,TRUE),"")</f>
        <v>Poland</v>
      </c>
    </row>
    <row r="152" spans="1:9" x14ac:dyDescent="0.25">
      <c r="A152" s="18">
        <v>22</v>
      </c>
      <c r="B152" s="35">
        <f>IFERROR(VLOOKUP(Match_Record[[#This Row],[Match No]],Fixtures[[#All],[Match No]:[Location]],2,TRUE),"")</f>
        <v>44891</v>
      </c>
      <c r="C152" s="2" t="str">
        <f>IFERROR(VLOOKUP(Match_Record[[#This Row],[Match No]],Fixtures[[#All],[Match No]:[Location]],5,TRUE),"")</f>
        <v>Poland</v>
      </c>
      <c r="D152" s="2" t="str">
        <f>IFERROR(VLOOKUP(Match_Record[[#This Row],[Match No]],Fixtures[[#All],[Match No]:[Location]],8,TRUE),"")</f>
        <v>Saudi Arabia</v>
      </c>
      <c r="E152" s="2" t="s">
        <v>1078</v>
      </c>
      <c r="F152" s="18">
        <v>39</v>
      </c>
      <c r="G152" s="2">
        <v>1539</v>
      </c>
      <c r="H152" s="2" t="str">
        <f>IFERROR(VLOOKUP(Match_Record[[#This Row],[Player_No]],Squads[[Player No]:[Player Name]],6,TRUE),"")</f>
        <v>Piotr Zieliński</v>
      </c>
      <c r="I152" s="2" t="str">
        <f>IFERROR(VLOOKUP(Match_Record[[#This Row],[Player_No]],Squads[[Player No]:[Player Name]],2,TRUE),"")</f>
        <v>Poland</v>
      </c>
    </row>
    <row r="153" spans="1:9" x14ac:dyDescent="0.25">
      <c r="A153" s="18">
        <v>22</v>
      </c>
      <c r="B153" s="35">
        <f>IFERROR(VLOOKUP(Match_Record[[#This Row],[Match No]],Fixtures[[#All],[Match No]:[Location]],2,TRUE),"")</f>
        <v>44891</v>
      </c>
      <c r="C153" s="2" t="str">
        <f>IFERROR(VLOOKUP(Match_Record[[#This Row],[Match No]],Fixtures[[#All],[Match No]:[Location]],5,TRUE),"")</f>
        <v>Poland</v>
      </c>
      <c r="D153" s="2" t="str">
        <f>IFERROR(VLOOKUP(Match_Record[[#This Row],[Match No]],Fixtures[[#All],[Match No]:[Location]],8,TRUE),"")</f>
        <v>Saudi Arabia</v>
      </c>
      <c r="E153" s="2" t="s">
        <v>1079</v>
      </c>
      <c r="F153" s="18">
        <v>39</v>
      </c>
      <c r="G153" s="2">
        <v>1528</v>
      </c>
      <c r="H153" s="2" t="str">
        <f>IFERROR(VLOOKUP(Match_Record[[#This Row],[Player_No]],Squads[[Player No]:[Player Name]],6,TRUE),"")</f>
        <v>Robert Lewandowski </v>
      </c>
      <c r="I153" s="2" t="str">
        <f>IFERROR(VLOOKUP(Match_Record[[#This Row],[Player_No]],Squads[[Player No]:[Player Name]],2,TRUE),"")</f>
        <v>Poland</v>
      </c>
    </row>
    <row r="154" spans="1:9" x14ac:dyDescent="0.25">
      <c r="A154" s="18">
        <v>22</v>
      </c>
      <c r="B154" s="35">
        <f>IFERROR(VLOOKUP(Match_Record[[#This Row],[Match No]],Fixtures[[#All],[Match No]:[Location]],2,TRUE),"")</f>
        <v>44891</v>
      </c>
      <c r="C154" s="2" t="str">
        <f>IFERROR(VLOOKUP(Match_Record[[#This Row],[Match No]],Fixtures[[#All],[Match No]:[Location]],5,TRUE),"")</f>
        <v>Poland</v>
      </c>
      <c r="D154" s="2" t="str">
        <f>IFERROR(VLOOKUP(Match_Record[[#This Row],[Match No]],Fixtures[[#All],[Match No]:[Location]],8,TRUE),"")</f>
        <v>Saudi Arabia</v>
      </c>
      <c r="E154" s="2" t="s">
        <v>1080</v>
      </c>
      <c r="F154" s="18">
        <v>20</v>
      </c>
      <c r="G154" s="2">
        <v>1605</v>
      </c>
      <c r="H154" s="2" t="str">
        <f>IFERROR(VLOOKUP(Match_Record[[#This Row],[Player_No]],Squads[[Player No]:[Player Name]],6,TRUE),"")</f>
        <v>Abdulellah Al-Malki</v>
      </c>
      <c r="I154" s="2" t="str">
        <f>IFERROR(VLOOKUP(Match_Record[[#This Row],[Player_No]],Squads[[Player No]:[Player Name]],2,TRUE),"")</f>
        <v>Saudi Arabia</v>
      </c>
    </row>
    <row r="155" spans="1:9" x14ac:dyDescent="0.25">
      <c r="A155" s="18">
        <v>22</v>
      </c>
      <c r="B155" s="35">
        <f>IFERROR(VLOOKUP(Match_Record[[#This Row],[Match No]],Fixtures[[#All],[Match No]:[Location]],2,TRUE),"")</f>
        <v>44891</v>
      </c>
      <c r="C155" s="2" t="str">
        <f>IFERROR(VLOOKUP(Match_Record[[#This Row],[Match No]],Fixtures[[#All],[Match No]:[Location]],5,TRUE),"")</f>
        <v>Poland</v>
      </c>
      <c r="D155" s="2" t="str">
        <f>IFERROR(VLOOKUP(Match_Record[[#This Row],[Match No]],Fixtures[[#All],[Match No]:[Location]],8,TRUE),"")</f>
        <v>Saudi Arabia</v>
      </c>
      <c r="E155" s="2" t="s">
        <v>1538</v>
      </c>
      <c r="F155" s="18">
        <v>45</v>
      </c>
      <c r="G155" s="2">
        <v>1621</v>
      </c>
      <c r="H155" s="2" t="str">
        <f>IFERROR(VLOOKUP(Match_Record[[#This Row],[Player_No]],Squads[[Player No]:[Player Name]],6,TRUE),"")</f>
        <v>Nasser Al-Dawsari</v>
      </c>
      <c r="I155" s="2" t="str">
        <f>IFERROR(VLOOKUP(Match_Record[[#This Row],[Player_No]],Squads[[Player No]:[Player Name]],2,TRUE),"")</f>
        <v>Saudi Arabia</v>
      </c>
    </row>
    <row r="156" spans="1:9" x14ac:dyDescent="0.25">
      <c r="A156" s="18">
        <v>22</v>
      </c>
      <c r="B156" s="35">
        <f>IFERROR(VLOOKUP(Match_Record[[#This Row],[Match No]],Fixtures[[#All],[Match No]:[Location]],2,TRUE),"")</f>
        <v>44891</v>
      </c>
      <c r="C156" s="2" t="str">
        <f>IFERROR(VLOOKUP(Match_Record[[#This Row],[Match No]],Fixtures[[#All],[Match No]:[Location]],5,TRUE),"")</f>
        <v>Poland</v>
      </c>
      <c r="D156" s="2" t="str">
        <f>IFERROR(VLOOKUP(Match_Record[[#This Row],[Match No]],Fixtures[[#All],[Match No]:[Location]],8,TRUE),"")</f>
        <v>Saudi Arabia</v>
      </c>
      <c r="E156" s="2" t="s">
        <v>1080</v>
      </c>
      <c r="F156" s="18">
        <v>45</v>
      </c>
      <c r="G156" s="2">
        <v>1601</v>
      </c>
      <c r="H156" s="2" t="str">
        <f>IFERROR(VLOOKUP(Match_Record[[#This Row],[Player_No]],Squads[[Player No]:[Player Name]],6,TRUE),"")</f>
        <v>Abdulelah Al-Amri</v>
      </c>
      <c r="I156" s="2" t="str">
        <f>IFERROR(VLOOKUP(Match_Record[[#This Row],[Player_No]],Squads[[Player No]:[Player Name]],2,TRUE),"")</f>
        <v>Saudi Arabia</v>
      </c>
    </row>
    <row r="157" spans="1:9" x14ac:dyDescent="0.25">
      <c r="A157" s="18">
        <v>23</v>
      </c>
      <c r="B157" s="35">
        <f>IFERROR(VLOOKUP(Match_Record[[#This Row],[Match No]],Fixtures[[#All],[Match No]:[Location]],2,TRUE),"")</f>
        <v>44891</v>
      </c>
      <c r="C157" s="2" t="str">
        <f>IFERROR(VLOOKUP(Match_Record[[#This Row],[Match No]],Fixtures[[#All],[Match No]:[Location]],5,TRUE),"")</f>
        <v>France</v>
      </c>
      <c r="D157" s="2" t="str">
        <f>IFERROR(VLOOKUP(Match_Record[[#This Row],[Match No]],Fixtures[[#All],[Match No]:[Location]],8,TRUE),"")</f>
        <v>Denmark</v>
      </c>
      <c r="E157" s="2" t="s">
        <v>1080</v>
      </c>
      <c r="F157" s="18">
        <v>43</v>
      </c>
      <c r="G157" s="2">
        <v>1291</v>
      </c>
      <c r="H157" s="2" t="str">
        <f>IFERROR(VLOOKUP(Match_Record[[#This Row],[Player_No]],Squads[[Player No]:[Player Name]],6,TRUE),"")</f>
        <v>Jules Koundé</v>
      </c>
      <c r="I157" s="2" t="str">
        <f>IFERROR(VLOOKUP(Match_Record[[#This Row],[Player_No]],Squads[[Player No]:[Player Name]],2,TRUE),"")</f>
        <v>France</v>
      </c>
    </row>
    <row r="158" spans="1:9" x14ac:dyDescent="0.25">
      <c r="A158" s="18">
        <v>23</v>
      </c>
      <c r="B158" s="35">
        <f>IFERROR(VLOOKUP(Match_Record[[#This Row],[Match No]],Fixtures[[#All],[Match No]:[Location]],2,TRUE),"")</f>
        <v>44891</v>
      </c>
      <c r="C158" s="2" t="str">
        <f>IFERROR(VLOOKUP(Match_Record[[#This Row],[Match No]],Fixtures[[#All],[Match No]:[Location]],5,TRUE),"")</f>
        <v>France</v>
      </c>
      <c r="D158" s="2" t="str">
        <f>IFERROR(VLOOKUP(Match_Record[[#This Row],[Match No]],Fixtures[[#All],[Match No]:[Location]],8,TRUE),"")</f>
        <v>Denmark</v>
      </c>
      <c r="E158" s="2" t="s">
        <v>1078</v>
      </c>
      <c r="F158" s="18">
        <v>61</v>
      </c>
      <c r="G158" s="2">
        <v>1296</v>
      </c>
      <c r="H158" s="2" t="str">
        <f>IFERROR(VLOOKUP(Match_Record[[#This Row],[Player_No]],Squads[[Player No]:[Player Name]],6,TRUE),"")</f>
        <v>Kylian Mbappé</v>
      </c>
      <c r="I158" s="2" t="str">
        <f>IFERROR(VLOOKUP(Match_Record[[#This Row],[Player_No]],Squads[[Player No]:[Player Name]],2,TRUE),"")</f>
        <v>France</v>
      </c>
    </row>
    <row r="159" spans="1:9" x14ac:dyDescent="0.25">
      <c r="A159" s="18">
        <v>23</v>
      </c>
      <c r="B159" s="35">
        <f>IFERROR(VLOOKUP(Match_Record[[#This Row],[Match No]],Fixtures[[#All],[Match No]:[Location]],2,TRUE),"")</f>
        <v>44891</v>
      </c>
      <c r="C159" s="2" t="str">
        <f>IFERROR(VLOOKUP(Match_Record[[#This Row],[Match No]],Fixtures[[#All],[Match No]:[Location]],5,TRUE),"")</f>
        <v>France</v>
      </c>
      <c r="D159" s="2" t="str">
        <f>IFERROR(VLOOKUP(Match_Record[[#This Row],[Match No]],Fixtures[[#All],[Match No]:[Location]],8,TRUE),"")</f>
        <v>Denmark</v>
      </c>
      <c r="E159" s="2" t="s">
        <v>1079</v>
      </c>
      <c r="F159" s="18">
        <v>61</v>
      </c>
      <c r="G159" s="2">
        <v>1308</v>
      </c>
      <c r="H159" s="2" t="str">
        <f>IFERROR(VLOOKUP(Match_Record[[#This Row],[Player_No]],Squads[[Player No]:[Player Name]],6,TRUE),"")</f>
        <v>Theo Hernandez</v>
      </c>
      <c r="I159" s="2" t="str">
        <f>IFERROR(VLOOKUP(Match_Record[[#This Row],[Player_No]],Squads[[Player No]:[Player Name]],2,TRUE),"")</f>
        <v>France</v>
      </c>
    </row>
    <row r="160" spans="1:9" x14ac:dyDescent="0.25">
      <c r="A160" s="18">
        <v>23</v>
      </c>
      <c r="B160" s="35">
        <f>IFERROR(VLOOKUP(Match_Record[[#This Row],[Match No]],Fixtures[[#All],[Match No]:[Location]],2,TRUE),"")</f>
        <v>44891</v>
      </c>
      <c r="C160" s="2" t="str">
        <f>IFERROR(VLOOKUP(Match_Record[[#This Row],[Match No]],Fixtures[[#All],[Match No]:[Location]],5,TRUE),"")</f>
        <v>France</v>
      </c>
      <c r="D160" s="2" t="str">
        <f>IFERROR(VLOOKUP(Match_Record[[#This Row],[Match No]],Fixtures[[#All],[Match No]:[Location]],8,TRUE),"")</f>
        <v>Denmark</v>
      </c>
      <c r="E160" s="2" t="s">
        <v>1078</v>
      </c>
      <c r="F160" s="18">
        <v>86</v>
      </c>
      <c r="G160" s="2">
        <v>1296</v>
      </c>
      <c r="H160" s="2" t="str">
        <f>IFERROR(VLOOKUP(Match_Record[[#This Row],[Player_No]],Squads[[Player No]:[Player Name]],6,TRUE),"")</f>
        <v>Kylian Mbappé</v>
      </c>
      <c r="I160" s="2" t="str">
        <f>IFERROR(VLOOKUP(Match_Record[[#This Row],[Player_No]],Squads[[Player No]:[Player Name]],2,TRUE),"")</f>
        <v>France</v>
      </c>
    </row>
    <row r="161" spans="1:9" x14ac:dyDescent="0.25">
      <c r="A161" s="18">
        <v>23</v>
      </c>
      <c r="B161" s="35">
        <f>IFERROR(VLOOKUP(Match_Record[[#This Row],[Match No]],Fixtures[[#All],[Match No]:[Location]],2,TRUE),"")</f>
        <v>44891</v>
      </c>
      <c r="C161" s="2" t="str">
        <f>IFERROR(VLOOKUP(Match_Record[[#This Row],[Match No]],Fixtures[[#All],[Match No]:[Location]],5,TRUE),"")</f>
        <v>France</v>
      </c>
      <c r="D161" s="2" t="str">
        <f>IFERROR(VLOOKUP(Match_Record[[#This Row],[Match No]],Fixtures[[#All],[Match No]:[Location]],8,TRUE),"")</f>
        <v>Denmark</v>
      </c>
      <c r="E161" s="2" t="s">
        <v>1079</v>
      </c>
      <c r="F161" s="18">
        <v>86</v>
      </c>
      <c r="G161" s="2">
        <v>1293</v>
      </c>
      <c r="H161" s="2" t="str">
        <f>IFERROR(VLOOKUP(Match_Record[[#This Row],[Player_No]],Squads[[Player No]:[Player Name]],6,TRUE),"")</f>
        <v>Antoine Griezmann</v>
      </c>
      <c r="I161" s="2" t="str">
        <f>IFERROR(VLOOKUP(Match_Record[[#This Row],[Player_No]],Squads[[Player No]:[Player Name]],2,TRUE),"")</f>
        <v>France</v>
      </c>
    </row>
    <row r="162" spans="1:9" x14ac:dyDescent="0.25">
      <c r="A162" s="18">
        <v>23</v>
      </c>
      <c r="B162" s="35">
        <f>IFERROR(VLOOKUP(Match_Record[[#This Row],[Match No]],Fixtures[[#All],[Match No]:[Location]],2,TRUE),"")</f>
        <v>44891</v>
      </c>
      <c r="C162" s="2" t="str">
        <f>IFERROR(VLOOKUP(Match_Record[[#This Row],[Match No]],Fixtures[[#All],[Match No]:[Location]],5,TRUE),"")</f>
        <v>France</v>
      </c>
      <c r="D162" s="2" t="str">
        <f>IFERROR(VLOOKUP(Match_Record[[#This Row],[Match No]],Fixtures[[#All],[Match No]:[Location]],8,TRUE),"")</f>
        <v>Denmark</v>
      </c>
      <c r="E162" s="2" t="s">
        <v>1080</v>
      </c>
      <c r="F162" s="18">
        <v>20</v>
      </c>
      <c r="G162" s="2">
        <v>1214</v>
      </c>
      <c r="H162" s="2" t="str">
        <f>IFERROR(VLOOKUP(Match_Record[[#This Row],[Player_No]],Squads[[Player No]:[Player Name]],6,TRUE),"")</f>
        <v>Andreas Christensen</v>
      </c>
      <c r="I162" s="2" t="str">
        <f>IFERROR(VLOOKUP(Match_Record[[#This Row],[Player_No]],Squads[[Player No]:[Player Name]],2,TRUE),"")</f>
        <v>Denmark</v>
      </c>
    </row>
    <row r="163" spans="1:9" x14ac:dyDescent="0.25">
      <c r="A163" s="18">
        <v>23</v>
      </c>
      <c r="B163" s="35">
        <f>IFERROR(VLOOKUP(Match_Record[[#This Row],[Match No]],Fixtures[[#All],[Match No]:[Location]],2,TRUE),"")</f>
        <v>44891</v>
      </c>
      <c r="C163" s="2" t="str">
        <f>IFERROR(VLOOKUP(Match_Record[[#This Row],[Match No]],Fixtures[[#All],[Match No]:[Location]],5,TRUE),"")</f>
        <v>France</v>
      </c>
      <c r="D163" s="2" t="str">
        <f>IFERROR(VLOOKUP(Match_Record[[#This Row],[Match No]],Fixtures[[#All],[Match No]:[Location]],8,TRUE),"")</f>
        <v>Denmark</v>
      </c>
      <c r="E163" s="2" t="s">
        <v>1080</v>
      </c>
      <c r="F163" s="18">
        <v>23</v>
      </c>
      <c r="G163" s="2">
        <v>1229</v>
      </c>
      <c r="H163" s="2" t="str">
        <f>IFERROR(VLOOKUP(Match_Record[[#This Row],[Player_No]],Squads[[Player No]:[Player Name]],6,TRUE),"")</f>
        <v>Andreas Cornelius</v>
      </c>
      <c r="I163" s="2" t="str">
        <f>IFERROR(VLOOKUP(Match_Record[[#This Row],[Player_No]],Squads[[Player No]:[Player Name]],2,TRUE),"")</f>
        <v>Denmark</v>
      </c>
    </row>
    <row r="164" spans="1:9" x14ac:dyDescent="0.25">
      <c r="A164" s="18">
        <v>23</v>
      </c>
      <c r="B164" s="35">
        <f>IFERROR(VLOOKUP(Match_Record[[#This Row],[Match No]],Fixtures[[#All],[Match No]:[Location]],2,TRUE),"")</f>
        <v>44891</v>
      </c>
      <c r="C164" s="2" t="str">
        <f>IFERROR(VLOOKUP(Match_Record[[#This Row],[Match No]],Fixtures[[#All],[Match No]:[Location]],5,TRUE),"")</f>
        <v>France</v>
      </c>
      <c r="D164" s="2" t="str">
        <f>IFERROR(VLOOKUP(Match_Record[[#This Row],[Match No]],Fixtures[[#All],[Match No]:[Location]],8,TRUE),"")</f>
        <v>Denmark</v>
      </c>
      <c r="E164" s="2" t="s">
        <v>1078</v>
      </c>
      <c r="F164" s="18">
        <v>68</v>
      </c>
      <c r="G164" s="2">
        <v>1214</v>
      </c>
      <c r="H164" s="2" t="str">
        <f>IFERROR(VLOOKUP(Match_Record[[#This Row],[Player_No]],Squads[[Player No]:[Player Name]],6,TRUE),"")</f>
        <v>Andreas Christensen</v>
      </c>
      <c r="I164" s="2" t="str">
        <f>IFERROR(VLOOKUP(Match_Record[[#This Row],[Player_No]],Squads[[Player No]:[Player Name]],2,TRUE),"")</f>
        <v>Denmark</v>
      </c>
    </row>
    <row r="165" spans="1:9" x14ac:dyDescent="0.25">
      <c r="A165" s="18">
        <v>23</v>
      </c>
      <c r="B165" s="35">
        <f>IFERROR(VLOOKUP(Match_Record[[#This Row],[Match No]],Fixtures[[#All],[Match No]:[Location]],2,TRUE),"")</f>
        <v>44891</v>
      </c>
      <c r="C165" s="2" t="str">
        <f>IFERROR(VLOOKUP(Match_Record[[#This Row],[Match No]],Fixtures[[#All],[Match No]:[Location]],5,TRUE),"")</f>
        <v>France</v>
      </c>
      <c r="D165" s="2" t="str">
        <f>IFERROR(VLOOKUP(Match_Record[[#This Row],[Match No]],Fixtures[[#All],[Match No]:[Location]],8,TRUE),"")</f>
        <v>Denmark</v>
      </c>
      <c r="E165" s="2" t="s">
        <v>1079</v>
      </c>
      <c r="F165" s="18">
        <v>68</v>
      </c>
      <c r="G165" s="2">
        <v>1210</v>
      </c>
      <c r="H165" s="2" t="str">
        <f>IFERROR(VLOOKUP(Match_Record[[#This Row],[Player_No]],Squads[[Player No]:[Player Name]],6,TRUE),"")</f>
        <v>Joachim Andersen</v>
      </c>
      <c r="I165" s="2" t="str">
        <f>IFERROR(VLOOKUP(Match_Record[[#This Row],[Player_No]],Squads[[Player No]:[Player Name]],2,TRUE),"")</f>
        <v>Denmark</v>
      </c>
    </row>
    <row r="166" spans="1:9" x14ac:dyDescent="0.25">
      <c r="A166" s="18">
        <v>24</v>
      </c>
      <c r="B166" s="35">
        <f>IFERROR(VLOOKUP(Match_Record[[#This Row],[Match No]],Fixtures[[#All],[Match No]:[Location]],2,TRUE),"")</f>
        <v>44891</v>
      </c>
      <c r="C166" s="2" t="str">
        <f>IFERROR(VLOOKUP(Match_Record[[#This Row],[Match No]],Fixtures[[#All],[Match No]:[Location]],5,TRUE),"")</f>
        <v>Argentina</v>
      </c>
      <c r="D166" s="2" t="str">
        <f>IFERROR(VLOOKUP(Match_Record[[#This Row],[Match No]],Fixtures[[#All],[Match No]:[Location]],8,TRUE),"")</f>
        <v>Mexico</v>
      </c>
      <c r="E166" s="2" t="s">
        <v>1080</v>
      </c>
      <c r="F166" s="18">
        <v>43</v>
      </c>
      <c r="G166" s="2">
        <v>1004</v>
      </c>
      <c r="H166" s="2" t="str">
        <f>IFERROR(VLOOKUP(Match_Record[[#This Row],[Player_No]],Squads[[Player No]:[Player Name]],6,TRUE),"")</f>
        <v>Gonzalo Montiel</v>
      </c>
      <c r="I166" s="2" t="str">
        <f>IFERROR(VLOOKUP(Match_Record[[#This Row],[Player_No]],Squads[[Player No]:[Player Name]],2,TRUE),"")</f>
        <v>Argentina</v>
      </c>
    </row>
    <row r="167" spans="1:9" x14ac:dyDescent="0.25">
      <c r="A167" s="18">
        <v>24</v>
      </c>
      <c r="B167" s="35">
        <f>IFERROR(VLOOKUP(Match_Record[[#This Row],[Match No]],Fixtures[[#All],[Match No]:[Location]],2,TRUE),"")</f>
        <v>44891</v>
      </c>
      <c r="C167" s="2" t="str">
        <f>IFERROR(VLOOKUP(Match_Record[[#This Row],[Match No]],Fixtures[[#All],[Match No]:[Location]],5,TRUE),"")</f>
        <v>Argentina</v>
      </c>
      <c r="D167" s="2" t="str">
        <f>IFERROR(VLOOKUP(Match_Record[[#This Row],[Match No]],Fixtures[[#All],[Match No]:[Location]],8,TRUE),"")</f>
        <v>Mexico</v>
      </c>
      <c r="E167" s="2" t="s">
        <v>1078</v>
      </c>
      <c r="F167" s="18">
        <v>64</v>
      </c>
      <c r="G167" s="2">
        <v>1010</v>
      </c>
      <c r="H167" s="2" t="str">
        <f>IFERROR(VLOOKUP(Match_Record[[#This Row],[Player_No]],Squads[[Player No]:[Player Name]],6,TRUE),"")</f>
        <v>Lionel Messi</v>
      </c>
      <c r="I167" s="2" t="str">
        <f>IFERROR(VLOOKUP(Match_Record[[#This Row],[Player_No]],Squads[[Player No]:[Player Name]],2,TRUE),"")</f>
        <v>Argentina</v>
      </c>
    </row>
    <row r="168" spans="1:9" x14ac:dyDescent="0.25">
      <c r="A168" s="18">
        <v>24</v>
      </c>
      <c r="B168" s="35">
        <f>IFERROR(VLOOKUP(Match_Record[[#This Row],[Match No]],Fixtures[[#All],[Match No]:[Location]],2,TRUE),"")</f>
        <v>44891</v>
      </c>
      <c r="C168" s="2" t="str">
        <f>IFERROR(VLOOKUP(Match_Record[[#This Row],[Match No]],Fixtures[[#All],[Match No]:[Location]],5,TRUE),"")</f>
        <v>Argentina</v>
      </c>
      <c r="D168" s="2" t="str">
        <f>IFERROR(VLOOKUP(Match_Record[[#This Row],[Match No]],Fixtures[[#All],[Match No]:[Location]],8,TRUE),"")</f>
        <v>Mexico</v>
      </c>
      <c r="E168" s="2" t="s">
        <v>1079</v>
      </c>
      <c r="F168" s="18">
        <v>64</v>
      </c>
      <c r="G168" s="2">
        <v>1011</v>
      </c>
      <c r="H168" s="2" t="str">
        <f>IFERROR(VLOOKUP(Match_Record[[#This Row],[Player_No]],Squads[[Player No]:[Player Name]],6,TRUE),"")</f>
        <v>Ángel Di María</v>
      </c>
      <c r="I168" s="2" t="str">
        <f>IFERROR(VLOOKUP(Match_Record[[#This Row],[Player_No]],Squads[[Player No]:[Player Name]],2,TRUE),"")</f>
        <v>Argentina</v>
      </c>
    </row>
    <row r="169" spans="1:9" x14ac:dyDescent="0.25">
      <c r="A169" s="18">
        <v>24</v>
      </c>
      <c r="B169" s="35">
        <f>IFERROR(VLOOKUP(Match_Record[[#This Row],[Match No]],Fixtures[[#All],[Match No]:[Location]],2,TRUE),"")</f>
        <v>44891</v>
      </c>
      <c r="C169" s="2" t="str">
        <f>IFERROR(VLOOKUP(Match_Record[[#This Row],[Match No]],Fixtures[[#All],[Match No]:[Location]],5,TRUE),"")</f>
        <v>Argentina</v>
      </c>
      <c r="D169" s="2" t="str">
        <f>IFERROR(VLOOKUP(Match_Record[[#This Row],[Match No]],Fixtures[[#All],[Match No]:[Location]],8,TRUE),"")</f>
        <v>Mexico</v>
      </c>
      <c r="E169" s="2" t="s">
        <v>1078</v>
      </c>
      <c r="F169" s="18">
        <v>87</v>
      </c>
      <c r="G169" s="2">
        <v>1024</v>
      </c>
      <c r="H169" s="2" t="str">
        <f>IFERROR(VLOOKUP(Match_Record[[#This Row],[Player_No]],Squads[[Player No]:[Player Name]],6,TRUE),"")</f>
        <v>Enzo Fernández</v>
      </c>
      <c r="I169" s="2" t="str">
        <f>IFERROR(VLOOKUP(Match_Record[[#This Row],[Player_No]],Squads[[Player No]:[Player Name]],2,TRUE),"")</f>
        <v>Argentina</v>
      </c>
    </row>
    <row r="170" spans="1:9" x14ac:dyDescent="0.25">
      <c r="A170" s="18">
        <v>24</v>
      </c>
      <c r="B170" s="35">
        <f>IFERROR(VLOOKUP(Match_Record[[#This Row],[Match No]],Fixtures[[#All],[Match No]:[Location]],2,TRUE),"")</f>
        <v>44891</v>
      </c>
      <c r="C170" s="2" t="str">
        <f>IFERROR(VLOOKUP(Match_Record[[#This Row],[Match No]],Fixtures[[#All],[Match No]:[Location]],5,TRUE),"")</f>
        <v>Argentina</v>
      </c>
      <c r="D170" s="2" t="str">
        <f>IFERROR(VLOOKUP(Match_Record[[#This Row],[Match No]],Fixtures[[#All],[Match No]:[Location]],8,TRUE),"")</f>
        <v>Mexico</v>
      </c>
      <c r="E170" s="2" t="s">
        <v>1079</v>
      </c>
      <c r="F170" s="18">
        <v>87</v>
      </c>
      <c r="G170" s="2">
        <v>1010</v>
      </c>
      <c r="H170" s="2" t="str">
        <f>IFERROR(VLOOKUP(Match_Record[[#This Row],[Player_No]],Squads[[Player No]:[Player Name]],6,TRUE),"")</f>
        <v>Lionel Messi</v>
      </c>
      <c r="I170" s="2" t="str">
        <f>IFERROR(VLOOKUP(Match_Record[[#This Row],[Player_No]],Squads[[Player No]:[Player Name]],2,TRUE),"")</f>
        <v>Argentina</v>
      </c>
    </row>
    <row r="171" spans="1:9" x14ac:dyDescent="0.25">
      <c r="A171" s="18">
        <v>24</v>
      </c>
      <c r="B171" s="35">
        <f>IFERROR(VLOOKUP(Match_Record[[#This Row],[Match No]],Fixtures[[#All],[Match No]:[Location]],2,TRUE),"")</f>
        <v>44891</v>
      </c>
      <c r="C171" s="2" t="str">
        <f>IFERROR(VLOOKUP(Match_Record[[#This Row],[Match No]],Fixtures[[#All],[Match No]:[Location]],5,TRUE),"")</f>
        <v>Argentina</v>
      </c>
      <c r="D171" s="2" t="str">
        <f>IFERROR(VLOOKUP(Match_Record[[#This Row],[Match No]],Fixtures[[#All],[Match No]:[Location]],8,TRUE),"")</f>
        <v>Mexico</v>
      </c>
      <c r="E171" s="2" t="s">
        <v>1080</v>
      </c>
      <c r="F171" s="18">
        <v>22</v>
      </c>
      <c r="G171" s="2">
        <v>1443</v>
      </c>
      <c r="H171" s="2" t="str">
        <f>IFERROR(VLOOKUP(Match_Record[[#This Row],[Player_No]],Squads[[Player No]:[Player Name]],6,TRUE),"")</f>
        <v>Néstor Araujo</v>
      </c>
      <c r="I171" s="2" t="str">
        <f>IFERROR(VLOOKUP(Match_Record[[#This Row],[Player_No]],Squads[[Player No]:[Player Name]],2,TRUE),"")</f>
        <v>Mexico</v>
      </c>
    </row>
    <row r="172" spans="1:9" x14ac:dyDescent="0.25">
      <c r="A172" s="18">
        <v>24</v>
      </c>
      <c r="B172" s="35">
        <f>IFERROR(VLOOKUP(Match_Record[[#This Row],[Match No]],Fixtures[[#All],[Match No]:[Location]],2,TRUE),"")</f>
        <v>44891</v>
      </c>
      <c r="C172" s="2" t="str">
        <f>IFERROR(VLOOKUP(Match_Record[[#This Row],[Match No]],Fixtures[[#All],[Match No]:[Location]],5,TRUE),"")</f>
        <v>Argentina</v>
      </c>
      <c r="D172" s="2" t="str">
        <f>IFERROR(VLOOKUP(Match_Record[[#This Row],[Match No]],Fixtures[[#All],[Match No]:[Location]],8,TRUE),"")</f>
        <v>Mexico</v>
      </c>
      <c r="E172" s="2" t="s">
        <v>1080</v>
      </c>
      <c r="F172" s="18">
        <v>50</v>
      </c>
      <c r="G172" s="2">
        <v>1455</v>
      </c>
      <c r="H172" s="2" t="str">
        <f>IFERROR(VLOOKUP(Match_Record[[#This Row],[Player_No]],Squads[[Player No]:[Player Name]],6,TRUE),"")</f>
        <v>Érick Gutiérrez</v>
      </c>
      <c r="I172" s="2" t="str">
        <f>IFERROR(VLOOKUP(Match_Record[[#This Row],[Player_No]],Squads[[Player No]:[Player Name]],2,TRUE),"")</f>
        <v>Mexico</v>
      </c>
    </row>
    <row r="173" spans="1:9" x14ac:dyDescent="0.25">
      <c r="A173" s="18">
        <v>24</v>
      </c>
      <c r="B173" s="35">
        <f>IFERROR(VLOOKUP(Match_Record[[#This Row],[Match No]],Fixtures[[#All],[Match No]:[Location]],2,TRUE),"")</f>
        <v>44891</v>
      </c>
      <c r="C173" s="2" t="str">
        <f>IFERROR(VLOOKUP(Match_Record[[#This Row],[Match No]],Fixtures[[#All],[Match No]:[Location]],5,TRUE),"")</f>
        <v>Argentina</v>
      </c>
      <c r="D173" s="2" t="str">
        <f>IFERROR(VLOOKUP(Match_Record[[#This Row],[Match No]],Fixtures[[#All],[Match No]:[Location]],8,TRUE),"")</f>
        <v>Mexico</v>
      </c>
      <c r="E173" s="2" t="s">
        <v>1080</v>
      </c>
      <c r="F173" s="18">
        <v>66</v>
      </c>
      <c r="G173" s="2">
        <v>1457</v>
      </c>
      <c r="H173" s="2" t="str">
        <f>IFERROR(VLOOKUP(Match_Record[[#This Row],[Player_No]],Squads[[Player No]:[Player Name]],6,TRUE),"")</f>
        <v>Héctor Herrera</v>
      </c>
      <c r="I173" s="2" t="str">
        <f>IFERROR(VLOOKUP(Match_Record[[#This Row],[Player_No]],Squads[[Player No]:[Player Name]],2,TRUE),"")</f>
        <v>Mexico</v>
      </c>
    </row>
    <row r="174" spans="1:9" x14ac:dyDescent="0.25">
      <c r="A174" s="18">
        <v>24</v>
      </c>
      <c r="B174" s="35">
        <f>IFERROR(VLOOKUP(Match_Record[[#This Row],[Match No]],Fixtures[[#All],[Match No]:[Location]],2,TRUE),"")</f>
        <v>44891</v>
      </c>
      <c r="C174" s="2" t="str">
        <f>IFERROR(VLOOKUP(Match_Record[[#This Row],[Match No]],Fixtures[[#All],[Match No]:[Location]],5,TRUE),"")</f>
        <v>Argentina</v>
      </c>
      <c r="D174" s="2" t="str">
        <f>IFERROR(VLOOKUP(Match_Record[[#This Row],[Match No]],Fixtures[[#All],[Match No]:[Location]],8,TRUE),"")</f>
        <v>Mexico</v>
      </c>
      <c r="E174" s="2" t="s">
        <v>1080</v>
      </c>
      <c r="F174" s="18">
        <v>89</v>
      </c>
      <c r="G174" s="2">
        <v>1466</v>
      </c>
      <c r="H174" s="2" t="str">
        <f>IFERROR(VLOOKUP(Match_Record[[#This Row],[Player_No]],Squads[[Player No]:[Player Name]],6,TRUE),"")</f>
        <v>Roberto Alvarado</v>
      </c>
      <c r="I174" s="2" t="str">
        <f>IFERROR(VLOOKUP(Match_Record[[#This Row],[Player_No]],Squads[[Player No]:[Player Name]],2,TRUE),"")</f>
        <v>Mexico</v>
      </c>
    </row>
    <row r="175" spans="1:9" x14ac:dyDescent="0.25">
      <c r="A175" s="18">
        <v>25</v>
      </c>
      <c r="B175" s="35">
        <f>IFERROR(VLOOKUP(Match_Record[[#This Row],[Match No]],Fixtures[[#All],[Match No]:[Location]],2,TRUE),"")</f>
        <v>44892</v>
      </c>
      <c r="C175" s="2" t="str">
        <f>IFERROR(VLOOKUP(Match_Record[[#This Row],[Match No]],Fixtures[[#All],[Match No]:[Location]],5,TRUE),"")</f>
        <v>Japan</v>
      </c>
      <c r="D175" s="2" t="str">
        <f>IFERROR(VLOOKUP(Match_Record[[#This Row],[Match No]],Fixtures[[#All],[Match No]:[Location]],8,TRUE),"")</f>
        <v>Costa Rica</v>
      </c>
      <c r="E175" s="2" t="s">
        <v>1080</v>
      </c>
      <c r="F175" s="18">
        <v>44</v>
      </c>
      <c r="G175" s="2">
        <v>1391</v>
      </c>
      <c r="H175" s="2" t="str">
        <f>IFERROR(VLOOKUP(Match_Record[[#This Row],[Player_No]],Squads[[Player No]:[Player Name]],6,TRUE),"")</f>
        <v>Miki Yamane</v>
      </c>
      <c r="I175" s="2" t="str">
        <f>IFERROR(VLOOKUP(Match_Record[[#This Row],[Player_No]],Squads[[Player No]:[Player Name]],2,TRUE),"")</f>
        <v>Japan</v>
      </c>
    </row>
    <row r="176" spans="1:9" x14ac:dyDescent="0.25">
      <c r="A176" s="18">
        <v>25</v>
      </c>
      <c r="B176" s="35">
        <f>IFERROR(VLOOKUP(Match_Record[[#This Row],[Match No]],Fixtures[[#All],[Match No]:[Location]],2,TRUE),"")</f>
        <v>44892</v>
      </c>
      <c r="C176" s="2" t="str">
        <f>IFERROR(VLOOKUP(Match_Record[[#This Row],[Match No]],Fixtures[[#All],[Match No]:[Location]],5,TRUE),"")</f>
        <v>Japan</v>
      </c>
      <c r="D176" s="2" t="str">
        <f>IFERROR(VLOOKUP(Match_Record[[#This Row],[Match No]],Fixtures[[#All],[Match No]:[Location]],8,TRUE),"")</f>
        <v>Costa Rica</v>
      </c>
      <c r="E176" s="2" t="s">
        <v>1080</v>
      </c>
      <c r="F176" s="18">
        <v>84</v>
      </c>
      <c r="G176" s="2">
        <v>1393</v>
      </c>
      <c r="H176" s="2" t="str">
        <f>IFERROR(VLOOKUP(Match_Record[[#This Row],[Player_No]],Squads[[Player No]:[Player Name]],6,TRUE),"")</f>
        <v>Ko Itakura</v>
      </c>
      <c r="I176" s="2" t="str">
        <f>IFERROR(VLOOKUP(Match_Record[[#This Row],[Player_No]],Squads[[Player No]:[Player Name]],2,TRUE),"")</f>
        <v>Japan</v>
      </c>
    </row>
    <row r="177" spans="1:9" x14ac:dyDescent="0.25">
      <c r="A177" s="18">
        <v>25</v>
      </c>
      <c r="B177" s="35">
        <f>IFERROR(VLOOKUP(Match_Record[[#This Row],[Match No]],Fixtures[[#All],[Match No]:[Location]],2,TRUE),"")</f>
        <v>44892</v>
      </c>
      <c r="C177" s="2" t="str">
        <f>IFERROR(VLOOKUP(Match_Record[[#This Row],[Match No]],Fixtures[[#All],[Match No]:[Location]],5,TRUE),"")</f>
        <v>Japan</v>
      </c>
      <c r="D177" s="2" t="str">
        <f>IFERROR(VLOOKUP(Match_Record[[#This Row],[Match No]],Fixtures[[#All],[Match No]:[Location]],8,TRUE),"")</f>
        <v>Costa Rica</v>
      </c>
      <c r="E177" s="2" t="s">
        <v>1080</v>
      </c>
      <c r="F177" s="18">
        <v>93</v>
      </c>
      <c r="G177" s="2">
        <v>1395</v>
      </c>
      <c r="H177" s="2" t="str">
        <f>IFERROR(VLOOKUP(Match_Record[[#This Row],[Player_No]],Squads[[Player No]:[Player Name]],6,TRUE),"")</f>
        <v>Wataru Endo</v>
      </c>
      <c r="I177" s="2" t="str">
        <f>IFERROR(VLOOKUP(Match_Record[[#This Row],[Player_No]],Squads[[Player No]:[Player Name]],2,TRUE),"")</f>
        <v>Japan</v>
      </c>
    </row>
    <row r="178" spans="1:9" x14ac:dyDescent="0.25">
      <c r="A178" s="18">
        <v>25</v>
      </c>
      <c r="B178" s="35">
        <f>IFERROR(VLOOKUP(Match_Record[[#This Row],[Match No]],Fixtures[[#All],[Match No]:[Location]],2,TRUE),"")</f>
        <v>44892</v>
      </c>
      <c r="C178" s="2" t="str">
        <f>IFERROR(VLOOKUP(Match_Record[[#This Row],[Match No]],Fixtures[[#All],[Match No]:[Location]],5,TRUE),"")</f>
        <v>Japan</v>
      </c>
      <c r="D178" s="2" t="str">
        <f>IFERROR(VLOOKUP(Match_Record[[#This Row],[Match No]],Fixtures[[#All],[Match No]:[Location]],8,TRUE),"")</f>
        <v>Costa Rica</v>
      </c>
      <c r="E178" s="2" t="s">
        <v>1080</v>
      </c>
      <c r="F178" s="18">
        <v>41</v>
      </c>
      <c r="G178" s="2">
        <v>1163</v>
      </c>
      <c r="H178" s="2" t="str">
        <f>IFERROR(VLOOKUP(Match_Record[[#This Row],[Player_No]],Squads[[Player No]:[Player Name]],6,TRUE),"")</f>
        <v>Anthony Contreras</v>
      </c>
      <c r="I178" s="2" t="str">
        <f>IFERROR(VLOOKUP(Match_Record[[#This Row],[Player_No]],Squads[[Player No]:[Player Name]],2,TRUE),"")</f>
        <v>Costa Rica</v>
      </c>
    </row>
    <row r="179" spans="1:9" x14ac:dyDescent="0.25">
      <c r="A179" s="18">
        <v>25</v>
      </c>
      <c r="B179" s="35">
        <f>IFERROR(VLOOKUP(Match_Record[[#This Row],[Match No]],Fixtures[[#All],[Match No]:[Location]],2,TRUE),"")</f>
        <v>44892</v>
      </c>
      <c r="C179" s="2" t="str">
        <f>IFERROR(VLOOKUP(Match_Record[[#This Row],[Match No]],Fixtures[[#All],[Match No]:[Location]],5,TRUE),"")</f>
        <v>Japan</v>
      </c>
      <c r="D179" s="2" t="str">
        <f>IFERROR(VLOOKUP(Match_Record[[#This Row],[Match No]],Fixtures[[#All],[Match No]:[Location]],8,TRUE),"")</f>
        <v>Costa Rica</v>
      </c>
      <c r="E179" s="2" t="s">
        <v>1080</v>
      </c>
      <c r="F179" s="18">
        <v>61</v>
      </c>
      <c r="G179" s="2">
        <v>1161</v>
      </c>
      <c r="H179" s="2" t="str">
        <f>IFERROR(VLOOKUP(Match_Record[[#This Row],[Player_No]],Squads[[Player No]:[Player Name]],6,TRUE),"")</f>
        <v>Celso Borges</v>
      </c>
      <c r="I179" s="2" t="str">
        <f>IFERROR(VLOOKUP(Match_Record[[#This Row],[Player_No]],Squads[[Player No]:[Player Name]],2,TRUE),"")</f>
        <v>Costa Rica</v>
      </c>
    </row>
    <row r="180" spans="1:9" x14ac:dyDescent="0.25">
      <c r="A180" s="18">
        <v>25</v>
      </c>
      <c r="B180" s="35">
        <f>IFERROR(VLOOKUP(Match_Record[[#This Row],[Match No]],Fixtures[[#All],[Match No]:[Location]],2,TRUE),"")</f>
        <v>44892</v>
      </c>
      <c r="C180" s="2" t="str">
        <f>IFERROR(VLOOKUP(Match_Record[[#This Row],[Match No]],Fixtures[[#All],[Match No]:[Location]],5,TRUE),"")</f>
        <v>Japan</v>
      </c>
      <c r="D180" s="2" t="str">
        <f>IFERROR(VLOOKUP(Match_Record[[#This Row],[Match No]],Fixtures[[#All],[Match No]:[Location]],8,TRUE),"")</f>
        <v>Costa Rica</v>
      </c>
      <c r="E180" s="2" t="s">
        <v>1080</v>
      </c>
      <c r="F180" s="18">
        <v>70</v>
      </c>
      <c r="G180" s="2">
        <v>1171</v>
      </c>
      <c r="H180" s="2" t="str">
        <f>IFERROR(VLOOKUP(Match_Record[[#This Row],[Player_No]],Squads[[Player No]:[Player Name]],6,TRUE),"")</f>
        <v>Francisco Calvo</v>
      </c>
      <c r="I180" s="2" t="str">
        <f>IFERROR(VLOOKUP(Match_Record[[#This Row],[Player_No]],Squads[[Player No]:[Player Name]],2,TRUE),"")</f>
        <v>Costa Rica</v>
      </c>
    </row>
    <row r="181" spans="1:9" x14ac:dyDescent="0.25">
      <c r="A181" s="18">
        <v>25</v>
      </c>
      <c r="B181" s="35">
        <f>IFERROR(VLOOKUP(Match_Record[[#This Row],[Match No]],Fixtures[[#All],[Match No]:[Location]],2,TRUE),"")</f>
        <v>44892</v>
      </c>
      <c r="C181" s="2" t="str">
        <f>IFERROR(VLOOKUP(Match_Record[[#This Row],[Match No]],Fixtures[[#All],[Match No]:[Location]],5,TRUE),"")</f>
        <v>Japan</v>
      </c>
      <c r="D181" s="2" t="str">
        <f>IFERROR(VLOOKUP(Match_Record[[#This Row],[Match No]],Fixtures[[#All],[Match No]:[Location]],8,TRUE),"")</f>
        <v>Costa Rica</v>
      </c>
      <c r="E181" s="2" t="s">
        <v>1078</v>
      </c>
      <c r="F181" s="18">
        <v>81</v>
      </c>
      <c r="G181" s="2">
        <v>1160</v>
      </c>
      <c r="H181" s="2" t="str">
        <f>IFERROR(VLOOKUP(Match_Record[[#This Row],[Player_No]],Squads[[Player No]:[Player Name]],6,TRUE),"")</f>
        <v>Keysher Fuller</v>
      </c>
      <c r="I181" s="2" t="str">
        <f>IFERROR(VLOOKUP(Match_Record[[#This Row],[Player_No]],Squads[[Player No]:[Player Name]],2,TRUE),"")</f>
        <v>Costa Rica</v>
      </c>
    </row>
    <row r="182" spans="1:9" x14ac:dyDescent="0.25">
      <c r="A182" s="18">
        <v>25</v>
      </c>
      <c r="B182" s="35">
        <f>IFERROR(VLOOKUP(Match_Record[[#This Row],[Match No]],Fixtures[[#All],[Match No]:[Location]],2,TRUE),"")</f>
        <v>44892</v>
      </c>
      <c r="C182" s="2" t="str">
        <f>IFERROR(VLOOKUP(Match_Record[[#This Row],[Match No]],Fixtures[[#All],[Match No]:[Location]],5,TRUE),"")</f>
        <v>Japan</v>
      </c>
      <c r="D182" s="2" t="str">
        <f>IFERROR(VLOOKUP(Match_Record[[#This Row],[Match No]],Fixtures[[#All],[Match No]:[Location]],8,TRUE),"")</f>
        <v>Costa Rica</v>
      </c>
      <c r="E182" s="2" t="s">
        <v>1079</v>
      </c>
      <c r="F182" s="18">
        <v>81</v>
      </c>
      <c r="G182" s="2">
        <v>1173</v>
      </c>
      <c r="H182" s="2" t="str">
        <f>IFERROR(VLOOKUP(Match_Record[[#This Row],[Player_No]],Squads[[Player No]:[Player Name]],6,TRUE),"")</f>
        <v>Yeltsin Tejeda</v>
      </c>
      <c r="I182" s="2" t="str">
        <f>IFERROR(VLOOKUP(Match_Record[[#This Row],[Player_No]],Squads[[Player No]:[Player Name]],2,TRUE),"")</f>
        <v>Costa Rica</v>
      </c>
    </row>
    <row r="183" spans="1:9" x14ac:dyDescent="0.25">
      <c r="A183" s="18">
        <v>26</v>
      </c>
      <c r="B183" s="35">
        <f>IFERROR(VLOOKUP(Match_Record[[#This Row],[Match No]],Fixtures[[#All],[Match No]:[Location]],2,TRUE),"")</f>
        <v>44892</v>
      </c>
      <c r="C183" s="2" t="str">
        <f>IFERROR(VLOOKUP(Match_Record[[#This Row],[Match No]],Fixtures[[#All],[Match No]:[Location]],5,TRUE),"")</f>
        <v>Belgium</v>
      </c>
      <c r="D183" s="2" t="str">
        <f>IFERROR(VLOOKUP(Match_Record[[#This Row],[Match No]],Fixtures[[#All],[Match No]:[Location]],8,TRUE),"")</f>
        <v>Morocco</v>
      </c>
      <c r="E183" s="2" t="s">
        <v>1080</v>
      </c>
      <c r="F183" s="18">
        <v>29</v>
      </c>
      <c r="G183" s="2">
        <v>1070</v>
      </c>
      <c r="H183" s="2" t="str">
        <f>IFERROR(VLOOKUP(Match_Record[[#This Row],[Player_No]],Squads[[Player No]:[Player Name]],6,TRUE),"")</f>
        <v>Amadou Onana</v>
      </c>
      <c r="I183" s="2" t="str">
        <f>IFERROR(VLOOKUP(Match_Record[[#This Row],[Player_No]],Squads[[Player No]:[Player Name]],2,TRUE),"")</f>
        <v>Belgium</v>
      </c>
    </row>
    <row r="184" spans="1:9" x14ac:dyDescent="0.25">
      <c r="A184" s="18">
        <v>26</v>
      </c>
      <c r="B184" s="35">
        <f>IFERROR(VLOOKUP(Match_Record[[#This Row],[Match No]],Fixtures[[#All],[Match No]:[Location]],2,TRUE),"")</f>
        <v>44892</v>
      </c>
      <c r="C184" s="2" t="str">
        <f>IFERROR(VLOOKUP(Match_Record[[#This Row],[Match No]],Fixtures[[#All],[Match No]:[Location]],5,TRUE),"")</f>
        <v>Belgium</v>
      </c>
      <c r="D184" s="2" t="str">
        <f>IFERROR(VLOOKUP(Match_Record[[#This Row],[Match No]],Fixtures[[#All],[Match No]:[Location]],8,TRUE),"")</f>
        <v>Morocco</v>
      </c>
      <c r="E184" s="2" t="s">
        <v>1078</v>
      </c>
      <c r="F184" s="18">
        <v>73</v>
      </c>
      <c r="G184" s="2">
        <v>1473</v>
      </c>
      <c r="H184" s="2" t="str">
        <f>IFERROR(VLOOKUP(Match_Record[[#This Row],[Player_No]],Squads[[Player No]:[Player Name]],6,TRUE),"")</f>
        <v>Romain Saïss </v>
      </c>
      <c r="I184" s="2" t="str">
        <f>IFERROR(VLOOKUP(Match_Record[[#This Row],[Player_No]],Squads[[Player No]:[Player Name]],2,TRUE),"")</f>
        <v>Morocco</v>
      </c>
    </row>
    <row r="185" spans="1:9" x14ac:dyDescent="0.25">
      <c r="A185" s="18">
        <v>26</v>
      </c>
      <c r="B185" s="35">
        <f>IFERROR(VLOOKUP(Match_Record[[#This Row],[Match No]],Fixtures[[#All],[Match No]:[Location]],2,TRUE),"")</f>
        <v>44892</v>
      </c>
      <c r="C185" s="2" t="str">
        <f>IFERROR(VLOOKUP(Match_Record[[#This Row],[Match No]],Fixtures[[#All],[Match No]:[Location]],5,TRUE),"")</f>
        <v>Belgium</v>
      </c>
      <c r="D185" s="2" t="str">
        <f>IFERROR(VLOOKUP(Match_Record[[#This Row],[Match No]],Fixtures[[#All],[Match No]:[Location]],8,TRUE),"")</f>
        <v>Morocco</v>
      </c>
      <c r="E185" s="2" t="s">
        <v>1079</v>
      </c>
      <c r="F185" s="18">
        <v>73</v>
      </c>
      <c r="G185" s="2">
        <v>1478</v>
      </c>
      <c r="H185" s="2" t="str">
        <f>IFERROR(VLOOKUP(Match_Record[[#This Row],[Player_No]],Squads[[Player No]:[Player Name]],6,TRUE),"")</f>
        <v>Abdelhamid Sabiri</v>
      </c>
      <c r="I185" s="2" t="str">
        <f>IFERROR(VLOOKUP(Match_Record[[#This Row],[Player_No]],Squads[[Player No]:[Player Name]],2,TRUE),"")</f>
        <v>Morocco</v>
      </c>
    </row>
    <row r="186" spans="1:9" x14ac:dyDescent="0.25">
      <c r="A186" s="18">
        <v>26</v>
      </c>
      <c r="B186" s="35">
        <f>IFERROR(VLOOKUP(Match_Record[[#This Row],[Match No]],Fixtures[[#All],[Match No]:[Location]],2,TRUE),"")</f>
        <v>44892</v>
      </c>
      <c r="C186" s="2" t="str">
        <f>IFERROR(VLOOKUP(Match_Record[[#This Row],[Match No]],Fixtures[[#All],[Match No]:[Location]],5,TRUE),"")</f>
        <v>Belgium</v>
      </c>
      <c r="D186" s="2" t="str">
        <f>IFERROR(VLOOKUP(Match_Record[[#This Row],[Match No]],Fixtures[[#All],[Match No]:[Location]],8,TRUE),"")</f>
        <v>Morocco</v>
      </c>
      <c r="E186" s="2" t="s">
        <v>1078</v>
      </c>
      <c r="F186" s="18">
        <v>92</v>
      </c>
      <c r="G186" s="2">
        <v>1481</v>
      </c>
      <c r="H186" s="2" t="str">
        <f>IFERROR(VLOOKUP(Match_Record[[#This Row],[Player_No]],Squads[[Player No]:[Player Name]],6,TRUE),"")</f>
        <v>Zakaria Aboukhlal</v>
      </c>
      <c r="I186" s="2" t="str">
        <f>IFERROR(VLOOKUP(Match_Record[[#This Row],[Player_No]],Squads[[Player No]:[Player Name]],2,TRUE),"")</f>
        <v>Morocco</v>
      </c>
    </row>
    <row r="187" spans="1:9" x14ac:dyDescent="0.25">
      <c r="A187" s="18">
        <v>26</v>
      </c>
      <c r="B187" s="35">
        <f>IFERROR(VLOOKUP(Match_Record[[#This Row],[Match No]],Fixtures[[#All],[Match No]:[Location]],2,TRUE),"")</f>
        <v>44892</v>
      </c>
      <c r="C187" s="2" t="str">
        <f>IFERROR(VLOOKUP(Match_Record[[#This Row],[Match No]],Fixtures[[#All],[Match No]:[Location]],5,TRUE),"")</f>
        <v>Belgium</v>
      </c>
      <c r="D187" s="2" t="str">
        <f>IFERROR(VLOOKUP(Match_Record[[#This Row],[Match No]],Fixtures[[#All],[Match No]:[Location]],8,TRUE),"")</f>
        <v>Morocco</v>
      </c>
      <c r="E187" s="2" t="s">
        <v>1079</v>
      </c>
      <c r="F187" s="18">
        <v>92</v>
      </c>
      <c r="G187" s="2">
        <v>1474</v>
      </c>
      <c r="H187" s="2" t="str">
        <f>IFERROR(VLOOKUP(Match_Record[[#This Row],[Player_No]],Squads[[Player No]:[Player Name]],6,TRUE),"")</f>
        <v>Hakim Ziyech</v>
      </c>
      <c r="I187" s="2" t="str">
        <f>IFERROR(VLOOKUP(Match_Record[[#This Row],[Player_No]],Squads[[Player No]:[Player Name]],2,TRUE),"")</f>
        <v>Morocco</v>
      </c>
    </row>
    <row r="188" spans="1:9" x14ac:dyDescent="0.25">
      <c r="A188" s="18">
        <v>26</v>
      </c>
      <c r="B188" s="35">
        <f>IFERROR(VLOOKUP(Match_Record[[#This Row],[Match No]],Fixtures[[#All],[Match No]:[Location]],2,TRUE),"")</f>
        <v>44892</v>
      </c>
      <c r="C188" s="2" t="str">
        <f>IFERROR(VLOOKUP(Match_Record[[#This Row],[Match No]],Fixtures[[#All],[Match No]:[Location]],5,TRUE),"")</f>
        <v>Belgium</v>
      </c>
      <c r="D188" s="2" t="str">
        <f>IFERROR(VLOOKUP(Match_Record[[#This Row],[Match No]],Fixtures[[#All],[Match No]:[Location]],8,TRUE),"")</f>
        <v>Morocco</v>
      </c>
      <c r="E188" s="2" t="s">
        <v>1080</v>
      </c>
      <c r="F188" s="18">
        <v>95</v>
      </c>
      <c r="G188" s="2">
        <v>1478</v>
      </c>
      <c r="H188" s="2" t="str">
        <f>IFERROR(VLOOKUP(Match_Record[[#This Row],[Player_No]],Squads[[Player No]:[Player Name]],6,TRUE),"")</f>
        <v>Abdelhamid Sabiri</v>
      </c>
      <c r="I188" s="2" t="str">
        <f>IFERROR(VLOOKUP(Match_Record[[#This Row],[Player_No]],Squads[[Player No]:[Player Name]],2,TRUE),"")</f>
        <v>Morocco</v>
      </c>
    </row>
    <row r="189" spans="1:9" x14ac:dyDescent="0.25">
      <c r="A189" s="18">
        <v>27</v>
      </c>
      <c r="B189" s="35">
        <f>IFERROR(VLOOKUP(Match_Record[[#This Row],[Match No]],Fixtures[[#All],[Match No]:[Location]],2,TRUE),"")</f>
        <v>44892</v>
      </c>
      <c r="C189" s="2" t="str">
        <f>IFERROR(VLOOKUP(Match_Record[[#This Row],[Match No]],Fixtures[[#All],[Match No]:[Location]],5,TRUE),"")</f>
        <v>Croatia</v>
      </c>
      <c r="D189" s="2" t="str">
        <f>IFERROR(VLOOKUP(Match_Record[[#This Row],[Match No]],Fixtures[[#All],[Match No]:[Location]],8,TRUE),"")</f>
        <v>Canada</v>
      </c>
      <c r="E189" s="2" t="s">
        <v>1078</v>
      </c>
      <c r="F189" s="18">
        <v>36</v>
      </c>
      <c r="G189" s="2">
        <v>1191</v>
      </c>
      <c r="H189" s="2" t="str">
        <f>IFERROR(VLOOKUP(Match_Record[[#This Row],[Player_No]],Squads[[Player No]:[Player Name]],6,TRUE),"")</f>
        <v>Andrej Kramarić</v>
      </c>
      <c r="I189" s="2" t="str">
        <f>IFERROR(VLOOKUP(Match_Record[[#This Row],[Player_No]],Squads[[Player No]:[Player Name]],2,TRUE),"")</f>
        <v>Croatia</v>
      </c>
    </row>
    <row r="190" spans="1:9" x14ac:dyDescent="0.25">
      <c r="A190" s="18">
        <v>27</v>
      </c>
      <c r="B190" s="35">
        <f>IFERROR(VLOOKUP(Match_Record[[#This Row],[Match No]],Fixtures[[#All],[Match No]:[Location]],2,TRUE),"")</f>
        <v>44892</v>
      </c>
      <c r="C190" s="2" t="str">
        <f>IFERROR(VLOOKUP(Match_Record[[#This Row],[Match No]],Fixtures[[#All],[Match No]:[Location]],5,TRUE),"")</f>
        <v>Croatia</v>
      </c>
      <c r="D190" s="2" t="str">
        <f>IFERROR(VLOOKUP(Match_Record[[#This Row],[Match No]],Fixtures[[#All],[Match No]:[Location]],8,TRUE),"")</f>
        <v>Canada</v>
      </c>
      <c r="E190" s="2" t="s">
        <v>1079</v>
      </c>
      <c r="F190" s="18">
        <v>36</v>
      </c>
      <c r="G190" s="2">
        <v>1186</v>
      </c>
      <c r="H190" s="2" t="str">
        <f>IFERROR(VLOOKUP(Match_Record[[#This Row],[Player_No]],Squads[[Player No]:[Player Name]],6,TRUE),"")</f>
        <v>Ivan Perišić</v>
      </c>
      <c r="I190" s="2" t="str">
        <f>IFERROR(VLOOKUP(Match_Record[[#This Row],[Player_No]],Squads[[Player No]:[Player Name]],2,TRUE),"")</f>
        <v>Croatia</v>
      </c>
    </row>
    <row r="191" spans="1:9" x14ac:dyDescent="0.25">
      <c r="A191" s="18">
        <v>27</v>
      </c>
      <c r="B191" s="35">
        <f>IFERROR(VLOOKUP(Match_Record[[#This Row],[Match No]],Fixtures[[#All],[Match No]:[Location]],2,TRUE),"")</f>
        <v>44892</v>
      </c>
      <c r="C191" s="2" t="str">
        <f>IFERROR(VLOOKUP(Match_Record[[#This Row],[Match No]],Fixtures[[#All],[Match No]:[Location]],5,TRUE),"")</f>
        <v>Croatia</v>
      </c>
      <c r="D191" s="2" t="str">
        <f>IFERROR(VLOOKUP(Match_Record[[#This Row],[Match No]],Fixtures[[#All],[Match No]:[Location]],8,TRUE),"")</f>
        <v>Canada</v>
      </c>
      <c r="E191" s="2" t="s">
        <v>1078</v>
      </c>
      <c r="F191" s="18">
        <v>44</v>
      </c>
      <c r="G191" s="2">
        <v>1196</v>
      </c>
      <c r="H191" s="2" t="str">
        <f>IFERROR(VLOOKUP(Match_Record[[#This Row],[Player_No]],Squads[[Player No]:[Player Name]],6,TRUE),"")</f>
        <v>Marko Livaja</v>
      </c>
      <c r="I191" s="2" t="str">
        <f>IFERROR(VLOOKUP(Match_Record[[#This Row],[Player_No]],Squads[[Player No]:[Player Name]],2,TRUE),"")</f>
        <v>Croatia</v>
      </c>
    </row>
    <row r="192" spans="1:9" x14ac:dyDescent="0.25">
      <c r="A192" s="18">
        <v>27</v>
      </c>
      <c r="B192" s="35">
        <f>IFERROR(VLOOKUP(Match_Record[[#This Row],[Match No]],Fixtures[[#All],[Match No]:[Location]],2,TRUE),"")</f>
        <v>44892</v>
      </c>
      <c r="C192" s="2" t="str">
        <f>IFERROR(VLOOKUP(Match_Record[[#This Row],[Match No]],Fixtures[[#All],[Match No]:[Location]],5,TRUE),"")</f>
        <v>Croatia</v>
      </c>
      <c r="D192" s="2" t="str">
        <f>IFERROR(VLOOKUP(Match_Record[[#This Row],[Match No]],Fixtures[[#All],[Match No]:[Location]],8,TRUE),"")</f>
        <v>Canada</v>
      </c>
      <c r="E192" s="2" t="s">
        <v>1079</v>
      </c>
      <c r="F192" s="18">
        <v>44</v>
      </c>
      <c r="G192" s="2">
        <v>1204</v>
      </c>
      <c r="H192" s="2" t="str">
        <f>IFERROR(VLOOKUP(Match_Record[[#This Row],[Player_No]],Squads[[Player No]:[Player Name]],6,TRUE),"")</f>
        <v>Josip Juranović</v>
      </c>
      <c r="I192" s="2" t="str">
        <f>IFERROR(VLOOKUP(Match_Record[[#This Row],[Player_No]],Squads[[Player No]:[Player Name]],2,TRUE),"")</f>
        <v>Croatia</v>
      </c>
    </row>
    <row r="193" spans="1:9" x14ac:dyDescent="0.25">
      <c r="A193" s="18">
        <v>27</v>
      </c>
      <c r="B193" s="35">
        <f>IFERROR(VLOOKUP(Match_Record[[#This Row],[Match No]],Fixtures[[#All],[Match No]:[Location]],2,TRUE),"")</f>
        <v>44892</v>
      </c>
      <c r="C193" s="2" t="str">
        <f>IFERROR(VLOOKUP(Match_Record[[#This Row],[Match No]],Fixtures[[#All],[Match No]:[Location]],5,TRUE),"")</f>
        <v>Croatia</v>
      </c>
      <c r="D193" s="2" t="str">
        <f>IFERROR(VLOOKUP(Match_Record[[#This Row],[Match No]],Fixtures[[#All],[Match No]:[Location]],8,TRUE),"")</f>
        <v>Canada</v>
      </c>
      <c r="E193" s="2" t="s">
        <v>1080</v>
      </c>
      <c r="F193" s="18">
        <v>56</v>
      </c>
      <c r="G193" s="2">
        <v>1188</v>
      </c>
      <c r="H193" s="2" t="str">
        <f>IFERROR(VLOOKUP(Match_Record[[#This Row],[Player_No]],Squads[[Player No]:[Player Name]],6,TRUE),"")</f>
        <v>Dejan Lovren</v>
      </c>
      <c r="I193" s="2" t="str">
        <f>IFERROR(VLOOKUP(Match_Record[[#This Row],[Player_No]],Squads[[Player No]:[Player Name]],2,TRUE),"")</f>
        <v>Croatia</v>
      </c>
    </row>
    <row r="194" spans="1:9" x14ac:dyDescent="0.25">
      <c r="A194" s="18">
        <v>27</v>
      </c>
      <c r="B194" s="35">
        <f>IFERROR(VLOOKUP(Match_Record[[#This Row],[Match No]],Fixtures[[#All],[Match No]:[Location]],2,TRUE),"")</f>
        <v>44892</v>
      </c>
      <c r="C194" s="2" t="str">
        <f>IFERROR(VLOOKUP(Match_Record[[#This Row],[Match No]],Fixtures[[#All],[Match No]:[Location]],5,TRUE),"")</f>
        <v>Croatia</v>
      </c>
      <c r="D194" s="2" t="str">
        <f>IFERROR(VLOOKUP(Match_Record[[#This Row],[Match No]],Fixtures[[#All],[Match No]:[Location]],8,TRUE),"")</f>
        <v>Canada</v>
      </c>
      <c r="E194" s="2" t="s">
        <v>1078</v>
      </c>
      <c r="F194" s="18">
        <v>70</v>
      </c>
      <c r="G194" s="2">
        <v>1191</v>
      </c>
      <c r="H194" s="2" t="str">
        <f>IFERROR(VLOOKUP(Match_Record[[#This Row],[Player_No]],Squads[[Player No]:[Player Name]],6,TRUE),"")</f>
        <v>Andrej Kramarić</v>
      </c>
      <c r="I194" s="2" t="str">
        <f>IFERROR(VLOOKUP(Match_Record[[#This Row],[Player_No]],Squads[[Player No]:[Player Name]],2,TRUE),"")</f>
        <v>Croatia</v>
      </c>
    </row>
    <row r="195" spans="1:9" x14ac:dyDescent="0.25">
      <c r="A195" s="18">
        <v>27</v>
      </c>
      <c r="B195" s="35">
        <f>IFERROR(VLOOKUP(Match_Record[[#This Row],[Match No]],Fixtures[[#All],[Match No]:[Location]],2,TRUE),"")</f>
        <v>44892</v>
      </c>
      <c r="C195" s="2" t="str">
        <f>IFERROR(VLOOKUP(Match_Record[[#This Row],[Match No]],Fixtures[[#All],[Match No]:[Location]],5,TRUE),"")</f>
        <v>Croatia</v>
      </c>
      <c r="D195" s="2" t="str">
        <f>IFERROR(VLOOKUP(Match_Record[[#This Row],[Match No]],Fixtures[[#All],[Match No]:[Location]],8,TRUE),"")</f>
        <v>Canada</v>
      </c>
      <c r="E195" s="2" t="s">
        <v>1079</v>
      </c>
      <c r="F195" s="18">
        <v>70</v>
      </c>
      <c r="G195" s="2">
        <v>1186</v>
      </c>
      <c r="H195" s="2" t="str">
        <f>IFERROR(VLOOKUP(Match_Record[[#This Row],[Player_No]],Squads[[Player No]:[Player Name]],6,TRUE),"")</f>
        <v>Ivan Perišić</v>
      </c>
      <c r="I195" s="2" t="str">
        <f>IFERROR(VLOOKUP(Match_Record[[#This Row],[Player_No]],Squads[[Player No]:[Player Name]],2,TRUE),"")</f>
        <v>Croatia</v>
      </c>
    </row>
    <row r="196" spans="1:9" x14ac:dyDescent="0.25">
      <c r="A196" s="18">
        <v>27</v>
      </c>
      <c r="B196" s="35">
        <f>IFERROR(VLOOKUP(Match_Record[[#This Row],[Match No]],Fixtures[[#All],[Match No]:[Location]],2,TRUE),"")</f>
        <v>44892</v>
      </c>
      <c r="C196" s="2" t="str">
        <f>IFERROR(VLOOKUP(Match_Record[[#This Row],[Match No]],Fixtures[[#All],[Match No]:[Location]],5,TRUE),"")</f>
        <v>Croatia</v>
      </c>
      <c r="D196" s="2" t="str">
        <f>IFERROR(VLOOKUP(Match_Record[[#This Row],[Match No]],Fixtures[[#All],[Match No]:[Location]],8,TRUE),"")</f>
        <v>Canada</v>
      </c>
      <c r="E196" s="2" t="s">
        <v>1080</v>
      </c>
      <c r="F196" s="18">
        <v>85</v>
      </c>
      <c r="G196" s="2">
        <v>1192</v>
      </c>
      <c r="H196" s="2" t="str">
        <f>IFERROR(VLOOKUP(Match_Record[[#This Row],[Player_No]],Squads[[Player No]:[Player Name]],6,TRUE),"")</f>
        <v>Luka Modrić </v>
      </c>
      <c r="I196" s="2" t="str">
        <f>IFERROR(VLOOKUP(Match_Record[[#This Row],[Player_No]],Squads[[Player No]:[Player Name]],2,TRUE),"")</f>
        <v>Croatia</v>
      </c>
    </row>
    <row r="197" spans="1:9" x14ac:dyDescent="0.25">
      <c r="A197" s="18">
        <v>27</v>
      </c>
      <c r="B197" s="35">
        <f>IFERROR(VLOOKUP(Match_Record[[#This Row],[Match No]],Fixtures[[#All],[Match No]:[Location]],2,TRUE),"")</f>
        <v>44892</v>
      </c>
      <c r="C197" s="2" t="str">
        <f>IFERROR(VLOOKUP(Match_Record[[#This Row],[Match No]],Fixtures[[#All],[Match No]:[Location]],5,TRUE),"")</f>
        <v>Croatia</v>
      </c>
      <c r="D197" s="2" t="str">
        <f>IFERROR(VLOOKUP(Match_Record[[#This Row],[Match No]],Fixtures[[#All],[Match No]:[Location]],8,TRUE),"")</f>
        <v>Canada</v>
      </c>
      <c r="E197" s="2" t="s">
        <v>1078</v>
      </c>
      <c r="F197" s="18">
        <v>94</v>
      </c>
      <c r="G197" s="2">
        <v>1189</v>
      </c>
      <c r="H197" s="2" t="str">
        <f>IFERROR(VLOOKUP(Match_Record[[#This Row],[Player_No]],Squads[[Player No]:[Player Name]],6,TRUE),"")</f>
        <v>Lovro Majer</v>
      </c>
      <c r="I197" s="2" t="str">
        <f>IFERROR(VLOOKUP(Match_Record[[#This Row],[Player_No]],Squads[[Player No]:[Player Name]],2,TRUE),"")</f>
        <v>Croatia</v>
      </c>
    </row>
    <row r="198" spans="1:9" x14ac:dyDescent="0.25">
      <c r="A198" s="18">
        <v>27</v>
      </c>
      <c r="B198" s="35">
        <f>IFERROR(VLOOKUP(Match_Record[[#This Row],[Match No]],Fixtures[[#All],[Match No]:[Location]],2,TRUE),"")</f>
        <v>44892</v>
      </c>
      <c r="C198" s="2" t="str">
        <f>IFERROR(VLOOKUP(Match_Record[[#This Row],[Match No]],Fixtures[[#All],[Match No]:[Location]],5,TRUE),"")</f>
        <v>Croatia</v>
      </c>
      <c r="D198" s="2" t="str">
        <f>IFERROR(VLOOKUP(Match_Record[[#This Row],[Match No]],Fixtures[[#All],[Match No]:[Location]],8,TRUE),"")</f>
        <v>Canada</v>
      </c>
      <c r="E198" s="2" t="s">
        <v>1079</v>
      </c>
      <c r="F198" s="18">
        <v>94</v>
      </c>
      <c r="G198" s="2">
        <v>1200</v>
      </c>
      <c r="H198" s="2" t="str">
        <f>IFERROR(VLOOKUP(Match_Record[[#This Row],[Player_No]],Squads[[Player No]:[Player Name]],6,TRUE),"")</f>
        <v>Mislav Oršić</v>
      </c>
      <c r="I198" s="2" t="str">
        <f>IFERROR(VLOOKUP(Match_Record[[#This Row],[Player_No]],Squads[[Player No]:[Player Name]],2,TRUE),"")</f>
        <v>Croatia</v>
      </c>
    </row>
    <row r="199" spans="1:9" x14ac:dyDescent="0.25">
      <c r="A199" s="18">
        <v>27</v>
      </c>
      <c r="B199" s="35">
        <f>IFERROR(VLOOKUP(Match_Record[[#This Row],[Match No]],Fixtures[[#All],[Match No]:[Location]],2,TRUE),"")</f>
        <v>44892</v>
      </c>
      <c r="C199" s="2" t="str">
        <f>IFERROR(VLOOKUP(Match_Record[[#This Row],[Match No]],Fixtures[[#All],[Match No]:[Location]],5,TRUE),"")</f>
        <v>Croatia</v>
      </c>
      <c r="D199" s="2" t="str">
        <f>IFERROR(VLOOKUP(Match_Record[[#This Row],[Match No]],Fixtures[[#All],[Match No]:[Location]],8,TRUE),"")</f>
        <v>Canada</v>
      </c>
      <c r="E199" s="2" t="s">
        <v>1078</v>
      </c>
      <c r="F199" s="18">
        <v>2</v>
      </c>
      <c r="G199" s="2">
        <v>1149</v>
      </c>
      <c r="H199" s="2" t="str">
        <f>IFERROR(VLOOKUP(Match_Record[[#This Row],[Player_No]],Squads[[Player No]:[Player Name]],6,TRUE),"")</f>
        <v>Alphonso Davies</v>
      </c>
      <c r="I199" s="2" t="str">
        <f>IFERROR(VLOOKUP(Match_Record[[#This Row],[Player_No]],Squads[[Player No]:[Player Name]],2,TRUE),"")</f>
        <v>Canada</v>
      </c>
    </row>
    <row r="200" spans="1:9" x14ac:dyDescent="0.25">
      <c r="A200" s="18">
        <v>27</v>
      </c>
      <c r="B200" s="35">
        <f>IFERROR(VLOOKUP(Match_Record[[#This Row],[Match No]],Fixtures[[#All],[Match No]:[Location]],2,TRUE),"")</f>
        <v>44892</v>
      </c>
      <c r="C200" s="2" t="str">
        <f>IFERROR(VLOOKUP(Match_Record[[#This Row],[Match No]],Fixtures[[#All],[Match No]:[Location]],5,TRUE),"")</f>
        <v>Croatia</v>
      </c>
      <c r="D200" s="2" t="str">
        <f>IFERROR(VLOOKUP(Match_Record[[#This Row],[Match No]],Fixtures[[#All],[Match No]:[Location]],8,TRUE),"")</f>
        <v>Canada</v>
      </c>
      <c r="E200" s="2" t="s">
        <v>1079</v>
      </c>
      <c r="F200" s="18">
        <v>2</v>
      </c>
      <c r="G200" s="2">
        <v>1141</v>
      </c>
      <c r="H200" s="2" t="str">
        <f>IFERROR(VLOOKUP(Match_Record[[#This Row],[Player_No]],Squads[[Player No]:[Player Name]],6,TRUE),"")</f>
        <v>Tajon Buchanan</v>
      </c>
      <c r="I200" s="2" t="str">
        <f>IFERROR(VLOOKUP(Match_Record[[#This Row],[Player_No]],Squads[[Player No]:[Player Name]],2,TRUE),"")</f>
        <v>Canada</v>
      </c>
    </row>
    <row r="201" spans="1:9" x14ac:dyDescent="0.25">
      <c r="A201" s="18">
        <v>27</v>
      </c>
      <c r="B201" s="35">
        <f>IFERROR(VLOOKUP(Match_Record[[#This Row],[Match No]],Fixtures[[#All],[Match No]:[Location]],2,TRUE),"")</f>
        <v>44892</v>
      </c>
      <c r="C201" s="2" t="str">
        <f>IFERROR(VLOOKUP(Match_Record[[#This Row],[Match No]],Fixtures[[#All],[Match No]:[Location]],5,TRUE),"")</f>
        <v>Croatia</v>
      </c>
      <c r="D201" s="2" t="str">
        <f>IFERROR(VLOOKUP(Match_Record[[#This Row],[Match No]],Fixtures[[#All],[Match No]:[Location]],8,TRUE),"")</f>
        <v>Canada</v>
      </c>
      <c r="E201" s="2" t="s">
        <v>1080</v>
      </c>
      <c r="F201" s="18">
        <v>52</v>
      </c>
      <c r="G201" s="2">
        <v>1141</v>
      </c>
      <c r="H201" s="2" t="str">
        <f>IFERROR(VLOOKUP(Match_Record[[#This Row],[Player_No]],Squads[[Player No]:[Player Name]],6,TRUE),"")</f>
        <v>Tajon Buchanan</v>
      </c>
      <c r="I201" s="2" t="str">
        <f>IFERROR(VLOOKUP(Match_Record[[#This Row],[Player_No]],Squads[[Player No]:[Player Name]],2,TRUE),"")</f>
        <v>Canada</v>
      </c>
    </row>
    <row r="202" spans="1:9" x14ac:dyDescent="0.25">
      <c r="A202" s="18">
        <v>27</v>
      </c>
      <c r="B202" s="35">
        <f>IFERROR(VLOOKUP(Match_Record[[#This Row],[Match No]],Fixtures[[#All],[Match No]:[Location]],2,TRUE),"")</f>
        <v>44892</v>
      </c>
      <c r="C202" s="2" t="str">
        <f>IFERROR(VLOOKUP(Match_Record[[#This Row],[Match No]],Fixtures[[#All],[Match No]:[Location]],5,TRUE),"")</f>
        <v>Croatia</v>
      </c>
      <c r="D202" s="2" t="str">
        <f>IFERROR(VLOOKUP(Match_Record[[#This Row],[Match No]],Fixtures[[#All],[Match No]:[Location]],8,TRUE),"")</f>
        <v>Canada</v>
      </c>
      <c r="E202" s="2" t="s">
        <v>1080</v>
      </c>
      <c r="F202" s="18">
        <v>85</v>
      </c>
      <c r="G202" s="2">
        <v>1134</v>
      </c>
      <c r="H202" s="2" t="str">
        <f>IFERROR(VLOOKUP(Match_Record[[#This Row],[Player_No]],Squads[[Player No]:[Player Name]],6,TRUE),"")</f>
        <v>Kamal Miller</v>
      </c>
      <c r="I202" s="2" t="str">
        <f>IFERROR(VLOOKUP(Match_Record[[#This Row],[Player_No]],Squads[[Player No]:[Player Name]],2,TRUE),"")</f>
        <v>Canada</v>
      </c>
    </row>
    <row r="203" spans="1:9" x14ac:dyDescent="0.25">
      <c r="A203" s="18">
        <v>28</v>
      </c>
      <c r="B203" s="35">
        <f>IFERROR(VLOOKUP(Match_Record[[#This Row],[Match No]],Fixtures[[#All],[Match No]:[Location]],2,TRUE),"")</f>
        <v>44892</v>
      </c>
      <c r="C203" s="2" t="str">
        <f>IFERROR(VLOOKUP(Match_Record[[#This Row],[Match No]],Fixtures[[#All],[Match No]:[Location]],5,TRUE),"")</f>
        <v>Spain</v>
      </c>
      <c r="D203" s="2" t="str">
        <f>IFERROR(VLOOKUP(Match_Record[[#This Row],[Match No]],Fixtures[[#All],[Match No]:[Location]],8,TRUE),"")</f>
        <v>Germany</v>
      </c>
      <c r="E203" s="2" t="s">
        <v>1080</v>
      </c>
      <c r="F203" s="18">
        <v>44</v>
      </c>
      <c r="G203" s="2">
        <v>1679</v>
      </c>
      <c r="H203" s="2" t="str">
        <f>IFERROR(VLOOKUP(Match_Record[[#This Row],[Player_No]],Squads[[Player No]:[Player Name]],6,TRUE),"")</f>
        <v>Sergio Busquets </v>
      </c>
      <c r="I203" s="2" t="str">
        <f>IFERROR(VLOOKUP(Match_Record[[#This Row],[Player_No]],Squads[[Player No]:[Player Name]],2,TRUE),"")</f>
        <v>Spain</v>
      </c>
    </row>
    <row r="204" spans="1:9" x14ac:dyDescent="0.25">
      <c r="A204" s="18">
        <v>28</v>
      </c>
      <c r="B204" s="35">
        <f>IFERROR(VLOOKUP(Match_Record[[#This Row],[Match No]],Fixtures[[#All],[Match No]:[Location]],2,TRUE),"")</f>
        <v>44892</v>
      </c>
      <c r="C204" s="2" t="str">
        <f>IFERROR(VLOOKUP(Match_Record[[#This Row],[Match No]],Fixtures[[#All],[Match No]:[Location]],5,TRUE),"")</f>
        <v>Spain</v>
      </c>
      <c r="D204" s="2" t="str">
        <f>IFERROR(VLOOKUP(Match_Record[[#This Row],[Match No]],Fixtures[[#All],[Match No]:[Location]],8,TRUE),"")</f>
        <v>Germany</v>
      </c>
      <c r="E204" s="2" t="s">
        <v>1078</v>
      </c>
      <c r="F204" s="18">
        <v>62</v>
      </c>
      <c r="G204" s="2">
        <v>1681</v>
      </c>
      <c r="H204" s="2" t="str">
        <f>IFERROR(VLOOKUP(Match_Record[[#This Row],[Player_No]],Squads[[Player No]:[Player Name]],6,TRUE),"")</f>
        <v>Álvaro Morata</v>
      </c>
      <c r="I204" s="2" t="str">
        <f>IFERROR(VLOOKUP(Match_Record[[#This Row],[Player_No]],Squads[[Player No]:[Player Name]],2,TRUE),"")</f>
        <v>Spain</v>
      </c>
    </row>
    <row r="205" spans="1:9" x14ac:dyDescent="0.25">
      <c r="A205" s="18">
        <v>28</v>
      </c>
      <c r="B205" s="35">
        <f>IFERROR(VLOOKUP(Match_Record[[#This Row],[Match No]],Fixtures[[#All],[Match No]:[Location]],2,TRUE),"")</f>
        <v>44892</v>
      </c>
      <c r="C205" s="2" t="str">
        <f>IFERROR(VLOOKUP(Match_Record[[#This Row],[Match No]],Fixtures[[#All],[Match No]:[Location]],5,TRUE),"")</f>
        <v>Spain</v>
      </c>
      <c r="D205" s="2" t="str">
        <f>IFERROR(VLOOKUP(Match_Record[[#This Row],[Match No]],Fixtures[[#All],[Match No]:[Location]],8,TRUE),"")</f>
        <v>Germany</v>
      </c>
      <c r="E205" s="2" t="s">
        <v>1079</v>
      </c>
      <c r="F205" s="18">
        <v>62</v>
      </c>
      <c r="G205" s="2">
        <v>1685</v>
      </c>
      <c r="H205" s="2" t="str">
        <f>IFERROR(VLOOKUP(Match_Record[[#This Row],[Player_No]],Squads[[Player No]:[Player Name]],6,TRUE),"")</f>
        <v>Ferran Torres</v>
      </c>
      <c r="I205" s="2" t="str">
        <f>IFERROR(VLOOKUP(Match_Record[[#This Row],[Player_No]],Squads[[Player No]:[Player Name]],2,TRUE),"")</f>
        <v>Spain</v>
      </c>
    </row>
    <row r="206" spans="1:9" x14ac:dyDescent="0.25">
      <c r="A206" s="18">
        <v>28</v>
      </c>
      <c r="B206" s="35">
        <f>IFERROR(VLOOKUP(Match_Record[[#This Row],[Match No]],Fixtures[[#All],[Match No]:[Location]],2,TRUE),"")</f>
        <v>44892</v>
      </c>
      <c r="C206" s="2" t="str">
        <f>IFERROR(VLOOKUP(Match_Record[[#This Row],[Match No]],Fixtures[[#All],[Match No]:[Location]],5,TRUE),"")</f>
        <v>Spain</v>
      </c>
      <c r="D206" s="2" t="str">
        <f>IFERROR(VLOOKUP(Match_Record[[#This Row],[Match No]],Fixtures[[#All],[Match No]:[Location]],8,TRUE),"")</f>
        <v>Germany</v>
      </c>
      <c r="E206" s="2" t="s">
        <v>1080</v>
      </c>
      <c r="F206" s="18">
        <v>37</v>
      </c>
      <c r="G206" s="2">
        <v>1317</v>
      </c>
      <c r="H206" s="2" t="str">
        <f>IFERROR(VLOOKUP(Match_Record[[#This Row],[Player_No]],Squads[[Player No]:[Player Name]],6,TRUE),"")</f>
        <v>Thilo Kehrer</v>
      </c>
      <c r="I206" s="2" t="str">
        <f>IFERROR(VLOOKUP(Match_Record[[#This Row],[Player_No]],Squads[[Player No]:[Player Name]],2,TRUE),"")</f>
        <v>Germany</v>
      </c>
    </row>
    <row r="207" spans="1:9" x14ac:dyDescent="0.25">
      <c r="A207" s="18">
        <v>28</v>
      </c>
      <c r="B207" s="35">
        <f>IFERROR(VLOOKUP(Match_Record[[#This Row],[Match No]],Fixtures[[#All],[Match No]:[Location]],2,TRUE),"")</f>
        <v>44892</v>
      </c>
      <c r="C207" s="2" t="str">
        <f>IFERROR(VLOOKUP(Match_Record[[#This Row],[Match No]],Fixtures[[#All],[Match No]:[Location]],5,TRUE),"")</f>
        <v>Spain</v>
      </c>
      <c r="D207" s="2" t="str">
        <f>IFERROR(VLOOKUP(Match_Record[[#This Row],[Match No]],Fixtures[[#All],[Match No]:[Location]],8,TRUE),"")</f>
        <v>Germany</v>
      </c>
      <c r="E207" s="2" t="s">
        <v>1080</v>
      </c>
      <c r="F207" s="18">
        <v>58</v>
      </c>
      <c r="G207" s="2">
        <v>1320</v>
      </c>
      <c r="H207" s="2" t="str">
        <f>IFERROR(VLOOKUP(Match_Record[[#This Row],[Player_No]],Squads[[Player No]:[Player Name]],6,TRUE),"")</f>
        <v>Leon Goretzka</v>
      </c>
      <c r="I207" s="2" t="str">
        <f>IFERROR(VLOOKUP(Match_Record[[#This Row],[Player_No]],Squads[[Player No]:[Player Name]],2,TRUE),"")</f>
        <v>Germany</v>
      </c>
    </row>
    <row r="208" spans="1:9" x14ac:dyDescent="0.25">
      <c r="A208" s="18">
        <v>28</v>
      </c>
      <c r="B208" s="35">
        <f>IFERROR(VLOOKUP(Match_Record[[#This Row],[Match No]],Fixtures[[#All],[Match No]:[Location]],2,TRUE),"")</f>
        <v>44892</v>
      </c>
      <c r="C208" s="2" t="str">
        <f>IFERROR(VLOOKUP(Match_Record[[#This Row],[Match No]],Fixtures[[#All],[Match No]:[Location]],5,TRUE),"")</f>
        <v>Spain</v>
      </c>
      <c r="D208" s="2" t="str">
        <f>IFERROR(VLOOKUP(Match_Record[[#This Row],[Match No]],Fixtures[[#All],[Match No]:[Location]],8,TRUE),"")</f>
        <v>Germany</v>
      </c>
      <c r="E208" s="2" t="s">
        <v>1080</v>
      </c>
      <c r="F208" s="18">
        <v>60</v>
      </c>
      <c r="G208" s="2">
        <v>1318</v>
      </c>
      <c r="H208" s="2" t="str">
        <f>IFERROR(VLOOKUP(Match_Record[[#This Row],[Player_No]],Squads[[Player No]:[Player Name]],6,TRUE),"")</f>
        <v>Joshua Kimmich</v>
      </c>
      <c r="I208" s="2" t="str">
        <f>IFERROR(VLOOKUP(Match_Record[[#This Row],[Player_No]],Squads[[Player No]:[Player Name]],2,TRUE),"")</f>
        <v>Germany</v>
      </c>
    </row>
    <row r="209" spans="1:9" x14ac:dyDescent="0.25">
      <c r="A209" s="18">
        <v>28</v>
      </c>
      <c r="B209" s="35">
        <f>IFERROR(VLOOKUP(Match_Record[[#This Row],[Match No]],Fixtures[[#All],[Match No]:[Location]],2,TRUE),"")</f>
        <v>44892</v>
      </c>
      <c r="C209" s="2" t="str">
        <f>IFERROR(VLOOKUP(Match_Record[[#This Row],[Match No]],Fixtures[[#All],[Match No]:[Location]],5,TRUE),"")</f>
        <v>Spain</v>
      </c>
      <c r="D209" s="2" t="str">
        <f>IFERROR(VLOOKUP(Match_Record[[#This Row],[Match No]],Fixtures[[#All],[Match No]:[Location]],8,TRUE),"")</f>
        <v>Germany</v>
      </c>
      <c r="E209" s="2" t="s">
        <v>1078</v>
      </c>
      <c r="F209" s="18">
        <v>83</v>
      </c>
      <c r="G209" s="2">
        <v>1321</v>
      </c>
      <c r="H209" s="2" t="str">
        <f>IFERROR(VLOOKUP(Match_Record[[#This Row],[Player_No]],Squads[[Player No]:[Player Name]],6,TRUE),"")</f>
        <v>Niclas Füllkrug</v>
      </c>
      <c r="I209" s="2" t="str">
        <f>IFERROR(VLOOKUP(Match_Record[[#This Row],[Player_No]],Squads[[Player No]:[Player Name]],2,TRUE),"")</f>
        <v>Germany</v>
      </c>
    </row>
    <row r="210" spans="1:9" x14ac:dyDescent="0.25">
      <c r="A210" s="18">
        <v>28</v>
      </c>
      <c r="B210" s="35">
        <f>IFERROR(VLOOKUP(Match_Record[[#This Row],[Match No]],Fixtures[[#All],[Match No]:[Location]],2,TRUE),"")</f>
        <v>44892</v>
      </c>
      <c r="C210" s="2" t="str">
        <f>IFERROR(VLOOKUP(Match_Record[[#This Row],[Match No]],Fixtures[[#All],[Match No]:[Location]],5,TRUE),"")</f>
        <v>Spain</v>
      </c>
      <c r="D210" s="2" t="str">
        <f>IFERROR(VLOOKUP(Match_Record[[#This Row],[Match No]],Fixtures[[#All],[Match No]:[Location]],8,TRUE),"")</f>
        <v>Germany</v>
      </c>
      <c r="E210" s="2" t="s">
        <v>1079</v>
      </c>
      <c r="F210" s="18">
        <v>83</v>
      </c>
      <c r="G210" s="2">
        <v>1326</v>
      </c>
      <c r="H210" s="2" t="str">
        <f>IFERROR(VLOOKUP(Match_Record[[#This Row],[Player_No]],Squads[[Player No]:[Player Name]],6,TRUE),"")</f>
        <v>Jamal Musiala</v>
      </c>
      <c r="I210" s="2" t="str">
        <f>IFERROR(VLOOKUP(Match_Record[[#This Row],[Player_No]],Squads[[Player No]:[Player Name]],2,TRUE),"")</f>
        <v>Germany</v>
      </c>
    </row>
    <row r="211" spans="1:9" x14ac:dyDescent="0.25">
      <c r="A211" s="18">
        <v>29</v>
      </c>
      <c r="B211" s="35">
        <f>IFERROR(VLOOKUP(Match_Record[[#This Row],[Match No]],Fixtures[[#All],[Match No]:[Location]],2,TRUE),"")</f>
        <v>44893</v>
      </c>
      <c r="C211" s="2" t="str">
        <f>IFERROR(VLOOKUP(Match_Record[[#This Row],[Match No]],Fixtures[[#All],[Match No]:[Location]],5,TRUE),"")</f>
        <v>Cameroon</v>
      </c>
      <c r="D211" s="2" t="str">
        <f>IFERROR(VLOOKUP(Match_Record[[#This Row],[Match No]],Fixtures[[#All],[Match No]:[Location]],8,TRUE),"")</f>
        <v>Serbia</v>
      </c>
      <c r="E211" s="2" t="s">
        <v>1080</v>
      </c>
      <c r="F211" s="18">
        <v>24</v>
      </c>
      <c r="G211" s="2">
        <v>1107</v>
      </c>
      <c r="H211" s="2" t="str">
        <f>IFERROR(VLOOKUP(Match_Record[[#This Row],[Player_No]],Squads[[Player No]:[Player Name]],6,TRUE),"")</f>
        <v>Nicolas Nkoulou</v>
      </c>
      <c r="I211" s="2" t="str">
        <f>IFERROR(VLOOKUP(Match_Record[[#This Row],[Player_No]],Squads[[Player No]:[Player Name]],2,TRUE),"")</f>
        <v>Cameroon</v>
      </c>
    </row>
    <row r="212" spans="1:9" x14ac:dyDescent="0.25">
      <c r="A212" s="18">
        <v>29</v>
      </c>
      <c r="B212" s="35">
        <f>IFERROR(VLOOKUP(Match_Record[[#This Row],[Match No]],Fixtures[[#All],[Match No]:[Location]],2,TRUE),"")</f>
        <v>44893</v>
      </c>
      <c r="C212" s="2" t="str">
        <f>IFERROR(VLOOKUP(Match_Record[[#This Row],[Match No]],Fixtures[[#All],[Match No]:[Location]],5,TRUE),"")</f>
        <v>Cameroon</v>
      </c>
      <c r="D212" s="2" t="str">
        <f>IFERROR(VLOOKUP(Match_Record[[#This Row],[Match No]],Fixtures[[#All],[Match No]:[Location]],8,TRUE),"")</f>
        <v>Serbia</v>
      </c>
      <c r="E212" s="2" t="s">
        <v>1078</v>
      </c>
      <c r="F212" s="18">
        <v>29</v>
      </c>
      <c r="G212" s="2">
        <v>1125</v>
      </c>
      <c r="H212" s="2" t="str">
        <f>IFERROR(VLOOKUP(Match_Record[[#This Row],[Player_No]],Squads[[Player No]:[Player Name]],6,TRUE),"")</f>
        <v>Jean-Charles Castelletto</v>
      </c>
      <c r="I212" s="2" t="str">
        <f>IFERROR(VLOOKUP(Match_Record[[#This Row],[Player_No]],Squads[[Player No]:[Player Name]],2,TRUE),"")</f>
        <v>Cameroon</v>
      </c>
    </row>
    <row r="213" spans="1:9" x14ac:dyDescent="0.25">
      <c r="A213" s="18">
        <v>29</v>
      </c>
      <c r="B213" s="35">
        <f>IFERROR(VLOOKUP(Match_Record[[#This Row],[Match No]],Fixtures[[#All],[Match No]:[Location]],2,TRUE),"")</f>
        <v>44893</v>
      </c>
      <c r="C213" s="2" t="str">
        <f>IFERROR(VLOOKUP(Match_Record[[#This Row],[Match No]],Fixtures[[#All],[Match No]:[Location]],5,TRUE),"")</f>
        <v>Cameroon</v>
      </c>
      <c r="D213" s="2" t="str">
        <f>IFERROR(VLOOKUP(Match_Record[[#This Row],[Match No]],Fixtures[[#All],[Match No]:[Location]],8,TRUE),"")</f>
        <v>Serbia</v>
      </c>
      <c r="E213" s="2" t="s">
        <v>1079</v>
      </c>
      <c r="F213" s="18">
        <v>29</v>
      </c>
      <c r="G213" s="2">
        <v>1107</v>
      </c>
      <c r="H213" s="2" t="str">
        <f>IFERROR(VLOOKUP(Match_Record[[#This Row],[Player_No]],Squads[[Player No]:[Player Name]],6,TRUE),"")</f>
        <v>Nicolas Nkoulou</v>
      </c>
      <c r="I213" s="2" t="str">
        <f>IFERROR(VLOOKUP(Match_Record[[#This Row],[Player_No]],Squads[[Player No]:[Player Name]],2,TRUE),"")</f>
        <v>Cameroon</v>
      </c>
    </row>
    <row r="214" spans="1:9" x14ac:dyDescent="0.25">
      <c r="A214" s="18">
        <v>29</v>
      </c>
      <c r="B214" s="35">
        <f>IFERROR(VLOOKUP(Match_Record[[#This Row],[Match No]],Fixtures[[#All],[Match No]:[Location]],2,TRUE),"")</f>
        <v>44893</v>
      </c>
      <c r="C214" s="2" t="str">
        <f>IFERROR(VLOOKUP(Match_Record[[#This Row],[Match No]],Fixtures[[#All],[Match No]:[Location]],5,TRUE),"")</f>
        <v>Cameroon</v>
      </c>
      <c r="D214" s="2" t="str">
        <f>IFERROR(VLOOKUP(Match_Record[[#This Row],[Match No]],Fixtures[[#All],[Match No]:[Location]],8,TRUE),"")</f>
        <v>Serbia</v>
      </c>
      <c r="E214" s="2" t="s">
        <v>1080</v>
      </c>
      <c r="F214" s="18">
        <v>30</v>
      </c>
      <c r="G214" s="2">
        <v>1115</v>
      </c>
      <c r="H214" s="2" t="str">
        <f>IFERROR(VLOOKUP(Match_Record[[#This Row],[Player_No]],Squads[[Player No]:[Player Name]],6,TRUE),"")</f>
        <v>Christian Bassogog</v>
      </c>
      <c r="I214" s="2" t="str">
        <f>IFERROR(VLOOKUP(Match_Record[[#This Row],[Player_No]],Squads[[Player No]:[Player Name]],2,TRUE),"")</f>
        <v>Cameroon</v>
      </c>
    </row>
    <row r="215" spans="1:9" x14ac:dyDescent="0.25">
      <c r="A215" s="18">
        <v>29</v>
      </c>
      <c r="B215" s="35">
        <f>IFERROR(VLOOKUP(Match_Record[[#This Row],[Match No]],Fixtures[[#All],[Match No]:[Location]],2,TRUE),"")</f>
        <v>44893</v>
      </c>
      <c r="C215" s="2" t="str">
        <f>IFERROR(VLOOKUP(Match_Record[[#This Row],[Match No]],Fixtures[[#All],[Match No]:[Location]],5,TRUE),"")</f>
        <v>Cameroon</v>
      </c>
      <c r="D215" s="2" t="str">
        <f>IFERROR(VLOOKUP(Match_Record[[#This Row],[Match No]],Fixtures[[#All],[Match No]:[Location]],8,TRUE),"")</f>
        <v>Serbia</v>
      </c>
      <c r="E215" s="2" t="s">
        <v>1078</v>
      </c>
      <c r="F215" s="18">
        <v>63</v>
      </c>
      <c r="G215" s="2">
        <v>1114</v>
      </c>
      <c r="H215" s="2" t="str">
        <f>IFERROR(VLOOKUP(Match_Record[[#This Row],[Player_No]],Squads[[Player No]:[Player Name]],6,TRUE),"")</f>
        <v>Vincent Aboubakar </v>
      </c>
      <c r="I215" s="2" t="str">
        <f>IFERROR(VLOOKUP(Match_Record[[#This Row],[Player_No]],Squads[[Player No]:[Player Name]],2,TRUE),"")</f>
        <v>Cameroon</v>
      </c>
    </row>
    <row r="216" spans="1:9" x14ac:dyDescent="0.25">
      <c r="A216" s="18">
        <v>29</v>
      </c>
      <c r="B216" s="35">
        <f>IFERROR(VLOOKUP(Match_Record[[#This Row],[Match No]],Fixtures[[#All],[Match No]:[Location]],2,TRUE),"")</f>
        <v>44893</v>
      </c>
      <c r="C216" s="2" t="str">
        <f>IFERROR(VLOOKUP(Match_Record[[#This Row],[Match No]],Fixtures[[#All],[Match No]:[Location]],5,TRUE),"")</f>
        <v>Cameroon</v>
      </c>
      <c r="D216" s="2" t="str">
        <f>IFERROR(VLOOKUP(Match_Record[[#This Row],[Match No]],Fixtures[[#All],[Match No]:[Location]],8,TRUE),"")</f>
        <v>Serbia</v>
      </c>
      <c r="E216" s="2" t="s">
        <v>1079</v>
      </c>
      <c r="F216" s="18">
        <v>63</v>
      </c>
      <c r="G216" s="2">
        <v>1125</v>
      </c>
      <c r="H216" s="2" t="str">
        <f>IFERROR(VLOOKUP(Match_Record[[#This Row],[Player_No]],Squads[[Player No]:[Player Name]],6,TRUE),"")</f>
        <v>Jean-Charles Castelletto</v>
      </c>
      <c r="I216" s="2" t="str">
        <f>IFERROR(VLOOKUP(Match_Record[[#This Row],[Player_No]],Squads[[Player No]:[Player Name]],2,TRUE),"")</f>
        <v>Cameroon</v>
      </c>
    </row>
    <row r="217" spans="1:9" x14ac:dyDescent="0.25">
      <c r="A217" s="18">
        <v>29</v>
      </c>
      <c r="B217" s="35">
        <f>IFERROR(VLOOKUP(Match_Record[[#This Row],[Match No]],Fixtures[[#All],[Match No]:[Location]],2,TRUE),"")</f>
        <v>44893</v>
      </c>
      <c r="C217" s="2" t="str">
        <f>IFERROR(VLOOKUP(Match_Record[[#This Row],[Match No]],Fixtures[[#All],[Match No]:[Location]],5,TRUE),"")</f>
        <v>Cameroon</v>
      </c>
      <c r="D217" s="2" t="str">
        <f>IFERROR(VLOOKUP(Match_Record[[#This Row],[Match No]],Fixtures[[#All],[Match No]:[Location]],8,TRUE),"")</f>
        <v>Serbia</v>
      </c>
      <c r="E217" s="2" t="s">
        <v>1078</v>
      </c>
      <c r="F217" s="18">
        <v>66</v>
      </c>
      <c r="G217" s="2">
        <v>1117</v>
      </c>
      <c r="H217" s="2" t="str">
        <f>IFERROR(VLOOKUP(Match_Record[[#This Row],[Player_No]],Squads[[Player No]:[Player Name]],6,TRUE),"")</f>
        <v>Eric Maxim Choupo-Moting</v>
      </c>
      <c r="I217" s="2" t="str">
        <f>IFERROR(VLOOKUP(Match_Record[[#This Row],[Player_No]],Squads[[Player No]:[Player Name]],2,TRUE),"")</f>
        <v>Cameroon</v>
      </c>
    </row>
    <row r="218" spans="1:9" x14ac:dyDescent="0.25">
      <c r="A218" s="18">
        <v>29</v>
      </c>
      <c r="B218" s="35">
        <f>IFERROR(VLOOKUP(Match_Record[[#This Row],[Match No]],Fixtures[[#All],[Match No]:[Location]],2,TRUE),"")</f>
        <v>44893</v>
      </c>
      <c r="C218" s="2" t="str">
        <f>IFERROR(VLOOKUP(Match_Record[[#This Row],[Match No]],Fixtures[[#All],[Match No]:[Location]],5,TRUE),"")</f>
        <v>Cameroon</v>
      </c>
      <c r="D218" s="2" t="str">
        <f>IFERROR(VLOOKUP(Match_Record[[#This Row],[Match No]],Fixtures[[#All],[Match No]:[Location]],8,TRUE),"")</f>
        <v>Serbia</v>
      </c>
      <c r="E218" s="2" t="s">
        <v>1079</v>
      </c>
      <c r="F218" s="18">
        <v>66</v>
      </c>
      <c r="G218" s="2">
        <v>1114</v>
      </c>
      <c r="H218" s="2" t="str">
        <f>IFERROR(VLOOKUP(Match_Record[[#This Row],[Player_No]],Squads[[Player No]:[Player Name]],6,TRUE),"")</f>
        <v>Vincent Aboubakar </v>
      </c>
      <c r="I218" s="2" t="str">
        <f>IFERROR(VLOOKUP(Match_Record[[#This Row],[Player_No]],Squads[[Player No]:[Player Name]],2,TRUE),"")</f>
        <v>Cameroon</v>
      </c>
    </row>
    <row r="219" spans="1:9" x14ac:dyDescent="0.25">
      <c r="A219" s="18">
        <v>29</v>
      </c>
      <c r="B219" s="35">
        <f>IFERROR(VLOOKUP(Match_Record[[#This Row],[Match No]],Fixtures[[#All],[Match No]:[Location]],2,TRUE),"")</f>
        <v>44893</v>
      </c>
      <c r="C219" s="2" t="str">
        <f>IFERROR(VLOOKUP(Match_Record[[#This Row],[Match No]],Fixtures[[#All],[Match No]:[Location]],5,TRUE),"")</f>
        <v>Cameroon</v>
      </c>
      <c r="D219" s="2" t="str">
        <f>IFERROR(VLOOKUP(Match_Record[[#This Row],[Match No]],Fixtures[[#All],[Match No]:[Location]],8,TRUE),"")</f>
        <v>Serbia</v>
      </c>
      <c r="E219" s="2" t="s">
        <v>1078</v>
      </c>
      <c r="F219" s="18">
        <v>45</v>
      </c>
      <c r="G219" s="2">
        <v>1650</v>
      </c>
      <c r="H219" s="2" t="str">
        <f>IFERROR(VLOOKUP(Match_Record[[#This Row],[Player_No]],Squads[[Player No]:[Player Name]],6,TRUE),"")</f>
        <v>Strahinja Pavlović</v>
      </c>
      <c r="I219" s="2" t="str">
        <f>IFERROR(VLOOKUP(Match_Record[[#This Row],[Player_No]],Squads[[Player No]:[Player Name]],2,TRUE),"")</f>
        <v>Serbia</v>
      </c>
    </row>
    <row r="220" spans="1:9" x14ac:dyDescent="0.25">
      <c r="A220" s="18">
        <v>29</v>
      </c>
      <c r="B220" s="35">
        <f>IFERROR(VLOOKUP(Match_Record[[#This Row],[Match No]],Fixtures[[#All],[Match No]:[Location]],2,TRUE),"")</f>
        <v>44893</v>
      </c>
      <c r="C220" s="2" t="str">
        <f>IFERROR(VLOOKUP(Match_Record[[#This Row],[Match No]],Fixtures[[#All],[Match No]:[Location]],5,TRUE),"")</f>
        <v>Cameroon</v>
      </c>
      <c r="D220" s="2" t="str">
        <f>IFERROR(VLOOKUP(Match_Record[[#This Row],[Match No]],Fixtures[[#All],[Match No]:[Location]],8,TRUE),"")</f>
        <v>Serbia</v>
      </c>
      <c r="E220" s="2" t="s">
        <v>1079</v>
      </c>
      <c r="F220" s="18">
        <v>45</v>
      </c>
      <c r="G220" s="2">
        <v>1658</v>
      </c>
      <c r="H220" s="2" t="str">
        <f>IFERROR(VLOOKUP(Match_Record[[#This Row],[Player_No]],Squads[[Player No]:[Player Name]],6,TRUE),"")</f>
        <v>Dušan Tadić</v>
      </c>
      <c r="I220" s="2" t="str">
        <f>IFERROR(VLOOKUP(Match_Record[[#This Row],[Player_No]],Squads[[Player No]:[Player Name]],2,TRUE),"")</f>
        <v>Serbia</v>
      </c>
    </row>
    <row r="221" spans="1:9" x14ac:dyDescent="0.25">
      <c r="A221" s="18">
        <v>29</v>
      </c>
      <c r="B221" s="35">
        <f>IFERROR(VLOOKUP(Match_Record[[#This Row],[Match No]],Fixtures[[#All],[Match No]:[Location]],2,TRUE),"")</f>
        <v>44893</v>
      </c>
      <c r="C221" s="2" t="str">
        <f>IFERROR(VLOOKUP(Match_Record[[#This Row],[Match No]],Fixtures[[#All],[Match No]:[Location]],5,TRUE),"")</f>
        <v>Cameroon</v>
      </c>
      <c r="D221" s="2" t="str">
        <f>IFERROR(VLOOKUP(Match_Record[[#This Row],[Match No]],Fixtures[[#All],[Match No]:[Location]],8,TRUE),"")</f>
        <v>Serbia</v>
      </c>
      <c r="E221" s="2" t="s">
        <v>1078</v>
      </c>
      <c r="F221" s="18">
        <v>45</v>
      </c>
      <c r="G221" s="2">
        <v>1668</v>
      </c>
      <c r="H221" s="2" t="str">
        <f>IFERROR(VLOOKUP(Match_Record[[#This Row],[Player_No]],Squads[[Player No]:[Player Name]],6,TRUE),"")</f>
        <v>Sergej Milinković-Savić</v>
      </c>
      <c r="I221" s="2" t="str">
        <f>IFERROR(VLOOKUP(Match_Record[[#This Row],[Player_No]],Squads[[Player No]:[Player Name]],2,TRUE),"")</f>
        <v>Serbia</v>
      </c>
    </row>
    <row r="222" spans="1:9" x14ac:dyDescent="0.25">
      <c r="A222" s="18">
        <v>29</v>
      </c>
      <c r="B222" s="35">
        <f>IFERROR(VLOOKUP(Match_Record[[#This Row],[Match No]],Fixtures[[#All],[Match No]:[Location]],2,TRUE),"")</f>
        <v>44893</v>
      </c>
      <c r="C222" s="2" t="str">
        <f>IFERROR(VLOOKUP(Match_Record[[#This Row],[Match No]],Fixtures[[#All],[Match No]:[Location]],5,TRUE),"")</f>
        <v>Cameroon</v>
      </c>
      <c r="D222" s="2" t="str">
        <f>IFERROR(VLOOKUP(Match_Record[[#This Row],[Match No]],Fixtures[[#All],[Match No]:[Location]],8,TRUE),"")</f>
        <v>Serbia</v>
      </c>
      <c r="E222" s="2" t="s">
        <v>1079</v>
      </c>
      <c r="F222" s="18">
        <v>45</v>
      </c>
      <c r="G222" s="2">
        <v>1662</v>
      </c>
      <c r="H222" s="2" t="str">
        <f>IFERROR(VLOOKUP(Match_Record[[#This Row],[Player_No]],Squads[[Player No]:[Player Name]],6,TRUE),"")</f>
        <v>Andrija Živković</v>
      </c>
      <c r="I222" s="2" t="str">
        <f>IFERROR(VLOOKUP(Match_Record[[#This Row],[Player_No]],Squads[[Player No]:[Player Name]],2,TRUE),"")</f>
        <v>Serbia</v>
      </c>
    </row>
    <row r="223" spans="1:9" x14ac:dyDescent="0.25">
      <c r="A223" s="18">
        <v>29</v>
      </c>
      <c r="B223" s="35">
        <f>IFERROR(VLOOKUP(Match_Record[[#This Row],[Match No]],Fixtures[[#All],[Match No]:[Location]],2,TRUE),"")</f>
        <v>44893</v>
      </c>
      <c r="C223" s="2" t="str">
        <f>IFERROR(VLOOKUP(Match_Record[[#This Row],[Match No]],Fixtures[[#All],[Match No]:[Location]],5,TRUE),"")</f>
        <v>Cameroon</v>
      </c>
      <c r="D223" s="2" t="str">
        <f>IFERROR(VLOOKUP(Match_Record[[#This Row],[Match No]],Fixtures[[#All],[Match No]:[Location]],8,TRUE),"")</f>
        <v>Serbia</v>
      </c>
      <c r="E223" s="2" t="s">
        <v>1080</v>
      </c>
      <c r="F223" s="18">
        <v>45</v>
      </c>
      <c r="G223" s="2">
        <v>1659</v>
      </c>
      <c r="H223" s="2" t="str">
        <f>IFERROR(VLOOKUP(Match_Record[[#This Row],[Player_No]],Squads[[Player No]:[Player Name]],6,TRUE),"")</f>
        <v>Luka Jović</v>
      </c>
      <c r="I223" s="2" t="str">
        <f>IFERROR(VLOOKUP(Match_Record[[#This Row],[Player_No]],Squads[[Player No]:[Player Name]],2,TRUE),"")</f>
        <v>Serbia</v>
      </c>
    </row>
    <row r="224" spans="1:9" x14ac:dyDescent="0.25">
      <c r="A224" s="18">
        <v>29</v>
      </c>
      <c r="B224" s="35">
        <f>IFERROR(VLOOKUP(Match_Record[[#This Row],[Match No]],Fixtures[[#All],[Match No]:[Location]],2,TRUE),"")</f>
        <v>44893</v>
      </c>
      <c r="C224" s="2" t="str">
        <f>IFERROR(VLOOKUP(Match_Record[[#This Row],[Match No]],Fixtures[[#All],[Match No]:[Location]],5,TRUE),"")</f>
        <v>Cameroon</v>
      </c>
      <c r="D224" s="2" t="str">
        <f>IFERROR(VLOOKUP(Match_Record[[#This Row],[Match No]],Fixtures[[#All],[Match No]:[Location]],8,TRUE),"")</f>
        <v>Serbia</v>
      </c>
      <c r="E224" s="2" t="s">
        <v>1078</v>
      </c>
      <c r="F224" s="18">
        <v>53</v>
      </c>
      <c r="G224" s="2">
        <v>1657</v>
      </c>
      <c r="H224" s="2" t="str">
        <f>IFERROR(VLOOKUP(Match_Record[[#This Row],[Player_No]],Squads[[Player No]:[Player Name]],6,TRUE),"")</f>
        <v>Aleksandar Mitrović</v>
      </c>
      <c r="I224" s="2" t="str">
        <f>IFERROR(VLOOKUP(Match_Record[[#This Row],[Player_No]],Squads[[Player No]:[Player Name]],2,TRUE),"")</f>
        <v>Serbia</v>
      </c>
    </row>
    <row r="225" spans="1:9" x14ac:dyDescent="0.25">
      <c r="A225" s="18">
        <v>29</v>
      </c>
      <c r="B225" s="35">
        <f>IFERROR(VLOOKUP(Match_Record[[#This Row],[Match No]],Fixtures[[#All],[Match No]:[Location]],2,TRUE),"")</f>
        <v>44893</v>
      </c>
      <c r="C225" s="2" t="str">
        <f>IFERROR(VLOOKUP(Match_Record[[#This Row],[Match No]],Fixtures[[#All],[Match No]:[Location]],5,TRUE),"")</f>
        <v>Cameroon</v>
      </c>
      <c r="D225" s="2" t="str">
        <f>IFERROR(VLOOKUP(Match_Record[[#This Row],[Match No]],Fixtures[[#All],[Match No]:[Location]],8,TRUE),"")</f>
        <v>Serbia</v>
      </c>
      <c r="E225" s="2" t="s">
        <v>1079</v>
      </c>
      <c r="F225" s="18">
        <v>53</v>
      </c>
      <c r="G225" s="2">
        <v>1662</v>
      </c>
      <c r="H225" s="2" t="str">
        <f>IFERROR(VLOOKUP(Match_Record[[#This Row],[Player_No]],Squads[[Player No]:[Player Name]],6,TRUE),"")</f>
        <v>Andrija Živković</v>
      </c>
      <c r="I225" s="2" t="str">
        <f>IFERROR(VLOOKUP(Match_Record[[#This Row],[Player_No]],Squads[[Player No]:[Player Name]],2,TRUE),"")</f>
        <v>Serbia</v>
      </c>
    </row>
    <row r="226" spans="1:9" x14ac:dyDescent="0.25">
      <c r="A226" s="18">
        <v>29</v>
      </c>
      <c r="B226" s="35">
        <f>IFERROR(VLOOKUP(Match_Record[[#This Row],[Match No]],Fixtures[[#All],[Match No]:[Location]],2,TRUE),"")</f>
        <v>44893</v>
      </c>
      <c r="C226" s="2" t="str">
        <f>IFERROR(VLOOKUP(Match_Record[[#This Row],[Match No]],Fixtures[[#All],[Match No]:[Location]],5,TRUE),"")</f>
        <v>Cameroon</v>
      </c>
      <c r="D226" s="2" t="str">
        <f>IFERROR(VLOOKUP(Match_Record[[#This Row],[Match No]],Fixtures[[#All],[Match No]:[Location]],8,TRUE),"")</f>
        <v>Serbia</v>
      </c>
      <c r="E226" s="2" t="s">
        <v>1080</v>
      </c>
      <c r="F226" s="18">
        <v>93</v>
      </c>
      <c r="G226" s="2">
        <v>1652</v>
      </c>
      <c r="H226" s="2" t="str">
        <f>IFERROR(VLOOKUP(Match_Record[[#This Row],[Player_No]],Squads[[Player No]:[Player Name]],6,TRUE),"")</f>
        <v>Nikola Milenković</v>
      </c>
      <c r="I226" s="2" t="str">
        <f>IFERROR(VLOOKUP(Match_Record[[#This Row],[Player_No]],Squads[[Player No]:[Player Name]],2,TRUE),"")</f>
        <v>Serbia</v>
      </c>
    </row>
    <row r="227" spans="1:9" x14ac:dyDescent="0.25">
      <c r="A227" s="18">
        <v>30</v>
      </c>
      <c r="B227" s="35">
        <f>IFERROR(VLOOKUP(Match_Record[[#This Row],[Match No]],Fixtures[[#All],[Match No]:[Location]],2,TRUE),"")</f>
        <v>44893</v>
      </c>
      <c r="C227" s="2" t="str">
        <f>IFERROR(VLOOKUP(Match_Record[[#This Row],[Match No]],Fixtures[[#All],[Match No]:[Location]],5,TRUE),"")</f>
        <v>Korea Rep</v>
      </c>
      <c r="D227" s="2" t="str">
        <f>IFERROR(VLOOKUP(Match_Record[[#This Row],[Match No]],Fixtures[[#All],[Match No]:[Location]],8,TRUE),"")</f>
        <v>Ghana</v>
      </c>
      <c r="E227" s="2" t="s">
        <v>1080</v>
      </c>
      <c r="F227" s="18">
        <v>27</v>
      </c>
      <c r="G227" s="2">
        <v>1420</v>
      </c>
      <c r="H227" s="2" t="str">
        <f>IFERROR(VLOOKUP(Match_Record[[#This Row],[Player_No]],Squads[[Player No]:[Player Name]],6,TRUE),"")</f>
        <v>Jung Woo-young</v>
      </c>
      <c r="I227" s="2" t="str">
        <f>IFERROR(VLOOKUP(Match_Record[[#This Row],[Player_No]],Squads[[Player No]:[Player Name]],2,TRUE),"")</f>
        <v>Korea Rep</v>
      </c>
    </row>
    <row r="228" spans="1:9" x14ac:dyDescent="0.25">
      <c r="A228" s="18">
        <v>30</v>
      </c>
      <c r="B228" s="35">
        <f>IFERROR(VLOOKUP(Match_Record[[#This Row],[Match No]],Fixtures[[#All],[Match No]:[Location]],2,TRUE),"")</f>
        <v>44893</v>
      </c>
      <c r="C228" s="2" t="str">
        <f>IFERROR(VLOOKUP(Match_Record[[#This Row],[Match No]],Fixtures[[#All],[Match No]:[Location]],5,TRUE),"")</f>
        <v>Korea Rep</v>
      </c>
      <c r="D228" s="2" t="str">
        <f>IFERROR(VLOOKUP(Match_Record[[#This Row],[Match No]],Fixtures[[#All],[Match No]:[Location]],8,TRUE),"")</f>
        <v>Ghana</v>
      </c>
      <c r="E228" s="2" t="s">
        <v>1078</v>
      </c>
      <c r="F228" s="18">
        <v>58</v>
      </c>
      <c r="G228" s="2">
        <v>1424</v>
      </c>
      <c r="H228" s="2" t="str">
        <f>IFERROR(VLOOKUP(Match_Record[[#This Row],[Player_No]],Squads[[Player No]:[Player Name]],6,TRUE),"")</f>
        <v>Cho Gue-sung</v>
      </c>
      <c r="I228" s="2" t="str">
        <f>IFERROR(VLOOKUP(Match_Record[[#This Row],[Player_No]],Squads[[Player No]:[Player Name]],2,TRUE),"")</f>
        <v>Korea Rep</v>
      </c>
    </row>
    <row r="229" spans="1:9" x14ac:dyDescent="0.25">
      <c r="A229" s="18">
        <v>30</v>
      </c>
      <c r="B229" s="35">
        <f>IFERROR(VLOOKUP(Match_Record[[#This Row],[Match No]],Fixtures[[#All],[Match No]:[Location]],2,TRUE),"")</f>
        <v>44893</v>
      </c>
      <c r="C229" s="2" t="str">
        <f>IFERROR(VLOOKUP(Match_Record[[#This Row],[Match No]],Fixtures[[#All],[Match No]:[Location]],5,TRUE),"")</f>
        <v>Korea Rep</v>
      </c>
      <c r="D229" s="2" t="str">
        <f>IFERROR(VLOOKUP(Match_Record[[#This Row],[Match No]],Fixtures[[#All],[Match No]:[Location]],8,TRUE),"")</f>
        <v>Ghana</v>
      </c>
      <c r="E229" s="2" t="s">
        <v>1079</v>
      </c>
      <c r="F229" s="18">
        <v>58</v>
      </c>
      <c r="G229" s="2">
        <v>1433</v>
      </c>
      <c r="H229" s="2" t="str">
        <f>IFERROR(VLOOKUP(Match_Record[[#This Row],[Player_No]],Squads[[Player No]:[Player Name]],6,TRUE),"")</f>
        <v>Lee Kang-in</v>
      </c>
      <c r="I229" s="2" t="str">
        <f>IFERROR(VLOOKUP(Match_Record[[#This Row],[Player_No]],Squads[[Player No]:[Player Name]],2,TRUE),"")</f>
        <v>Korea Rep</v>
      </c>
    </row>
    <row r="230" spans="1:9" x14ac:dyDescent="0.25">
      <c r="A230" s="18">
        <v>30</v>
      </c>
      <c r="B230" s="35">
        <f>IFERROR(VLOOKUP(Match_Record[[#This Row],[Match No]],Fixtures[[#All],[Match No]:[Location]],2,TRUE),"")</f>
        <v>44893</v>
      </c>
      <c r="C230" s="2" t="str">
        <f>IFERROR(VLOOKUP(Match_Record[[#This Row],[Match No]],Fixtures[[#All],[Match No]:[Location]],5,TRUE),"")</f>
        <v>Korea Rep</v>
      </c>
      <c r="D230" s="2" t="str">
        <f>IFERROR(VLOOKUP(Match_Record[[#This Row],[Match No]],Fixtures[[#All],[Match No]:[Location]],8,TRUE),"")</f>
        <v>Ghana</v>
      </c>
      <c r="E230" s="2" t="s">
        <v>1078</v>
      </c>
      <c r="F230" s="18">
        <v>61</v>
      </c>
      <c r="G230" s="2">
        <v>1424</v>
      </c>
      <c r="H230" s="2" t="str">
        <f>IFERROR(VLOOKUP(Match_Record[[#This Row],[Player_No]],Squads[[Player No]:[Player Name]],6,TRUE),"")</f>
        <v>Cho Gue-sung</v>
      </c>
      <c r="I230" s="2" t="str">
        <f>IFERROR(VLOOKUP(Match_Record[[#This Row],[Player_No]],Squads[[Player No]:[Player Name]],2,TRUE),"")</f>
        <v>Korea Rep</v>
      </c>
    </row>
    <row r="231" spans="1:9" x14ac:dyDescent="0.25">
      <c r="A231" s="18">
        <v>30</v>
      </c>
      <c r="B231" s="35">
        <f>IFERROR(VLOOKUP(Match_Record[[#This Row],[Match No]],Fixtures[[#All],[Match No]:[Location]],2,TRUE),"")</f>
        <v>44893</v>
      </c>
      <c r="C231" s="2" t="str">
        <f>IFERROR(VLOOKUP(Match_Record[[#This Row],[Match No]],Fixtures[[#All],[Match No]:[Location]],5,TRUE),"")</f>
        <v>Korea Rep</v>
      </c>
      <c r="D231" s="2" t="str">
        <f>IFERROR(VLOOKUP(Match_Record[[#This Row],[Match No]],Fixtures[[#All],[Match No]:[Location]],8,TRUE),"")</f>
        <v>Ghana</v>
      </c>
      <c r="E231" s="2" t="s">
        <v>1079</v>
      </c>
      <c r="F231" s="18">
        <v>61</v>
      </c>
      <c r="G231" s="2">
        <v>1418</v>
      </c>
      <c r="H231" s="2" t="str">
        <f>IFERROR(VLOOKUP(Match_Record[[#This Row],[Player_No]],Squads[[Player No]:[Player Name]],6,TRUE),"")</f>
        <v>Kim Jin-su</v>
      </c>
      <c r="I231" s="2" t="str">
        <f>IFERROR(VLOOKUP(Match_Record[[#This Row],[Player_No]],Squads[[Player No]:[Player Name]],2,TRUE),"")</f>
        <v>Korea Rep</v>
      </c>
    </row>
    <row r="232" spans="1:9" x14ac:dyDescent="0.25">
      <c r="A232" s="18">
        <v>30</v>
      </c>
      <c r="B232" s="35">
        <f>IFERROR(VLOOKUP(Match_Record[[#This Row],[Match No]],Fixtures[[#All],[Match No]:[Location]],2,TRUE),"")</f>
        <v>44893</v>
      </c>
      <c r="C232" s="2" t="str">
        <f>IFERROR(VLOOKUP(Match_Record[[#This Row],[Match No]],Fixtures[[#All],[Match No]:[Location]],5,TRUE),"")</f>
        <v>Korea Rep</v>
      </c>
      <c r="D232" s="2" t="str">
        <f>IFERROR(VLOOKUP(Match_Record[[#This Row],[Match No]],Fixtures[[#All],[Match No]:[Location]],8,TRUE),"")</f>
        <v>Ghana</v>
      </c>
      <c r="E232" s="2" t="s">
        <v>1080</v>
      </c>
      <c r="F232" s="18">
        <v>77</v>
      </c>
      <c r="G232" s="2">
        <v>1434</v>
      </c>
      <c r="H232" s="2" t="str">
        <f>IFERROR(VLOOKUP(Match_Record[[#This Row],[Player_No]],Squads[[Player No]:[Player Name]],6,TRUE),"")</f>
        <v>Kim Young-gwon</v>
      </c>
      <c r="I232" s="2" t="str">
        <f>IFERROR(VLOOKUP(Match_Record[[#This Row],[Player_No]],Squads[[Player No]:[Player Name]],2,TRUE),"")</f>
        <v>Korea Rep</v>
      </c>
    </row>
    <row r="233" spans="1:9" x14ac:dyDescent="0.25">
      <c r="A233" s="18">
        <v>30</v>
      </c>
      <c r="B233" s="35">
        <f>IFERROR(VLOOKUP(Match_Record[[#This Row],[Match No]],Fixtures[[#All],[Match No]:[Location]],2,TRUE),"")</f>
        <v>44893</v>
      </c>
      <c r="C233" s="2" t="str">
        <f>IFERROR(VLOOKUP(Match_Record[[#This Row],[Match No]],Fixtures[[#All],[Match No]:[Location]],5,TRUE),"")</f>
        <v>Korea Rep</v>
      </c>
      <c r="D233" s="2" t="str">
        <f>IFERROR(VLOOKUP(Match_Record[[#This Row],[Match No]],Fixtures[[#All],[Match No]:[Location]],8,TRUE),"")</f>
        <v>Ghana</v>
      </c>
      <c r="E233" s="2" t="s">
        <v>1080</v>
      </c>
      <c r="F233" s="18">
        <v>21</v>
      </c>
      <c r="G233" s="2">
        <v>1356</v>
      </c>
      <c r="H233" s="2" t="str">
        <f>IFERROR(VLOOKUP(Match_Record[[#This Row],[Player_No]],Squads[[Player No]:[Player Name]],6,TRUE),"")</f>
        <v>Daniel Amartey</v>
      </c>
      <c r="I233" s="2" t="str">
        <f>IFERROR(VLOOKUP(Match_Record[[#This Row],[Player_No]],Squads[[Player No]:[Player Name]],2,TRUE),"")</f>
        <v>Ghana</v>
      </c>
    </row>
    <row r="234" spans="1:9" x14ac:dyDescent="0.25">
      <c r="A234" s="18">
        <v>30</v>
      </c>
      <c r="B234" s="35">
        <f>IFERROR(VLOOKUP(Match_Record[[#This Row],[Match No]],Fixtures[[#All],[Match No]:[Location]],2,TRUE),"")</f>
        <v>44893</v>
      </c>
      <c r="C234" s="2" t="str">
        <f>IFERROR(VLOOKUP(Match_Record[[#This Row],[Match No]],Fixtures[[#All],[Match No]:[Location]],5,TRUE),"")</f>
        <v>Korea Rep</v>
      </c>
      <c r="D234" s="2" t="str">
        <f>IFERROR(VLOOKUP(Match_Record[[#This Row],[Match No]],Fixtures[[#All],[Match No]:[Location]],8,TRUE),"")</f>
        <v>Ghana</v>
      </c>
      <c r="E234" s="2" t="s">
        <v>1078</v>
      </c>
      <c r="F234" s="18">
        <v>24</v>
      </c>
      <c r="G234" s="2">
        <v>1342</v>
      </c>
      <c r="H234" s="2" t="str">
        <f>IFERROR(VLOOKUP(Match_Record[[#This Row],[Player_No]],Squads[[Player No]:[Player Name]],6,TRUE),"")</f>
        <v>Mohammed Salisu</v>
      </c>
      <c r="I234" s="2" t="str">
        <f>IFERROR(VLOOKUP(Match_Record[[#This Row],[Player_No]],Squads[[Player No]:[Player Name]],2,TRUE),"")</f>
        <v>Ghana</v>
      </c>
    </row>
    <row r="235" spans="1:9" x14ac:dyDescent="0.25">
      <c r="A235" s="18">
        <v>30</v>
      </c>
      <c r="B235" s="35">
        <f>IFERROR(VLOOKUP(Match_Record[[#This Row],[Match No]],Fixtures[[#All],[Match No]:[Location]],2,TRUE),"")</f>
        <v>44893</v>
      </c>
      <c r="C235" s="2" t="str">
        <f>IFERROR(VLOOKUP(Match_Record[[#This Row],[Match No]],Fixtures[[#All],[Match No]:[Location]],5,TRUE),"")</f>
        <v>Korea Rep</v>
      </c>
      <c r="D235" s="2" t="str">
        <f>IFERROR(VLOOKUP(Match_Record[[#This Row],[Match No]],Fixtures[[#All],[Match No]:[Location]],8,TRUE),"")</f>
        <v>Ghana</v>
      </c>
      <c r="E235" s="2" t="s">
        <v>1078</v>
      </c>
      <c r="F235" s="18">
        <v>34</v>
      </c>
      <c r="G235" s="2">
        <v>1358</v>
      </c>
      <c r="H235" s="2" t="str">
        <f>IFERROR(VLOOKUP(Match_Record[[#This Row],[Player_No]],Squads[[Player No]:[Player Name]],6,TRUE),"")</f>
        <v>Mohammed Kudus</v>
      </c>
      <c r="I235" s="2" t="str">
        <f>IFERROR(VLOOKUP(Match_Record[[#This Row],[Player_No]],Squads[[Player No]:[Player Name]],2,TRUE),"")</f>
        <v>Ghana</v>
      </c>
    </row>
    <row r="236" spans="1:9" x14ac:dyDescent="0.25">
      <c r="A236" s="18">
        <v>30</v>
      </c>
      <c r="B236" s="35">
        <f>IFERROR(VLOOKUP(Match_Record[[#This Row],[Match No]],Fixtures[[#All],[Match No]:[Location]],2,TRUE),"")</f>
        <v>44893</v>
      </c>
      <c r="C236" s="2" t="str">
        <f>IFERROR(VLOOKUP(Match_Record[[#This Row],[Match No]],Fixtures[[#All],[Match No]:[Location]],5,TRUE),"")</f>
        <v>Korea Rep</v>
      </c>
      <c r="D236" s="2" t="str">
        <f>IFERROR(VLOOKUP(Match_Record[[#This Row],[Match No]],Fixtures[[#All],[Match No]:[Location]],8,TRUE),"")</f>
        <v>Ghana</v>
      </c>
      <c r="E236" s="2" t="s">
        <v>1079</v>
      </c>
      <c r="F236" s="18">
        <v>34</v>
      </c>
      <c r="G236" s="2">
        <v>1347</v>
      </c>
      <c r="H236" s="2" t="str">
        <f>IFERROR(VLOOKUP(Match_Record[[#This Row],[Player_No]],Squads[[Player No]:[Player Name]],6,TRUE),"")</f>
        <v>Jordan Ayew</v>
      </c>
      <c r="I236" s="2" t="str">
        <f>IFERROR(VLOOKUP(Match_Record[[#This Row],[Player_No]],Squads[[Player No]:[Player Name]],2,TRUE),"")</f>
        <v>Ghana</v>
      </c>
    </row>
    <row r="237" spans="1:9" x14ac:dyDescent="0.25">
      <c r="A237" s="18">
        <v>30</v>
      </c>
      <c r="B237" s="35">
        <f>IFERROR(VLOOKUP(Match_Record[[#This Row],[Match No]],Fixtures[[#All],[Match No]:[Location]],2,TRUE),"")</f>
        <v>44893</v>
      </c>
      <c r="C237" s="2" t="str">
        <f>IFERROR(VLOOKUP(Match_Record[[#This Row],[Match No]],Fixtures[[#All],[Match No]:[Location]],5,TRUE),"")</f>
        <v>Korea Rep</v>
      </c>
      <c r="D237" s="2" t="str">
        <f>IFERROR(VLOOKUP(Match_Record[[#This Row],[Match No]],Fixtures[[#All],[Match No]:[Location]],8,TRUE),"")</f>
        <v>Ghana</v>
      </c>
      <c r="E237" s="2" t="s">
        <v>1078</v>
      </c>
      <c r="F237" s="18">
        <v>68</v>
      </c>
      <c r="G237" s="2">
        <v>1358</v>
      </c>
      <c r="H237" s="2" t="str">
        <f>IFERROR(VLOOKUP(Match_Record[[#This Row],[Player_No]],Squads[[Player No]:[Player Name]],6,TRUE),"")</f>
        <v>Mohammed Kudus</v>
      </c>
      <c r="I237" s="2" t="str">
        <f>IFERROR(VLOOKUP(Match_Record[[#This Row],[Player_No]],Squads[[Player No]:[Player Name]],2,TRUE),"")</f>
        <v>Ghana</v>
      </c>
    </row>
    <row r="238" spans="1:9" x14ac:dyDescent="0.25">
      <c r="A238" s="18">
        <v>30</v>
      </c>
      <c r="B238" s="35">
        <f>IFERROR(VLOOKUP(Match_Record[[#This Row],[Match No]],Fixtures[[#All],[Match No]:[Location]],2,TRUE),"")</f>
        <v>44893</v>
      </c>
      <c r="C238" s="2" t="str">
        <f>IFERROR(VLOOKUP(Match_Record[[#This Row],[Match No]],Fixtures[[#All],[Match No]:[Location]],5,TRUE),"")</f>
        <v>Korea Rep</v>
      </c>
      <c r="D238" s="2" t="str">
        <f>IFERROR(VLOOKUP(Match_Record[[#This Row],[Match No]],Fixtures[[#All],[Match No]:[Location]],8,TRUE),"")</f>
        <v>Ghana</v>
      </c>
      <c r="E238" s="2" t="s">
        <v>1079</v>
      </c>
      <c r="F238" s="18">
        <v>68</v>
      </c>
      <c r="G238" s="2">
        <v>1357</v>
      </c>
      <c r="H238" s="2" t="str">
        <f>IFERROR(VLOOKUP(Match_Record[[#This Row],[Player_No]],Squads[[Player No]:[Player Name]],6,TRUE),"")</f>
        <v>Iñaki Williams</v>
      </c>
      <c r="I238" s="2" t="str">
        <f>IFERROR(VLOOKUP(Match_Record[[#This Row],[Player_No]],Squads[[Player No]:[Player Name]],2,TRUE),"")</f>
        <v>Ghana</v>
      </c>
    </row>
    <row r="239" spans="1:9" x14ac:dyDescent="0.25">
      <c r="A239" s="18">
        <v>30</v>
      </c>
      <c r="B239" s="35">
        <f>IFERROR(VLOOKUP(Match_Record[[#This Row],[Match No]],Fixtures[[#All],[Match No]:[Location]],2,TRUE),"")</f>
        <v>44893</v>
      </c>
      <c r="C239" s="2" t="str">
        <f>IFERROR(VLOOKUP(Match_Record[[#This Row],[Match No]],Fixtures[[#All],[Match No]:[Location]],5,TRUE),"")</f>
        <v>Korea Rep</v>
      </c>
      <c r="D239" s="2" t="str">
        <f>IFERROR(VLOOKUP(Match_Record[[#This Row],[Match No]],Fixtures[[#All],[Match No]:[Location]],8,TRUE),"")</f>
        <v>Ghana</v>
      </c>
      <c r="E239" s="2" t="s">
        <v>1080</v>
      </c>
      <c r="F239" s="18">
        <v>73</v>
      </c>
      <c r="G239" s="2">
        <v>1340</v>
      </c>
      <c r="H239" s="2" t="str">
        <f>IFERROR(VLOOKUP(Match_Record[[#This Row],[Player_No]],Squads[[Player No]:[Player Name]],6,TRUE),"")</f>
        <v>Tariq Lamptey</v>
      </c>
      <c r="I239" s="2" t="str">
        <f>IFERROR(VLOOKUP(Match_Record[[#This Row],[Player_No]],Squads[[Player No]:[Player Name]],2,TRUE),"")</f>
        <v>Ghana</v>
      </c>
    </row>
    <row r="240" spans="1:9" x14ac:dyDescent="0.25">
      <c r="A240" s="18">
        <v>31</v>
      </c>
      <c r="B240" s="35">
        <f>IFERROR(VLOOKUP(Match_Record[[#This Row],[Match No]],Fixtures[[#All],[Match No]:[Location]],2,TRUE),"")</f>
        <v>44893</v>
      </c>
      <c r="C240" s="2" t="str">
        <f>IFERROR(VLOOKUP(Match_Record[[#This Row],[Match No]],Fixtures[[#All],[Match No]:[Location]],5,TRUE),"")</f>
        <v>Brasil</v>
      </c>
      <c r="D240" s="2" t="str">
        <f>IFERROR(VLOOKUP(Match_Record[[#This Row],[Match No]],Fixtures[[#All],[Match No]:[Location]],8,TRUE),"")</f>
        <v>Switzerland</v>
      </c>
      <c r="E240" s="2" t="s">
        <v>1080</v>
      </c>
      <c r="F240" s="18">
        <v>52</v>
      </c>
      <c r="G240" s="2">
        <v>1086</v>
      </c>
      <c r="H240" s="2" t="str">
        <f>IFERROR(VLOOKUP(Match_Record[[#This Row],[Player_No]],Squads[[Player No]:[Player Name]],6,TRUE),"")</f>
        <v>Fred</v>
      </c>
      <c r="I240" s="2" t="str">
        <f>IFERROR(VLOOKUP(Match_Record[[#This Row],[Player_No]],Squads[[Player No]:[Player Name]],2,TRUE),"")</f>
        <v>Brasil</v>
      </c>
    </row>
    <row r="241" spans="1:9" x14ac:dyDescent="0.25">
      <c r="A241" s="18">
        <v>31</v>
      </c>
      <c r="B241" s="35">
        <f>IFERROR(VLOOKUP(Match_Record[[#This Row],[Match No]],Fixtures[[#All],[Match No]:[Location]],2,TRUE),"")</f>
        <v>44893</v>
      </c>
      <c r="C241" s="2" t="str">
        <f>IFERROR(VLOOKUP(Match_Record[[#This Row],[Match No]],Fixtures[[#All],[Match No]:[Location]],5,TRUE),"")</f>
        <v>Brasil</v>
      </c>
      <c r="D241" s="2" t="str">
        <f>IFERROR(VLOOKUP(Match_Record[[#This Row],[Match No]],Fixtures[[#All],[Match No]:[Location]],8,TRUE),"")</f>
        <v>Switzerland</v>
      </c>
      <c r="E241" s="2" t="s">
        <v>1078</v>
      </c>
      <c r="F241" s="18">
        <v>83</v>
      </c>
      <c r="G241" s="2">
        <v>1083</v>
      </c>
      <c r="H241" s="2" t="str">
        <f>IFERROR(VLOOKUP(Match_Record[[#This Row],[Player_No]],Squads[[Player No]:[Player Name]],6,TRUE),"")</f>
        <v>Casemiro</v>
      </c>
      <c r="I241" s="2" t="str">
        <f>IFERROR(VLOOKUP(Match_Record[[#This Row],[Player_No]],Squads[[Player No]:[Player Name]],2,TRUE),"")</f>
        <v>Brasil</v>
      </c>
    </row>
    <row r="242" spans="1:9" x14ac:dyDescent="0.25">
      <c r="A242" s="18">
        <v>31</v>
      </c>
      <c r="B242" s="35">
        <f>IFERROR(VLOOKUP(Match_Record[[#This Row],[Match No]],Fixtures[[#All],[Match No]:[Location]],2,TRUE),"")</f>
        <v>44893</v>
      </c>
      <c r="C242" s="2" t="str">
        <f>IFERROR(VLOOKUP(Match_Record[[#This Row],[Match No]],Fixtures[[#All],[Match No]:[Location]],5,TRUE),"")</f>
        <v>Brasil</v>
      </c>
      <c r="D242" s="2" t="str">
        <f>IFERROR(VLOOKUP(Match_Record[[#This Row],[Match No]],Fixtures[[#All],[Match No]:[Location]],8,TRUE),"")</f>
        <v>Switzerland</v>
      </c>
      <c r="E242" s="2" t="s">
        <v>1079</v>
      </c>
      <c r="F242" s="18">
        <v>83</v>
      </c>
      <c r="G242" s="2">
        <v>1099</v>
      </c>
      <c r="H242" s="2" t="str">
        <f>IFERROR(VLOOKUP(Match_Record[[#This Row],[Player_No]],Squads[[Player No]:[Player Name]],6,TRUE),"")</f>
        <v>Rodrygo</v>
      </c>
      <c r="I242" s="2" t="str">
        <f>IFERROR(VLOOKUP(Match_Record[[#This Row],[Player_No]],Squads[[Player No]:[Player Name]],2,TRUE),"")</f>
        <v>Brasil</v>
      </c>
    </row>
    <row r="243" spans="1:9" x14ac:dyDescent="0.25">
      <c r="A243" s="18">
        <v>31</v>
      </c>
      <c r="B243" s="35">
        <f>IFERROR(VLOOKUP(Match_Record[[#This Row],[Match No]],Fixtures[[#All],[Match No]:[Location]],2,TRUE),"")</f>
        <v>44893</v>
      </c>
      <c r="C243" s="2" t="str">
        <f>IFERROR(VLOOKUP(Match_Record[[#This Row],[Match No]],Fixtures[[#All],[Match No]:[Location]],5,TRUE),"")</f>
        <v>Brasil</v>
      </c>
      <c r="D243" s="2" t="str">
        <f>IFERROR(VLOOKUP(Match_Record[[#This Row],[Match No]],Fixtures[[#All],[Match No]:[Location]],8,TRUE),"")</f>
        <v>Switzerland</v>
      </c>
      <c r="E243" s="2" t="s">
        <v>1080</v>
      </c>
      <c r="F243" s="18">
        <v>50</v>
      </c>
      <c r="G243" s="2">
        <v>1725</v>
      </c>
      <c r="H243" s="2" t="str">
        <f>IFERROR(VLOOKUP(Match_Record[[#This Row],[Player_No]],Squads[[Player No]:[Player Name]],6,TRUE),"")</f>
        <v>Fabian Rieder</v>
      </c>
      <c r="I243" s="2" t="str">
        <f>IFERROR(VLOOKUP(Match_Record[[#This Row],[Player_No]],Squads[[Player No]:[Player Name]],2,TRUE),"")</f>
        <v>Switzerland</v>
      </c>
    </row>
    <row r="244" spans="1:9" x14ac:dyDescent="0.25">
      <c r="A244" s="18">
        <v>32</v>
      </c>
      <c r="B244" s="35">
        <f>IFERROR(VLOOKUP(Match_Record[[#This Row],[Match No]],Fixtures[[#All],[Match No]:[Location]],2,TRUE),"")</f>
        <v>44893</v>
      </c>
      <c r="C244" s="2" t="str">
        <f>IFERROR(VLOOKUP(Match_Record[[#This Row],[Match No]],Fixtures[[#All],[Match No]:[Location]],5,TRUE),"")</f>
        <v>Portugal</v>
      </c>
      <c r="D244" s="2" t="str">
        <f>IFERROR(VLOOKUP(Match_Record[[#This Row],[Match No]],Fixtures[[#All],[Match No]:[Location]],8,TRUE),"")</f>
        <v>Uruguay</v>
      </c>
      <c r="E244" s="2" t="s">
        <v>1080</v>
      </c>
      <c r="F244" s="18">
        <v>38</v>
      </c>
      <c r="G244" s="2">
        <v>1563</v>
      </c>
      <c r="H244" s="2" t="str">
        <f>IFERROR(VLOOKUP(Match_Record[[#This Row],[Player_No]],Squads[[Player No]:[Player Name]],6,TRUE),"")</f>
        <v>Rúben Neves</v>
      </c>
      <c r="I244" s="2" t="str">
        <f>IFERROR(VLOOKUP(Match_Record[[#This Row],[Player_No]],Squads[[Player No]:[Player Name]],2,TRUE),"")</f>
        <v>Portugal</v>
      </c>
    </row>
    <row r="245" spans="1:9" x14ac:dyDescent="0.25">
      <c r="A245" s="18">
        <v>32</v>
      </c>
      <c r="B245" s="35">
        <f>IFERROR(VLOOKUP(Match_Record[[#This Row],[Match No]],Fixtures[[#All],[Match No]:[Location]],2,TRUE),"")</f>
        <v>44893</v>
      </c>
      <c r="C245" s="2" t="str">
        <f>IFERROR(VLOOKUP(Match_Record[[#This Row],[Match No]],Fixtures[[#All],[Match No]:[Location]],5,TRUE),"")</f>
        <v>Portugal</v>
      </c>
      <c r="D245" s="2" t="str">
        <f>IFERROR(VLOOKUP(Match_Record[[#This Row],[Match No]],Fixtures[[#All],[Match No]:[Location]],8,TRUE),"")</f>
        <v>Uruguay</v>
      </c>
      <c r="E245" s="2" t="s">
        <v>1078</v>
      </c>
      <c r="F245" s="18">
        <v>54</v>
      </c>
      <c r="G245" s="2">
        <v>1553</v>
      </c>
      <c r="H245" s="2" t="str">
        <f>IFERROR(VLOOKUP(Match_Record[[#This Row],[Player_No]],Squads[[Player No]:[Player Name]],6,TRUE),"")</f>
        <v>Bruno Fernandes</v>
      </c>
      <c r="I245" s="2" t="str">
        <f>IFERROR(VLOOKUP(Match_Record[[#This Row],[Player_No]],Squads[[Player No]:[Player Name]],2,TRUE),"")</f>
        <v>Portugal</v>
      </c>
    </row>
    <row r="246" spans="1:9" x14ac:dyDescent="0.25">
      <c r="A246" s="18">
        <v>32</v>
      </c>
      <c r="B246" s="35">
        <f>IFERROR(VLOOKUP(Match_Record[[#This Row],[Match No]],Fixtures[[#All],[Match No]:[Location]],2,TRUE),"")</f>
        <v>44893</v>
      </c>
      <c r="C246" s="2" t="str">
        <f>IFERROR(VLOOKUP(Match_Record[[#This Row],[Match No]],Fixtures[[#All],[Match No]:[Location]],5,TRUE),"")</f>
        <v>Portugal</v>
      </c>
      <c r="D246" s="2" t="str">
        <f>IFERROR(VLOOKUP(Match_Record[[#This Row],[Match No]],Fixtures[[#All],[Match No]:[Location]],8,TRUE),"")</f>
        <v>Uruguay</v>
      </c>
      <c r="E246" s="2" t="s">
        <v>1079</v>
      </c>
      <c r="F246" s="18">
        <v>54</v>
      </c>
      <c r="G246" s="2">
        <v>1550</v>
      </c>
      <c r="H246" s="2" t="str">
        <f>IFERROR(VLOOKUP(Match_Record[[#This Row],[Player_No]],Squads[[Player No]:[Player Name]],6,TRUE),"")</f>
        <v>Raphaël Guerreiro</v>
      </c>
      <c r="I246" s="2" t="str">
        <f>IFERROR(VLOOKUP(Match_Record[[#This Row],[Player_No]],Squads[[Player No]:[Player Name]],2,TRUE),"")</f>
        <v>Portugal</v>
      </c>
    </row>
    <row r="247" spans="1:9" x14ac:dyDescent="0.25">
      <c r="A247" s="18">
        <v>32</v>
      </c>
      <c r="B247" s="35">
        <f>IFERROR(VLOOKUP(Match_Record[[#This Row],[Match No]],Fixtures[[#All],[Match No]:[Location]],2,TRUE),"")</f>
        <v>44893</v>
      </c>
      <c r="C247" s="2" t="str">
        <f>IFERROR(VLOOKUP(Match_Record[[#This Row],[Match No]],Fixtures[[#All],[Match No]:[Location]],5,TRUE),"")</f>
        <v>Portugal</v>
      </c>
      <c r="D247" s="2" t="str">
        <f>IFERROR(VLOOKUP(Match_Record[[#This Row],[Match No]],Fixtures[[#All],[Match No]:[Location]],8,TRUE),"")</f>
        <v>Uruguay</v>
      </c>
      <c r="E247" s="2" t="s">
        <v>1080</v>
      </c>
      <c r="F247" s="18">
        <v>77</v>
      </c>
      <c r="G247" s="2">
        <v>1556</v>
      </c>
      <c r="H247" s="2" t="str">
        <f>IFERROR(VLOOKUP(Match_Record[[#This Row],[Player_No]],Squads[[Player No]:[Player Name]],6,TRUE),"")</f>
        <v>João Félix</v>
      </c>
      <c r="I247" s="2" t="str">
        <f>IFERROR(VLOOKUP(Match_Record[[#This Row],[Player_No]],Squads[[Player No]:[Player Name]],2,TRUE),"")</f>
        <v>Portugal</v>
      </c>
    </row>
    <row r="248" spans="1:9" x14ac:dyDescent="0.25">
      <c r="A248" s="18">
        <v>32</v>
      </c>
      <c r="B248" s="35">
        <f>IFERROR(VLOOKUP(Match_Record[[#This Row],[Match No]],Fixtures[[#All],[Match No]:[Location]],2,TRUE),"")</f>
        <v>44893</v>
      </c>
      <c r="C248" s="2" t="str">
        <f>IFERROR(VLOOKUP(Match_Record[[#This Row],[Match No]],Fixtures[[#All],[Match No]:[Location]],5,TRUE),"")</f>
        <v>Portugal</v>
      </c>
      <c r="D248" s="2" t="str">
        <f>IFERROR(VLOOKUP(Match_Record[[#This Row],[Match No]],Fixtures[[#All],[Match No]:[Location]],8,TRUE),"")</f>
        <v>Uruguay</v>
      </c>
      <c r="E248" s="2" t="s">
        <v>1080</v>
      </c>
      <c r="F248" s="18">
        <v>89</v>
      </c>
      <c r="G248" s="2">
        <v>1549</v>
      </c>
      <c r="H248" s="2" t="str">
        <f>IFERROR(VLOOKUP(Match_Record[[#This Row],[Player_No]],Squads[[Player No]:[Player Name]],6,TRUE),"")</f>
        <v>Rúben Dias</v>
      </c>
      <c r="I248" s="2" t="str">
        <f>IFERROR(VLOOKUP(Match_Record[[#This Row],[Player_No]],Squads[[Player No]:[Player Name]],2,TRUE),"")</f>
        <v>Portugal</v>
      </c>
    </row>
    <row r="249" spans="1:9" x14ac:dyDescent="0.25">
      <c r="A249" s="18">
        <v>32</v>
      </c>
      <c r="B249" s="35">
        <f>IFERROR(VLOOKUP(Match_Record[[#This Row],[Match No]],Fixtures[[#All],[Match No]:[Location]],2,TRUE),"")</f>
        <v>44893</v>
      </c>
      <c r="C249" s="2" t="str">
        <f>IFERROR(VLOOKUP(Match_Record[[#This Row],[Match No]],Fixtures[[#All],[Match No]:[Location]],5,TRUE),"")</f>
        <v>Portugal</v>
      </c>
      <c r="D249" s="2" t="str">
        <f>IFERROR(VLOOKUP(Match_Record[[#This Row],[Match No]],Fixtures[[#All],[Match No]:[Location]],8,TRUE),"")</f>
        <v>Uruguay</v>
      </c>
      <c r="E249" s="2" t="s">
        <v>1078</v>
      </c>
      <c r="F249" s="18">
        <v>93</v>
      </c>
      <c r="G249" s="2">
        <v>1553</v>
      </c>
      <c r="H249" s="2" t="str">
        <f>IFERROR(VLOOKUP(Match_Record[[#This Row],[Player_No]],Squads[[Player No]:[Player Name]],6,TRUE),"")</f>
        <v>Bruno Fernandes</v>
      </c>
      <c r="I249" s="2" t="str">
        <f>IFERROR(VLOOKUP(Match_Record[[#This Row],[Player_No]],Squads[[Player No]:[Player Name]],2,TRUE),"")</f>
        <v>Portugal</v>
      </c>
    </row>
    <row r="250" spans="1:9" x14ac:dyDescent="0.25">
      <c r="A250" s="18">
        <v>32</v>
      </c>
      <c r="B250" s="35">
        <f>IFERROR(VLOOKUP(Match_Record[[#This Row],[Match No]],Fixtures[[#All],[Match No]:[Location]],2,TRUE),"")</f>
        <v>44893</v>
      </c>
      <c r="C250" s="2" t="str">
        <f>IFERROR(VLOOKUP(Match_Record[[#This Row],[Match No]],Fixtures[[#All],[Match No]:[Location]],5,TRUE),"")</f>
        <v>Portugal</v>
      </c>
      <c r="D250" s="2" t="str">
        <f>IFERROR(VLOOKUP(Match_Record[[#This Row],[Match No]],Fixtures[[#All],[Match No]:[Location]],8,TRUE),"")</f>
        <v>Uruguay</v>
      </c>
      <c r="E250" s="2" t="s">
        <v>1080</v>
      </c>
      <c r="F250" s="18">
        <v>6</v>
      </c>
      <c r="G250" s="2">
        <v>1758</v>
      </c>
      <c r="H250" s="2" t="str">
        <f>IFERROR(VLOOKUP(Match_Record[[#This Row],[Player_No]],Squads[[Player No]:[Player Name]],6,TRUE),"")</f>
        <v>Rodrigo Bentancur</v>
      </c>
      <c r="I250" s="2" t="str">
        <f>IFERROR(VLOOKUP(Match_Record[[#This Row],[Player_No]],Squads[[Player No]:[Player Name]],2,TRUE),"")</f>
        <v>Uruguay</v>
      </c>
    </row>
    <row r="251" spans="1:9" x14ac:dyDescent="0.25">
      <c r="A251" s="18">
        <v>32</v>
      </c>
      <c r="B251" s="35">
        <f>IFERROR(VLOOKUP(Match_Record[[#This Row],[Match No]],Fixtures[[#All],[Match No]:[Location]],2,TRUE),"")</f>
        <v>44893</v>
      </c>
      <c r="C251" s="2" t="str">
        <f>IFERROR(VLOOKUP(Match_Record[[#This Row],[Match No]],Fixtures[[#All],[Match No]:[Location]],5,TRUE),"")</f>
        <v>Portugal</v>
      </c>
      <c r="D251" s="2" t="str">
        <f>IFERROR(VLOOKUP(Match_Record[[#This Row],[Match No]],Fixtures[[#All],[Match No]:[Location]],8,TRUE),"")</f>
        <v>Uruguay</v>
      </c>
      <c r="E251" s="2" t="s">
        <v>1080</v>
      </c>
      <c r="F251" s="18">
        <v>44</v>
      </c>
      <c r="G251" s="2">
        <v>1768</v>
      </c>
      <c r="H251" s="2" t="str">
        <f>IFERROR(VLOOKUP(Match_Record[[#This Row],[Player_No]],Squads[[Player No]:[Player Name]],6,TRUE),"")</f>
        <v>Mathías Olivera</v>
      </c>
      <c r="I251" s="2" t="str">
        <f>IFERROR(VLOOKUP(Match_Record[[#This Row],[Player_No]],Squads[[Player No]:[Player Name]],2,TRUE),"")</f>
        <v>Uruguay</v>
      </c>
    </row>
    <row r="252" spans="1:9" x14ac:dyDescent="0.25">
      <c r="A252" s="18">
        <v>33</v>
      </c>
      <c r="B252" s="35">
        <f>IFERROR(VLOOKUP(Match_Record[[#This Row],[Match No]],Fixtures[[#All],[Match No]:[Location]],2,TRUE),"")</f>
        <v>44894</v>
      </c>
      <c r="C252" s="2" t="str">
        <f>IFERROR(VLOOKUP(Match_Record[[#This Row],[Match No]],Fixtures[[#All],[Match No]:[Location]],5,TRUE),"")</f>
        <v>Ecuador</v>
      </c>
      <c r="D252" s="2" t="str">
        <f>IFERROR(VLOOKUP(Match_Record[[#This Row],[Match No]],Fixtures[[#All],[Match No]:[Location]],8,TRUE),"")</f>
        <v>Senegal</v>
      </c>
      <c r="E252" s="2" t="s">
        <v>1078</v>
      </c>
      <c r="F252" s="18">
        <v>67</v>
      </c>
      <c r="G252" s="2">
        <v>1257</v>
      </c>
      <c r="H252" s="2" t="str">
        <f>IFERROR(VLOOKUP(Match_Record[[#This Row],[Player_No]],Squads[[Player No]:[Player Name]],6,TRUE),"")</f>
        <v>Moisés Caicedo</v>
      </c>
      <c r="I252" s="2" t="str">
        <f>IFERROR(VLOOKUP(Match_Record[[#This Row],[Player_No]],Squads[[Player No]:[Player Name]],2,TRUE),"")</f>
        <v>Ecuador</v>
      </c>
    </row>
    <row r="253" spans="1:9" x14ac:dyDescent="0.25">
      <c r="A253" s="18">
        <v>33</v>
      </c>
      <c r="B253" s="35">
        <f>IFERROR(VLOOKUP(Match_Record[[#This Row],[Match No]],Fixtures[[#All],[Match No]:[Location]],2,TRUE),"")</f>
        <v>44894</v>
      </c>
      <c r="C253" s="2" t="str">
        <f>IFERROR(VLOOKUP(Match_Record[[#This Row],[Match No]],Fixtures[[#All],[Match No]:[Location]],5,TRUE),"")</f>
        <v>Ecuador</v>
      </c>
      <c r="D253" s="2" t="str">
        <f>IFERROR(VLOOKUP(Match_Record[[#This Row],[Match No]],Fixtures[[#All],[Match No]:[Location]],8,TRUE),"")</f>
        <v>Senegal</v>
      </c>
      <c r="E253" s="2" t="s">
        <v>1079</v>
      </c>
      <c r="F253" s="18">
        <v>67</v>
      </c>
      <c r="G253" s="2">
        <v>1236</v>
      </c>
      <c r="H253" s="2" t="str">
        <f>IFERROR(VLOOKUP(Match_Record[[#This Row],[Player_No]],Squads[[Player No]:[Player Name]],6,TRUE),"")</f>
        <v>Félix Torres</v>
      </c>
      <c r="I253" s="2" t="str">
        <f>IFERROR(VLOOKUP(Match_Record[[#This Row],[Player_No]],Squads[[Player No]:[Player Name]],2,TRUE),"")</f>
        <v>Ecuador</v>
      </c>
    </row>
    <row r="254" spans="1:9" x14ac:dyDescent="0.25">
      <c r="A254" s="18">
        <v>33</v>
      </c>
      <c r="B254" s="35">
        <f>IFERROR(VLOOKUP(Match_Record[[#This Row],[Match No]],Fixtures[[#All],[Match No]:[Location]],2,TRUE),"")</f>
        <v>44894</v>
      </c>
      <c r="C254" s="2" t="str">
        <f>IFERROR(VLOOKUP(Match_Record[[#This Row],[Match No]],Fixtures[[#All],[Match No]:[Location]],5,TRUE),"")</f>
        <v>Ecuador</v>
      </c>
      <c r="D254" s="2" t="str">
        <f>IFERROR(VLOOKUP(Match_Record[[#This Row],[Match No]],Fixtures[[#All],[Match No]:[Location]],8,TRUE),"")</f>
        <v>Senegal</v>
      </c>
      <c r="E254" s="2" t="s">
        <v>1078</v>
      </c>
      <c r="F254" s="18">
        <v>44</v>
      </c>
      <c r="G254" s="2">
        <v>1640</v>
      </c>
      <c r="H254" s="2" t="str">
        <f>IFERROR(VLOOKUP(Match_Record[[#This Row],[Player_No]],Squads[[Player No]:[Player Name]],6,TRUE),"")</f>
        <v>Ismaïla Sarr</v>
      </c>
      <c r="I254" s="2" t="str">
        <f>IFERROR(VLOOKUP(Match_Record[[#This Row],[Player_No]],Squads[[Player No]:[Player Name]],2,TRUE),"")</f>
        <v>Senegal</v>
      </c>
    </row>
    <row r="255" spans="1:9" x14ac:dyDescent="0.25">
      <c r="A255" s="18">
        <v>33</v>
      </c>
      <c r="B255" s="35">
        <f>IFERROR(VLOOKUP(Match_Record[[#This Row],[Match No]],Fixtures[[#All],[Match No]:[Location]],2,TRUE),"")</f>
        <v>44894</v>
      </c>
      <c r="C255" s="2" t="str">
        <f>IFERROR(VLOOKUP(Match_Record[[#This Row],[Match No]],Fixtures[[#All],[Match No]:[Location]],5,TRUE),"")</f>
        <v>Ecuador</v>
      </c>
      <c r="D255" s="2" t="str">
        <f>IFERROR(VLOOKUP(Match_Record[[#This Row],[Match No]],Fixtures[[#All],[Match No]:[Location]],8,TRUE),"")</f>
        <v>Senegal</v>
      </c>
      <c r="E255" s="2" t="s">
        <v>1080</v>
      </c>
      <c r="F255" s="18">
        <v>66</v>
      </c>
      <c r="G255" s="2">
        <v>1628</v>
      </c>
      <c r="H255" s="2" t="str">
        <f>IFERROR(VLOOKUP(Match_Record[[#This Row],[Player_No]],Squads[[Player No]:[Player Name]],6,TRUE),"")</f>
        <v>Idrissa Gueye</v>
      </c>
      <c r="I255" s="2" t="str">
        <f>IFERROR(VLOOKUP(Match_Record[[#This Row],[Player_No]],Squads[[Player No]:[Player Name]],2,TRUE),"")</f>
        <v>Senegal</v>
      </c>
    </row>
    <row r="256" spans="1:9" x14ac:dyDescent="0.25">
      <c r="A256" s="18">
        <v>33</v>
      </c>
      <c r="B256" s="35">
        <f>IFERROR(VLOOKUP(Match_Record[[#This Row],[Match No]],Fixtures[[#All],[Match No]:[Location]],2,TRUE),"")</f>
        <v>44894</v>
      </c>
      <c r="C256" s="2" t="str">
        <f>IFERROR(VLOOKUP(Match_Record[[#This Row],[Match No]],Fixtures[[#All],[Match No]:[Location]],5,TRUE),"")</f>
        <v>Ecuador</v>
      </c>
      <c r="D256" s="2" t="str">
        <f>IFERROR(VLOOKUP(Match_Record[[#This Row],[Match No]],Fixtures[[#All],[Match No]:[Location]],8,TRUE),"")</f>
        <v>Senegal</v>
      </c>
      <c r="E256" s="2" t="s">
        <v>1078</v>
      </c>
      <c r="F256" s="18">
        <v>70</v>
      </c>
      <c r="G256" s="2">
        <v>1626</v>
      </c>
      <c r="H256" s="2" t="str">
        <f>IFERROR(VLOOKUP(Match_Record[[#This Row],[Player_No]],Squads[[Player No]:[Player Name]],6,TRUE),"")</f>
        <v>Kalidou Koulibaly </v>
      </c>
      <c r="I256" s="2" t="str">
        <f>IFERROR(VLOOKUP(Match_Record[[#This Row],[Player_No]],Squads[[Player No]:[Player Name]],2,TRUE),"")</f>
        <v>Senegal</v>
      </c>
    </row>
    <row r="257" spans="1:9" x14ac:dyDescent="0.25">
      <c r="A257" s="18">
        <v>34</v>
      </c>
      <c r="B257" s="35">
        <f>IFERROR(VLOOKUP(Match_Record[[#This Row],[Match No]],Fixtures[[#All],[Match No]:[Location]],2,TRUE),"")</f>
        <v>44894</v>
      </c>
      <c r="C257" s="2" t="str">
        <f>IFERROR(VLOOKUP(Match_Record[[#This Row],[Match No]],Fixtures[[#All],[Match No]:[Location]],5,TRUE),"")</f>
        <v>Netherlands</v>
      </c>
      <c r="D257" s="2" t="str">
        <f>IFERROR(VLOOKUP(Match_Record[[#This Row],[Match No]],Fixtures[[#All],[Match No]:[Location]],8,TRUE),"")</f>
        <v>Qatar</v>
      </c>
      <c r="E257" s="2" t="s">
        <v>1078</v>
      </c>
      <c r="F257" s="18">
        <v>26</v>
      </c>
      <c r="G257" s="2">
        <v>1501</v>
      </c>
      <c r="H257" s="2" t="str">
        <f>IFERROR(VLOOKUP(Match_Record[[#This Row],[Player_No]],Squads[[Player No]:[Player Name]],6,TRUE),"")</f>
        <v>Cody Gakpo</v>
      </c>
      <c r="I257" s="2" t="str">
        <f>IFERROR(VLOOKUP(Match_Record[[#This Row],[Player_No]],Squads[[Player No]:[Player Name]],2,TRUE),"")</f>
        <v>Netherlands</v>
      </c>
    </row>
    <row r="258" spans="1:9" x14ac:dyDescent="0.25">
      <c r="A258" s="18">
        <v>34</v>
      </c>
      <c r="B258" s="35">
        <f>IFERROR(VLOOKUP(Match_Record[[#This Row],[Match No]],Fixtures[[#All],[Match No]:[Location]],2,TRUE),"")</f>
        <v>44894</v>
      </c>
      <c r="C258" s="2" t="str">
        <f>IFERROR(VLOOKUP(Match_Record[[#This Row],[Match No]],Fixtures[[#All],[Match No]:[Location]],5,TRUE),"")</f>
        <v>Netherlands</v>
      </c>
      <c r="D258" s="2" t="str">
        <f>IFERROR(VLOOKUP(Match_Record[[#This Row],[Match No]],Fixtures[[#All],[Match No]:[Location]],8,TRUE),"")</f>
        <v>Qatar</v>
      </c>
      <c r="E258" s="2" t="s">
        <v>1079</v>
      </c>
      <c r="F258" s="18">
        <v>26</v>
      </c>
      <c r="G258" s="2">
        <v>1507</v>
      </c>
      <c r="H258" s="2" t="str">
        <f>IFERROR(VLOOKUP(Match_Record[[#This Row],[Player_No]],Squads[[Player No]:[Player Name]],6,TRUE),"")</f>
        <v>Davy Klaassen</v>
      </c>
      <c r="I258" s="2" t="str">
        <f>IFERROR(VLOOKUP(Match_Record[[#This Row],[Player_No]],Squads[[Player No]:[Player Name]],2,TRUE),"")</f>
        <v>Netherlands</v>
      </c>
    </row>
    <row r="259" spans="1:9" x14ac:dyDescent="0.25">
      <c r="A259" s="18">
        <v>34</v>
      </c>
      <c r="B259" s="35">
        <f>IFERROR(VLOOKUP(Match_Record[[#This Row],[Match No]],Fixtures[[#All],[Match No]:[Location]],2,TRUE),"")</f>
        <v>44894</v>
      </c>
      <c r="C259" s="2" t="str">
        <f>IFERROR(VLOOKUP(Match_Record[[#This Row],[Match No]],Fixtures[[#All],[Match No]:[Location]],5,TRUE),"")</f>
        <v>Netherlands</v>
      </c>
      <c r="D259" s="2" t="str">
        <f>IFERROR(VLOOKUP(Match_Record[[#This Row],[Match No]],Fixtures[[#All],[Match No]:[Location]],8,TRUE),"")</f>
        <v>Qatar</v>
      </c>
      <c r="E259" s="2" t="s">
        <v>1078</v>
      </c>
      <c r="F259" s="18">
        <v>49</v>
      </c>
      <c r="G259" s="2">
        <v>1514</v>
      </c>
      <c r="H259" s="2" t="str">
        <f>IFERROR(VLOOKUP(Match_Record[[#This Row],[Player_No]],Squads[[Player No]:[Player Name]],6,TRUE),"")</f>
        <v>Frenkie de Jong</v>
      </c>
      <c r="I259" s="2" t="str">
        <f>IFERROR(VLOOKUP(Match_Record[[#This Row],[Player_No]],Squads[[Player No]:[Player Name]],2,TRUE),"")</f>
        <v>Netherlands</v>
      </c>
    </row>
    <row r="260" spans="1:9" x14ac:dyDescent="0.25">
      <c r="A260" s="18">
        <v>34</v>
      </c>
      <c r="B260" s="35">
        <f>IFERROR(VLOOKUP(Match_Record[[#This Row],[Match No]],Fixtures[[#All],[Match No]:[Location]],2,TRUE),"")</f>
        <v>44894</v>
      </c>
      <c r="C260" s="2" t="str">
        <f>IFERROR(VLOOKUP(Match_Record[[#This Row],[Match No]],Fixtures[[#All],[Match No]:[Location]],5,TRUE),"")</f>
        <v>Netherlands</v>
      </c>
      <c r="D260" s="2" t="str">
        <f>IFERROR(VLOOKUP(Match_Record[[#This Row],[Match No]],Fixtures[[#All],[Match No]:[Location]],8,TRUE),"")</f>
        <v>Qatar</v>
      </c>
      <c r="E260" s="2" t="s">
        <v>1080</v>
      </c>
      <c r="F260" s="18">
        <v>52</v>
      </c>
      <c r="G260" s="2">
        <v>1498</v>
      </c>
      <c r="H260" s="2" t="str">
        <f>IFERROR(VLOOKUP(Match_Record[[#This Row],[Player_No]],Squads[[Player No]:[Player Name]],6,TRUE),"")</f>
        <v>Nathan Aké</v>
      </c>
      <c r="I260" s="2" t="str">
        <f>IFERROR(VLOOKUP(Match_Record[[#This Row],[Player_No]],Squads[[Player No]:[Player Name]],2,TRUE),"")</f>
        <v>Netherlands</v>
      </c>
    </row>
    <row r="261" spans="1:9" x14ac:dyDescent="0.25">
      <c r="A261" s="18">
        <v>35</v>
      </c>
      <c r="B261" s="35">
        <f>IFERROR(VLOOKUP(Match_Record[[#This Row],[Match No]],Fixtures[[#All],[Match No]:[Location]],2,TRUE),"")</f>
        <v>44894</v>
      </c>
      <c r="C261" s="2" t="str">
        <f>IFERROR(VLOOKUP(Match_Record[[#This Row],[Match No]],Fixtures[[#All],[Match No]:[Location]],5,TRUE),"")</f>
        <v>Iran</v>
      </c>
      <c r="D261" s="2" t="str">
        <f>IFERROR(VLOOKUP(Match_Record[[#This Row],[Match No]],Fixtures[[#All],[Match No]:[Location]],8,TRUE),"")</f>
        <v>USA</v>
      </c>
      <c r="E261" s="2" t="s">
        <v>1080</v>
      </c>
      <c r="F261" s="18">
        <v>77</v>
      </c>
      <c r="G261" s="2">
        <v>1383</v>
      </c>
      <c r="H261" s="2" t="str">
        <f>IFERROR(VLOOKUP(Match_Record[[#This Row],[Player_No]],Squads[[Player No]:[Player Name]],6,TRUE),"")</f>
        <v>Majid Hosseini</v>
      </c>
      <c r="I261" s="2" t="str">
        <f>IFERROR(VLOOKUP(Match_Record[[#This Row],[Player_No]],Squads[[Player No]:[Player Name]],2,TRUE),"")</f>
        <v>Iran</v>
      </c>
    </row>
    <row r="262" spans="1:9" x14ac:dyDescent="0.25">
      <c r="A262" s="18">
        <v>35</v>
      </c>
      <c r="B262" s="35">
        <f>IFERROR(VLOOKUP(Match_Record[[#This Row],[Match No]],Fixtures[[#All],[Match No]:[Location]],2,TRUE),"")</f>
        <v>44894</v>
      </c>
      <c r="C262" s="2" t="str">
        <f>IFERROR(VLOOKUP(Match_Record[[#This Row],[Match No]],Fixtures[[#All],[Match No]:[Location]],5,TRUE),"")</f>
        <v>Iran</v>
      </c>
      <c r="D262" s="2" t="str">
        <f>IFERROR(VLOOKUP(Match_Record[[#This Row],[Match No]],Fixtures[[#All],[Match No]:[Location]],8,TRUE),"")</f>
        <v>USA</v>
      </c>
      <c r="E262" s="2" t="s">
        <v>1080</v>
      </c>
      <c r="F262" s="18">
        <v>96</v>
      </c>
      <c r="G262" s="2">
        <v>1389</v>
      </c>
      <c r="H262" s="2" t="str">
        <f>IFERROR(VLOOKUP(Match_Record[[#This Row],[Player_No]],Squads[[Player No]:[Player Name]],6,TRUE),"")</f>
        <v>Abolfazl Jalali</v>
      </c>
      <c r="I262" s="2" t="str">
        <f>IFERROR(VLOOKUP(Match_Record[[#This Row],[Player_No]],Squads[[Player No]:[Player Name]],2,TRUE),"")</f>
        <v>Iran</v>
      </c>
    </row>
    <row r="263" spans="1:9" x14ac:dyDescent="0.25">
      <c r="A263" s="18">
        <v>35</v>
      </c>
      <c r="B263" s="35">
        <f>IFERROR(VLOOKUP(Match_Record[[#This Row],[Match No]],Fixtures[[#All],[Match No]:[Location]],2,TRUE),"")</f>
        <v>44894</v>
      </c>
      <c r="C263" s="2" t="str">
        <f>IFERROR(VLOOKUP(Match_Record[[#This Row],[Match No]],Fixtures[[#All],[Match No]:[Location]],5,TRUE),"")</f>
        <v>Iran</v>
      </c>
      <c r="D263" s="2" t="str">
        <f>IFERROR(VLOOKUP(Match_Record[[#This Row],[Match No]],Fixtures[[#All],[Match No]:[Location]],8,TRUE),"")</f>
        <v>USA</v>
      </c>
      <c r="E263" s="2" t="s">
        <v>1078</v>
      </c>
      <c r="F263" s="18">
        <v>38</v>
      </c>
      <c r="G263" s="2">
        <v>1788</v>
      </c>
      <c r="H263" s="2" t="str">
        <f>IFERROR(VLOOKUP(Match_Record[[#This Row],[Player_No]],Squads[[Player No]:[Player Name]],6,TRUE),"")</f>
        <v>Christian Pulisic</v>
      </c>
      <c r="I263" s="2" t="str">
        <f>IFERROR(VLOOKUP(Match_Record[[#This Row],[Player_No]],Squads[[Player No]:[Player Name]],2,TRUE),"")</f>
        <v>USA</v>
      </c>
    </row>
    <row r="264" spans="1:9" x14ac:dyDescent="0.25">
      <c r="A264" s="18">
        <v>35</v>
      </c>
      <c r="B264" s="35">
        <f>IFERROR(VLOOKUP(Match_Record[[#This Row],[Match No]],Fixtures[[#All],[Match No]:[Location]],2,TRUE),"")</f>
        <v>44894</v>
      </c>
      <c r="C264" s="2" t="str">
        <f>IFERROR(VLOOKUP(Match_Record[[#This Row],[Match No]],Fixtures[[#All],[Match No]:[Location]],5,TRUE),"")</f>
        <v>Iran</v>
      </c>
      <c r="D264" s="2" t="str">
        <f>IFERROR(VLOOKUP(Match_Record[[#This Row],[Match No]],Fixtures[[#All],[Match No]:[Location]],8,TRUE),"")</f>
        <v>USA</v>
      </c>
      <c r="E264" s="2" t="s">
        <v>1079</v>
      </c>
      <c r="F264" s="18">
        <v>38</v>
      </c>
      <c r="G264" s="2">
        <v>1780</v>
      </c>
      <c r="H264" s="2" t="str">
        <f>IFERROR(VLOOKUP(Match_Record[[#This Row],[Player_No]],Squads[[Player No]:[Player Name]],6,TRUE),"")</f>
        <v>Sergiño Dest</v>
      </c>
      <c r="I264" s="2" t="str">
        <f>IFERROR(VLOOKUP(Match_Record[[#This Row],[Player_No]],Squads[[Player No]:[Player Name]],2,TRUE),"")</f>
        <v>USA</v>
      </c>
    </row>
    <row r="265" spans="1:9" x14ac:dyDescent="0.25">
      <c r="A265" s="18">
        <v>35</v>
      </c>
      <c r="B265" s="35">
        <f>IFERROR(VLOOKUP(Match_Record[[#This Row],[Match No]],Fixtures[[#All],[Match No]:[Location]],2,TRUE),"")</f>
        <v>44894</v>
      </c>
      <c r="C265" s="2" t="str">
        <f>IFERROR(VLOOKUP(Match_Record[[#This Row],[Match No]],Fixtures[[#All],[Match No]:[Location]],5,TRUE),"")</f>
        <v>Iran</v>
      </c>
      <c r="D265" s="2" t="str">
        <f>IFERROR(VLOOKUP(Match_Record[[#This Row],[Match No]],Fixtures[[#All],[Match No]:[Location]],8,TRUE),"")</f>
        <v>USA</v>
      </c>
      <c r="E265" s="2" t="s">
        <v>1080</v>
      </c>
      <c r="F265" s="18">
        <v>43</v>
      </c>
      <c r="G265" s="2">
        <v>1782</v>
      </c>
      <c r="H265" s="2" t="str">
        <f>IFERROR(VLOOKUP(Match_Record[[#This Row],[Player_No]],Squads[[Player No]:[Player Name]],6,TRUE),"")</f>
        <v>Tyler Adams</v>
      </c>
      <c r="I265" s="2" t="str">
        <f>IFERROR(VLOOKUP(Match_Record[[#This Row],[Player_No]],Squads[[Player No]:[Player Name]],2,TRUE),"")</f>
        <v>USA</v>
      </c>
    </row>
    <row r="266" spans="1:9" x14ac:dyDescent="0.25">
      <c r="A266" s="18">
        <v>36</v>
      </c>
      <c r="B266" s="35">
        <f>IFERROR(VLOOKUP(Match_Record[[#This Row],[Match No]],Fixtures[[#All],[Match No]:[Location]],2,TRUE),"")</f>
        <v>44894</v>
      </c>
      <c r="C266" s="2" t="str">
        <f>IFERROR(VLOOKUP(Match_Record[[#This Row],[Match No]],Fixtures[[#All],[Match No]:[Location]],5,TRUE),"")</f>
        <v>Wales</v>
      </c>
      <c r="D266" s="2" t="str">
        <f>IFERROR(VLOOKUP(Match_Record[[#This Row],[Match No]],Fixtures[[#All],[Match No]:[Location]],8,TRUE),"")</f>
        <v>England</v>
      </c>
      <c r="E266" s="2" t="s">
        <v>1080</v>
      </c>
      <c r="F266" s="18">
        <v>29</v>
      </c>
      <c r="G266" s="2">
        <v>1824</v>
      </c>
      <c r="H266" s="2" t="str">
        <f>IFERROR(VLOOKUP(Match_Record[[#This Row],[Player_No]],Squads[[Player No]:[Player Name]],6,TRUE),"")</f>
        <v>Daniel James</v>
      </c>
      <c r="I266" s="2" t="str">
        <f>IFERROR(VLOOKUP(Match_Record[[#This Row],[Player_No]],Squads[[Player No]:[Player Name]],2,TRUE),"")</f>
        <v>Wales</v>
      </c>
    </row>
    <row r="267" spans="1:9" x14ac:dyDescent="0.25">
      <c r="A267" s="18">
        <v>36</v>
      </c>
      <c r="B267" s="35">
        <f>IFERROR(VLOOKUP(Match_Record[[#This Row],[Match No]],Fixtures[[#All],[Match No]:[Location]],2,TRUE),"")</f>
        <v>44894</v>
      </c>
      <c r="C267" s="2" t="str">
        <f>IFERROR(VLOOKUP(Match_Record[[#This Row],[Match No]],Fixtures[[#All],[Match No]:[Location]],5,TRUE),"")</f>
        <v>Wales</v>
      </c>
      <c r="D267" s="2" t="str">
        <f>IFERROR(VLOOKUP(Match_Record[[#This Row],[Match No]],Fixtures[[#All],[Match No]:[Location]],8,TRUE),"")</f>
        <v>England</v>
      </c>
      <c r="E267" s="2" t="s">
        <v>1080</v>
      </c>
      <c r="F267" s="18">
        <v>61</v>
      </c>
      <c r="G267" s="2">
        <v>1814</v>
      </c>
      <c r="H267" s="2" t="str">
        <f>IFERROR(VLOOKUP(Match_Record[[#This Row],[Player_No]],Squads[[Player No]:[Player Name]],6,TRUE),"")</f>
        <v>Aaron Ramsey</v>
      </c>
      <c r="I267" s="2" t="str">
        <f>IFERROR(VLOOKUP(Match_Record[[#This Row],[Player_No]],Squads[[Player No]:[Player Name]],2,TRUE),"")</f>
        <v>Wales</v>
      </c>
    </row>
    <row r="268" spans="1:9" x14ac:dyDescent="0.25">
      <c r="A268" s="18">
        <v>36</v>
      </c>
      <c r="B268" s="35">
        <f>IFERROR(VLOOKUP(Match_Record[[#This Row],[Match No]],Fixtures[[#All],[Match No]:[Location]],2,TRUE),"")</f>
        <v>44894</v>
      </c>
      <c r="C268" s="2" t="str">
        <f>IFERROR(VLOOKUP(Match_Record[[#This Row],[Match No]],Fixtures[[#All],[Match No]:[Location]],5,TRUE),"")</f>
        <v>Wales</v>
      </c>
      <c r="D268" s="2" t="str">
        <f>IFERROR(VLOOKUP(Match_Record[[#This Row],[Match No]],Fixtures[[#All],[Match No]:[Location]],8,TRUE),"")</f>
        <v>England</v>
      </c>
      <c r="E268" s="2" t="s">
        <v>1078</v>
      </c>
      <c r="F268" s="18">
        <v>50</v>
      </c>
      <c r="G268" s="2">
        <v>1271</v>
      </c>
      <c r="H268" s="2" t="str">
        <f>IFERROR(VLOOKUP(Match_Record[[#This Row],[Player_No]],Squads[[Player No]:[Player Name]],6,TRUE),"")</f>
        <v>Marcus Rashford</v>
      </c>
      <c r="I268" s="2" t="str">
        <f>IFERROR(VLOOKUP(Match_Record[[#This Row],[Player_No]],Squads[[Player No]:[Player Name]],2,TRUE),"")</f>
        <v>England</v>
      </c>
    </row>
    <row r="269" spans="1:9" x14ac:dyDescent="0.25">
      <c r="A269" s="18">
        <v>36</v>
      </c>
      <c r="B269" s="35">
        <f>IFERROR(VLOOKUP(Match_Record[[#This Row],[Match No]],Fixtures[[#All],[Match No]:[Location]],2,TRUE),"")</f>
        <v>44894</v>
      </c>
      <c r="C269" s="2" t="str">
        <f>IFERROR(VLOOKUP(Match_Record[[#This Row],[Match No]],Fixtures[[#All],[Match No]:[Location]],5,TRUE),"")</f>
        <v>Wales</v>
      </c>
      <c r="D269" s="2" t="str">
        <f>IFERROR(VLOOKUP(Match_Record[[#This Row],[Match No]],Fixtures[[#All],[Match No]:[Location]],8,TRUE),"")</f>
        <v>England</v>
      </c>
      <c r="E269" s="2" t="s">
        <v>1078</v>
      </c>
      <c r="F269" s="18">
        <v>51</v>
      </c>
      <c r="G269" s="2">
        <v>1280</v>
      </c>
      <c r="H269" s="2" t="str">
        <f>IFERROR(VLOOKUP(Match_Record[[#This Row],[Player_No]],Squads[[Player No]:[Player Name]],6,TRUE),"")</f>
        <v>Phil Foden</v>
      </c>
      <c r="I269" s="2" t="str">
        <f>IFERROR(VLOOKUP(Match_Record[[#This Row],[Player_No]],Squads[[Player No]:[Player Name]],2,TRUE),"")</f>
        <v>England</v>
      </c>
    </row>
    <row r="270" spans="1:9" x14ac:dyDescent="0.25">
      <c r="A270" s="18">
        <v>36</v>
      </c>
      <c r="B270" s="35">
        <f>IFERROR(VLOOKUP(Match_Record[[#This Row],[Match No]],Fixtures[[#All],[Match No]:[Location]],2,TRUE),"")</f>
        <v>44894</v>
      </c>
      <c r="C270" s="2" t="str">
        <f>IFERROR(VLOOKUP(Match_Record[[#This Row],[Match No]],Fixtures[[#All],[Match No]:[Location]],5,TRUE),"")</f>
        <v>Wales</v>
      </c>
      <c r="D270" s="2" t="str">
        <f>IFERROR(VLOOKUP(Match_Record[[#This Row],[Match No]],Fixtures[[#All],[Match No]:[Location]],8,TRUE),"")</f>
        <v>England</v>
      </c>
      <c r="E270" s="2" t="s">
        <v>1079</v>
      </c>
      <c r="F270" s="18">
        <v>51</v>
      </c>
      <c r="G270" s="2">
        <v>1269</v>
      </c>
      <c r="H270" s="2" t="str">
        <f>IFERROR(VLOOKUP(Match_Record[[#This Row],[Player_No]],Squads[[Player No]:[Player Name]],6,TRUE),"")</f>
        <v>Harry Kane </v>
      </c>
      <c r="I270" s="2" t="str">
        <f>IFERROR(VLOOKUP(Match_Record[[#This Row],[Player_No]],Squads[[Player No]:[Player Name]],2,TRUE),"")</f>
        <v>England</v>
      </c>
    </row>
    <row r="271" spans="1:9" x14ac:dyDescent="0.25">
      <c r="A271" s="18">
        <v>36</v>
      </c>
      <c r="B271" s="35">
        <f>IFERROR(VLOOKUP(Match_Record[[#This Row],[Match No]],Fixtures[[#All],[Match No]:[Location]],2,TRUE),"")</f>
        <v>44894</v>
      </c>
      <c r="C271" s="2" t="str">
        <f>IFERROR(VLOOKUP(Match_Record[[#This Row],[Match No]],Fixtures[[#All],[Match No]:[Location]],5,TRUE),"")</f>
        <v>Wales</v>
      </c>
      <c r="D271" s="2" t="str">
        <f>IFERROR(VLOOKUP(Match_Record[[#This Row],[Match No]],Fixtures[[#All],[Match No]:[Location]],8,TRUE),"")</f>
        <v>England</v>
      </c>
      <c r="E271" s="2" t="s">
        <v>1078</v>
      </c>
      <c r="F271" s="18">
        <v>68</v>
      </c>
      <c r="G271" s="2">
        <v>1271</v>
      </c>
      <c r="H271" s="2" t="str">
        <f>IFERROR(VLOOKUP(Match_Record[[#This Row],[Player_No]],Squads[[Player No]:[Player Name]],6,TRUE),"")</f>
        <v>Marcus Rashford</v>
      </c>
      <c r="I271" s="2" t="str">
        <f>IFERROR(VLOOKUP(Match_Record[[#This Row],[Player_No]],Squads[[Player No]:[Player Name]],2,TRUE),"")</f>
        <v>England</v>
      </c>
    </row>
    <row r="272" spans="1:9" x14ac:dyDescent="0.25">
      <c r="A272" s="18">
        <v>36</v>
      </c>
      <c r="B272" s="35">
        <f>IFERROR(VLOOKUP(Match_Record[[#This Row],[Match No]],Fixtures[[#All],[Match No]:[Location]],2,TRUE),"")</f>
        <v>44894</v>
      </c>
      <c r="C272" s="2" t="str">
        <f>IFERROR(VLOOKUP(Match_Record[[#This Row],[Match No]],Fixtures[[#All],[Match No]:[Location]],5,TRUE),"")</f>
        <v>Wales</v>
      </c>
      <c r="D272" s="2" t="str">
        <f>IFERROR(VLOOKUP(Match_Record[[#This Row],[Match No]],Fixtures[[#All],[Match No]:[Location]],8,TRUE),"")</f>
        <v>England</v>
      </c>
      <c r="E272" s="2" t="s">
        <v>1079</v>
      </c>
      <c r="F272" s="18">
        <v>68</v>
      </c>
      <c r="G272" s="2">
        <v>1274</v>
      </c>
      <c r="H272" s="2" t="str">
        <f>IFERROR(VLOOKUP(Match_Record[[#This Row],[Player_No]],Squads[[Player No]:[Player Name]],6,TRUE),"")</f>
        <v>Kalvin Phillips</v>
      </c>
      <c r="I272" s="2" t="str">
        <f>IFERROR(VLOOKUP(Match_Record[[#This Row],[Player_No]],Squads[[Player No]:[Player Name]],2,TRUE),"")</f>
        <v>England</v>
      </c>
    </row>
    <row r="273" spans="1:9" x14ac:dyDescent="0.25">
      <c r="A273" s="18">
        <v>37</v>
      </c>
      <c r="B273" s="35">
        <f>IFERROR(VLOOKUP(Match_Record[[#This Row],[Match No]],Fixtures[[#All],[Match No]:[Location]],2,TRUE),"")</f>
        <v>44895</v>
      </c>
      <c r="C273" s="2" t="str">
        <f>IFERROR(VLOOKUP(Match_Record[[#This Row],[Match No]],Fixtures[[#All],[Match No]:[Location]],5,TRUE),"")</f>
        <v>Australia</v>
      </c>
      <c r="D273" s="2" t="str">
        <f>IFERROR(VLOOKUP(Match_Record[[#This Row],[Match No]],Fixtures[[#All],[Match No]:[Location]],8,TRUE),"")</f>
        <v>Denmark</v>
      </c>
      <c r="E273" s="2" t="s">
        <v>1080</v>
      </c>
      <c r="F273" s="18">
        <v>4</v>
      </c>
      <c r="G273" s="2">
        <v>1042</v>
      </c>
      <c r="H273" s="2" t="str">
        <f>IFERROR(VLOOKUP(Match_Record[[#This Row],[Player_No]],Squads[[Player No]:[Player Name]],6,TRUE),"")</f>
        <v>Aziz Behich</v>
      </c>
      <c r="I273" s="2" t="str">
        <f>IFERROR(VLOOKUP(Match_Record[[#This Row],[Player_No]],Squads[[Player No]:[Player Name]],2,TRUE),"")</f>
        <v>Australia</v>
      </c>
    </row>
    <row r="274" spans="1:9" x14ac:dyDescent="0.25">
      <c r="A274" s="18">
        <v>37</v>
      </c>
      <c r="B274" s="35">
        <f>IFERROR(VLOOKUP(Match_Record[[#This Row],[Match No]],Fixtures[[#All],[Match No]:[Location]],2,TRUE),"")</f>
        <v>44895</v>
      </c>
      <c r="C274" s="2" t="str">
        <f>IFERROR(VLOOKUP(Match_Record[[#This Row],[Match No]],Fixtures[[#All],[Match No]:[Location]],5,TRUE),"")</f>
        <v>Australia</v>
      </c>
      <c r="D274" s="2" t="str">
        <f>IFERROR(VLOOKUP(Match_Record[[#This Row],[Match No]],Fixtures[[#All],[Match No]:[Location]],8,TRUE),"")</f>
        <v>Denmark</v>
      </c>
      <c r="E274" s="2" t="s">
        <v>1080</v>
      </c>
      <c r="F274" s="18">
        <v>57</v>
      </c>
      <c r="G274" s="2">
        <v>1028</v>
      </c>
      <c r="H274" s="2" t="str">
        <f>IFERROR(VLOOKUP(Match_Record[[#This Row],[Player_No]],Squads[[Player No]:[Player Name]],6,TRUE),"")</f>
        <v>Miloš Degenek</v>
      </c>
      <c r="I274" s="2" t="str">
        <f>IFERROR(VLOOKUP(Match_Record[[#This Row],[Player_No]],Squads[[Player No]:[Player Name]],2,TRUE),"")</f>
        <v>Australia</v>
      </c>
    </row>
    <row r="275" spans="1:9" x14ac:dyDescent="0.25">
      <c r="A275" s="18">
        <v>37</v>
      </c>
      <c r="B275" s="35">
        <f>IFERROR(VLOOKUP(Match_Record[[#This Row],[Match No]],Fixtures[[#All],[Match No]:[Location]],2,TRUE),"")</f>
        <v>44895</v>
      </c>
      <c r="C275" s="2" t="str">
        <f>IFERROR(VLOOKUP(Match_Record[[#This Row],[Match No]],Fixtures[[#All],[Match No]:[Location]],5,TRUE),"")</f>
        <v>Australia</v>
      </c>
      <c r="D275" s="2" t="str">
        <f>IFERROR(VLOOKUP(Match_Record[[#This Row],[Match No]],Fixtures[[#All],[Match No]:[Location]],8,TRUE),"")</f>
        <v>Denmark</v>
      </c>
      <c r="E275" s="2" t="s">
        <v>1078</v>
      </c>
      <c r="F275" s="18">
        <v>60</v>
      </c>
      <c r="G275" s="2">
        <v>1033</v>
      </c>
      <c r="H275" s="2" t="str">
        <f>IFERROR(VLOOKUP(Match_Record[[#This Row],[Player_No]],Squads[[Player No]:[Player Name]],6,TRUE),"")</f>
        <v>Mathew Leckie</v>
      </c>
      <c r="I275" s="2" t="str">
        <f>IFERROR(VLOOKUP(Match_Record[[#This Row],[Player_No]],Squads[[Player No]:[Player Name]],2,TRUE),"")</f>
        <v>Australia</v>
      </c>
    </row>
    <row r="276" spans="1:9" x14ac:dyDescent="0.25">
      <c r="A276" s="18">
        <v>37</v>
      </c>
      <c r="B276" s="35">
        <f>IFERROR(VLOOKUP(Match_Record[[#This Row],[Match No]],Fixtures[[#All],[Match No]:[Location]],2,TRUE),"")</f>
        <v>44895</v>
      </c>
      <c r="C276" s="2" t="str">
        <f>IFERROR(VLOOKUP(Match_Record[[#This Row],[Match No]],Fixtures[[#All],[Match No]:[Location]],5,TRUE),"")</f>
        <v>Australia</v>
      </c>
      <c r="D276" s="2" t="str">
        <f>IFERROR(VLOOKUP(Match_Record[[#This Row],[Match No]],Fixtures[[#All],[Match No]:[Location]],8,TRUE),"")</f>
        <v>Denmark</v>
      </c>
      <c r="E276" s="2" t="s">
        <v>1079</v>
      </c>
      <c r="F276" s="18">
        <v>60</v>
      </c>
      <c r="G276" s="2">
        <v>1040</v>
      </c>
      <c r="H276" s="2" t="str">
        <f>IFERROR(VLOOKUP(Match_Record[[#This Row],[Player_No]],Squads[[Player No]:[Player Name]],6,TRUE),"")</f>
        <v>Riley McGree</v>
      </c>
      <c r="I276" s="2" t="str">
        <f>IFERROR(VLOOKUP(Match_Record[[#This Row],[Player_No]],Squads[[Player No]:[Player Name]],2,TRUE),"")</f>
        <v>Australia</v>
      </c>
    </row>
    <row r="277" spans="1:9" x14ac:dyDescent="0.25">
      <c r="A277" s="18">
        <v>37</v>
      </c>
      <c r="B277" s="35">
        <f>IFERROR(VLOOKUP(Match_Record[[#This Row],[Match No]],Fixtures[[#All],[Match No]:[Location]],2,TRUE),"")</f>
        <v>44895</v>
      </c>
      <c r="C277" s="2" t="str">
        <f>IFERROR(VLOOKUP(Match_Record[[#This Row],[Match No]],Fixtures[[#All],[Match No]:[Location]],5,TRUE),"")</f>
        <v>Australia</v>
      </c>
      <c r="D277" s="2" t="str">
        <f>IFERROR(VLOOKUP(Match_Record[[#This Row],[Match No]],Fixtures[[#All],[Match No]:[Location]],8,TRUE),"")</f>
        <v>Denmark</v>
      </c>
      <c r="E277" s="2" t="s">
        <v>1080</v>
      </c>
      <c r="F277" s="18">
        <v>75</v>
      </c>
      <c r="G277" s="2">
        <v>1232</v>
      </c>
      <c r="H277" s="2" t="str">
        <f>IFERROR(VLOOKUP(Match_Record[[#This Row],[Player_No]],Squads[[Player No]:[Player Name]],6,TRUE),"")</f>
        <v>Robert Skov</v>
      </c>
      <c r="I277" s="2" t="str">
        <f>IFERROR(VLOOKUP(Match_Record[[#This Row],[Player_No]],Squads[[Player No]:[Player Name]],2,TRUE),"")</f>
        <v>Denmark</v>
      </c>
    </row>
    <row r="278" spans="1:9" x14ac:dyDescent="0.25">
      <c r="A278" s="18">
        <v>38</v>
      </c>
      <c r="B278" s="35">
        <f>IFERROR(VLOOKUP(Match_Record[[#This Row],[Match No]],Fixtures[[#All],[Match No]:[Location]],2,TRUE),"")</f>
        <v>44895</v>
      </c>
      <c r="C278" s="2" t="str">
        <f>IFERROR(VLOOKUP(Match_Record[[#This Row],[Match No]],Fixtures[[#All],[Match No]:[Location]],5,TRUE),"")</f>
        <v>Tunisia</v>
      </c>
      <c r="D278" s="2" t="str">
        <f>IFERROR(VLOOKUP(Match_Record[[#This Row],[Match No]],Fixtures[[#All],[Match No]:[Location]],8,TRUE),"")</f>
        <v>France</v>
      </c>
      <c r="E278" s="2" t="s">
        <v>1080</v>
      </c>
      <c r="F278" s="18">
        <v>28</v>
      </c>
      <c r="G278" s="2">
        <v>1747</v>
      </c>
      <c r="H278" s="2" t="str">
        <f>IFERROR(VLOOKUP(Match_Record[[#This Row],[Player_No]],Squads[[Player No]:[Player Name]],6,TRUE),"")</f>
        <v>Wajdi Kechrida</v>
      </c>
      <c r="I278" s="2" t="str">
        <f>IFERROR(VLOOKUP(Match_Record[[#This Row],[Player_No]],Squads[[Player No]:[Player Name]],2,TRUE),"")</f>
        <v>Tunisia</v>
      </c>
    </row>
    <row r="279" spans="1:9" x14ac:dyDescent="0.25">
      <c r="A279" s="18">
        <v>38</v>
      </c>
      <c r="B279" s="35">
        <f>IFERROR(VLOOKUP(Match_Record[[#This Row],[Match No]],Fixtures[[#All],[Match No]:[Location]],2,TRUE),"")</f>
        <v>44895</v>
      </c>
      <c r="C279" s="2" t="str">
        <f>IFERROR(VLOOKUP(Match_Record[[#This Row],[Match No]],Fixtures[[#All],[Match No]:[Location]],5,TRUE),"")</f>
        <v>Tunisia</v>
      </c>
      <c r="D279" s="2" t="str">
        <f>IFERROR(VLOOKUP(Match_Record[[#This Row],[Match No]],Fixtures[[#All],[Match No]:[Location]],8,TRUE),"")</f>
        <v>France</v>
      </c>
      <c r="E279" s="2" t="s">
        <v>1078</v>
      </c>
      <c r="F279" s="18">
        <v>58</v>
      </c>
      <c r="G279" s="2">
        <v>1736</v>
      </c>
      <c r="H279" s="2" t="str">
        <f>IFERROR(VLOOKUP(Match_Record[[#This Row],[Player_No]],Squads[[Player No]:[Player Name]],6,TRUE),"")</f>
        <v>Wahbi Khazri</v>
      </c>
      <c r="I279" s="2" t="str">
        <f>IFERROR(VLOOKUP(Match_Record[[#This Row],[Player_No]],Squads[[Player No]:[Player Name]],2,TRUE),"")</f>
        <v>Tunisia</v>
      </c>
    </row>
    <row r="280" spans="1:9" x14ac:dyDescent="0.25">
      <c r="A280" s="18">
        <v>38</v>
      </c>
      <c r="B280" s="35">
        <f>IFERROR(VLOOKUP(Match_Record[[#This Row],[Match No]],Fixtures[[#All],[Match No]:[Location]],2,TRUE),"")</f>
        <v>44895</v>
      </c>
      <c r="C280" s="2" t="str">
        <f>IFERROR(VLOOKUP(Match_Record[[#This Row],[Match No]],Fixtures[[#All],[Match No]:[Location]],5,TRUE),"")</f>
        <v>Tunisia</v>
      </c>
      <c r="D280" s="2" t="str">
        <f>IFERROR(VLOOKUP(Match_Record[[#This Row],[Match No]],Fixtures[[#All],[Match No]:[Location]],8,TRUE),"")</f>
        <v>France</v>
      </c>
      <c r="E280" s="2" t="s">
        <v>1079</v>
      </c>
      <c r="F280" s="18">
        <v>58</v>
      </c>
      <c r="G280" s="2">
        <v>1740</v>
      </c>
      <c r="H280" s="2" t="str">
        <f>IFERROR(VLOOKUP(Match_Record[[#This Row],[Player_No]],Squads[[Player No]:[Player Name]],6,TRUE),"")</f>
        <v>Aïssa Laïdouni</v>
      </c>
      <c r="I280" s="2" t="str">
        <f>IFERROR(VLOOKUP(Match_Record[[#This Row],[Player_No]],Squads[[Player No]:[Player Name]],2,TRUE),"")</f>
        <v>Tunisia</v>
      </c>
    </row>
    <row r="281" spans="1:9" x14ac:dyDescent="0.25">
      <c r="A281" s="18">
        <v>39</v>
      </c>
      <c r="B281" s="35">
        <f>IFERROR(VLOOKUP(Match_Record[[#This Row],[Match No]],Fixtures[[#All],[Match No]:[Location]],2,TRUE),"")</f>
        <v>44895</v>
      </c>
      <c r="C281" s="2" t="str">
        <f>IFERROR(VLOOKUP(Match_Record[[#This Row],[Match No]],Fixtures[[#All],[Match No]:[Location]],5,TRUE),"")</f>
        <v>Poland</v>
      </c>
      <c r="D281" s="2" t="str">
        <f>IFERROR(VLOOKUP(Match_Record[[#This Row],[Match No]],Fixtures[[#All],[Match No]:[Location]],8,TRUE),"")</f>
        <v>Argentina</v>
      </c>
      <c r="E281" s="2" t="s">
        <v>1080</v>
      </c>
      <c r="F281" s="18">
        <v>78</v>
      </c>
      <c r="G281" s="2">
        <v>1529</v>
      </c>
      <c r="H281" s="2" t="str">
        <f>IFERROR(VLOOKUP(Match_Record[[#This Row],[Player_No]],Squads[[Player No]:[Player Name]],6,TRUE),"")</f>
        <v>Grzegorz Krychowiak</v>
      </c>
      <c r="I281" s="2" t="str">
        <f>IFERROR(VLOOKUP(Match_Record[[#This Row],[Player_No]],Squads[[Player No]:[Player Name]],2,TRUE),"")</f>
        <v>Poland</v>
      </c>
    </row>
    <row r="282" spans="1:9" x14ac:dyDescent="0.25">
      <c r="A282" s="18">
        <v>39</v>
      </c>
      <c r="B282" s="35">
        <f>IFERROR(VLOOKUP(Match_Record[[#This Row],[Match No]],Fixtures[[#All],[Match No]:[Location]],2,TRUE),"")</f>
        <v>44895</v>
      </c>
      <c r="C282" s="2" t="str">
        <f>IFERROR(VLOOKUP(Match_Record[[#This Row],[Match No]],Fixtures[[#All],[Match No]:[Location]],5,TRUE),"")</f>
        <v>Poland</v>
      </c>
      <c r="D282" s="2" t="str">
        <f>IFERROR(VLOOKUP(Match_Record[[#This Row],[Match No]],Fixtures[[#All],[Match No]:[Location]],8,TRUE),"")</f>
        <v>Argentina</v>
      </c>
      <c r="E282" s="2" t="s">
        <v>1538</v>
      </c>
      <c r="F282" s="18">
        <v>39</v>
      </c>
      <c r="G282" s="2">
        <v>1010</v>
      </c>
      <c r="H282" s="2" t="str">
        <f>IFERROR(VLOOKUP(Match_Record[[#This Row],[Player_No]],Squads[[Player No]:[Player Name]],6,TRUE),"")</f>
        <v>Lionel Messi</v>
      </c>
      <c r="I282" s="2" t="str">
        <f>IFERROR(VLOOKUP(Match_Record[[#This Row],[Player_No]],Squads[[Player No]:[Player Name]],2,TRUE),"")</f>
        <v>Argentina</v>
      </c>
    </row>
    <row r="283" spans="1:9" x14ac:dyDescent="0.25">
      <c r="A283" s="18">
        <v>39</v>
      </c>
      <c r="B283" s="35">
        <f>IFERROR(VLOOKUP(Match_Record[[#This Row],[Match No]],Fixtures[[#All],[Match No]:[Location]],2,TRUE),"")</f>
        <v>44895</v>
      </c>
      <c r="C283" s="2" t="str">
        <f>IFERROR(VLOOKUP(Match_Record[[#This Row],[Match No]],Fixtures[[#All],[Match No]:[Location]],5,TRUE),"")</f>
        <v>Poland</v>
      </c>
      <c r="D283" s="2" t="str">
        <f>IFERROR(VLOOKUP(Match_Record[[#This Row],[Match No]],Fixtures[[#All],[Match No]:[Location]],8,TRUE),"")</f>
        <v>Argentina</v>
      </c>
      <c r="E283" s="2" t="s">
        <v>1078</v>
      </c>
      <c r="F283" s="18">
        <v>46</v>
      </c>
      <c r="G283" s="2">
        <v>1020</v>
      </c>
      <c r="H283" s="2" t="str">
        <f>IFERROR(VLOOKUP(Match_Record[[#This Row],[Player_No]],Squads[[Player No]:[Player Name]],6,TRUE),"")</f>
        <v>Alexis Mac Allister</v>
      </c>
      <c r="I283" s="2" t="str">
        <f>IFERROR(VLOOKUP(Match_Record[[#This Row],[Player_No]],Squads[[Player No]:[Player Name]],2,TRUE),"")</f>
        <v>Argentina</v>
      </c>
    </row>
    <row r="284" spans="1:9" x14ac:dyDescent="0.25">
      <c r="A284" s="18">
        <v>39</v>
      </c>
      <c r="B284" s="35">
        <f>IFERROR(VLOOKUP(Match_Record[[#This Row],[Match No]],Fixtures[[#All],[Match No]:[Location]],2,TRUE),"")</f>
        <v>44895</v>
      </c>
      <c r="C284" s="2" t="str">
        <f>IFERROR(VLOOKUP(Match_Record[[#This Row],[Match No]],Fixtures[[#All],[Match No]:[Location]],5,TRUE),"")</f>
        <v>Poland</v>
      </c>
      <c r="D284" s="2" t="str">
        <f>IFERROR(VLOOKUP(Match_Record[[#This Row],[Match No]],Fixtures[[#All],[Match No]:[Location]],8,TRUE),"")</f>
        <v>Argentina</v>
      </c>
      <c r="E284" s="2" t="s">
        <v>1079</v>
      </c>
      <c r="F284" s="18">
        <v>46</v>
      </c>
      <c r="G284" s="2">
        <v>1026</v>
      </c>
      <c r="H284" s="2" t="str">
        <f>IFERROR(VLOOKUP(Match_Record[[#This Row],[Player_No]],Squads[[Player No]:[Player Name]],6,TRUE),"")</f>
        <v>Nahuel Molina</v>
      </c>
      <c r="I284" s="2" t="str">
        <f>IFERROR(VLOOKUP(Match_Record[[#This Row],[Player_No]],Squads[[Player No]:[Player Name]],2,TRUE),"")</f>
        <v>Argentina</v>
      </c>
    </row>
    <row r="285" spans="1:9" x14ac:dyDescent="0.25">
      <c r="A285" s="18">
        <v>39</v>
      </c>
      <c r="B285" s="35">
        <f>IFERROR(VLOOKUP(Match_Record[[#This Row],[Match No]],Fixtures[[#All],[Match No]:[Location]],2,TRUE),"")</f>
        <v>44895</v>
      </c>
      <c r="C285" s="2" t="str">
        <f>IFERROR(VLOOKUP(Match_Record[[#This Row],[Match No]],Fixtures[[#All],[Match No]:[Location]],5,TRUE),"")</f>
        <v>Poland</v>
      </c>
      <c r="D285" s="2" t="str">
        <f>IFERROR(VLOOKUP(Match_Record[[#This Row],[Match No]],Fixtures[[#All],[Match No]:[Location]],8,TRUE),"")</f>
        <v>Argentina</v>
      </c>
      <c r="E285" s="2" t="s">
        <v>1080</v>
      </c>
      <c r="F285" s="18">
        <v>49</v>
      </c>
      <c r="G285" s="2">
        <v>1008</v>
      </c>
      <c r="H285" s="2" t="str">
        <f>IFERROR(VLOOKUP(Match_Record[[#This Row],[Player_No]],Squads[[Player No]:[Player Name]],6,TRUE),"")</f>
        <v>Marcos Acuña</v>
      </c>
      <c r="I285" s="2" t="str">
        <f>IFERROR(VLOOKUP(Match_Record[[#This Row],[Player_No]],Squads[[Player No]:[Player Name]],2,TRUE),"")</f>
        <v>Argentina</v>
      </c>
    </row>
    <row r="286" spans="1:9" x14ac:dyDescent="0.25">
      <c r="A286" s="18">
        <v>39</v>
      </c>
      <c r="B286" s="35">
        <f>IFERROR(VLOOKUP(Match_Record[[#This Row],[Match No]],Fixtures[[#All],[Match No]:[Location]],2,TRUE),"")</f>
        <v>44895</v>
      </c>
      <c r="C286" s="2" t="str">
        <f>IFERROR(VLOOKUP(Match_Record[[#This Row],[Match No]],Fixtures[[#All],[Match No]:[Location]],5,TRUE),"")</f>
        <v>Poland</v>
      </c>
      <c r="D286" s="2" t="str">
        <f>IFERROR(VLOOKUP(Match_Record[[#This Row],[Match No]],Fixtures[[#All],[Match No]:[Location]],8,TRUE),"")</f>
        <v>Argentina</v>
      </c>
      <c r="E286" s="2" t="s">
        <v>1078</v>
      </c>
      <c r="F286" s="18">
        <v>67</v>
      </c>
      <c r="G286" s="2">
        <v>1009</v>
      </c>
      <c r="H286" s="2" t="str">
        <f>IFERROR(VLOOKUP(Match_Record[[#This Row],[Player_No]],Squads[[Player No]:[Player Name]],6,TRUE),"")</f>
        <v>Julián Álvarez</v>
      </c>
      <c r="I286" s="2" t="str">
        <f>IFERROR(VLOOKUP(Match_Record[[#This Row],[Player_No]],Squads[[Player No]:[Player Name]],2,TRUE),"")</f>
        <v>Argentina</v>
      </c>
    </row>
    <row r="287" spans="1:9" x14ac:dyDescent="0.25">
      <c r="A287" s="18">
        <v>39</v>
      </c>
      <c r="B287" s="35">
        <f>IFERROR(VLOOKUP(Match_Record[[#This Row],[Match No]],Fixtures[[#All],[Match No]:[Location]],2,TRUE),"")</f>
        <v>44895</v>
      </c>
      <c r="C287" s="2" t="str">
        <f>IFERROR(VLOOKUP(Match_Record[[#This Row],[Match No]],Fixtures[[#All],[Match No]:[Location]],5,TRUE),"")</f>
        <v>Poland</v>
      </c>
      <c r="D287" s="2" t="str">
        <f>IFERROR(VLOOKUP(Match_Record[[#This Row],[Match No]],Fixtures[[#All],[Match No]:[Location]],8,TRUE),"")</f>
        <v>Argentina</v>
      </c>
      <c r="E287" s="2" t="s">
        <v>1079</v>
      </c>
      <c r="F287" s="18">
        <v>67</v>
      </c>
      <c r="G287" s="2">
        <v>1024</v>
      </c>
      <c r="H287" s="2" t="str">
        <f>IFERROR(VLOOKUP(Match_Record[[#This Row],[Player_No]],Squads[[Player No]:[Player Name]],6,TRUE),"")</f>
        <v>Enzo Fernández</v>
      </c>
      <c r="I287" s="2" t="str">
        <f>IFERROR(VLOOKUP(Match_Record[[#This Row],[Player_No]],Squads[[Player No]:[Player Name]],2,TRUE),"")</f>
        <v>Argentina</v>
      </c>
    </row>
    <row r="288" spans="1:9" x14ac:dyDescent="0.25">
      <c r="A288" s="18">
        <v>40</v>
      </c>
      <c r="B288" s="35">
        <f>IFERROR(VLOOKUP(Match_Record[[#This Row],[Match No]],Fixtures[[#All],[Match No]:[Location]],2,TRUE),"")</f>
        <v>44895</v>
      </c>
      <c r="C288" s="2" t="str">
        <f>IFERROR(VLOOKUP(Match_Record[[#This Row],[Match No]],Fixtures[[#All],[Match No]:[Location]],5,TRUE),"")</f>
        <v>Saudi Arabia</v>
      </c>
      <c r="D288" s="2" t="str">
        <f>IFERROR(VLOOKUP(Match_Record[[#This Row],[Match No]],Fixtures[[#All],[Match No]:[Location]],8,TRUE),"")</f>
        <v>Mexico</v>
      </c>
      <c r="E288" s="2" t="s">
        <v>1080</v>
      </c>
      <c r="F288" s="18">
        <v>28</v>
      </c>
      <c r="G288" s="2">
        <v>1608</v>
      </c>
      <c r="H288" s="2" t="str">
        <f>IFERROR(VLOOKUP(Match_Record[[#This Row],[Player_No]],Squads[[Player No]:[Player Name]],6,TRUE),"")</f>
        <v>Saleh Al-Shehri</v>
      </c>
      <c r="I288" s="2" t="str">
        <f>IFERROR(VLOOKUP(Match_Record[[#This Row],[Player_No]],Squads[[Player No]:[Player Name]],2,TRUE),"")</f>
        <v>Saudi Arabia</v>
      </c>
    </row>
    <row r="289" spans="1:9" x14ac:dyDescent="0.25">
      <c r="A289" s="18">
        <v>40</v>
      </c>
      <c r="B289" s="35">
        <f>IFERROR(VLOOKUP(Match_Record[[#This Row],[Match No]],Fixtures[[#All],[Match No]:[Location]],2,TRUE),"")</f>
        <v>44895</v>
      </c>
      <c r="C289" s="2" t="str">
        <f>IFERROR(VLOOKUP(Match_Record[[#This Row],[Match No]],Fixtures[[#All],[Match No]:[Location]],5,TRUE),"")</f>
        <v>Saudi Arabia</v>
      </c>
      <c r="D289" s="2" t="str">
        <f>IFERROR(VLOOKUP(Match_Record[[#This Row],[Match No]],Fixtures[[#All],[Match No]:[Location]],8,TRUE),"")</f>
        <v>Mexico</v>
      </c>
      <c r="E289" s="2" t="s">
        <v>1080</v>
      </c>
      <c r="F289" s="18">
        <v>34</v>
      </c>
      <c r="G289" s="2">
        <v>1612</v>
      </c>
      <c r="H289" s="2" t="str">
        <f>IFERROR(VLOOKUP(Match_Record[[#This Row],[Player_No]],Squads[[Player No]:[Player Name]],6,TRUE),"")</f>
        <v>Ali Al-Hassan</v>
      </c>
      <c r="I289" s="2" t="str">
        <f>IFERROR(VLOOKUP(Match_Record[[#This Row],[Player_No]],Squads[[Player No]:[Player Name]],2,TRUE),"")</f>
        <v>Saudi Arabia</v>
      </c>
    </row>
    <row r="290" spans="1:9" x14ac:dyDescent="0.25">
      <c r="A290" s="18">
        <v>40</v>
      </c>
      <c r="B290" s="35">
        <f>IFERROR(VLOOKUP(Match_Record[[#This Row],[Match No]],Fixtures[[#All],[Match No]:[Location]],2,TRUE),"")</f>
        <v>44895</v>
      </c>
      <c r="C290" s="2" t="str">
        <f>IFERROR(VLOOKUP(Match_Record[[#This Row],[Match No]],Fixtures[[#All],[Match No]:[Location]],5,TRUE),"")</f>
        <v>Saudi Arabia</v>
      </c>
      <c r="D290" s="2" t="str">
        <f>IFERROR(VLOOKUP(Match_Record[[#This Row],[Match No]],Fixtures[[#All],[Match No]:[Location]],8,TRUE),"")</f>
        <v>Mexico</v>
      </c>
      <c r="E290" s="2" t="s">
        <v>1080</v>
      </c>
      <c r="F290" s="18">
        <v>52</v>
      </c>
      <c r="G290" s="2">
        <v>1614</v>
      </c>
      <c r="H290" s="2" t="str">
        <f>IFERROR(VLOOKUP(Match_Record[[#This Row],[Player_No]],Squads[[Player No]:[Player Name]],6,TRUE),"")</f>
        <v>Hassan Al-Tambakti</v>
      </c>
      <c r="I290" s="2" t="str">
        <f>IFERROR(VLOOKUP(Match_Record[[#This Row],[Player_No]],Squads[[Player No]:[Player Name]],2,TRUE),"")</f>
        <v>Saudi Arabia</v>
      </c>
    </row>
    <row r="291" spans="1:9" x14ac:dyDescent="0.25">
      <c r="A291" s="18">
        <v>40</v>
      </c>
      <c r="B291" s="35">
        <f>IFERROR(VLOOKUP(Match_Record[[#This Row],[Match No]],Fixtures[[#All],[Match No]:[Location]],2,TRUE),"")</f>
        <v>44895</v>
      </c>
      <c r="C291" s="2" t="str">
        <f>IFERROR(VLOOKUP(Match_Record[[#This Row],[Match No]],Fixtures[[#All],[Match No]:[Location]],5,TRUE),"")</f>
        <v>Saudi Arabia</v>
      </c>
      <c r="D291" s="2" t="str">
        <f>IFERROR(VLOOKUP(Match_Record[[#This Row],[Match No]],Fixtures[[#All],[Match No]:[Location]],8,TRUE),"")</f>
        <v>Mexico</v>
      </c>
      <c r="E291" s="2" t="s">
        <v>1080</v>
      </c>
      <c r="F291" s="18">
        <v>81</v>
      </c>
      <c r="G291" s="2">
        <v>1600</v>
      </c>
      <c r="H291" s="2" t="str">
        <f>IFERROR(VLOOKUP(Match_Record[[#This Row],[Player_No]],Squads[[Player No]:[Player Name]],6,TRUE),"")</f>
        <v>Abdullah Madu</v>
      </c>
      <c r="I291" s="2" t="str">
        <f>IFERROR(VLOOKUP(Match_Record[[#This Row],[Player_No]],Squads[[Player No]:[Player Name]],2,TRUE),"")</f>
        <v>Saudi Arabia</v>
      </c>
    </row>
    <row r="292" spans="1:9" x14ac:dyDescent="0.25">
      <c r="A292" s="18">
        <v>40</v>
      </c>
      <c r="B292" s="35">
        <f>IFERROR(VLOOKUP(Match_Record[[#This Row],[Match No]],Fixtures[[#All],[Match No]:[Location]],2,TRUE),"")</f>
        <v>44895</v>
      </c>
      <c r="C292" s="2" t="str">
        <f>IFERROR(VLOOKUP(Match_Record[[#This Row],[Match No]],Fixtures[[#All],[Match No]:[Location]],5,TRUE),"")</f>
        <v>Saudi Arabia</v>
      </c>
      <c r="D292" s="2" t="str">
        <f>IFERROR(VLOOKUP(Match_Record[[#This Row],[Match No]],Fixtures[[#All],[Match No]:[Location]],8,TRUE),"")</f>
        <v>Mexico</v>
      </c>
      <c r="E292" s="2" t="s">
        <v>1080</v>
      </c>
      <c r="F292" s="18">
        <v>91</v>
      </c>
      <c r="G292" s="2">
        <v>1601</v>
      </c>
      <c r="H292" s="2" t="str">
        <f>IFERROR(VLOOKUP(Match_Record[[#This Row],[Player_No]],Squads[[Player No]:[Player Name]],6,TRUE),"")</f>
        <v>Abdulelah Al-Amri</v>
      </c>
      <c r="I292" s="2" t="str">
        <f>IFERROR(VLOOKUP(Match_Record[[#This Row],[Player_No]],Squads[[Player No]:[Player Name]],2,TRUE),"")</f>
        <v>Saudi Arabia</v>
      </c>
    </row>
    <row r="293" spans="1:9" x14ac:dyDescent="0.25">
      <c r="A293" s="18">
        <v>40</v>
      </c>
      <c r="B293" s="35">
        <f>IFERROR(VLOOKUP(Match_Record[[#This Row],[Match No]],Fixtures[[#All],[Match No]:[Location]],2,TRUE),"")</f>
        <v>44895</v>
      </c>
      <c r="C293" s="2" t="str">
        <f>IFERROR(VLOOKUP(Match_Record[[#This Row],[Match No]],Fixtures[[#All],[Match No]:[Location]],5,TRUE),"")</f>
        <v>Saudi Arabia</v>
      </c>
      <c r="D293" s="2" t="str">
        <f>IFERROR(VLOOKUP(Match_Record[[#This Row],[Match No]],Fixtures[[#All],[Match No]:[Location]],8,TRUE),"")</f>
        <v>Mexico</v>
      </c>
      <c r="E293" s="2" t="s">
        <v>1078</v>
      </c>
      <c r="F293" s="18">
        <v>95</v>
      </c>
      <c r="G293" s="2">
        <v>1607</v>
      </c>
      <c r="H293" s="2" t="str">
        <f>IFERROR(VLOOKUP(Match_Record[[#This Row],[Player_No]],Squads[[Player No]:[Player Name]],6,TRUE),"")</f>
        <v>Salem Al-Dawsari</v>
      </c>
      <c r="I293" s="2" t="str">
        <f>IFERROR(VLOOKUP(Match_Record[[#This Row],[Player_No]],Squads[[Player No]:[Player Name]],2,TRUE),"")</f>
        <v>Saudi Arabia</v>
      </c>
    </row>
    <row r="294" spans="1:9" x14ac:dyDescent="0.25">
      <c r="A294" s="18">
        <v>40</v>
      </c>
      <c r="B294" s="35">
        <f>IFERROR(VLOOKUP(Match_Record[[#This Row],[Match No]],Fixtures[[#All],[Match No]:[Location]],2,TRUE),"")</f>
        <v>44895</v>
      </c>
      <c r="C294" s="2" t="str">
        <f>IFERROR(VLOOKUP(Match_Record[[#This Row],[Match No]],Fixtures[[#All],[Match No]:[Location]],5,TRUE),"")</f>
        <v>Saudi Arabia</v>
      </c>
      <c r="D294" s="2" t="str">
        <f>IFERROR(VLOOKUP(Match_Record[[#This Row],[Match No]],Fixtures[[#All],[Match No]:[Location]],8,TRUE),"")</f>
        <v>Mexico</v>
      </c>
      <c r="E294" s="2" t="s">
        <v>1079</v>
      </c>
      <c r="F294" s="18">
        <v>95</v>
      </c>
      <c r="G294" s="2">
        <v>1616</v>
      </c>
      <c r="H294" s="2" t="str">
        <f>IFERROR(VLOOKUP(Match_Record[[#This Row],[Player_No]],Squads[[Player No]:[Player Name]],6,TRUE),"")</f>
        <v>Hattan Bahebri</v>
      </c>
      <c r="I294" s="2" t="str">
        <f>IFERROR(VLOOKUP(Match_Record[[#This Row],[Player_No]],Squads[[Player No]:[Player Name]],2,TRUE),"")</f>
        <v>Saudi Arabia</v>
      </c>
    </row>
    <row r="295" spans="1:9" x14ac:dyDescent="0.25">
      <c r="A295" s="18">
        <v>40</v>
      </c>
      <c r="B295" s="35">
        <f>IFERROR(VLOOKUP(Match_Record[[#This Row],[Match No]],Fixtures[[#All],[Match No]:[Location]],2,TRUE),"")</f>
        <v>44895</v>
      </c>
      <c r="C295" s="2" t="str">
        <f>IFERROR(VLOOKUP(Match_Record[[#This Row],[Match No]],Fixtures[[#All],[Match No]:[Location]],5,TRUE),"")</f>
        <v>Saudi Arabia</v>
      </c>
      <c r="D295" s="2" t="str">
        <f>IFERROR(VLOOKUP(Match_Record[[#This Row],[Match No]],Fixtures[[#All],[Match No]:[Location]],8,TRUE),"")</f>
        <v>Mexico</v>
      </c>
      <c r="E295" s="2" t="s">
        <v>1080</v>
      </c>
      <c r="F295" s="18">
        <v>97</v>
      </c>
      <c r="G295" s="2">
        <v>1616</v>
      </c>
      <c r="H295" s="2" t="str">
        <f>IFERROR(VLOOKUP(Match_Record[[#This Row],[Player_No]],Squads[[Player No]:[Player Name]],6,TRUE),"")</f>
        <v>Hattan Bahebri</v>
      </c>
      <c r="I295" s="2" t="str">
        <f>IFERROR(VLOOKUP(Match_Record[[#This Row],[Player_No]],Squads[[Player No]:[Player Name]],2,TRUE),"")</f>
        <v>Saudi Arabia</v>
      </c>
    </row>
    <row r="296" spans="1:9" x14ac:dyDescent="0.25">
      <c r="A296" s="18">
        <v>40</v>
      </c>
      <c r="B296" s="35">
        <f>IFERROR(VLOOKUP(Match_Record[[#This Row],[Match No]],Fixtures[[#All],[Match No]:[Location]],2,TRUE),"")</f>
        <v>44895</v>
      </c>
      <c r="C296" s="2" t="str">
        <f>IFERROR(VLOOKUP(Match_Record[[#This Row],[Match No]],Fixtures[[#All],[Match No]:[Location]],5,TRUE),"")</f>
        <v>Saudi Arabia</v>
      </c>
      <c r="D296" s="2" t="str">
        <f>IFERROR(VLOOKUP(Match_Record[[#This Row],[Match No]],Fixtures[[#All],[Match No]:[Location]],8,TRUE),"")</f>
        <v>Mexico</v>
      </c>
      <c r="E296" s="2" t="s">
        <v>1080</v>
      </c>
      <c r="F296" s="18">
        <v>16</v>
      </c>
      <c r="G296" s="2">
        <v>1445</v>
      </c>
      <c r="H296" s="2" t="str">
        <f>IFERROR(VLOOKUP(Match_Record[[#This Row],[Player_No]],Squads[[Player No]:[Player Name]],6,TRUE),"")</f>
        <v>Edson Álvarez</v>
      </c>
      <c r="I296" s="2" t="str">
        <f>IFERROR(VLOOKUP(Match_Record[[#This Row],[Player_No]],Squads[[Player No]:[Player Name]],2,TRUE),"")</f>
        <v>Mexico</v>
      </c>
    </row>
    <row r="297" spans="1:9" x14ac:dyDescent="0.25">
      <c r="A297" s="18">
        <v>40</v>
      </c>
      <c r="B297" s="35">
        <f>IFERROR(VLOOKUP(Match_Record[[#This Row],[Match No]],Fixtures[[#All],[Match No]:[Location]],2,TRUE),"")</f>
        <v>44895</v>
      </c>
      <c r="C297" s="2" t="str">
        <f>IFERROR(VLOOKUP(Match_Record[[#This Row],[Match No]],Fixtures[[#All],[Match No]:[Location]],5,TRUE),"")</f>
        <v>Saudi Arabia</v>
      </c>
      <c r="D297" s="2" t="str">
        <f>IFERROR(VLOOKUP(Match_Record[[#This Row],[Match No]],Fixtures[[#All],[Match No]:[Location]],8,TRUE),"")</f>
        <v>Mexico</v>
      </c>
      <c r="E297" s="2" t="s">
        <v>1078</v>
      </c>
      <c r="F297" s="18">
        <v>47</v>
      </c>
      <c r="G297" s="2">
        <v>1461</v>
      </c>
      <c r="H297" s="2" t="str">
        <f>IFERROR(VLOOKUP(Match_Record[[#This Row],[Player_No]],Squads[[Player No]:[Player Name]],6,TRUE),"")</f>
        <v>Henry Martín</v>
      </c>
      <c r="I297" s="2" t="str">
        <f>IFERROR(VLOOKUP(Match_Record[[#This Row],[Player_No]],Squads[[Player No]:[Player Name]],2,TRUE),"")</f>
        <v>Mexico</v>
      </c>
    </row>
    <row r="298" spans="1:9" x14ac:dyDescent="0.25">
      <c r="A298" s="18">
        <v>40</v>
      </c>
      <c r="B298" s="35">
        <f>IFERROR(VLOOKUP(Match_Record[[#This Row],[Match No]],Fixtures[[#All],[Match No]:[Location]],2,TRUE),"")</f>
        <v>44895</v>
      </c>
      <c r="C298" s="2" t="str">
        <f>IFERROR(VLOOKUP(Match_Record[[#This Row],[Match No]],Fixtures[[#All],[Match No]:[Location]],5,TRUE),"")</f>
        <v>Saudi Arabia</v>
      </c>
      <c r="D298" s="2" t="str">
        <f>IFERROR(VLOOKUP(Match_Record[[#This Row],[Match No]],Fixtures[[#All],[Match No]:[Location]],8,TRUE),"")</f>
        <v>Mexico</v>
      </c>
      <c r="E298" s="2" t="s">
        <v>1079</v>
      </c>
      <c r="F298" s="18">
        <v>47</v>
      </c>
      <c r="G298" s="2">
        <v>1444</v>
      </c>
      <c r="H298" s="2" t="str">
        <f>IFERROR(VLOOKUP(Match_Record[[#This Row],[Player_No]],Squads[[Player No]:[Player Name]],6,TRUE),"")</f>
        <v>César Montes</v>
      </c>
      <c r="I298" s="2" t="str">
        <f>IFERROR(VLOOKUP(Match_Record[[#This Row],[Player_No]],Squads[[Player No]:[Player Name]],2,TRUE),"")</f>
        <v>Mexico</v>
      </c>
    </row>
    <row r="299" spans="1:9" x14ac:dyDescent="0.25">
      <c r="A299" s="18">
        <v>40</v>
      </c>
      <c r="B299" s="35">
        <f>IFERROR(VLOOKUP(Match_Record[[#This Row],[Match No]],Fixtures[[#All],[Match No]:[Location]],2,TRUE),"")</f>
        <v>44895</v>
      </c>
      <c r="C299" s="2" t="str">
        <f>IFERROR(VLOOKUP(Match_Record[[#This Row],[Match No]],Fixtures[[#All],[Match No]:[Location]],5,TRUE),"")</f>
        <v>Saudi Arabia</v>
      </c>
      <c r="D299" s="2" t="str">
        <f>IFERROR(VLOOKUP(Match_Record[[#This Row],[Match No]],Fixtures[[#All],[Match No]:[Location]],8,TRUE),"")</f>
        <v>Mexico</v>
      </c>
      <c r="E299" s="2" t="s">
        <v>1078</v>
      </c>
      <c r="F299" s="18">
        <v>52</v>
      </c>
      <c r="G299" s="2">
        <v>1465</v>
      </c>
      <c r="H299" s="2" t="str">
        <f>IFERROR(VLOOKUP(Match_Record[[#This Row],[Player_No]],Squads[[Player No]:[Player Name]],6,TRUE),"")</f>
        <v>Luis Chávez</v>
      </c>
      <c r="I299" s="2" t="str">
        <f>IFERROR(VLOOKUP(Match_Record[[#This Row],[Player_No]],Squads[[Player No]:[Player Name]],2,TRUE),"")</f>
        <v>Mexico</v>
      </c>
    </row>
    <row r="300" spans="1:9" x14ac:dyDescent="0.25">
      <c r="A300" s="18">
        <v>41</v>
      </c>
      <c r="B300" s="35">
        <f>IFERROR(VLOOKUP(Match_Record[[#This Row],[Match No]],Fixtures[[#All],[Match No]:[Location]],2,TRUE),"")</f>
        <v>44896</v>
      </c>
      <c r="C300" s="2" t="str">
        <f>IFERROR(VLOOKUP(Match_Record[[#This Row],[Match No]],Fixtures[[#All],[Match No]:[Location]],5,TRUE),"")</f>
        <v>Canada</v>
      </c>
      <c r="D300" s="2" t="str">
        <f>IFERROR(VLOOKUP(Match_Record[[#This Row],[Match No]],Fixtures[[#All],[Match No]:[Location]],8,TRUE),"")</f>
        <v>Morocco</v>
      </c>
      <c r="E300" s="2" t="s">
        <v>1080</v>
      </c>
      <c r="F300" s="18">
        <v>7</v>
      </c>
      <c r="G300" s="2">
        <v>1140</v>
      </c>
      <c r="H300" s="2" t="str">
        <f>IFERROR(VLOOKUP(Match_Record[[#This Row],[Player_No]],Squads[[Player No]:[Player Name]],6,TRUE),"")</f>
        <v>Junior Hoilett</v>
      </c>
      <c r="I300" s="2" t="str">
        <f>IFERROR(VLOOKUP(Match_Record[[#This Row],[Player_No]],Squads[[Player No]:[Player Name]],2,TRUE),"")</f>
        <v>Canada</v>
      </c>
    </row>
    <row r="301" spans="1:9" x14ac:dyDescent="0.25">
      <c r="A301" s="18">
        <v>41</v>
      </c>
      <c r="B301" s="35">
        <f>IFERROR(VLOOKUP(Match_Record[[#This Row],[Match No]],Fixtures[[#All],[Match No]:[Location]],2,TRUE),"")</f>
        <v>44896</v>
      </c>
      <c r="C301" s="2" t="str">
        <f>IFERROR(VLOOKUP(Match_Record[[#This Row],[Match No]],Fixtures[[#All],[Match No]:[Location]],5,TRUE),"")</f>
        <v>Canada</v>
      </c>
      <c r="D301" s="2" t="str">
        <f>IFERROR(VLOOKUP(Match_Record[[#This Row],[Match No]],Fixtures[[#All],[Match No]:[Location]],8,TRUE),"")</f>
        <v>Morocco</v>
      </c>
      <c r="E301" s="2" t="s">
        <v>1080</v>
      </c>
      <c r="F301" s="18">
        <v>26</v>
      </c>
      <c r="G301" s="2">
        <v>1151</v>
      </c>
      <c r="H301" s="2" t="str">
        <f>IFERROR(VLOOKUP(Match_Record[[#This Row],[Player_No]],Squads[[Player No]:[Player Name]],6,TRUE),"")</f>
        <v>Jonathan Osorio</v>
      </c>
      <c r="I301" s="2" t="str">
        <f>IFERROR(VLOOKUP(Match_Record[[#This Row],[Player_No]],Squads[[Player No]:[Player Name]],2,TRUE),"")</f>
        <v>Canada</v>
      </c>
    </row>
    <row r="302" spans="1:9" x14ac:dyDescent="0.25">
      <c r="A302" s="18">
        <v>41</v>
      </c>
      <c r="B302" s="35">
        <f>IFERROR(VLOOKUP(Match_Record[[#This Row],[Match No]],Fixtures[[#All],[Match No]:[Location]],2,TRUE),"")</f>
        <v>44896</v>
      </c>
      <c r="C302" s="2" t="str">
        <f>IFERROR(VLOOKUP(Match_Record[[#This Row],[Match No]],Fixtures[[#All],[Match No]:[Location]],5,TRUE),"")</f>
        <v>Canada</v>
      </c>
      <c r="D302" s="2" t="str">
        <f>IFERROR(VLOOKUP(Match_Record[[#This Row],[Match No]],Fixtures[[#All],[Match No]:[Location]],8,TRUE),"")</f>
        <v>Morocco</v>
      </c>
      <c r="E302" s="2" t="s">
        <v>1539</v>
      </c>
      <c r="F302" s="18">
        <v>40</v>
      </c>
      <c r="G302" s="2">
        <v>1472</v>
      </c>
      <c r="H302" s="2" t="str">
        <f>IFERROR(VLOOKUP(Match_Record[[#This Row],[Player_No]],Squads[[Player No]:[Player Name]],6,TRUE),"")</f>
        <v>Nayef Aguerd</v>
      </c>
      <c r="I302" s="2" t="str">
        <f>IFERROR(VLOOKUP(Match_Record[[#This Row],[Player_No]],Squads[[Player No]:[Player Name]],2,TRUE),"")</f>
        <v>Morocco</v>
      </c>
    </row>
    <row r="303" spans="1:9" x14ac:dyDescent="0.25">
      <c r="A303" s="18">
        <v>41</v>
      </c>
      <c r="B303" s="35">
        <f>IFERROR(VLOOKUP(Match_Record[[#This Row],[Match No]],Fixtures[[#All],[Match No]:[Location]],2,TRUE),"")</f>
        <v>44896</v>
      </c>
      <c r="C303" s="2" t="str">
        <f>IFERROR(VLOOKUP(Match_Record[[#This Row],[Match No]],Fixtures[[#All],[Match No]:[Location]],5,TRUE),"")</f>
        <v>Canada</v>
      </c>
      <c r="D303" s="2" t="str">
        <f>IFERROR(VLOOKUP(Match_Record[[#This Row],[Match No]],Fixtures[[#All],[Match No]:[Location]],8,TRUE),"")</f>
        <v>Morocco</v>
      </c>
      <c r="E303" s="2" t="s">
        <v>1080</v>
      </c>
      <c r="F303" s="18">
        <v>45</v>
      </c>
      <c r="G303" s="2">
        <v>1133</v>
      </c>
      <c r="H303" s="2" t="str">
        <f>IFERROR(VLOOKUP(Match_Record[[#This Row],[Player_No]],Squads[[Player No]:[Player Name]],6,TRUE),"")</f>
        <v>Sam Adekugbe</v>
      </c>
      <c r="I303" s="2" t="str">
        <f>IFERROR(VLOOKUP(Match_Record[[#This Row],[Player_No]],Squads[[Player No]:[Player Name]],2,TRUE),"")</f>
        <v>Canada</v>
      </c>
    </row>
    <row r="304" spans="1:9" x14ac:dyDescent="0.25">
      <c r="A304" s="18">
        <v>41</v>
      </c>
      <c r="B304" s="35">
        <f>IFERROR(VLOOKUP(Match_Record[[#This Row],[Match No]],Fixtures[[#All],[Match No]:[Location]],2,TRUE),"")</f>
        <v>44896</v>
      </c>
      <c r="C304" s="2" t="str">
        <f>IFERROR(VLOOKUP(Match_Record[[#This Row],[Match No]],Fixtures[[#All],[Match No]:[Location]],5,TRUE),"")</f>
        <v>Canada</v>
      </c>
      <c r="D304" s="2" t="str">
        <f>IFERROR(VLOOKUP(Match_Record[[#This Row],[Match No]],Fixtures[[#All],[Match No]:[Location]],8,TRUE),"")</f>
        <v>Morocco</v>
      </c>
      <c r="E304" s="2" t="s">
        <v>1080</v>
      </c>
      <c r="F304" s="18">
        <v>84</v>
      </c>
      <c r="G304" s="2">
        <v>1135</v>
      </c>
      <c r="H304" s="2" t="str">
        <f>IFERROR(VLOOKUP(Match_Record[[#This Row],[Player_No]],Squads[[Player No]:[Player Name]],6,TRUE),"")</f>
        <v>Steven Vitória</v>
      </c>
      <c r="I304" s="2" t="str">
        <f>IFERROR(VLOOKUP(Match_Record[[#This Row],[Player_No]],Squads[[Player No]:[Player Name]],2,TRUE),"")</f>
        <v>Canada</v>
      </c>
    </row>
    <row r="305" spans="1:9" x14ac:dyDescent="0.25">
      <c r="A305" s="18">
        <v>41</v>
      </c>
      <c r="B305" s="35">
        <f>IFERROR(VLOOKUP(Match_Record[[#This Row],[Match No]],Fixtures[[#All],[Match No]:[Location]],2,TRUE),"")</f>
        <v>44896</v>
      </c>
      <c r="C305" s="2" t="str">
        <f>IFERROR(VLOOKUP(Match_Record[[#This Row],[Match No]],Fixtures[[#All],[Match No]:[Location]],5,TRUE),"")</f>
        <v>Canada</v>
      </c>
      <c r="D305" s="2" t="str">
        <f>IFERROR(VLOOKUP(Match_Record[[#This Row],[Match No]],Fixtures[[#All],[Match No]:[Location]],8,TRUE),"")</f>
        <v>Morocco</v>
      </c>
      <c r="E305" s="2" t="s">
        <v>1078</v>
      </c>
      <c r="F305" s="18">
        <v>4</v>
      </c>
      <c r="G305" s="2">
        <v>1474</v>
      </c>
      <c r="H305" s="2" t="str">
        <f>IFERROR(VLOOKUP(Match_Record[[#This Row],[Player_No]],Squads[[Player No]:[Player Name]],6,TRUE),"")</f>
        <v>Hakim Ziyech</v>
      </c>
      <c r="I305" s="2" t="str">
        <f>IFERROR(VLOOKUP(Match_Record[[#This Row],[Player_No]],Squads[[Player No]:[Player Name]],2,TRUE),"")</f>
        <v>Morocco</v>
      </c>
    </row>
    <row r="306" spans="1:9" x14ac:dyDescent="0.25">
      <c r="A306" s="18">
        <v>41</v>
      </c>
      <c r="B306" s="35">
        <f>IFERROR(VLOOKUP(Match_Record[[#This Row],[Match No]],Fixtures[[#All],[Match No]:[Location]],2,TRUE),"")</f>
        <v>44896</v>
      </c>
      <c r="C306" s="2" t="str">
        <f>IFERROR(VLOOKUP(Match_Record[[#This Row],[Match No]],Fixtures[[#All],[Match No]:[Location]],5,TRUE),"")</f>
        <v>Canada</v>
      </c>
      <c r="D306" s="2" t="str">
        <f>IFERROR(VLOOKUP(Match_Record[[#This Row],[Match No]],Fixtures[[#All],[Match No]:[Location]],8,TRUE),"")</f>
        <v>Morocco</v>
      </c>
      <c r="E306" s="2" t="s">
        <v>1078</v>
      </c>
      <c r="F306" s="18">
        <v>23</v>
      </c>
      <c r="G306" s="2">
        <v>1486</v>
      </c>
      <c r="H306" s="2" t="str">
        <f>IFERROR(VLOOKUP(Match_Record[[#This Row],[Player_No]],Squads[[Player No]:[Player Name]],6,TRUE),"")</f>
        <v>Youssef En-Nesyri</v>
      </c>
      <c r="I306" s="2" t="str">
        <f>IFERROR(VLOOKUP(Match_Record[[#This Row],[Player_No]],Squads[[Player No]:[Player Name]],2,TRUE),"")</f>
        <v>Morocco</v>
      </c>
    </row>
    <row r="307" spans="1:9" x14ac:dyDescent="0.25">
      <c r="A307" s="18">
        <v>41</v>
      </c>
      <c r="B307" s="35">
        <f>IFERROR(VLOOKUP(Match_Record[[#This Row],[Match No]],Fixtures[[#All],[Match No]:[Location]],2,TRUE),"")</f>
        <v>44896</v>
      </c>
      <c r="C307" s="2" t="str">
        <f>IFERROR(VLOOKUP(Match_Record[[#This Row],[Match No]],Fixtures[[#All],[Match No]:[Location]],5,TRUE),"")</f>
        <v>Canada</v>
      </c>
      <c r="D307" s="2" t="str">
        <f>IFERROR(VLOOKUP(Match_Record[[#This Row],[Match No]],Fixtures[[#All],[Match No]:[Location]],8,TRUE),"")</f>
        <v>Morocco</v>
      </c>
      <c r="E307" s="2" t="s">
        <v>1079</v>
      </c>
      <c r="F307" s="18">
        <v>23</v>
      </c>
      <c r="G307" s="2">
        <v>1469</v>
      </c>
      <c r="H307" s="2" t="str">
        <f>IFERROR(VLOOKUP(Match_Record[[#This Row],[Player_No]],Squads[[Player No]:[Player Name]],6,TRUE),"")</f>
        <v>Achraf Hakimi</v>
      </c>
      <c r="I307" s="2" t="str">
        <f>IFERROR(VLOOKUP(Match_Record[[#This Row],[Player_No]],Squads[[Player No]:[Player Name]],2,TRUE),"")</f>
        <v>Morocco</v>
      </c>
    </row>
    <row r="308" spans="1:9" x14ac:dyDescent="0.25">
      <c r="A308" s="18">
        <v>42</v>
      </c>
      <c r="B308" s="35">
        <f>IFERROR(VLOOKUP(Match_Record[[#This Row],[Match No]],Fixtures[[#All],[Match No]:[Location]],2,TRUE),"")</f>
        <v>44896</v>
      </c>
      <c r="C308" s="2" t="str">
        <f>IFERROR(VLOOKUP(Match_Record[[#This Row],[Match No]],Fixtures[[#All],[Match No]:[Location]],5,TRUE),"")</f>
        <v>Croatia</v>
      </c>
      <c r="D308" s="2" t="str">
        <f>IFERROR(VLOOKUP(Match_Record[[#This Row],[Match No]],Fixtures[[#All],[Match No]:[Location]],8,TRUE),"")</f>
        <v>Belgium</v>
      </c>
      <c r="E308" s="2" t="s">
        <v>1080</v>
      </c>
      <c r="F308" s="18">
        <v>67</v>
      </c>
      <c r="G308" s="2">
        <v>1071</v>
      </c>
      <c r="H308" s="2" t="str">
        <f>IFERROR(VLOOKUP(Match_Record[[#This Row],[Player_No]],Squads[[Player No]:[Player Name]],6,TRUE),"")</f>
        <v>Leander Dendoncker</v>
      </c>
      <c r="I308" s="2" t="str">
        <f>IFERROR(VLOOKUP(Match_Record[[#This Row],[Player_No]],Squads[[Player No]:[Player Name]],2,TRUE),"")</f>
        <v>Belgium</v>
      </c>
    </row>
    <row r="309" spans="1:9" x14ac:dyDescent="0.25">
      <c r="A309" s="18">
        <v>43</v>
      </c>
      <c r="B309" s="35">
        <f>IFERROR(VLOOKUP(Match_Record[[#This Row],[Match No]],Fixtures[[#All],[Match No]:[Location]],2,TRUE),"")</f>
        <v>44896</v>
      </c>
      <c r="C309" s="2" t="str">
        <f>IFERROR(VLOOKUP(Match_Record[[#This Row],[Match No]],Fixtures[[#All],[Match No]:[Location]],5,TRUE),"")</f>
        <v>Costa Rica</v>
      </c>
      <c r="D309" s="2" t="str">
        <f>IFERROR(VLOOKUP(Match_Record[[#This Row],[Match No]],Fixtures[[#All],[Match No]:[Location]],8,TRUE),"")</f>
        <v>Germany</v>
      </c>
      <c r="E309" s="2" t="s">
        <v>1078</v>
      </c>
      <c r="F309" s="18">
        <v>58</v>
      </c>
      <c r="G309" s="2">
        <v>1173</v>
      </c>
      <c r="H309" s="2" t="str">
        <f>IFERROR(VLOOKUP(Match_Record[[#This Row],[Player_No]],Squads[[Player No]:[Player Name]],6,TRUE),"")</f>
        <v>Yeltsin Tejeda</v>
      </c>
      <c r="I309" s="2" t="str">
        <f>IFERROR(VLOOKUP(Match_Record[[#This Row],[Player_No]],Squads[[Player No]:[Player Name]],2,TRUE),"")</f>
        <v>Costa Rica</v>
      </c>
    </row>
    <row r="310" spans="1:9" x14ac:dyDescent="0.25">
      <c r="A310" s="18">
        <v>43</v>
      </c>
      <c r="B310" s="35">
        <f>IFERROR(VLOOKUP(Match_Record[[#This Row],[Match No]],Fixtures[[#All],[Match No]:[Location]],2,TRUE),"")</f>
        <v>44896</v>
      </c>
      <c r="C310" s="2" t="str">
        <f>IFERROR(VLOOKUP(Match_Record[[#This Row],[Match No]],Fixtures[[#All],[Match No]:[Location]],5,TRUE),"")</f>
        <v>Costa Rica</v>
      </c>
      <c r="D310" s="2" t="str">
        <f>IFERROR(VLOOKUP(Match_Record[[#This Row],[Match No]],Fixtures[[#All],[Match No]:[Location]],8,TRUE),"")</f>
        <v>Germany</v>
      </c>
      <c r="E310" s="2" t="s">
        <v>1539</v>
      </c>
      <c r="F310" s="18">
        <v>70</v>
      </c>
      <c r="G310" s="2">
        <v>1313</v>
      </c>
      <c r="H310" s="2" t="str">
        <f>IFERROR(VLOOKUP(Match_Record[[#This Row],[Player_No]],Squads[[Player No]:[Player Name]],6,TRUE),"")</f>
        <v>Manuel Neuer </v>
      </c>
      <c r="I310" s="2" t="str">
        <f>IFERROR(VLOOKUP(Match_Record[[#This Row],[Player_No]],Squads[[Player No]:[Player Name]],2,TRUE),"")</f>
        <v>Germany</v>
      </c>
    </row>
    <row r="311" spans="1:9" x14ac:dyDescent="0.25">
      <c r="A311" s="18">
        <v>43</v>
      </c>
      <c r="B311" s="35">
        <f>IFERROR(VLOOKUP(Match_Record[[#This Row],[Match No]],Fixtures[[#All],[Match No]:[Location]],2,TRUE),"")</f>
        <v>44896</v>
      </c>
      <c r="C311" s="2" t="str">
        <f>IFERROR(VLOOKUP(Match_Record[[#This Row],[Match No]],Fixtures[[#All],[Match No]:[Location]],5,TRUE),"")</f>
        <v>Costa Rica</v>
      </c>
      <c r="D311" s="2" t="str">
        <f>IFERROR(VLOOKUP(Match_Record[[#This Row],[Match No]],Fixtures[[#All],[Match No]:[Location]],8,TRUE),"")</f>
        <v>Germany</v>
      </c>
      <c r="E311" s="2" t="s">
        <v>1080</v>
      </c>
      <c r="F311" s="18">
        <v>77</v>
      </c>
      <c r="G311" s="2">
        <v>1162</v>
      </c>
      <c r="H311" s="2" t="str">
        <f>IFERROR(VLOOKUP(Match_Record[[#This Row],[Player_No]],Squads[[Player No]:[Player Name]],6,TRUE),"")</f>
        <v>Óscar Duarte</v>
      </c>
      <c r="I311" s="2" t="str">
        <f>IFERROR(VLOOKUP(Match_Record[[#This Row],[Player_No]],Squads[[Player No]:[Player Name]],2,TRUE),"")</f>
        <v>Costa Rica</v>
      </c>
    </row>
    <row r="312" spans="1:9" x14ac:dyDescent="0.25">
      <c r="A312" s="18">
        <v>43</v>
      </c>
      <c r="B312" s="35">
        <f>IFERROR(VLOOKUP(Match_Record[[#This Row],[Match No]],Fixtures[[#All],[Match No]:[Location]],2,TRUE),"")</f>
        <v>44896</v>
      </c>
      <c r="C312" s="2" t="str">
        <f>IFERROR(VLOOKUP(Match_Record[[#This Row],[Match No]],Fixtures[[#All],[Match No]:[Location]],5,TRUE),"")</f>
        <v>Costa Rica</v>
      </c>
      <c r="D312" s="2" t="str">
        <f>IFERROR(VLOOKUP(Match_Record[[#This Row],[Match No]],Fixtures[[#All],[Match No]:[Location]],8,TRUE),"")</f>
        <v>Germany</v>
      </c>
      <c r="E312" s="2" t="s">
        <v>1078</v>
      </c>
      <c r="F312" s="18">
        <v>10</v>
      </c>
      <c r="G312" s="2">
        <v>1322</v>
      </c>
      <c r="H312" s="2" t="str">
        <f>IFERROR(VLOOKUP(Match_Record[[#This Row],[Player_No]],Squads[[Player No]:[Player Name]],6,TRUE),"")</f>
        <v>Serge Gnabry</v>
      </c>
      <c r="I312" s="2" t="str">
        <f>IFERROR(VLOOKUP(Match_Record[[#This Row],[Player_No]],Squads[[Player No]:[Player Name]],2,TRUE),"")</f>
        <v>Germany</v>
      </c>
    </row>
    <row r="313" spans="1:9" x14ac:dyDescent="0.25">
      <c r="A313" s="18">
        <v>43</v>
      </c>
      <c r="B313" s="35">
        <f>IFERROR(VLOOKUP(Match_Record[[#This Row],[Match No]],Fixtures[[#All],[Match No]:[Location]],2,TRUE),"")</f>
        <v>44896</v>
      </c>
      <c r="C313" s="2" t="str">
        <f>IFERROR(VLOOKUP(Match_Record[[#This Row],[Match No]],Fixtures[[#All],[Match No]:[Location]],5,TRUE),"")</f>
        <v>Costa Rica</v>
      </c>
      <c r="D313" s="2" t="str">
        <f>IFERROR(VLOOKUP(Match_Record[[#This Row],[Match No]],Fixtures[[#All],[Match No]:[Location]],8,TRUE),"")</f>
        <v>Germany</v>
      </c>
      <c r="E313" s="2" t="s">
        <v>1079</v>
      </c>
      <c r="F313" s="18">
        <v>10</v>
      </c>
      <c r="G313" s="2">
        <v>1315</v>
      </c>
      <c r="H313" s="2" t="str">
        <f>IFERROR(VLOOKUP(Match_Record[[#This Row],[Player_No]],Squads[[Player No]:[Player Name]],6,TRUE),"")</f>
        <v>David Raum</v>
      </c>
      <c r="I313" s="2" t="str">
        <f>IFERROR(VLOOKUP(Match_Record[[#This Row],[Player_No]],Squads[[Player No]:[Player Name]],2,TRUE),"")</f>
        <v>Germany</v>
      </c>
    </row>
    <row r="314" spans="1:9" x14ac:dyDescent="0.25">
      <c r="A314" s="18">
        <v>43</v>
      </c>
      <c r="B314" s="35">
        <f>IFERROR(VLOOKUP(Match_Record[[#This Row],[Match No]],Fixtures[[#All],[Match No]:[Location]],2,TRUE),"")</f>
        <v>44896</v>
      </c>
      <c r="C314" s="2" t="str">
        <f>IFERROR(VLOOKUP(Match_Record[[#This Row],[Match No]],Fixtures[[#All],[Match No]:[Location]],5,TRUE),"")</f>
        <v>Costa Rica</v>
      </c>
      <c r="D314" s="2" t="str">
        <f>IFERROR(VLOOKUP(Match_Record[[#This Row],[Match No]],Fixtures[[#All],[Match No]:[Location]],8,TRUE),"")</f>
        <v>Germany</v>
      </c>
      <c r="E314" s="2" t="s">
        <v>1078</v>
      </c>
      <c r="F314" s="18">
        <v>73</v>
      </c>
      <c r="G314" s="2">
        <v>1319</v>
      </c>
      <c r="H314" s="2" t="str">
        <f>IFERROR(VLOOKUP(Match_Record[[#This Row],[Player_No]],Squads[[Player No]:[Player Name]],6,TRUE),"")</f>
        <v>Kai Havertz</v>
      </c>
      <c r="I314" s="2" t="str">
        <f>IFERROR(VLOOKUP(Match_Record[[#This Row],[Player_No]],Squads[[Player No]:[Player Name]],2,TRUE),"")</f>
        <v>Germany</v>
      </c>
    </row>
    <row r="315" spans="1:9" x14ac:dyDescent="0.25">
      <c r="A315" s="18">
        <v>43</v>
      </c>
      <c r="B315" s="35">
        <f>IFERROR(VLOOKUP(Match_Record[[#This Row],[Match No]],Fixtures[[#All],[Match No]:[Location]],2,TRUE),"")</f>
        <v>44896</v>
      </c>
      <c r="C315" s="2" t="str">
        <f>IFERROR(VLOOKUP(Match_Record[[#This Row],[Match No]],Fixtures[[#All],[Match No]:[Location]],5,TRUE),"")</f>
        <v>Costa Rica</v>
      </c>
      <c r="D315" s="2" t="str">
        <f>IFERROR(VLOOKUP(Match_Record[[#This Row],[Match No]],Fixtures[[#All],[Match No]:[Location]],8,TRUE),"")</f>
        <v>Germany</v>
      </c>
      <c r="E315" s="2" t="s">
        <v>1079</v>
      </c>
      <c r="F315" s="18">
        <v>73</v>
      </c>
      <c r="G315" s="2">
        <v>1321</v>
      </c>
      <c r="H315" s="2" t="str">
        <f>IFERROR(VLOOKUP(Match_Record[[#This Row],[Player_No]],Squads[[Player No]:[Player Name]],6,TRUE),"")</f>
        <v>Niclas Füllkrug</v>
      </c>
      <c r="I315" s="2" t="str">
        <f>IFERROR(VLOOKUP(Match_Record[[#This Row],[Player_No]],Squads[[Player No]:[Player Name]],2,TRUE),"")</f>
        <v>Germany</v>
      </c>
    </row>
    <row r="316" spans="1:9" x14ac:dyDescent="0.25">
      <c r="A316" s="18">
        <v>43</v>
      </c>
      <c r="B316" s="35">
        <f>IFERROR(VLOOKUP(Match_Record[[#This Row],[Match No]],Fixtures[[#All],[Match No]:[Location]],2,TRUE),"")</f>
        <v>44896</v>
      </c>
      <c r="C316" s="2" t="str">
        <f>IFERROR(VLOOKUP(Match_Record[[#This Row],[Match No]],Fixtures[[#All],[Match No]:[Location]],5,TRUE),"")</f>
        <v>Costa Rica</v>
      </c>
      <c r="D316" s="2" t="str">
        <f>IFERROR(VLOOKUP(Match_Record[[#This Row],[Match No]],Fixtures[[#All],[Match No]:[Location]],8,TRUE),"")</f>
        <v>Germany</v>
      </c>
      <c r="E316" s="2" t="s">
        <v>1078</v>
      </c>
      <c r="F316" s="18">
        <v>85</v>
      </c>
      <c r="G316" s="2">
        <v>1319</v>
      </c>
      <c r="H316" s="2" t="str">
        <f>IFERROR(VLOOKUP(Match_Record[[#This Row],[Player_No]],Squads[[Player No]:[Player Name]],6,TRUE),"")</f>
        <v>Kai Havertz</v>
      </c>
      <c r="I316" s="2" t="str">
        <f>IFERROR(VLOOKUP(Match_Record[[#This Row],[Player_No]],Squads[[Player No]:[Player Name]],2,TRUE),"")</f>
        <v>Germany</v>
      </c>
    </row>
    <row r="317" spans="1:9" x14ac:dyDescent="0.25">
      <c r="A317" s="18">
        <v>43</v>
      </c>
      <c r="B317" s="35">
        <f>IFERROR(VLOOKUP(Match_Record[[#This Row],[Match No]],Fixtures[[#All],[Match No]:[Location]],2,TRUE),"")</f>
        <v>44896</v>
      </c>
      <c r="C317" s="2" t="str">
        <f>IFERROR(VLOOKUP(Match_Record[[#This Row],[Match No]],Fixtures[[#All],[Match No]:[Location]],5,TRUE),"")</f>
        <v>Costa Rica</v>
      </c>
      <c r="D317" s="2" t="str">
        <f>IFERROR(VLOOKUP(Match_Record[[#This Row],[Match No]],Fixtures[[#All],[Match No]:[Location]],8,TRUE),"")</f>
        <v>Germany</v>
      </c>
      <c r="E317" s="2" t="s">
        <v>1079</v>
      </c>
      <c r="F317" s="18">
        <v>85</v>
      </c>
      <c r="G317" s="2">
        <v>1322</v>
      </c>
      <c r="H317" s="2" t="str">
        <f>IFERROR(VLOOKUP(Match_Record[[#This Row],[Player_No]],Squads[[Player No]:[Player Name]],6,TRUE),"")</f>
        <v>Serge Gnabry</v>
      </c>
      <c r="I317" s="2" t="str">
        <f>IFERROR(VLOOKUP(Match_Record[[#This Row],[Player_No]],Squads[[Player No]:[Player Name]],2,TRUE),"")</f>
        <v>Germany</v>
      </c>
    </row>
    <row r="318" spans="1:9" x14ac:dyDescent="0.25">
      <c r="A318" s="18">
        <v>43</v>
      </c>
      <c r="B318" s="35">
        <f>IFERROR(VLOOKUP(Match_Record[[#This Row],[Match No]],Fixtures[[#All],[Match No]:[Location]],2,TRUE),"")</f>
        <v>44896</v>
      </c>
      <c r="C318" s="2" t="str">
        <f>IFERROR(VLOOKUP(Match_Record[[#This Row],[Match No]],Fixtures[[#All],[Match No]:[Location]],5,TRUE),"")</f>
        <v>Costa Rica</v>
      </c>
      <c r="D318" s="2" t="str">
        <f>IFERROR(VLOOKUP(Match_Record[[#This Row],[Match No]],Fixtures[[#All],[Match No]:[Location]],8,TRUE),"")</f>
        <v>Germany</v>
      </c>
      <c r="E318" s="2" t="s">
        <v>1078</v>
      </c>
      <c r="F318" s="18">
        <v>89</v>
      </c>
      <c r="G318" s="2">
        <v>1321</v>
      </c>
      <c r="H318" s="2" t="str">
        <f>IFERROR(VLOOKUP(Match_Record[[#This Row],[Player_No]],Squads[[Player No]:[Player Name]],6,TRUE),"")</f>
        <v>Niclas Füllkrug</v>
      </c>
      <c r="I318" s="2" t="str">
        <f>IFERROR(VLOOKUP(Match_Record[[#This Row],[Player_No]],Squads[[Player No]:[Player Name]],2,TRUE),"")</f>
        <v>Germany</v>
      </c>
    </row>
    <row r="319" spans="1:9" x14ac:dyDescent="0.25">
      <c r="A319" s="18">
        <v>43</v>
      </c>
      <c r="B319" s="35">
        <f>IFERROR(VLOOKUP(Match_Record[[#This Row],[Match No]],Fixtures[[#All],[Match No]:[Location]],2,TRUE),"")</f>
        <v>44896</v>
      </c>
      <c r="C319" s="2" t="str">
        <f>IFERROR(VLOOKUP(Match_Record[[#This Row],[Match No]],Fixtures[[#All],[Match No]:[Location]],5,TRUE),"")</f>
        <v>Costa Rica</v>
      </c>
      <c r="D319" s="2" t="str">
        <f>IFERROR(VLOOKUP(Match_Record[[#This Row],[Match No]],Fixtures[[#All],[Match No]:[Location]],8,TRUE),"")</f>
        <v>Germany</v>
      </c>
      <c r="E319" s="2" t="s">
        <v>1079</v>
      </c>
      <c r="F319" s="18">
        <v>89</v>
      </c>
      <c r="G319" s="2">
        <v>1331</v>
      </c>
      <c r="H319" s="2" t="str">
        <f>IFERROR(VLOOKUP(Match_Record[[#This Row],[Player_No]],Squads[[Player No]:[Player Name]],6,TRUE),"")</f>
        <v>Leroy Sané</v>
      </c>
      <c r="I319" s="2" t="str">
        <f>IFERROR(VLOOKUP(Match_Record[[#This Row],[Player_No]],Squads[[Player No]:[Player Name]],2,TRUE),"")</f>
        <v>Germany</v>
      </c>
    </row>
    <row r="320" spans="1:9" x14ac:dyDescent="0.25">
      <c r="A320" s="18">
        <v>44</v>
      </c>
      <c r="B320" s="35">
        <f>IFERROR(VLOOKUP(Match_Record[[#This Row],[Match No]],Fixtures[[#All],[Match No]:[Location]],2,TRUE),"")</f>
        <v>44896</v>
      </c>
      <c r="C320" s="2" t="str">
        <f>IFERROR(VLOOKUP(Match_Record[[#This Row],[Match No]],Fixtures[[#All],[Match No]:[Location]],5,TRUE),"")</f>
        <v>Japan</v>
      </c>
      <c r="D320" s="2" t="str">
        <f>IFERROR(VLOOKUP(Match_Record[[#This Row],[Match No]],Fixtures[[#All],[Match No]:[Location]],8,TRUE),"")</f>
        <v>Spain</v>
      </c>
      <c r="E320" s="2" t="s">
        <v>1080</v>
      </c>
      <c r="F320" s="18">
        <v>39</v>
      </c>
      <c r="G320" s="2">
        <v>1393</v>
      </c>
      <c r="H320" s="2" t="str">
        <f>IFERROR(VLOOKUP(Match_Record[[#This Row],[Player_No]],Squads[[Player No]:[Player Name]],6,TRUE),"")</f>
        <v>Ko Itakura</v>
      </c>
      <c r="I320" s="2" t="str">
        <f>IFERROR(VLOOKUP(Match_Record[[#This Row],[Player_No]],Squads[[Player No]:[Player Name]],2,TRUE),"")</f>
        <v>Japan</v>
      </c>
    </row>
    <row r="321" spans="1:9" x14ac:dyDescent="0.25">
      <c r="A321" s="18">
        <v>44</v>
      </c>
      <c r="B321" s="35">
        <f>IFERROR(VLOOKUP(Match_Record[[#This Row],[Match No]],Fixtures[[#All],[Match No]:[Location]],2,TRUE),"")</f>
        <v>44896</v>
      </c>
      <c r="C321" s="2" t="str">
        <f>IFERROR(VLOOKUP(Match_Record[[#This Row],[Match No]],Fixtures[[#All],[Match No]:[Location]],5,TRUE),"")</f>
        <v>Japan</v>
      </c>
      <c r="D321" s="2" t="str">
        <f>IFERROR(VLOOKUP(Match_Record[[#This Row],[Match No]],Fixtures[[#All],[Match No]:[Location]],8,TRUE),"")</f>
        <v>Spain</v>
      </c>
      <c r="E321" s="2" t="s">
        <v>1080</v>
      </c>
      <c r="F321" s="18">
        <v>44</v>
      </c>
      <c r="G321" s="2">
        <v>1392</v>
      </c>
      <c r="H321" s="2" t="str">
        <f>IFERROR(VLOOKUP(Match_Record[[#This Row],[Player_No]],Squads[[Player No]:[Player Name]],6,TRUE),"")</f>
        <v>Shogo Taniguchi</v>
      </c>
      <c r="I321" s="2" t="str">
        <f>IFERROR(VLOOKUP(Match_Record[[#This Row],[Player_No]],Squads[[Player No]:[Player Name]],2,TRUE),"")</f>
        <v>Japan</v>
      </c>
    </row>
    <row r="322" spans="1:9" x14ac:dyDescent="0.25">
      <c r="A322" s="18">
        <v>44</v>
      </c>
      <c r="B322" s="35">
        <f>IFERROR(VLOOKUP(Match_Record[[#This Row],[Match No]],Fixtures[[#All],[Match No]:[Location]],2,TRUE),"")</f>
        <v>44896</v>
      </c>
      <c r="C322" s="2" t="str">
        <f>IFERROR(VLOOKUP(Match_Record[[#This Row],[Match No]],Fixtures[[#All],[Match No]:[Location]],5,TRUE),"")</f>
        <v>Japan</v>
      </c>
      <c r="D322" s="2" t="str">
        <f>IFERROR(VLOOKUP(Match_Record[[#This Row],[Match No]],Fixtures[[#All],[Match No]:[Location]],8,TRUE),"")</f>
        <v>Spain</v>
      </c>
      <c r="E322" s="2" t="s">
        <v>1080</v>
      </c>
      <c r="F322" s="18">
        <v>45</v>
      </c>
      <c r="G322" s="2">
        <v>1411</v>
      </c>
      <c r="H322" s="2" t="str">
        <f>IFERROR(VLOOKUP(Match_Record[[#This Row],[Player_No]],Squads[[Player No]:[Player Name]],6,TRUE),"")</f>
        <v>Maya Yoshida </v>
      </c>
      <c r="I322" s="2" t="str">
        <f>IFERROR(VLOOKUP(Match_Record[[#This Row],[Player_No]],Squads[[Player No]:[Player Name]],2,TRUE),"")</f>
        <v>Japan</v>
      </c>
    </row>
    <row r="323" spans="1:9" x14ac:dyDescent="0.25">
      <c r="A323" s="18">
        <v>44</v>
      </c>
      <c r="B323" s="35">
        <f>IFERROR(VLOOKUP(Match_Record[[#This Row],[Match No]],Fixtures[[#All],[Match No]:[Location]],2,TRUE),"")</f>
        <v>44896</v>
      </c>
      <c r="C323" s="2" t="str">
        <f>IFERROR(VLOOKUP(Match_Record[[#This Row],[Match No]],Fixtures[[#All],[Match No]:[Location]],5,TRUE),"")</f>
        <v>Japan</v>
      </c>
      <c r="D323" s="2" t="str">
        <f>IFERROR(VLOOKUP(Match_Record[[#This Row],[Match No]],Fixtures[[#All],[Match No]:[Location]],8,TRUE),"")</f>
        <v>Spain</v>
      </c>
      <c r="E323" s="2" t="s">
        <v>1078</v>
      </c>
      <c r="F323" s="18">
        <v>48</v>
      </c>
      <c r="G323" s="2">
        <v>1397</v>
      </c>
      <c r="H323" s="2" t="str">
        <f>IFERROR(VLOOKUP(Match_Record[[#This Row],[Player_No]],Squads[[Player No]:[Player Name]],6,TRUE),"")</f>
        <v>Ritsu Dōan</v>
      </c>
      <c r="I323" s="2" t="str">
        <f>IFERROR(VLOOKUP(Match_Record[[#This Row],[Player_No]],Squads[[Player No]:[Player Name]],2,TRUE),"")</f>
        <v>Japan</v>
      </c>
    </row>
    <row r="324" spans="1:9" x14ac:dyDescent="0.25">
      <c r="A324" s="18">
        <v>44</v>
      </c>
      <c r="B324" s="35">
        <f>IFERROR(VLOOKUP(Match_Record[[#This Row],[Match No]],Fixtures[[#All],[Match No]:[Location]],2,TRUE),"")</f>
        <v>44896</v>
      </c>
      <c r="C324" s="2" t="str">
        <f>IFERROR(VLOOKUP(Match_Record[[#This Row],[Match No]],Fixtures[[#All],[Match No]:[Location]],5,TRUE),"")</f>
        <v>Japan</v>
      </c>
      <c r="D324" s="2" t="str">
        <f>IFERROR(VLOOKUP(Match_Record[[#This Row],[Match No]],Fixtures[[#All],[Match No]:[Location]],8,TRUE),"")</f>
        <v>Spain</v>
      </c>
      <c r="E324" s="2" t="s">
        <v>1079</v>
      </c>
      <c r="F324" s="18">
        <v>48</v>
      </c>
      <c r="G324" s="2">
        <v>1403</v>
      </c>
      <c r="H324" s="2" t="str">
        <f>IFERROR(VLOOKUP(Match_Record[[#This Row],[Player_No]],Squads[[Player No]:[Player Name]],6,TRUE),"")</f>
        <v>Junya Ito</v>
      </c>
      <c r="I324" s="2" t="str">
        <f>IFERROR(VLOOKUP(Match_Record[[#This Row],[Player_No]],Squads[[Player No]:[Player Name]],2,TRUE),"")</f>
        <v>Japan</v>
      </c>
    </row>
    <row r="325" spans="1:9" x14ac:dyDescent="0.25">
      <c r="A325" s="18">
        <v>44</v>
      </c>
      <c r="B325" s="35">
        <f>IFERROR(VLOOKUP(Match_Record[[#This Row],[Match No]],Fixtures[[#All],[Match No]:[Location]],2,TRUE),"")</f>
        <v>44896</v>
      </c>
      <c r="C325" s="2" t="str">
        <f>IFERROR(VLOOKUP(Match_Record[[#This Row],[Match No]],Fixtures[[#All],[Match No]:[Location]],5,TRUE),"")</f>
        <v>Japan</v>
      </c>
      <c r="D325" s="2" t="str">
        <f>IFERROR(VLOOKUP(Match_Record[[#This Row],[Match No]],Fixtures[[#All],[Match No]:[Location]],8,TRUE),"")</f>
        <v>Spain</v>
      </c>
      <c r="E325" s="2" t="s">
        <v>1078</v>
      </c>
      <c r="F325" s="18">
        <v>51</v>
      </c>
      <c r="G325" s="2">
        <v>1406</v>
      </c>
      <c r="H325" s="2" t="str">
        <f>IFERROR(VLOOKUP(Match_Record[[#This Row],[Player_No]],Squads[[Player No]:[Player Name]],6,TRUE),"")</f>
        <v>Ao Tanaka</v>
      </c>
      <c r="I325" s="2" t="str">
        <f>IFERROR(VLOOKUP(Match_Record[[#This Row],[Player_No]],Squads[[Player No]:[Player Name]],2,TRUE),"")</f>
        <v>Japan</v>
      </c>
    </row>
    <row r="326" spans="1:9" x14ac:dyDescent="0.25">
      <c r="A326" s="18">
        <v>44</v>
      </c>
      <c r="B326" s="35">
        <f>IFERROR(VLOOKUP(Match_Record[[#This Row],[Match No]],Fixtures[[#All],[Match No]:[Location]],2,TRUE),"")</f>
        <v>44896</v>
      </c>
      <c r="C326" s="2" t="str">
        <f>IFERROR(VLOOKUP(Match_Record[[#This Row],[Match No]],Fixtures[[#All],[Match No]:[Location]],5,TRUE),"")</f>
        <v>Japan</v>
      </c>
      <c r="D326" s="2" t="str">
        <f>IFERROR(VLOOKUP(Match_Record[[#This Row],[Match No]],Fixtures[[#All],[Match No]:[Location]],8,TRUE),"")</f>
        <v>Spain</v>
      </c>
      <c r="E326" s="2" t="s">
        <v>1079</v>
      </c>
      <c r="F326" s="18">
        <v>51</v>
      </c>
      <c r="G326" s="2">
        <v>1398</v>
      </c>
      <c r="H326" s="2" t="str">
        <f>IFERROR(VLOOKUP(Match_Record[[#This Row],[Player_No]],Squads[[Player No]:[Player Name]],6,TRUE),"")</f>
        <v>Kaoru Mitoma</v>
      </c>
      <c r="I326" s="2" t="str">
        <f>IFERROR(VLOOKUP(Match_Record[[#This Row],[Player_No]],Squads[[Player No]:[Player Name]],2,TRUE),"")</f>
        <v>Japan</v>
      </c>
    </row>
    <row r="327" spans="1:9" x14ac:dyDescent="0.25">
      <c r="A327" s="18">
        <v>44</v>
      </c>
      <c r="B327" s="35">
        <f>IFERROR(VLOOKUP(Match_Record[[#This Row],[Match No]],Fixtures[[#All],[Match No]:[Location]],2,TRUE),"")</f>
        <v>44896</v>
      </c>
      <c r="C327" s="2" t="str">
        <f>IFERROR(VLOOKUP(Match_Record[[#This Row],[Match No]],Fixtures[[#All],[Match No]:[Location]],5,TRUE),"")</f>
        <v>Japan</v>
      </c>
      <c r="D327" s="2" t="str">
        <f>IFERROR(VLOOKUP(Match_Record[[#This Row],[Match No]],Fixtures[[#All],[Match No]:[Location]],8,TRUE),"")</f>
        <v>Spain</v>
      </c>
      <c r="E327" s="2" t="s">
        <v>1078</v>
      </c>
      <c r="F327" s="18">
        <v>11</v>
      </c>
      <c r="G327" s="2">
        <v>1681</v>
      </c>
      <c r="H327" s="2" t="str">
        <f>IFERROR(VLOOKUP(Match_Record[[#This Row],[Player_No]],Squads[[Player No]:[Player Name]],6,TRUE),"")</f>
        <v>Álvaro Morata</v>
      </c>
      <c r="I327" s="2" t="str">
        <f>IFERROR(VLOOKUP(Match_Record[[#This Row],[Player_No]],Squads[[Player No]:[Player Name]],2,TRUE),"")</f>
        <v>Spain</v>
      </c>
    </row>
    <row r="328" spans="1:9" x14ac:dyDescent="0.25">
      <c r="A328" s="18">
        <v>44</v>
      </c>
      <c r="B328" s="35">
        <f>IFERROR(VLOOKUP(Match_Record[[#This Row],[Match No]],Fixtures[[#All],[Match No]:[Location]],2,TRUE),"")</f>
        <v>44896</v>
      </c>
      <c r="C328" s="2" t="str">
        <f>IFERROR(VLOOKUP(Match_Record[[#This Row],[Match No]],Fixtures[[#All],[Match No]:[Location]],5,TRUE),"")</f>
        <v>Japan</v>
      </c>
      <c r="D328" s="2" t="str">
        <f>IFERROR(VLOOKUP(Match_Record[[#This Row],[Match No]],Fixtures[[#All],[Match No]:[Location]],8,TRUE),"")</f>
        <v>Spain</v>
      </c>
      <c r="E328" s="2" t="s">
        <v>1079</v>
      </c>
      <c r="F328" s="18">
        <v>11</v>
      </c>
      <c r="G328" s="2">
        <v>1676</v>
      </c>
      <c r="H328" s="2" t="str">
        <f>IFERROR(VLOOKUP(Match_Record[[#This Row],[Player_No]],Squads[[Player No]:[Player Name]],6,TRUE),"")</f>
        <v>César Azpilicueta</v>
      </c>
      <c r="I328" s="2" t="str">
        <f>IFERROR(VLOOKUP(Match_Record[[#This Row],[Player_No]],Squads[[Player No]:[Player Name]],2,TRUE),"")</f>
        <v>Spain</v>
      </c>
    </row>
    <row r="329" spans="1:9" x14ac:dyDescent="0.25">
      <c r="A329" s="18">
        <v>45</v>
      </c>
      <c r="B329" s="35">
        <f>IFERROR(VLOOKUP(Match_Record[[#This Row],[Match No]],Fixtures[[#All],[Match No]:[Location]],2,TRUE),"")</f>
        <v>44897</v>
      </c>
      <c r="C329" s="2" t="str">
        <f>IFERROR(VLOOKUP(Match_Record[[#This Row],[Match No]],Fixtures[[#All],[Match No]:[Location]],5,TRUE),"")</f>
        <v>Ghana</v>
      </c>
      <c r="D329" s="2" t="str">
        <f>IFERROR(VLOOKUP(Match_Record[[#This Row],[Match No]],Fixtures[[#All],[Match No]:[Location]],8,TRUE),"")</f>
        <v>Uruguay</v>
      </c>
      <c r="E329" s="2" t="s">
        <v>1538</v>
      </c>
      <c r="F329" s="18">
        <v>21</v>
      </c>
      <c r="G329" s="2">
        <v>1348</v>
      </c>
      <c r="H329" s="2" t="str">
        <f>IFERROR(VLOOKUP(Match_Record[[#This Row],[Player_No]],Squads[[Player No]:[Player Name]],6,TRUE),"")</f>
        <v>André Ayew </v>
      </c>
      <c r="I329" s="2" t="str">
        <f>IFERROR(VLOOKUP(Match_Record[[#This Row],[Player_No]],Squads[[Player No]:[Player Name]],2,TRUE),"")</f>
        <v>Ghana</v>
      </c>
    </row>
    <row r="330" spans="1:9" x14ac:dyDescent="0.25">
      <c r="A330" s="18">
        <v>45</v>
      </c>
      <c r="B330" s="35">
        <f>IFERROR(VLOOKUP(Match_Record[[#This Row],[Match No]],Fixtures[[#All],[Match No]:[Location]],2,TRUE),"")</f>
        <v>44897</v>
      </c>
      <c r="C330" s="2" t="str">
        <f>IFERROR(VLOOKUP(Match_Record[[#This Row],[Match No]],Fixtures[[#All],[Match No]:[Location]],5,TRUE),"")</f>
        <v>Ghana</v>
      </c>
      <c r="D330" s="2" t="str">
        <f>IFERROR(VLOOKUP(Match_Record[[#This Row],[Match No]],Fixtures[[#All],[Match No]:[Location]],8,TRUE),"")</f>
        <v>Uruguay</v>
      </c>
      <c r="E330" s="2" t="s">
        <v>1080</v>
      </c>
      <c r="F330" s="18">
        <v>86</v>
      </c>
      <c r="G330" s="2">
        <v>1360</v>
      </c>
      <c r="H330" s="2" t="str">
        <f>IFERROR(VLOOKUP(Match_Record[[#This Row],[Player_No]],Squads[[Player No]:[Player Name]],6,TRUE),"")</f>
        <v>Kamaldeen Sulemana</v>
      </c>
      <c r="I330" s="2" t="str">
        <f>IFERROR(VLOOKUP(Match_Record[[#This Row],[Player_No]],Squads[[Player No]:[Player Name]],2,TRUE),"")</f>
        <v>Ghana</v>
      </c>
    </row>
    <row r="331" spans="1:9" x14ac:dyDescent="0.25">
      <c r="A331" s="18">
        <v>45</v>
      </c>
      <c r="B331" s="35">
        <f>IFERROR(VLOOKUP(Match_Record[[#This Row],[Match No]],Fixtures[[#All],[Match No]:[Location]],2,TRUE),"")</f>
        <v>44897</v>
      </c>
      <c r="C331" s="2" t="str">
        <f>IFERROR(VLOOKUP(Match_Record[[#This Row],[Match No]],Fixtures[[#All],[Match No]:[Location]],5,TRUE),"")</f>
        <v>Ghana</v>
      </c>
      <c r="D331" s="2" t="str">
        <f>IFERROR(VLOOKUP(Match_Record[[#This Row],[Match No]],Fixtures[[#All],[Match No]:[Location]],8,TRUE),"")</f>
        <v>Uruguay</v>
      </c>
      <c r="E331" s="2" t="s">
        <v>1080</v>
      </c>
      <c r="F331" s="18">
        <v>99</v>
      </c>
      <c r="G331" s="2">
        <v>1364</v>
      </c>
      <c r="H331" s="2" t="str">
        <f>IFERROR(VLOOKUP(Match_Record[[#This Row],[Player_No]],Squads[[Player No]:[Player Name]],6,TRUE),"")</f>
        <v>Alidu Seidu</v>
      </c>
      <c r="I331" s="2" t="str">
        <f>IFERROR(VLOOKUP(Match_Record[[#This Row],[Player_No]],Squads[[Player No]:[Player Name]],2,TRUE),"")</f>
        <v>Ghana</v>
      </c>
    </row>
    <row r="332" spans="1:9" x14ac:dyDescent="0.25">
      <c r="A332" s="18">
        <v>45</v>
      </c>
      <c r="B332" s="35">
        <f>IFERROR(VLOOKUP(Match_Record[[#This Row],[Match No]],Fixtures[[#All],[Match No]:[Location]],2,TRUE),"")</f>
        <v>44897</v>
      </c>
      <c r="C332" s="2" t="str">
        <f>IFERROR(VLOOKUP(Match_Record[[#This Row],[Match No]],Fixtures[[#All],[Match No]:[Location]],5,TRUE),"")</f>
        <v>Ghana</v>
      </c>
      <c r="D332" s="2" t="str">
        <f>IFERROR(VLOOKUP(Match_Record[[#This Row],[Match No]],Fixtures[[#All],[Match No]:[Location]],8,TRUE),"")</f>
        <v>Uruguay</v>
      </c>
      <c r="E332" s="2" t="s">
        <v>1080</v>
      </c>
      <c r="F332" s="18">
        <v>20</v>
      </c>
      <c r="G332" s="2">
        <v>1763</v>
      </c>
      <c r="H332" s="2" t="str">
        <f>IFERROR(VLOOKUP(Match_Record[[#This Row],[Player_No]],Squads[[Player No]:[Player Name]],6,TRUE),"")</f>
        <v>Darwin Núñez</v>
      </c>
      <c r="I332" s="2" t="str">
        <f>IFERROR(VLOOKUP(Match_Record[[#This Row],[Player_No]],Squads[[Player No]:[Player Name]],2,TRUE),"")</f>
        <v>Uruguay</v>
      </c>
    </row>
    <row r="333" spans="1:9" x14ac:dyDescent="0.25">
      <c r="A333" s="18">
        <v>45</v>
      </c>
      <c r="B333" s="35">
        <f>IFERROR(VLOOKUP(Match_Record[[#This Row],[Match No]],Fixtures[[#All],[Match No]:[Location]],2,TRUE),"")</f>
        <v>44897</v>
      </c>
      <c r="C333" s="2" t="str">
        <f>IFERROR(VLOOKUP(Match_Record[[#This Row],[Match No]],Fixtures[[#All],[Match No]:[Location]],5,TRUE),"")</f>
        <v>Ghana</v>
      </c>
      <c r="D333" s="2" t="str">
        <f>IFERROR(VLOOKUP(Match_Record[[#This Row],[Match No]],Fixtures[[#All],[Match No]:[Location]],8,TRUE),"")</f>
        <v>Uruguay</v>
      </c>
      <c r="E333" s="2" t="s">
        <v>1078</v>
      </c>
      <c r="F333" s="18">
        <v>26</v>
      </c>
      <c r="G333" s="2">
        <v>1762</v>
      </c>
      <c r="H333" s="2" t="str">
        <f>IFERROR(VLOOKUP(Match_Record[[#This Row],[Player_No]],Squads[[Player No]:[Player Name]],6,TRUE),"")</f>
        <v>Giorgian de Arrascaeta</v>
      </c>
      <c r="I333" s="2" t="str">
        <f>IFERROR(VLOOKUP(Match_Record[[#This Row],[Player_No]],Squads[[Player No]:[Player Name]],2,TRUE),"")</f>
        <v>Uruguay</v>
      </c>
    </row>
    <row r="334" spans="1:9" x14ac:dyDescent="0.25">
      <c r="A334" s="18">
        <v>45</v>
      </c>
      <c r="B334" s="35">
        <f>IFERROR(VLOOKUP(Match_Record[[#This Row],[Match No]],Fixtures[[#All],[Match No]:[Location]],2,TRUE),"")</f>
        <v>44897</v>
      </c>
      <c r="C334" s="2" t="str">
        <f>IFERROR(VLOOKUP(Match_Record[[#This Row],[Match No]],Fixtures[[#All],[Match No]:[Location]],5,TRUE),"")</f>
        <v>Ghana</v>
      </c>
      <c r="D334" s="2" t="str">
        <f>IFERROR(VLOOKUP(Match_Record[[#This Row],[Match No]],Fixtures[[#All],[Match No]:[Location]],8,TRUE),"")</f>
        <v>Uruguay</v>
      </c>
      <c r="E334" s="2" t="s">
        <v>1078</v>
      </c>
      <c r="F334" s="18">
        <v>32</v>
      </c>
      <c r="G334" s="2">
        <v>1762</v>
      </c>
      <c r="H334" s="2" t="str">
        <f>IFERROR(VLOOKUP(Match_Record[[#This Row],[Player_No]],Squads[[Player No]:[Player Name]],6,TRUE),"")</f>
        <v>Giorgian de Arrascaeta</v>
      </c>
      <c r="I334" s="2" t="str">
        <f>IFERROR(VLOOKUP(Match_Record[[#This Row],[Player_No]],Squads[[Player No]:[Player Name]],2,TRUE),"")</f>
        <v>Uruguay</v>
      </c>
    </row>
    <row r="335" spans="1:9" x14ac:dyDescent="0.25">
      <c r="A335" s="18">
        <v>45</v>
      </c>
      <c r="B335" s="35">
        <f>IFERROR(VLOOKUP(Match_Record[[#This Row],[Match No]],Fixtures[[#All],[Match No]:[Location]],2,TRUE),"")</f>
        <v>44897</v>
      </c>
      <c r="C335" s="2" t="str">
        <f>IFERROR(VLOOKUP(Match_Record[[#This Row],[Match No]],Fixtures[[#All],[Match No]:[Location]],5,TRUE),"")</f>
        <v>Ghana</v>
      </c>
      <c r="D335" s="2" t="str">
        <f>IFERROR(VLOOKUP(Match_Record[[#This Row],[Match No]],Fixtures[[#All],[Match No]:[Location]],8,TRUE),"")</f>
        <v>Uruguay</v>
      </c>
      <c r="E335" s="2" t="s">
        <v>1079</v>
      </c>
      <c r="F335" s="18">
        <v>32</v>
      </c>
      <c r="G335" s="2">
        <v>1761</v>
      </c>
      <c r="H335" s="2" t="str">
        <f>IFERROR(VLOOKUP(Match_Record[[#This Row],[Player_No]],Squads[[Player No]:[Player Name]],6,TRUE),"")</f>
        <v>Luis Suárez</v>
      </c>
      <c r="I335" s="2" t="str">
        <f>IFERROR(VLOOKUP(Match_Record[[#This Row],[Player_No]],Squads[[Player No]:[Player Name]],2,TRUE),"")</f>
        <v>Uruguay</v>
      </c>
    </row>
    <row r="336" spans="1:9" x14ac:dyDescent="0.25">
      <c r="A336" s="18">
        <v>45</v>
      </c>
      <c r="B336" s="35">
        <f>IFERROR(VLOOKUP(Match_Record[[#This Row],[Match No]],Fixtures[[#All],[Match No]:[Location]],2,TRUE),"")</f>
        <v>44897</v>
      </c>
      <c r="C336" s="2" t="str">
        <f>IFERROR(VLOOKUP(Match_Record[[#This Row],[Match No]],Fixtures[[#All],[Match No]:[Location]],5,TRUE),"")</f>
        <v>Ghana</v>
      </c>
      <c r="D336" s="2" t="str">
        <f>IFERROR(VLOOKUP(Match_Record[[#This Row],[Match No]],Fixtures[[#All],[Match No]:[Location]],8,TRUE),"")</f>
        <v>Uruguay</v>
      </c>
      <c r="E336" s="2" t="s">
        <v>1080</v>
      </c>
      <c r="F336" s="18">
        <v>60</v>
      </c>
      <c r="G336" s="2">
        <v>1761</v>
      </c>
      <c r="H336" s="2" t="str">
        <f>IFERROR(VLOOKUP(Match_Record[[#This Row],[Player_No]],Squads[[Player No]:[Player Name]],6,TRUE),"")</f>
        <v>Luis Suárez</v>
      </c>
      <c r="I336" s="2" t="str">
        <f>IFERROR(VLOOKUP(Match_Record[[#This Row],[Player_No]],Squads[[Player No]:[Player Name]],2,TRUE),"")</f>
        <v>Uruguay</v>
      </c>
    </row>
    <row r="337" spans="1:9" x14ac:dyDescent="0.25">
      <c r="A337" s="18">
        <v>45</v>
      </c>
      <c r="B337" s="35">
        <f>IFERROR(VLOOKUP(Match_Record[[#This Row],[Match No]],Fixtures[[#All],[Match No]:[Location]],2,TRUE),"")</f>
        <v>44897</v>
      </c>
      <c r="C337" s="2" t="str">
        <f>IFERROR(VLOOKUP(Match_Record[[#This Row],[Match No]],Fixtures[[#All],[Match No]:[Location]],5,TRUE),"")</f>
        <v>Ghana</v>
      </c>
      <c r="D337" s="2" t="str">
        <f>IFERROR(VLOOKUP(Match_Record[[#This Row],[Match No]],Fixtures[[#All],[Match No]:[Location]],8,TRUE),"")</f>
        <v>Uruguay</v>
      </c>
      <c r="E337" s="2" t="s">
        <v>1080</v>
      </c>
      <c r="F337" s="18">
        <v>87</v>
      </c>
      <c r="G337" s="2">
        <v>1771</v>
      </c>
      <c r="H337" s="2" t="str">
        <f>IFERROR(VLOOKUP(Match_Record[[#This Row],[Player_No]],Squads[[Player No]:[Player Name]],6,TRUE),"")</f>
        <v>Sebastián Coates</v>
      </c>
      <c r="I337" s="2" t="str">
        <f>IFERROR(VLOOKUP(Match_Record[[#This Row],[Player_No]],Squads[[Player No]:[Player Name]],2,TRUE),"")</f>
        <v>Uruguay</v>
      </c>
    </row>
    <row r="338" spans="1:9" x14ac:dyDescent="0.25">
      <c r="A338" s="18">
        <v>45</v>
      </c>
      <c r="B338" s="35">
        <f>IFERROR(VLOOKUP(Match_Record[[#This Row],[Match No]],Fixtures[[#All],[Match No]:[Location]],2,TRUE),"")</f>
        <v>44897</v>
      </c>
      <c r="C338" s="2" t="str">
        <f>IFERROR(VLOOKUP(Match_Record[[#This Row],[Match No]],Fixtures[[#All],[Match No]:[Location]],5,TRUE),"")</f>
        <v>Ghana</v>
      </c>
      <c r="D338" s="2" t="str">
        <f>IFERROR(VLOOKUP(Match_Record[[#This Row],[Match No]],Fixtures[[#All],[Match No]:[Location]],8,TRUE),"")</f>
        <v>Uruguay</v>
      </c>
      <c r="E338" s="2" t="s">
        <v>1080</v>
      </c>
      <c r="F338" s="18">
        <v>100</v>
      </c>
      <c r="G338" s="2">
        <v>1754</v>
      </c>
      <c r="H338" s="2" t="str">
        <f>IFERROR(VLOOKUP(Match_Record[[#This Row],[Player_No]],Squads[[Player No]:[Player Name]],6,TRUE),"")</f>
        <v>José Giménez</v>
      </c>
      <c r="I338" s="2" t="str">
        <f>IFERROR(VLOOKUP(Match_Record[[#This Row],[Player_No]],Squads[[Player No]:[Player Name]],2,TRUE),"")</f>
        <v>Uruguay</v>
      </c>
    </row>
    <row r="339" spans="1:9" x14ac:dyDescent="0.25">
      <c r="A339" s="18">
        <v>45</v>
      </c>
      <c r="B339" s="35">
        <f>IFERROR(VLOOKUP(Match_Record[[#This Row],[Match No]],Fixtures[[#All],[Match No]:[Location]],2,TRUE),"")</f>
        <v>44897</v>
      </c>
      <c r="C339" s="2" t="str">
        <f>IFERROR(VLOOKUP(Match_Record[[#This Row],[Match No]],Fixtures[[#All],[Match No]:[Location]],5,TRUE),"")</f>
        <v>Ghana</v>
      </c>
      <c r="D339" s="2" t="str">
        <f>IFERROR(VLOOKUP(Match_Record[[#This Row],[Match No]],Fixtures[[#All],[Match No]:[Location]],8,TRUE),"")</f>
        <v>Uruguay</v>
      </c>
      <c r="E339" s="2" t="s">
        <v>1080</v>
      </c>
      <c r="F339" s="18">
        <v>100</v>
      </c>
      <c r="G339" s="2">
        <v>1773</v>
      </c>
      <c r="H339" s="2" t="str">
        <f>IFERROR(VLOOKUP(Match_Record[[#This Row],[Player_No]],Squads[[Player No]:[Player Name]],6,TRUE),"")</f>
        <v>Edinson Cavani</v>
      </c>
      <c r="I339" s="2" t="str">
        <f>IFERROR(VLOOKUP(Match_Record[[#This Row],[Player_No]],Squads[[Player No]:[Player Name]],2,TRUE),"")</f>
        <v>Uruguay</v>
      </c>
    </row>
    <row r="340" spans="1:9" x14ac:dyDescent="0.25">
      <c r="A340" s="18">
        <v>46</v>
      </c>
      <c r="B340" s="35">
        <f>IFERROR(VLOOKUP(Match_Record[[#This Row],[Match No]],Fixtures[[#All],[Match No]:[Location]],2,TRUE),"")</f>
        <v>44897</v>
      </c>
      <c r="C340" s="2" t="str">
        <f>IFERROR(VLOOKUP(Match_Record[[#This Row],[Match No]],Fixtures[[#All],[Match No]:[Location]],5,TRUE),"")</f>
        <v>Korea Rep</v>
      </c>
      <c r="D340" s="2" t="str">
        <f>IFERROR(VLOOKUP(Match_Record[[#This Row],[Match No]],Fixtures[[#All],[Match No]:[Location]],8,TRUE),"")</f>
        <v>Portugal</v>
      </c>
      <c r="E340" s="2" t="s">
        <v>1078</v>
      </c>
      <c r="F340" s="18">
        <v>27</v>
      </c>
      <c r="G340" s="2">
        <v>1434</v>
      </c>
      <c r="H340" s="2" t="str">
        <f>IFERROR(VLOOKUP(Match_Record[[#This Row],[Player_No]],Squads[[Player No]:[Player Name]],6,TRUE),"")</f>
        <v>Kim Young-gwon</v>
      </c>
      <c r="I340" s="2" t="str">
        <f>IFERROR(VLOOKUP(Match_Record[[#This Row],[Player_No]],Squads[[Player No]:[Player Name]],2,TRUE),"")</f>
        <v>Korea Rep</v>
      </c>
    </row>
    <row r="341" spans="1:9" x14ac:dyDescent="0.25">
      <c r="A341" s="18">
        <v>46</v>
      </c>
      <c r="B341" s="35">
        <f>IFERROR(VLOOKUP(Match_Record[[#This Row],[Match No]],Fixtures[[#All],[Match No]:[Location]],2,TRUE),"")</f>
        <v>44897</v>
      </c>
      <c r="C341" s="2" t="str">
        <f>IFERROR(VLOOKUP(Match_Record[[#This Row],[Match No]],Fixtures[[#All],[Match No]:[Location]],5,TRUE),"")</f>
        <v>Korea Rep</v>
      </c>
      <c r="D341" s="2" t="str">
        <f>IFERROR(VLOOKUP(Match_Record[[#This Row],[Match No]],Fixtures[[#All],[Match No]:[Location]],8,TRUE),"")</f>
        <v>Portugal</v>
      </c>
      <c r="E341" s="2" t="s">
        <v>1080</v>
      </c>
      <c r="F341" s="18">
        <v>36</v>
      </c>
      <c r="G341" s="2">
        <v>1433</v>
      </c>
      <c r="H341" s="2" t="str">
        <f>IFERROR(VLOOKUP(Match_Record[[#This Row],[Player_No]],Squads[[Player No]:[Player Name]],6,TRUE),"")</f>
        <v>Lee Kang-in</v>
      </c>
      <c r="I341" s="2" t="str">
        <f>IFERROR(VLOOKUP(Match_Record[[#This Row],[Player_No]],Squads[[Player No]:[Player Name]],2,TRUE),"")</f>
        <v>Korea Rep</v>
      </c>
    </row>
    <row r="342" spans="1:9" x14ac:dyDescent="0.25">
      <c r="A342" s="18">
        <v>46</v>
      </c>
      <c r="B342" s="35">
        <f>IFERROR(VLOOKUP(Match_Record[[#This Row],[Match No]],Fixtures[[#All],[Match No]:[Location]],2,TRUE),"")</f>
        <v>44897</v>
      </c>
      <c r="C342" s="2" t="str">
        <f>IFERROR(VLOOKUP(Match_Record[[#This Row],[Match No]],Fixtures[[#All],[Match No]:[Location]],5,TRUE),"")</f>
        <v>Korea Rep</v>
      </c>
      <c r="D342" s="2" t="str">
        <f>IFERROR(VLOOKUP(Match_Record[[#This Row],[Match No]],Fixtures[[#All],[Match No]:[Location]],8,TRUE),"")</f>
        <v>Portugal</v>
      </c>
      <c r="E342" s="2" t="s">
        <v>1078</v>
      </c>
      <c r="F342" s="18">
        <v>91</v>
      </c>
      <c r="G342" s="2">
        <v>1426</v>
      </c>
      <c r="H342" s="2" t="str">
        <f>IFERROR(VLOOKUP(Match_Record[[#This Row],[Player_No]],Squads[[Player No]:[Player Name]],6,TRUE),"")</f>
        <v>Hwang Hee-chan</v>
      </c>
      <c r="I342" s="2" t="str">
        <f>IFERROR(VLOOKUP(Match_Record[[#This Row],[Player_No]],Squads[[Player No]:[Player Name]],2,TRUE),"")</f>
        <v>Korea Rep</v>
      </c>
    </row>
    <row r="343" spans="1:9" x14ac:dyDescent="0.25">
      <c r="A343" s="18">
        <v>46</v>
      </c>
      <c r="B343" s="35">
        <f>IFERROR(VLOOKUP(Match_Record[[#This Row],[Match No]],Fixtures[[#All],[Match No]:[Location]],2,TRUE),"")</f>
        <v>44897</v>
      </c>
      <c r="C343" s="2" t="str">
        <f>IFERROR(VLOOKUP(Match_Record[[#This Row],[Match No]],Fixtures[[#All],[Match No]:[Location]],5,TRUE),"")</f>
        <v>Korea Rep</v>
      </c>
      <c r="D343" s="2" t="str">
        <f>IFERROR(VLOOKUP(Match_Record[[#This Row],[Match No]],Fixtures[[#All],[Match No]:[Location]],8,TRUE),"")</f>
        <v>Portugal</v>
      </c>
      <c r="E343" s="2" t="s">
        <v>1079</v>
      </c>
      <c r="F343" s="18">
        <v>91</v>
      </c>
      <c r="G343" s="2">
        <v>1422</v>
      </c>
      <c r="H343" s="2" t="str">
        <f>IFERROR(VLOOKUP(Match_Record[[#This Row],[Player_No]],Squads[[Player No]:[Player Name]],6,TRUE),"")</f>
        <v>Son Heung-min </v>
      </c>
      <c r="I343" s="2" t="str">
        <f>IFERROR(VLOOKUP(Match_Record[[#This Row],[Player_No]],Squads[[Player No]:[Player Name]],2,TRUE),"")</f>
        <v>Korea Rep</v>
      </c>
    </row>
    <row r="344" spans="1:9" x14ac:dyDescent="0.25">
      <c r="A344" s="18">
        <v>46</v>
      </c>
      <c r="B344" s="35">
        <f>IFERROR(VLOOKUP(Match_Record[[#This Row],[Match No]],Fixtures[[#All],[Match No]:[Location]],2,TRUE),"")</f>
        <v>44897</v>
      </c>
      <c r="C344" s="2" t="str">
        <f>IFERROR(VLOOKUP(Match_Record[[#This Row],[Match No]],Fixtures[[#All],[Match No]:[Location]],5,TRUE),"")</f>
        <v>Korea Rep</v>
      </c>
      <c r="D344" s="2" t="str">
        <f>IFERROR(VLOOKUP(Match_Record[[#This Row],[Match No]],Fixtures[[#All],[Match No]:[Location]],8,TRUE),"")</f>
        <v>Portugal</v>
      </c>
      <c r="E344" s="2" t="s">
        <v>1080</v>
      </c>
      <c r="F344" s="18">
        <v>92</v>
      </c>
      <c r="G344" s="2">
        <v>1426</v>
      </c>
      <c r="H344" s="2" t="str">
        <f>IFERROR(VLOOKUP(Match_Record[[#This Row],[Player_No]],Squads[[Player No]:[Player Name]],6,TRUE),"")</f>
        <v>Hwang Hee-chan</v>
      </c>
      <c r="I344" s="2" t="str">
        <f>IFERROR(VLOOKUP(Match_Record[[#This Row],[Player_No]],Squads[[Player No]:[Player Name]],2,TRUE),"")</f>
        <v>Korea Rep</v>
      </c>
    </row>
    <row r="345" spans="1:9" x14ac:dyDescent="0.25">
      <c r="A345" s="18">
        <v>46</v>
      </c>
      <c r="B345" s="35">
        <f>IFERROR(VLOOKUP(Match_Record[[#This Row],[Match No]],Fixtures[[#All],[Match No]:[Location]],2,TRUE),"")</f>
        <v>44897</v>
      </c>
      <c r="C345" s="2" t="str">
        <f>IFERROR(VLOOKUP(Match_Record[[#This Row],[Match No]],Fixtures[[#All],[Match No]:[Location]],5,TRUE),"")</f>
        <v>Korea Rep</v>
      </c>
      <c r="D345" s="2" t="str">
        <f>IFERROR(VLOOKUP(Match_Record[[#This Row],[Match No]],Fixtures[[#All],[Match No]:[Location]],8,TRUE),"")</f>
        <v>Portugal</v>
      </c>
      <c r="E345" s="2" t="s">
        <v>1078</v>
      </c>
      <c r="F345" s="18">
        <v>5</v>
      </c>
      <c r="G345" s="2">
        <v>1566</v>
      </c>
      <c r="H345" s="2" t="str">
        <f>IFERROR(VLOOKUP(Match_Record[[#This Row],[Player_No]],Squads[[Player No]:[Player Name]],6,TRUE),"")</f>
        <v>Ricardo Horta</v>
      </c>
      <c r="I345" s="2" t="str">
        <f>IFERROR(VLOOKUP(Match_Record[[#This Row],[Player_No]],Squads[[Player No]:[Player Name]],2,TRUE),"")</f>
        <v>Portugal</v>
      </c>
    </row>
    <row r="346" spans="1:9" x14ac:dyDescent="0.25">
      <c r="A346" s="18">
        <v>46</v>
      </c>
      <c r="B346" s="35">
        <f>IFERROR(VLOOKUP(Match_Record[[#This Row],[Match No]],Fixtures[[#All],[Match No]:[Location]],2,TRUE),"")</f>
        <v>44897</v>
      </c>
      <c r="C346" s="2" t="str">
        <f>IFERROR(VLOOKUP(Match_Record[[#This Row],[Match No]],Fixtures[[#All],[Match No]:[Location]],5,TRUE),"")</f>
        <v>Korea Rep</v>
      </c>
      <c r="D346" s="2" t="str">
        <f>IFERROR(VLOOKUP(Match_Record[[#This Row],[Match No]],Fixtures[[#All],[Match No]:[Location]],8,TRUE),"")</f>
        <v>Portugal</v>
      </c>
      <c r="E346" s="2" t="s">
        <v>1079</v>
      </c>
      <c r="F346" s="18">
        <v>5</v>
      </c>
      <c r="G346" s="2">
        <v>1547</v>
      </c>
      <c r="H346" s="2" t="str">
        <f>IFERROR(VLOOKUP(Match_Record[[#This Row],[Player_No]],Squads[[Player No]:[Player Name]],6,TRUE),"")</f>
        <v>Diogo Dalot</v>
      </c>
      <c r="I346" s="2" t="str">
        <f>IFERROR(VLOOKUP(Match_Record[[#This Row],[Player_No]],Squads[[Player No]:[Player Name]],2,TRUE),"")</f>
        <v>Portugal</v>
      </c>
    </row>
    <row r="347" spans="1:9" x14ac:dyDescent="0.25">
      <c r="A347" s="18">
        <v>47</v>
      </c>
      <c r="B347" s="35">
        <f>IFERROR(VLOOKUP(Match_Record[[#This Row],[Match No]],Fixtures[[#All],[Match No]:[Location]],2,TRUE),"")</f>
        <v>44897</v>
      </c>
      <c r="C347" s="2" t="str">
        <f>IFERROR(VLOOKUP(Match_Record[[#This Row],[Match No]],Fixtures[[#All],[Match No]:[Location]],5,TRUE),"")</f>
        <v>Cameroon</v>
      </c>
      <c r="D347" s="2" t="str">
        <f>IFERROR(VLOOKUP(Match_Record[[#This Row],[Match No]],Fixtures[[#All],[Match No]:[Location]],8,TRUE),"")</f>
        <v>Brasil</v>
      </c>
      <c r="E347" s="2" t="s">
        <v>1080</v>
      </c>
      <c r="F347" s="18">
        <v>6</v>
      </c>
      <c r="G347" s="2">
        <v>1129</v>
      </c>
      <c r="H347" s="2" t="str">
        <f>IFERROR(VLOOKUP(Match_Record[[#This Row],[Player_No]],Squads[[Player No]:[Player Name]],6,TRUE),"")</f>
        <v>Nouhou Tolo</v>
      </c>
      <c r="I347" s="2" t="str">
        <f>IFERROR(VLOOKUP(Match_Record[[#This Row],[Player_No]],Squads[[Player No]:[Player Name]],2,TRUE),"")</f>
        <v>Cameroon</v>
      </c>
    </row>
    <row r="348" spans="1:9" x14ac:dyDescent="0.25">
      <c r="A348" s="18">
        <v>47</v>
      </c>
      <c r="B348" s="35">
        <f>IFERROR(VLOOKUP(Match_Record[[#This Row],[Match No]],Fixtures[[#All],[Match No]:[Location]],2,TRUE),"")</f>
        <v>44897</v>
      </c>
      <c r="C348" s="2" t="str">
        <f>IFERROR(VLOOKUP(Match_Record[[#This Row],[Match No]],Fixtures[[#All],[Match No]:[Location]],5,TRUE),"")</f>
        <v>Cameroon</v>
      </c>
      <c r="D348" s="2" t="str">
        <f>IFERROR(VLOOKUP(Match_Record[[#This Row],[Match No]],Fixtures[[#All],[Match No]:[Location]],8,TRUE),"")</f>
        <v>Brasil</v>
      </c>
      <c r="E348" s="2" t="s">
        <v>1080</v>
      </c>
      <c r="F348" s="18">
        <v>28</v>
      </c>
      <c r="G348" s="2">
        <v>1119</v>
      </c>
      <c r="H348" s="2" t="str">
        <f>IFERROR(VLOOKUP(Match_Record[[#This Row],[Player_No]],Squads[[Player No]:[Player Name]],6,TRUE),"")</f>
        <v>Pierre Kunde</v>
      </c>
      <c r="I348" s="2" t="str">
        <f>IFERROR(VLOOKUP(Match_Record[[#This Row],[Player_No]],Squads[[Player No]:[Player Name]],2,TRUE),"")</f>
        <v>Cameroon</v>
      </c>
    </row>
    <row r="349" spans="1:9" x14ac:dyDescent="0.25">
      <c r="A349" s="18">
        <v>47</v>
      </c>
      <c r="B349" s="35">
        <f>IFERROR(VLOOKUP(Match_Record[[#This Row],[Match No]],Fixtures[[#All],[Match No]:[Location]],2,TRUE),"")</f>
        <v>44897</v>
      </c>
      <c r="C349" s="2" t="str">
        <f>IFERROR(VLOOKUP(Match_Record[[#This Row],[Match No]],Fixtures[[#All],[Match No]:[Location]],5,TRUE),"")</f>
        <v>Cameroon</v>
      </c>
      <c r="D349" s="2" t="str">
        <f>IFERROR(VLOOKUP(Match_Record[[#This Row],[Match No]],Fixtures[[#All],[Match No]:[Location]],8,TRUE),"")</f>
        <v>Brasil</v>
      </c>
      <c r="E349" s="2" t="s">
        <v>1080</v>
      </c>
      <c r="F349" s="18">
        <v>32</v>
      </c>
      <c r="G349" s="2">
        <v>1123</v>
      </c>
      <c r="H349" s="2" t="str">
        <f>IFERROR(VLOOKUP(Match_Record[[#This Row],[Player_No]],Squads[[Player No]:[Player Name]],6,TRUE),"")</f>
        <v>Collins Fai</v>
      </c>
      <c r="I349" s="2" t="str">
        <f>IFERROR(VLOOKUP(Match_Record[[#This Row],[Player_No]],Squads[[Player No]:[Player Name]],2,TRUE),"")</f>
        <v>Cameroon</v>
      </c>
    </row>
    <row r="350" spans="1:9" x14ac:dyDescent="0.25">
      <c r="A350" s="18">
        <v>47</v>
      </c>
      <c r="B350" s="35">
        <f>IFERROR(VLOOKUP(Match_Record[[#This Row],[Match No]],Fixtures[[#All],[Match No]:[Location]],2,TRUE),"")</f>
        <v>44897</v>
      </c>
      <c r="C350" s="2" t="str">
        <f>IFERROR(VLOOKUP(Match_Record[[#This Row],[Match No]],Fixtures[[#All],[Match No]:[Location]],5,TRUE),"")</f>
        <v>Cameroon</v>
      </c>
      <c r="D350" s="2" t="str">
        <f>IFERROR(VLOOKUP(Match_Record[[#This Row],[Match No]],Fixtures[[#All],[Match No]:[Location]],8,TRUE),"")</f>
        <v>Brasil</v>
      </c>
      <c r="E350" s="2" t="s">
        <v>1080</v>
      </c>
      <c r="F350" s="18">
        <v>81</v>
      </c>
      <c r="G350" s="2">
        <v>1114</v>
      </c>
      <c r="H350" s="2" t="str">
        <f>IFERROR(VLOOKUP(Match_Record[[#This Row],[Player_No]],Squads[[Player No]:[Player Name]],6,TRUE),"")</f>
        <v>Vincent Aboubakar </v>
      </c>
      <c r="I350" s="2" t="str">
        <f>IFERROR(VLOOKUP(Match_Record[[#This Row],[Player_No]],Squads[[Player No]:[Player Name]],2,TRUE),"")</f>
        <v>Cameroon</v>
      </c>
    </row>
    <row r="351" spans="1:9" x14ac:dyDescent="0.25">
      <c r="A351" s="18">
        <v>47</v>
      </c>
      <c r="B351" s="35">
        <f>IFERROR(VLOOKUP(Match_Record[[#This Row],[Match No]],Fixtures[[#All],[Match No]:[Location]],2,TRUE),"")</f>
        <v>44897</v>
      </c>
      <c r="C351" s="2" t="str">
        <f>IFERROR(VLOOKUP(Match_Record[[#This Row],[Match No]],Fixtures[[#All],[Match No]:[Location]],5,TRUE),"")</f>
        <v>Cameroon</v>
      </c>
      <c r="D351" s="2" t="str">
        <f>IFERROR(VLOOKUP(Match_Record[[#This Row],[Match No]],Fixtures[[#All],[Match No]:[Location]],8,TRUE),"")</f>
        <v>Brasil</v>
      </c>
      <c r="E351" s="2" t="s">
        <v>1078</v>
      </c>
      <c r="F351" s="18">
        <v>92</v>
      </c>
      <c r="G351" s="2">
        <v>1114</v>
      </c>
      <c r="H351" s="2" t="str">
        <f>IFERROR(VLOOKUP(Match_Record[[#This Row],[Player_No]],Squads[[Player No]:[Player Name]],6,TRUE),"")</f>
        <v>Vincent Aboubakar </v>
      </c>
      <c r="I351" s="2" t="str">
        <f>IFERROR(VLOOKUP(Match_Record[[#This Row],[Player_No]],Squads[[Player No]:[Player Name]],2,TRUE),"")</f>
        <v>Cameroon</v>
      </c>
    </row>
    <row r="352" spans="1:9" x14ac:dyDescent="0.25">
      <c r="A352" s="18">
        <v>47</v>
      </c>
      <c r="B352" s="35">
        <f>IFERROR(VLOOKUP(Match_Record[[#This Row],[Match No]],Fixtures[[#All],[Match No]:[Location]],2,TRUE),"")</f>
        <v>44897</v>
      </c>
      <c r="C352" s="2" t="str">
        <f>IFERROR(VLOOKUP(Match_Record[[#This Row],[Match No]],Fixtures[[#All],[Match No]:[Location]],5,TRUE),"")</f>
        <v>Cameroon</v>
      </c>
      <c r="D352" s="2" t="str">
        <f>IFERROR(VLOOKUP(Match_Record[[#This Row],[Match No]],Fixtures[[#All],[Match No]:[Location]],8,TRUE),"")</f>
        <v>Brasil</v>
      </c>
      <c r="E352" s="2" t="s">
        <v>1079</v>
      </c>
      <c r="F352" s="18">
        <v>92</v>
      </c>
      <c r="G352" s="2">
        <v>1106</v>
      </c>
      <c r="H352" s="2" t="str">
        <f>IFERROR(VLOOKUP(Match_Record[[#This Row],[Player_No]],Squads[[Player No]:[Player Name]],6,TRUE),"")</f>
        <v>Jerome Ngom Mbekeli</v>
      </c>
      <c r="I352" s="2" t="str">
        <f>IFERROR(VLOOKUP(Match_Record[[#This Row],[Player_No]],Squads[[Player No]:[Player Name]],2,TRUE),"")</f>
        <v>Cameroon</v>
      </c>
    </row>
    <row r="353" spans="1:9" x14ac:dyDescent="0.25">
      <c r="A353" s="18">
        <v>47</v>
      </c>
      <c r="B353" s="35">
        <f>IFERROR(VLOOKUP(Match_Record[[#This Row],[Match No]],Fixtures[[#All],[Match No]:[Location]],2,TRUE),"")</f>
        <v>44897</v>
      </c>
      <c r="C353" s="2" t="str">
        <f>IFERROR(VLOOKUP(Match_Record[[#This Row],[Match No]],Fixtures[[#All],[Match No]:[Location]],5,TRUE),"")</f>
        <v>Cameroon</v>
      </c>
      <c r="D353" s="2" t="str">
        <f>IFERROR(VLOOKUP(Match_Record[[#This Row],[Match No]],Fixtures[[#All],[Match No]:[Location]],8,TRUE),"")</f>
        <v>Brasil</v>
      </c>
      <c r="E353" s="2" t="s">
        <v>1081</v>
      </c>
      <c r="F353" s="18">
        <v>93</v>
      </c>
      <c r="G353" s="2">
        <v>1114</v>
      </c>
      <c r="H353" s="2" t="str">
        <f>IFERROR(VLOOKUP(Match_Record[[#This Row],[Player_No]],Squads[[Player No]:[Player Name]],6,TRUE),"")</f>
        <v>Vincent Aboubakar </v>
      </c>
      <c r="I353" s="2" t="str">
        <f>IFERROR(VLOOKUP(Match_Record[[#This Row],[Player_No]],Squads[[Player No]:[Player Name]],2,TRUE),"")</f>
        <v>Cameroon</v>
      </c>
    </row>
    <row r="354" spans="1:9" x14ac:dyDescent="0.25">
      <c r="A354" s="18">
        <v>47</v>
      </c>
      <c r="B354" s="35">
        <f>IFERROR(VLOOKUP(Match_Record[[#This Row],[Match No]],Fixtures[[#All],[Match No]:[Location]],2,TRUE),"")</f>
        <v>44897</v>
      </c>
      <c r="C354" s="2" t="str">
        <f>IFERROR(VLOOKUP(Match_Record[[#This Row],[Match No]],Fixtures[[#All],[Match No]:[Location]],5,TRUE),"")</f>
        <v>Cameroon</v>
      </c>
      <c r="D354" s="2" t="str">
        <f>IFERROR(VLOOKUP(Match_Record[[#This Row],[Match No]],Fixtures[[#All],[Match No]:[Location]],8,TRUE),"")</f>
        <v>Brasil</v>
      </c>
      <c r="E354" s="2" t="s">
        <v>1080</v>
      </c>
      <c r="F354" s="18">
        <v>7</v>
      </c>
      <c r="G354" s="2">
        <v>1092</v>
      </c>
      <c r="H354" s="2" t="str">
        <f>IFERROR(VLOOKUP(Match_Record[[#This Row],[Player_No]],Squads[[Player No]:[Player Name]],6,TRUE),"")</f>
        <v>Éder Militão</v>
      </c>
      <c r="I354" s="2" t="str">
        <f>IFERROR(VLOOKUP(Match_Record[[#This Row],[Player_No]],Squads[[Player No]:[Player Name]],2,TRUE),"")</f>
        <v>Brasil</v>
      </c>
    </row>
    <row r="355" spans="1:9" x14ac:dyDescent="0.25">
      <c r="A355" s="18">
        <v>47</v>
      </c>
      <c r="B355" s="35">
        <f>IFERROR(VLOOKUP(Match_Record[[#This Row],[Match No]],Fixtures[[#All],[Match No]:[Location]],2,TRUE),"")</f>
        <v>44897</v>
      </c>
      <c r="C355" s="2" t="str">
        <f>IFERROR(VLOOKUP(Match_Record[[#This Row],[Match No]],Fixtures[[#All],[Match No]:[Location]],5,TRUE),"")</f>
        <v>Cameroon</v>
      </c>
      <c r="D355" s="2" t="str">
        <f>IFERROR(VLOOKUP(Match_Record[[#This Row],[Match No]],Fixtures[[#All],[Match No]:[Location]],8,TRUE),"")</f>
        <v>Brasil</v>
      </c>
      <c r="E355" s="2" t="s">
        <v>1080</v>
      </c>
      <c r="F355" s="18">
        <v>85</v>
      </c>
      <c r="G355" s="2">
        <v>1095</v>
      </c>
      <c r="H355" s="2" t="str">
        <f>IFERROR(VLOOKUP(Match_Record[[#This Row],[Player_No]],Squads[[Player No]:[Player Name]],6,TRUE),"")</f>
        <v>Bruno Guimarães</v>
      </c>
      <c r="I355" s="2" t="str">
        <f>IFERROR(VLOOKUP(Match_Record[[#This Row],[Player_No]],Squads[[Player No]:[Player Name]],2,TRUE),"")</f>
        <v>Brasil</v>
      </c>
    </row>
    <row r="356" spans="1:9" x14ac:dyDescent="0.25">
      <c r="A356" s="18">
        <v>48</v>
      </c>
      <c r="B356" s="35">
        <f>IFERROR(VLOOKUP(Match_Record[[#This Row],[Match No]],Fixtures[[#All],[Match No]:[Location]],2,TRUE),"")</f>
        <v>44897</v>
      </c>
      <c r="C356" s="2" t="str">
        <f>IFERROR(VLOOKUP(Match_Record[[#This Row],[Match No]],Fixtures[[#All],[Match No]:[Location]],5,TRUE),"")</f>
        <v>Serbia</v>
      </c>
      <c r="D356" s="2" t="str">
        <f>IFERROR(VLOOKUP(Match_Record[[#This Row],[Match No]],Fixtures[[#All],[Match No]:[Location]],8,TRUE),"")</f>
        <v>Switzerland</v>
      </c>
      <c r="E356" s="2" t="s">
        <v>1078</v>
      </c>
      <c r="F356" s="18">
        <v>26</v>
      </c>
      <c r="G356" s="2">
        <v>1657</v>
      </c>
      <c r="H356" s="2" t="str">
        <f>IFERROR(VLOOKUP(Match_Record[[#This Row],[Player_No]],Squads[[Player No]:[Player Name]],6,TRUE),"")</f>
        <v>Aleksandar Mitrović</v>
      </c>
      <c r="I356" s="2" t="str">
        <f>IFERROR(VLOOKUP(Match_Record[[#This Row],[Player_No]],Squads[[Player No]:[Player Name]],2,TRUE),"")</f>
        <v>Serbia</v>
      </c>
    </row>
    <row r="357" spans="1:9" x14ac:dyDescent="0.25">
      <c r="A357" s="18">
        <v>48</v>
      </c>
      <c r="B357" s="35">
        <f>IFERROR(VLOOKUP(Match_Record[[#This Row],[Match No]],Fixtures[[#All],[Match No]:[Location]],2,TRUE),"")</f>
        <v>44897</v>
      </c>
      <c r="C357" s="2" t="str">
        <f>IFERROR(VLOOKUP(Match_Record[[#This Row],[Match No]],Fixtures[[#All],[Match No]:[Location]],5,TRUE),"")</f>
        <v>Serbia</v>
      </c>
      <c r="D357" s="2" t="str">
        <f>IFERROR(VLOOKUP(Match_Record[[#This Row],[Match No]],Fixtures[[#All],[Match No]:[Location]],8,TRUE),"")</f>
        <v>Switzerland</v>
      </c>
      <c r="E357" s="2" t="s">
        <v>1079</v>
      </c>
      <c r="F357" s="18">
        <v>26</v>
      </c>
      <c r="G357" s="2">
        <v>1658</v>
      </c>
      <c r="H357" s="2" t="str">
        <f>IFERROR(VLOOKUP(Match_Record[[#This Row],[Player_No]],Squads[[Player No]:[Player Name]],6,TRUE),"")</f>
        <v>Dušan Tadić</v>
      </c>
      <c r="I357" s="2" t="str">
        <f>IFERROR(VLOOKUP(Match_Record[[#This Row],[Player_No]],Squads[[Player No]:[Player Name]],2,TRUE),"")</f>
        <v>Serbia</v>
      </c>
    </row>
    <row r="358" spans="1:9" x14ac:dyDescent="0.25">
      <c r="A358" s="18">
        <v>48</v>
      </c>
      <c r="B358" s="35">
        <f>IFERROR(VLOOKUP(Match_Record[[#This Row],[Match No]],Fixtures[[#All],[Match No]:[Location]],2,TRUE),"")</f>
        <v>44897</v>
      </c>
      <c r="C358" s="2" t="str">
        <f>IFERROR(VLOOKUP(Match_Record[[#This Row],[Match No]],Fixtures[[#All],[Match No]:[Location]],5,TRUE),"")</f>
        <v>Serbia</v>
      </c>
      <c r="D358" s="2" t="str">
        <f>IFERROR(VLOOKUP(Match_Record[[#This Row],[Match No]],Fixtures[[#All],[Match No]:[Location]],8,TRUE),"")</f>
        <v>Switzerland</v>
      </c>
      <c r="E358" s="2" t="s">
        <v>1078</v>
      </c>
      <c r="F358" s="18">
        <v>35</v>
      </c>
      <c r="G358" s="2">
        <v>1666</v>
      </c>
      <c r="H358" s="2" t="str">
        <f>IFERROR(VLOOKUP(Match_Record[[#This Row],[Player_No]],Squads[[Player No]:[Player Name]],6,TRUE),"")</f>
        <v>Dušan Vlahović</v>
      </c>
      <c r="I358" s="2" t="str">
        <f>IFERROR(VLOOKUP(Match_Record[[#This Row],[Player_No]],Squads[[Player No]:[Player Name]],2,TRUE),"")</f>
        <v>Serbia</v>
      </c>
    </row>
    <row r="359" spans="1:9" x14ac:dyDescent="0.25">
      <c r="A359" s="18">
        <v>48</v>
      </c>
      <c r="B359" s="35">
        <f>IFERROR(VLOOKUP(Match_Record[[#This Row],[Match No]],Fixtures[[#All],[Match No]:[Location]],2,TRUE),"")</f>
        <v>44897</v>
      </c>
      <c r="C359" s="2" t="str">
        <f>IFERROR(VLOOKUP(Match_Record[[#This Row],[Match No]],Fixtures[[#All],[Match No]:[Location]],5,TRUE),"")</f>
        <v>Serbia</v>
      </c>
      <c r="D359" s="2" t="str">
        <f>IFERROR(VLOOKUP(Match_Record[[#This Row],[Match No]],Fixtures[[#All],[Match No]:[Location]],8,TRUE),"")</f>
        <v>Switzerland</v>
      </c>
      <c r="E359" s="2" t="s">
        <v>1080</v>
      </c>
      <c r="F359" s="18">
        <v>47</v>
      </c>
      <c r="G359" s="2">
        <v>1668</v>
      </c>
      <c r="H359" s="2" t="str">
        <f>IFERROR(VLOOKUP(Match_Record[[#This Row],[Player_No]],Squads[[Player No]:[Player Name]],6,TRUE),"")</f>
        <v>Sergej Milinković-Savić</v>
      </c>
      <c r="I359" s="2" t="str">
        <f>IFERROR(VLOOKUP(Match_Record[[#This Row],[Player_No]],Squads[[Player No]:[Player Name]],2,TRUE),"")</f>
        <v>Serbia</v>
      </c>
    </row>
    <row r="360" spans="1:9" x14ac:dyDescent="0.25">
      <c r="A360" s="18">
        <v>48</v>
      </c>
      <c r="B360" s="35">
        <f>IFERROR(VLOOKUP(Match_Record[[#This Row],[Match No]],Fixtures[[#All],[Match No]:[Location]],2,TRUE),"")</f>
        <v>44897</v>
      </c>
      <c r="C360" s="2" t="str">
        <f>IFERROR(VLOOKUP(Match_Record[[#This Row],[Match No]],Fixtures[[#All],[Match No]:[Location]],5,TRUE),"")</f>
        <v>Serbia</v>
      </c>
      <c r="D360" s="2" t="str">
        <f>IFERROR(VLOOKUP(Match_Record[[#This Row],[Match No]],Fixtures[[#All],[Match No]:[Location]],8,TRUE),"")</f>
        <v>Switzerland</v>
      </c>
      <c r="E360" s="2" t="s">
        <v>1080</v>
      </c>
      <c r="F360" s="18">
        <v>56</v>
      </c>
      <c r="G360" s="2">
        <v>1650</v>
      </c>
      <c r="H360" s="2" t="str">
        <f>IFERROR(VLOOKUP(Match_Record[[#This Row],[Player_No]],Squads[[Player No]:[Player Name]],6,TRUE),"")</f>
        <v>Strahinja Pavlović</v>
      </c>
      <c r="I360" s="2" t="str">
        <f>IFERROR(VLOOKUP(Match_Record[[#This Row],[Player_No]],Squads[[Player No]:[Player Name]],2,TRUE),"")</f>
        <v>Serbia</v>
      </c>
    </row>
    <row r="361" spans="1:9" x14ac:dyDescent="0.25">
      <c r="A361" s="18">
        <v>48</v>
      </c>
      <c r="B361" s="35">
        <f>IFERROR(VLOOKUP(Match_Record[[#This Row],[Match No]],Fixtures[[#All],[Match No]:[Location]],2,TRUE),"")</f>
        <v>44897</v>
      </c>
      <c r="C361" s="2" t="str">
        <f>IFERROR(VLOOKUP(Match_Record[[#This Row],[Match No]],Fixtures[[#All],[Match No]:[Location]],5,TRUE),"")</f>
        <v>Serbia</v>
      </c>
      <c r="D361" s="2" t="str">
        <f>IFERROR(VLOOKUP(Match_Record[[#This Row],[Match No]],Fixtures[[#All],[Match No]:[Location]],8,TRUE),"")</f>
        <v>Switzerland</v>
      </c>
      <c r="E361" s="2" t="s">
        <v>1080</v>
      </c>
      <c r="F361" s="18">
        <v>66</v>
      </c>
      <c r="G361" s="2">
        <v>1660</v>
      </c>
      <c r="H361" s="2" t="str">
        <f>IFERROR(VLOOKUP(Match_Record[[#This Row],[Player_No]],Squads[[Player No]:[Player Name]],6,TRUE),"")</f>
        <v>Predrag Rajković</v>
      </c>
      <c r="I361" s="2" t="str">
        <f>IFERROR(VLOOKUP(Match_Record[[#This Row],[Player_No]],Squads[[Player No]:[Player Name]],2,TRUE),"")</f>
        <v>Serbia</v>
      </c>
    </row>
    <row r="362" spans="1:9" x14ac:dyDescent="0.25">
      <c r="A362" s="18">
        <v>48</v>
      </c>
      <c r="B362" s="35">
        <f>IFERROR(VLOOKUP(Match_Record[[#This Row],[Match No]],Fixtures[[#All],[Match No]:[Location]],2,TRUE),"")</f>
        <v>44897</v>
      </c>
      <c r="C362" s="2" t="str">
        <f>IFERROR(VLOOKUP(Match_Record[[#This Row],[Match No]],Fixtures[[#All],[Match No]:[Location]],5,TRUE),"")</f>
        <v>Serbia</v>
      </c>
      <c r="D362" s="2" t="str">
        <f>IFERROR(VLOOKUP(Match_Record[[#This Row],[Match No]],Fixtures[[#All],[Match No]:[Location]],8,TRUE),"")</f>
        <v>Switzerland</v>
      </c>
      <c r="E362" s="2" t="s">
        <v>1080</v>
      </c>
      <c r="F362" s="18">
        <v>81</v>
      </c>
      <c r="G362" s="2">
        <v>1656</v>
      </c>
      <c r="H362" s="2" t="str">
        <f>IFERROR(VLOOKUP(Match_Record[[#This Row],[Player_No]],Squads[[Player No]:[Player Name]],6,TRUE),"")</f>
        <v>Nemanja Gudelj</v>
      </c>
      <c r="I362" s="2" t="str">
        <f>IFERROR(VLOOKUP(Match_Record[[#This Row],[Player_No]],Squads[[Player No]:[Player Name]],2,TRUE),"")</f>
        <v>Serbia</v>
      </c>
    </row>
    <row r="363" spans="1:9" x14ac:dyDescent="0.25">
      <c r="A363" s="18">
        <v>48</v>
      </c>
      <c r="B363" s="35">
        <f>IFERROR(VLOOKUP(Match_Record[[#This Row],[Match No]],Fixtures[[#All],[Match No]:[Location]],2,TRUE),"")</f>
        <v>44897</v>
      </c>
      <c r="C363" s="2" t="str">
        <f>IFERROR(VLOOKUP(Match_Record[[#This Row],[Match No]],Fixtures[[#All],[Match No]:[Location]],5,TRUE),"")</f>
        <v>Serbia</v>
      </c>
      <c r="D363" s="2" t="str">
        <f>IFERROR(VLOOKUP(Match_Record[[#This Row],[Match No]],Fixtures[[#All],[Match No]:[Location]],8,TRUE),"")</f>
        <v>Switzerland</v>
      </c>
      <c r="E363" s="2" t="s">
        <v>1080</v>
      </c>
      <c r="F363" s="18">
        <v>82</v>
      </c>
      <c r="G363" s="2">
        <v>1657</v>
      </c>
      <c r="H363" s="2" t="str">
        <f>IFERROR(VLOOKUP(Match_Record[[#This Row],[Player_No]],Squads[[Player No]:[Player Name]],6,TRUE),"")</f>
        <v>Aleksandar Mitrović</v>
      </c>
      <c r="I363" s="2" t="str">
        <f>IFERROR(VLOOKUP(Match_Record[[#This Row],[Player_No]],Squads[[Player No]:[Player Name]],2,TRUE),"")</f>
        <v>Serbia</v>
      </c>
    </row>
    <row r="364" spans="1:9" x14ac:dyDescent="0.25">
      <c r="A364" s="18">
        <v>48</v>
      </c>
      <c r="B364" s="35">
        <f>IFERROR(VLOOKUP(Match_Record[[#This Row],[Match No]],Fixtures[[#All],[Match No]:[Location]],2,TRUE),"")</f>
        <v>44897</v>
      </c>
      <c r="C364" s="2" t="str">
        <f>IFERROR(VLOOKUP(Match_Record[[#This Row],[Match No]],Fixtures[[#All],[Match No]:[Location]],5,TRUE),"")</f>
        <v>Serbia</v>
      </c>
      <c r="D364" s="2" t="str">
        <f>IFERROR(VLOOKUP(Match_Record[[#This Row],[Match No]],Fixtures[[#All],[Match No]:[Location]],8,TRUE),"")</f>
        <v>Switzerland</v>
      </c>
      <c r="E364" s="2" t="s">
        <v>1080</v>
      </c>
      <c r="F364" s="18">
        <v>95</v>
      </c>
      <c r="G364" s="2">
        <v>1652</v>
      </c>
      <c r="H364" s="2" t="str">
        <f>IFERROR(VLOOKUP(Match_Record[[#This Row],[Player_No]],Squads[[Player No]:[Player Name]],6,TRUE),"")</f>
        <v>Nikola Milenković</v>
      </c>
      <c r="I364" s="2" t="str">
        <f>IFERROR(VLOOKUP(Match_Record[[#This Row],[Player_No]],Squads[[Player No]:[Player Name]],2,TRUE),"")</f>
        <v>Serbia</v>
      </c>
    </row>
    <row r="365" spans="1:9" x14ac:dyDescent="0.25">
      <c r="A365" s="18">
        <v>48</v>
      </c>
      <c r="B365" s="35">
        <f>IFERROR(VLOOKUP(Match_Record[[#This Row],[Match No]],Fixtures[[#All],[Match No]:[Location]],2,TRUE),"")</f>
        <v>44897</v>
      </c>
      <c r="C365" s="2" t="str">
        <f>IFERROR(VLOOKUP(Match_Record[[#This Row],[Match No]],Fixtures[[#All],[Match No]:[Location]],5,TRUE),"")</f>
        <v>Serbia</v>
      </c>
      <c r="D365" s="2" t="str">
        <f>IFERROR(VLOOKUP(Match_Record[[#This Row],[Match No]],Fixtures[[#All],[Match No]:[Location]],8,TRUE),"")</f>
        <v>Switzerland</v>
      </c>
      <c r="E365" s="2" t="s">
        <v>1080</v>
      </c>
      <c r="F365" s="18">
        <v>100</v>
      </c>
      <c r="G365" s="2">
        <v>1664</v>
      </c>
      <c r="H365" s="2" t="str">
        <f>IFERROR(VLOOKUP(Match_Record[[#This Row],[Player_No]],Squads[[Player No]:[Player Name]],6,TRUE),"")</f>
        <v>Saša Lukić</v>
      </c>
      <c r="I365" s="2" t="str">
        <f>IFERROR(VLOOKUP(Match_Record[[#This Row],[Player_No]],Squads[[Player No]:[Player Name]],2,TRUE),"")</f>
        <v>Serbia</v>
      </c>
    </row>
    <row r="366" spans="1:9" x14ac:dyDescent="0.25">
      <c r="A366" s="18">
        <v>48</v>
      </c>
      <c r="B366" s="35">
        <f>IFERROR(VLOOKUP(Match_Record[[#This Row],[Match No]],Fixtures[[#All],[Match No]:[Location]],2,TRUE),"")</f>
        <v>44897</v>
      </c>
      <c r="C366" s="2" t="str">
        <f>IFERROR(VLOOKUP(Match_Record[[#This Row],[Match No]],Fixtures[[#All],[Match No]:[Location]],5,TRUE),"")</f>
        <v>Serbia</v>
      </c>
      <c r="D366" s="2" t="str">
        <f>IFERROR(VLOOKUP(Match_Record[[#This Row],[Match No]],Fixtures[[#All],[Match No]:[Location]],8,TRUE),"")</f>
        <v>Switzerland</v>
      </c>
      <c r="E366" s="2" t="s">
        <v>1080</v>
      </c>
      <c r="F366" s="18">
        <v>15</v>
      </c>
      <c r="G366" s="2">
        <v>1703</v>
      </c>
      <c r="H366" s="2" t="str">
        <f>IFERROR(VLOOKUP(Match_Record[[#This Row],[Player_No]],Squads[[Player No]:[Player Name]],6,TRUE),"")</f>
        <v>Silvan Widmer</v>
      </c>
      <c r="I366" s="2" t="str">
        <f>IFERROR(VLOOKUP(Match_Record[[#This Row],[Player_No]],Squads[[Player No]:[Player Name]],2,TRUE),"")</f>
        <v>Switzerland</v>
      </c>
    </row>
    <row r="367" spans="1:9" x14ac:dyDescent="0.25">
      <c r="A367" s="18">
        <v>48</v>
      </c>
      <c r="B367" s="35">
        <f>IFERROR(VLOOKUP(Match_Record[[#This Row],[Match No]],Fixtures[[#All],[Match No]:[Location]],2,TRUE),"")</f>
        <v>44897</v>
      </c>
      <c r="C367" s="2" t="str">
        <f>IFERROR(VLOOKUP(Match_Record[[#This Row],[Match No]],Fixtures[[#All],[Match No]:[Location]],5,TRUE),"")</f>
        <v>Serbia</v>
      </c>
      <c r="D367" s="2" t="str">
        <f>IFERROR(VLOOKUP(Match_Record[[#This Row],[Match No]],Fixtures[[#All],[Match No]:[Location]],8,TRUE),"")</f>
        <v>Switzerland</v>
      </c>
      <c r="E367" s="2" t="s">
        <v>1078</v>
      </c>
      <c r="F367" s="18">
        <v>20</v>
      </c>
      <c r="G367" s="2">
        <v>1723</v>
      </c>
      <c r="H367" s="2" t="str">
        <f>IFERROR(VLOOKUP(Match_Record[[#This Row],[Player_No]],Squads[[Player No]:[Player Name]],6,TRUE),"")</f>
        <v>Xherdan Shaqiri</v>
      </c>
      <c r="I367" s="2" t="str">
        <f>IFERROR(VLOOKUP(Match_Record[[#This Row],[Player_No]],Squads[[Player No]:[Player Name]],2,TRUE),"")</f>
        <v>Switzerland</v>
      </c>
    </row>
    <row r="368" spans="1:9" x14ac:dyDescent="0.25">
      <c r="A368" s="18">
        <v>48</v>
      </c>
      <c r="B368" s="35">
        <f>IFERROR(VLOOKUP(Match_Record[[#This Row],[Match No]],Fixtures[[#All],[Match No]:[Location]],2,TRUE),"")</f>
        <v>44897</v>
      </c>
      <c r="C368" s="2" t="str">
        <f>IFERROR(VLOOKUP(Match_Record[[#This Row],[Match No]],Fixtures[[#All],[Match No]:[Location]],5,TRUE),"")</f>
        <v>Serbia</v>
      </c>
      <c r="D368" s="2" t="str">
        <f>IFERROR(VLOOKUP(Match_Record[[#This Row],[Match No]],Fixtures[[#All],[Match No]:[Location]],8,TRUE),"")</f>
        <v>Switzerland</v>
      </c>
      <c r="E368" s="2" t="s">
        <v>1079</v>
      </c>
      <c r="F368" s="18">
        <v>20</v>
      </c>
      <c r="G368" s="2">
        <v>1715</v>
      </c>
      <c r="H368" s="2" t="str">
        <f>IFERROR(VLOOKUP(Match_Record[[#This Row],[Player_No]],Squads[[Player No]:[Player Name]],6,TRUE),"")</f>
        <v>Djibril Sow</v>
      </c>
      <c r="I368" s="2" t="str">
        <f>IFERROR(VLOOKUP(Match_Record[[#This Row],[Player_No]],Squads[[Player No]:[Player Name]],2,TRUE),"")</f>
        <v>Switzerland</v>
      </c>
    </row>
    <row r="369" spans="1:9" x14ac:dyDescent="0.25">
      <c r="A369" s="18">
        <v>48</v>
      </c>
      <c r="B369" s="35">
        <f>IFERROR(VLOOKUP(Match_Record[[#This Row],[Match No]],Fixtures[[#All],[Match No]:[Location]],2,TRUE),"")</f>
        <v>44897</v>
      </c>
      <c r="C369" s="2" t="str">
        <f>IFERROR(VLOOKUP(Match_Record[[#This Row],[Match No]],Fixtures[[#All],[Match No]:[Location]],5,TRUE),"")</f>
        <v>Serbia</v>
      </c>
      <c r="D369" s="2" t="str">
        <f>IFERROR(VLOOKUP(Match_Record[[#This Row],[Match No]],Fixtures[[#All],[Match No]:[Location]],8,TRUE),"")</f>
        <v>Switzerland</v>
      </c>
      <c r="E369" s="2" t="s">
        <v>1080</v>
      </c>
      <c r="F369" s="18">
        <v>34</v>
      </c>
      <c r="G369" s="2">
        <v>1717</v>
      </c>
      <c r="H369" s="2" t="str">
        <f>IFERROR(VLOOKUP(Match_Record[[#This Row],[Player_No]],Squads[[Player No]:[Player Name]],6,TRUE),"")</f>
        <v>Ruben Vargas</v>
      </c>
      <c r="I369" s="2" t="str">
        <f>IFERROR(VLOOKUP(Match_Record[[#This Row],[Player_No]],Squads[[Player No]:[Player Name]],2,TRUE),"")</f>
        <v>Switzerland</v>
      </c>
    </row>
    <row r="370" spans="1:9" x14ac:dyDescent="0.25">
      <c r="A370" s="18">
        <v>48</v>
      </c>
      <c r="B370" s="35">
        <f>IFERROR(VLOOKUP(Match_Record[[#This Row],[Match No]],Fixtures[[#All],[Match No]:[Location]],2,TRUE),"")</f>
        <v>44897</v>
      </c>
      <c r="C370" s="2" t="str">
        <f>IFERROR(VLOOKUP(Match_Record[[#This Row],[Match No]],Fixtures[[#All],[Match No]:[Location]],5,TRUE),"")</f>
        <v>Serbia</v>
      </c>
      <c r="D370" s="2" t="str">
        <f>IFERROR(VLOOKUP(Match_Record[[#This Row],[Match No]],Fixtures[[#All],[Match No]:[Location]],8,TRUE),"")</f>
        <v>Switzerland</v>
      </c>
      <c r="E370" s="2" t="s">
        <v>1078</v>
      </c>
      <c r="F370" s="18">
        <v>44</v>
      </c>
      <c r="G370" s="2">
        <v>1707</v>
      </c>
      <c r="H370" s="2" t="str">
        <f>IFERROR(VLOOKUP(Match_Record[[#This Row],[Player_No]],Squads[[Player No]:[Player Name]],6,TRUE),"")</f>
        <v>Breel Embolo</v>
      </c>
      <c r="I370" s="2" t="str">
        <f>IFERROR(VLOOKUP(Match_Record[[#This Row],[Player_No]],Squads[[Player No]:[Player Name]],2,TRUE),"")</f>
        <v>Switzerland</v>
      </c>
    </row>
    <row r="371" spans="1:9" x14ac:dyDescent="0.25">
      <c r="A371" s="18">
        <v>48</v>
      </c>
      <c r="B371" s="35">
        <f>IFERROR(VLOOKUP(Match_Record[[#This Row],[Match No]],Fixtures[[#All],[Match No]:[Location]],2,TRUE),"")</f>
        <v>44897</v>
      </c>
      <c r="C371" s="2" t="str">
        <f>IFERROR(VLOOKUP(Match_Record[[#This Row],[Match No]],Fixtures[[#All],[Match No]:[Location]],5,TRUE),"")</f>
        <v>Serbia</v>
      </c>
      <c r="D371" s="2" t="str">
        <f>IFERROR(VLOOKUP(Match_Record[[#This Row],[Match No]],Fixtures[[#All],[Match No]:[Location]],8,TRUE),"")</f>
        <v>Switzerland</v>
      </c>
      <c r="E371" s="2" t="s">
        <v>1079</v>
      </c>
      <c r="F371" s="18">
        <v>44</v>
      </c>
      <c r="G371" s="2">
        <v>1703</v>
      </c>
      <c r="H371" s="2" t="str">
        <f>IFERROR(VLOOKUP(Match_Record[[#This Row],[Player_No]],Squads[[Player No]:[Player Name]],6,TRUE),"")</f>
        <v>Silvan Widmer</v>
      </c>
      <c r="I371" s="2" t="str">
        <f>IFERROR(VLOOKUP(Match_Record[[#This Row],[Player_No]],Squads[[Player No]:[Player Name]],2,TRUE),"")</f>
        <v>Switzerland</v>
      </c>
    </row>
    <row r="372" spans="1:9" x14ac:dyDescent="0.25">
      <c r="A372" s="18">
        <v>48</v>
      </c>
      <c r="B372" s="35">
        <f>IFERROR(VLOOKUP(Match_Record[[#This Row],[Match No]],Fixtures[[#All],[Match No]:[Location]],2,TRUE),"")</f>
        <v>44897</v>
      </c>
      <c r="C372" s="2" t="str">
        <f>IFERROR(VLOOKUP(Match_Record[[#This Row],[Match No]],Fixtures[[#All],[Match No]:[Location]],5,TRUE),"")</f>
        <v>Serbia</v>
      </c>
      <c r="D372" s="2" t="str">
        <f>IFERROR(VLOOKUP(Match_Record[[#This Row],[Match No]],Fixtures[[#All],[Match No]:[Location]],8,TRUE),"")</f>
        <v>Switzerland</v>
      </c>
      <c r="E372" s="2" t="s">
        <v>1078</v>
      </c>
      <c r="F372" s="18">
        <v>48</v>
      </c>
      <c r="G372" s="2">
        <v>1708</v>
      </c>
      <c r="H372" s="2" t="str">
        <f>IFERROR(VLOOKUP(Match_Record[[#This Row],[Player_No]],Squads[[Player No]:[Player Name]],6,TRUE),"")</f>
        <v>Remo Freuler</v>
      </c>
      <c r="I372" s="2" t="str">
        <f>IFERROR(VLOOKUP(Match_Record[[#This Row],[Player_No]],Squads[[Player No]:[Player Name]],2,TRUE),"")</f>
        <v>Switzerland</v>
      </c>
    </row>
    <row r="373" spans="1:9" x14ac:dyDescent="0.25">
      <c r="A373" s="18">
        <v>48</v>
      </c>
      <c r="B373" s="35">
        <f>IFERROR(VLOOKUP(Match_Record[[#This Row],[Match No]],Fixtures[[#All],[Match No]:[Location]],2,TRUE),"")</f>
        <v>44897</v>
      </c>
      <c r="C373" s="2" t="str">
        <f>IFERROR(VLOOKUP(Match_Record[[#This Row],[Match No]],Fixtures[[#All],[Match No]:[Location]],5,TRUE),"")</f>
        <v>Serbia</v>
      </c>
      <c r="D373" s="2" t="str">
        <f>IFERROR(VLOOKUP(Match_Record[[#This Row],[Match No]],Fixtures[[#All],[Match No]:[Location]],8,TRUE),"")</f>
        <v>Switzerland</v>
      </c>
      <c r="E373" s="2" t="s">
        <v>1079</v>
      </c>
      <c r="F373" s="18">
        <v>48</v>
      </c>
      <c r="G373" s="2">
        <v>1717</v>
      </c>
      <c r="H373" s="2" t="str">
        <f>IFERROR(VLOOKUP(Match_Record[[#This Row],[Player_No]],Squads[[Player No]:[Player Name]],6,TRUE),"")</f>
        <v>Ruben Vargas</v>
      </c>
      <c r="I373" s="2" t="str">
        <f>IFERROR(VLOOKUP(Match_Record[[#This Row],[Player_No]],Squads[[Player No]:[Player Name]],2,TRUE),"")</f>
        <v>Switzerland</v>
      </c>
    </row>
    <row r="374" spans="1:9" x14ac:dyDescent="0.25">
      <c r="A374" s="18">
        <v>48</v>
      </c>
      <c r="B374" s="35">
        <f>IFERROR(VLOOKUP(Match_Record[[#This Row],[Match No]],Fixtures[[#All],[Match No]:[Location]],2,TRUE),"")</f>
        <v>44897</v>
      </c>
      <c r="C374" s="2" t="str">
        <f>IFERROR(VLOOKUP(Match_Record[[#This Row],[Match No]],Fixtures[[#All],[Match No]:[Location]],5,TRUE),"")</f>
        <v>Serbia</v>
      </c>
      <c r="D374" s="2" t="str">
        <f>IFERROR(VLOOKUP(Match_Record[[#This Row],[Match No]],Fixtures[[#All],[Match No]:[Location]],8,TRUE),"")</f>
        <v>Switzerland</v>
      </c>
      <c r="E374" s="2" t="s">
        <v>1080</v>
      </c>
      <c r="F374" s="18">
        <v>95</v>
      </c>
      <c r="G374" s="2">
        <v>1710</v>
      </c>
      <c r="H374" s="2" t="str">
        <f>IFERROR(VLOOKUP(Match_Record[[#This Row],[Player_No]],Squads[[Player No]:[Player Name]],6,TRUE),"")</f>
        <v>Granit Xhaka </v>
      </c>
      <c r="I374" s="2" t="str">
        <f>IFERROR(VLOOKUP(Match_Record[[#This Row],[Player_No]],Squads[[Player No]:[Player Name]],2,TRUE),"")</f>
        <v>Switzerland</v>
      </c>
    </row>
    <row r="375" spans="1:9" x14ac:dyDescent="0.25">
      <c r="A375" s="18">
        <v>48</v>
      </c>
      <c r="B375" s="35">
        <f>IFERROR(VLOOKUP(Match_Record[[#This Row],[Match No]],Fixtures[[#All],[Match No]:[Location]],2,TRUE),"")</f>
        <v>44897</v>
      </c>
      <c r="C375" s="2" t="str">
        <f>IFERROR(VLOOKUP(Match_Record[[#This Row],[Match No]],Fixtures[[#All],[Match No]:[Location]],5,TRUE),"")</f>
        <v>Serbia</v>
      </c>
      <c r="D375" s="2" t="str">
        <f>IFERROR(VLOOKUP(Match_Record[[#This Row],[Match No]],Fixtures[[#All],[Match No]:[Location]],8,TRUE),"")</f>
        <v>Switzerland</v>
      </c>
      <c r="E375" s="2" t="s">
        <v>1080</v>
      </c>
      <c r="F375" s="18">
        <v>99</v>
      </c>
      <c r="G375" s="2">
        <v>1722</v>
      </c>
      <c r="H375" s="2" t="str">
        <f>IFERROR(VLOOKUP(Match_Record[[#This Row],[Player_No]],Squads[[Player No]:[Player Name]],6,TRUE),"")</f>
        <v>Fabian Schär</v>
      </c>
      <c r="I375" s="2" t="str">
        <f>IFERROR(VLOOKUP(Match_Record[[#This Row],[Player_No]],Squads[[Player No]:[Player Name]],2,TRUE),"")</f>
        <v>Switzerland</v>
      </c>
    </row>
    <row r="376" spans="1:9" x14ac:dyDescent="0.25">
      <c r="A376" s="18">
        <v>49</v>
      </c>
      <c r="B376" s="35">
        <v>44898</v>
      </c>
      <c r="C376" s="2" t="s">
        <v>4</v>
      </c>
      <c r="D376" s="2" t="s">
        <v>10</v>
      </c>
      <c r="E376" s="2" t="s">
        <v>1078</v>
      </c>
      <c r="F376" s="18">
        <v>10</v>
      </c>
      <c r="G376" s="2">
        <v>1503</v>
      </c>
      <c r="H376" s="2" t="str">
        <f>IFERROR(VLOOKUP(Match_Record[[#This Row],[Player_No]],Squads[[Player No]:[Player Name]],6,TRUE),"")</f>
        <v>Memphis Depay</v>
      </c>
      <c r="I376" s="2" t="str">
        <f>IFERROR(VLOOKUP(Match_Record[[#This Row],[Player_No]],Squads[[Player No]:[Player Name]],2,TRUE),"")</f>
        <v>Netherlands</v>
      </c>
    </row>
    <row r="377" spans="1:9" x14ac:dyDescent="0.25">
      <c r="A377" s="18">
        <v>49</v>
      </c>
      <c r="B377" s="35">
        <v>44898</v>
      </c>
      <c r="C377" s="2" t="s">
        <v>4</v>
      </c>
      <c r="D377" s="2" t="s">
        <v>10</v>
      </c>
      <c r="E377" s="2" t="s">
        <v>1079</v>
      </c>
      <c r="F377" s="18">
        <v>10</v>
      </c>
      <c r="G377" s="2">
        <v>1515</v>
      </c>
      <c r="H377" s="2" t="str">
        <f>IFERROR(VLOOKUP(Match_Record[[#This Row],[Player_No]],Squads[[Player No]:[Player Name]],6,TRUE),"")</f>
        <v>Denzel Dumfries</v>
      </c>
      <c r="I377" s="2" t="str">
        <f>IFERROR(VLOOKUP(Match_Record[[#This Row],[Player_No]],Squads[[Player No]:[Player Name]],2,TRUE),"")</f>
        <v>Netherlands</v>
      </c>
    </row>
    <row r="378" spans="1:9" x14ac:dyDescent="0.25">
      <c r="A378" s="18">
        <v>49</v>
      </c>
      <c r="B378" s="35">
        <v>44898</v>
      </c>
      <c r="C378" s="2" t="s">
        <v>4</v>
      </c>
      <c r="D378" s="2" t="s">
        <v>10</v>
      </c>
      <c r="E378" s="2" t="s">
        <v>1078</v>
      </c>
      <c r="F378" s="18">
        <v>45</v>
      </c>
      <c r="G378" s="2">
        <v>1510</v>
      </c>
      <c r="H378" s="2" t="str">
        <f>IFERROR(VLOOKUP(Match_Record[[#This Row],[Player_No]],Squads[[Player No]:[Player Name]],6,TRUE),"")</f>
        <v>Daley Blind</v>
      </c>
      <c r="I378" s="2" t="str">
        <f>IFERROR(VLOOKUP(Match_Record[[#This Row],[Player_No]],Squads[[Player No]:[Player Name]],2,TRUE),"")</f>
        <v>Netherlands</v>
      </c>
    </row>
    <row r="379" spans="1:9" x14ac:dyDescent="0.25">
      <c r="A379" s="18">
        <v>49</v>
      </c>
      <c r="B379" s="35">
        <v>44898</v>
      </c>
      <c r="C379" s="2" t="s">
        <v>4</v>
      </c>
      <c r="D379" s="2" t="s">
        <v>10</v>
      </c>
      <c r="E379" s="2" t="s">
        <v>1079</v>
      </c>
      <c r="F379" s="18">
        <v>45</v>
      </c>
      <c r="G379" s="2">
        <v>1515</v>
      </c>
      <c r="H379" s="2" t="str">
        <f>IFERROR(VLOOKUP(Match_Record[[#This Row],[Player_No]],Squads[[Player No]:[Player Name]],6,TRUE),"")</f>
        <v>Denzel Dumfries</v>
      </c>
      <c r="I379" s="2" t="str">
        <f>IFERROR(VLOOKUP(Match_Record[[#This Row],[Player_No]],Squads[[Player No]:[Player Name]],2,TRUE),"")</f>
        <v>Netherlands</v>
      </c>
    </row>
    <row r="380" spans="1:9" x14ac:dyDescent="0.25">
      <c r="A380" s="18">
        <v>49</v>
      </c>
      <c r="B380" s="35">
        <v>44898</v>
      </c>
      <c r="C380" s="2" t="s">
        <v>4</v>
      </c>
      <c r="D380" s="2" t="s">
        <v>10</v>
      </c>
      <c r="E380" s="2" t="s">
        <v>1080</v>
      </c>
      <c r="F380" s="18">
        <v>60</v>
      </c>
      <c r="G380" s="2">
        <v>1513</v>
      </c>
      <c r="H380" s="2" t="str">
        <f>IFERROR(VLOOKUP(Match_Record[[#This Row],[Player_No]],Squads[[Player No]:[Player Name]],6,TRUE),"")</f>
        <v>Teun Koopmeiners</v>
      </c>
      <c r="I380" s="2" t="str">
        <f>IFERROR(VLOOKUP(Match_Record[[#This Row],[Player_No]],Squads[[Player No]:[Player Name]],2,TRUE),"")</f>
        <v>Netherlands</v>
      </c>
    </row>
    <row r="381" spans="1:9" x14ac:dyDescent="0.25">
      <c r="A381" s="18">
        <v>49</v>
      </c>
      <c r="B381" s="35">
        <v>44898</v>
      </c>
      <c r="C381" s="2" t="s">
        <v>4</v>
      </c>
      <c r="D381" s="2" t="s">
        <v>10</v>
      </c>
      <c r="E381" s="2" t="s">
        <v>1078</v>
      </c>
      <c r="F381" s="18">
        <v>81</v>
      </c>
      <c r="G381" s="2">
        <v>1515</v>
      </c>
      <c r="H381" s="2" t="str">
        <f>IFERROR(VLOOKUP(Match_Record[[#This Row],[Player_No]],Squads[[Player No]:[Player Name]],6,TRUE),"")</f>
        <v>Denzel Dumfries</v>
      </c>
      <c r="I381" s="2" t="str">
        <f>IFERROR(VLOOKUP(Match_Record[[#This Row],[Player_No]],Squads[[Player No]:[Player Name]],2,TRUE),"")</f>
        <v>Netherlands</v>
      </c>
    </row>
    <row r="382" spans="1:9" x14ac:dyDescent="0.25">
      <c r="A382" s="18">
        <v>49</v>
      </c>
      <c r="B382" s="35">
        <v>44898</v>
      </c>
      <c r="C382" s="2" t="s">
        <v>4</v>
      </c>
      <c r="D382" s="2" t="s">
        <v>10</v>
      </c>
      <c r="E382" s="2" t="s">
        <v>1079</v>
      </c>
      <c r="F382" s="18">
        <v>81</v>
      </c>
      <c r="G382" s="2">
        <v>1510</v>
      </c>
      <c r="H382" s="2" t="str">
        <f>IFERROR(VLOOKUP(Match_Record[[#This Row],[Player_No]],Squads[[Player No]:[Player Name]],6,TRUE),"")</f>
        <v>Daley Blind</v>
      </c>
      <c r="I382" s="2" t="str">
        <f>IFERROR(VLOOKUP(Match_Record[[#This Row],[Player_No]],Squads[[Player No]:[Player Name]],2,TRUE),"")</f>
        <v>Netherlands</v>
      </c>
    </row>
    <row r="383" spans="1:9" x14ac:dyDescent="0.25">
      <c r="A383" s="18">
        <v>49</v>
      </c>
      <c r="B383" s="35">
        <v>44898</v>
      </c>
      <c r="C383" s="2" t="s">
        <v>4</v>
      </c>
      <c r="D383" s="2" t="s">
        <v>10</v>
      </c>
      <c r="E383" s="2" t="s">
        <v>1080</v>
      </c>
      <c r="F383" s="18">
        <v>87</v>
      </c>
      <c r="G383" s="2">
        <v>1514</v>
      </c>
      <c r="H383" s="2" t="str">
        <f>IFERROR(VLOOKUP(Match_Record[[#This Row],[Player_No]],Squads[[Player No]:[Player Name]],6,TRUE),"")</f>
        <v>Frenkie de Jong</v>
      </c>
      <c r="I383" s="2" t="str">
        <f>IFERROR(VLOOKUP(Match_Record[[#This Row],[Player_No]],Squads[[Player No]:[Player Name]],2,TRUE),"")</f>
        <v>Netherlands</v>
      </c>
    </row>
    <row r="384" spans="1:9" x14ac:dyDescent="0.25">
      <c r="A384" s="18">
        <v>49</v>
      </c>
      <c r="B384" s="35">
        <v>44898</v>
      </c>
      <c r="C384" s="2" t="s">
        <v>4</v>
      </c>
      <c r="D384" s="2" t="s">
        <v>10</v>
      </c>
      <c r="E384" s="2" t="s">
        <v>1078</v>
      </c>
      <c r="F384" s="18">
        <v>76</v>
      </c>
      <c r="G384" s="2">
        <v>1797</v>
      </c>
      <c r="H384" s="2" t="str">
        <f>IFERROR(VLOOKUP(Match_Record[[#This Row],[Player_No]],Squads[[Player No]:[Player Name]],6,TRUE),"")</f>
        <v>Haji Wright</v>
      </c>
      <c r="I384" s="2" t="str">
        <f>IFERROR(VLOOKUP(Match_Record[[#This Row],[Player_No]],Squads[[Player No]:[Player Name]],2,TRUE),"")</f>
        <v>USA</v>
      </c>
    </row>
    <row r="385" spans="1:9" x14ac:dyDescent="0.25">
      <c r="A385" s="18">
        <v>49</v>
      </c>
      <c r="B385" s="35">
        <v>44898</v>
      </c>
      <c r="C385" s="2" t="s">
        <v>4</v>
      </c>
      <c r="D385" s="2" t="s">
        <v>10</v>
      </c>
      <c r="E385" s="2" t="s">
        <v>1079</v>
      </c>
      <c r="F385" s="18">
        <v>76</v>
      </c>
      <c r="G385" s="2">
        <v>1788</v>
      </c>
      <c r="H385" s="2" t="str">
        <f>IFERROR(VLOOKUP(Match_Record[[#This Row],[Player_No]],Squads[[Player No]:[Player Name]],6,TRUE),"")</f>
        <v>Christian Pulisic</v>
      </c>
      <c r="I385" s="2" t="str">
        <f>IFERROR(VLOOKUP(Match_Record[[#This Row],[Player_No]],Squads[[Player No]:[Player Name]],2,TRUE),"")</f>
        <v>USA</v>
      </c>
    </row>
    <row r="386" spans="1:9" x14ac:dyDescent="0.25">
      <c r="A386" s="18">
        <v>50</v>
      </c>
      <c r="B386" s="35">
        <v>44898</v>
      </c>
      <c r="C386" s="2" t="s">
        <v>13</v>
      </c>
      <c r="D386" s="2" t="s">
        <v>21</v>
      </c>
      <c r="E386" s="2" t="s">
        <v>1078</v>
      </c>
      <c r="F386" s="18">
        <v>35</v>
      </c>
      <c r="G386" s="2">
        <v>1010</v>
      </c>
      <c r="H386" s="2" t="str">
        <f>IFERROR(VLOOKUP(Match_Record[[#This Row],[Player_No]],Squads[[Player No]:[Player Name]],6,TRUE),"")</f>
        <v>Lionel Messi</v>
      </c>
      <c r="I386" s="2" t="str">
        <f>IFERROR(VLOOKUP(Match_Record[[#This Row],[Player_No]],Squads[[Player No]:[Player Name]],2,TRUE),"")</f>
        <v>Argentina</v>
      </c>
    </row>
    <row r="387" spans="1:9" x14ac:dyDescent="0.25">
      <c r="A387" s="18">
        <v>50</v>
      </c>
      <c r="B387" s="35">
        <v>44898</v>
      </c>
      <c r="C387" s="2" t="s">
        <v>13</v>
      </c>
      <c r="D387" s="2" t="s">
        <v>21</v>
      </c>
      <c r="E387" s="2" t="s">
        <v>1079</v>
      </c>
      <c r="F387" s="18">
        <v>35</v>
      </c>
      <c r="G387" s="2">
        <v>1019</v>
      </c>
      <c r="H387" s="2" t="str">
        <f>IFERROR(VLOOKUP(Match_Record[[#This Row],[Player_No]],Squads[[Player No]:[Player Name]],6,TRUE),"")</f>
        <v>Nicolás Otamendi</v>
      </c>
      <c r="I387" s="2" t="str">
        <f>IFERROR(VLOOKUP(Match_Record[[#This Row],[Player_No]],Squads[[Player No]:[Player Name]],2,TRUE),"")</f>
        <v>Argentina</v>
      </c>
    </row>
    <row r="388" spans="1:9" x14ac:dyDescent="0.25">
      <c r="A388" s="18">
        <v>50</v>
      </c>
      <c r="B388" s="35">
        <v>44898</v>
      </c>
      <c r="C388" s="2" t="s">
        <v>13</v>
      </c>
      <c r="D388" s="2" t="s">
        <v>21</v>
      </c>
      <c r="E388" s="2" t="s">
        <v>1078</v>
      </c>
      <c r="F388" s="18">
        <v>57</v>
      </c>
      <c r="G388" s="2">
        <v>1009</v>
      </c>
      <c r="H388" s="2" t="str">
        <f>IFERROR(VLOOKUP(Match_Record[[#This Row],[Player_No]],Squads[[Player No]:[Player Name]],6,TRUE),"")</f>
        <v>Julián Álvarez</v>
      </c>
      <c r="I388" s="2" t="str">
        <f>IFERROR(VLOOKUP(Match_Record[[#This Row],[Player_No]],Squads[[Player No]:[Player Name]],2,TRUE),"")</f>
        <v>Argentina</v>
      </c>
    </row>
    <row r="389" spans="1:9" x14ac:dyDescent="0.25">
      <c r="A389" s="18">
        <v>50</v>
      </c>
      <c r="B389" s="35">
        <v>44898</v>
      </c>
      <c r="C389" s="2" t="s">
        <v>13</v>
      </c>
      <c r="D389" s="2" t="s">
        <v>21</v>
      </c>
      <c r="E389" s="2" t="s">
        <v>1080</v>
      </c>
      <c r="F389" s="18">
        <v>15</v>
      </c>
      <c r="G389" s="2">
        <v>1048</v>
      </c>
      <c r="H389" s="2" t="str">
        <f>IFERROR(VLOOKUP(Match_Record[[#This Row],[Player_No]],Squads[[Player No]:[Player Name]],6,TRUE),"")</f>
        <v>Jackson Irvine</v>
      </c>
      <c r="I389" s="2" t="str">
        <f>IFERROR(VLOOKUP(Match_Record[[#This Row],[Player_No]],Squads[[Player No]:[Player Name]],2,TRUE),"")</f>
        <v>Australia</v>
      </c>
    </row>
    <row r="390" spans="1:9" x14ac:dyDescent="0.25">
      <c r="A390" s="18">
        <v>50</v>
      </c>
      <c r="B390" s="35">
        <v>44898</v>
      </c>
      <c r="C390" s="2" t="s">
        <v>13</v>
      </c>
      <c r="D390" s="2" t="s">
        <v>21</v>
      </c>
      <c r="E390" s="2" t="s">
        <v>1080</v>
      </c>
      <c r="F390" s="18">
        <v>38</v>
      </c>
      <c r="G390" s="2">
        <v>1028</v>
      </c>
      <c r="H390" s="2" t="str">
        <f>IFERROR(VLOOKUP(Match_Record[[#This Row],[Player_No]],Squads[[Player No]:[Player Name]],6,TRUE),"")</f>
        <v>Miloš Degenek</v>
      </c>
      <c r="I390" s="2" t="str">
        <f>IFERROR(VLOOKUP(Match_Record[[#This Row],[Player_No]],Squads[[Player No]:[Player Name]],2,TRUE),"")</f>
        <v>Australia</v>
      </c>
    </row>
    <row r="391" spans="1:9" x14ac:dyDescent="0.25">
      <c r="A391" s="18">
        <v>50</v>
      </c>
      <c r="B391" s="35">
        <v>44898</v>
      </c>
      <c r="C391" s="2" t="s">
        <v>13</v>
      </c>
      <c r="D391" s="2" t="s">
        <v>21</v>
      </c>
      <c r="E391" s="2" t="s">
        <v>1539</v>
      </c>
      <c r="F391" s="18">
        <v>77</v>
      </c>
      <c r="G391" s="2">
        <v>1024</v>
      </c>
      <c r="H391" s="2" t="str">
        <f>IFERROR(VLOOKUP(Match_Record[[#This Row],[Player_No]],Squads[[Player No]:[Player Name]],6,TRUE),"")</f>
        <v>Enzo Fernández</v>
      </c>
      <c r="I391" s="2" t="str">
        <f>IFERROR(VLOOKUP(Match_Record[[#This Row],[Player_No]],Squads[[Player No]:[Player Name]],2,TRUE),"")</f>
        <v>Argentina</v>
      </c>
    </row>
    <row r="392" spans="1:9" x14ac:dyDescent="0.25">
      <c r="A392" s="18">
        <v>51</v>
      </c>
      <c r="B392" s="35">
        <v>44899</v>
      </c>
      <c r="C392" s="2" t="s">
        <v>20</v>
      </c>
      <c r="D392" s="2" t="s">
        <v>19</v>
      </c>
      <c r="E392" s="2" t="s">
        <v>1080</v>
      </c>
      <c r="F392" s="18">
        <v>32</v>
      </c>
      <c r="G392" s="2">
        <v>1294</v>
      </c>
      <c r="H392" s="2" t="str">
        <f>IFERROR(VLOOKUP(Match_Record[[#This Row],[Player_No]],Squads[[Player No]:[Player Name]],6,TRUE),"")</f>
        <v>Aurélien Tchouaméni</v>
      </c>
      <c r="I392" s="2" t="str">
        <f>IFERROR(VLOOKUP(Match_Record[[#This Row],[Player_No]],Squads[[Player No]:[Player Name]],2,TRUE),"")</f>
        <v>France</v>
      </c>
    </row>
    <row r="393" spans="1:9" x14ac:dyDescent="0.25">
      <c r="A393" s="18">
        <v>51</v>
      </c>
      <c r="B393" s="35">
        <v>44899</v>
      </c>
      <c r="C393" s="2" t="s">
        <v>20</v>
      </c>
      <c r="D393" s="2" t="s">
        <v>19</v>
      </c>
      <c r="E393" s="2" t="s">
        <v>1078</v>
      </c>
      <c r="F393" s="18">
        <v>44</v>
      </c>
      <c r="G393" s="2">
        <v>1295</v>
      </c>
      <c r="H393" s="2" t="str">
        <f>IFERROR(VLOOKUP(Match_Record[[#This Row],[Player_No]],Squads[[Player No]:[Player Name]],6,TRUE),"")</f>
        <v>Olivier Giroud</v>
      </c>
      <c r="I393" s="2" t="str">
        <f>IFERROR(VLOOKUP(Match_Record[[#This Row],[Player_No]],Squads[[Player No]:[Player Name]],2,TRUE),"")</f>
        <v>France</v>
      </c>
    </row>
    <row r="394" spans="1:9" x14ac:dyDescent="0.25">
      <c r="A394" s="18">
        <v>51</v>
      </c>
      <c r="B394" s="35">
        <v>44899</v>
      </c>
      <c r="C394" s="2" t="s">
        <v>20</v>
      </c>
      <c r="D394" s="2" t="s">
        <v>19</v>
      </c>
      <c r="E394" s="2" t="s">
        <v>1079</v>
      </c>
      <c r="F394" s="18">
        <v>44</v>
      </c>
      <c r="G394" s="2">
        <v>1296</v>
      </c>
      <c r="H394" s="2" t="str">
        <f>IFERROR(VLOOKUP(Match_Record[[#This Row],[Player_No]],Squads[[Player No]:[Player Name]],6,TRUE),"")</f>
        <v>Kylian Mbappé</v>
      </c>
      <c r="I394" s="2" t="str">
        <f>IFERROR(VLOOKUP(Match_Record[[#This Row],[Player_No]],Squads[[Player No]:[Player Name]],2,TRUE),"")</f>
        <v>France</v>
      </c>
    </row>
    <row r="395" spans="1:9" x14ac:dyDescent="0.25">
      <c r="A395" s="18">
        <v>51</v>
      </c>
      <c r="B395" s="35">
        <v>44899</v>
      </c>
      <c r="C395" s="2" t="s">
        <v>20</v>
      </c>
      <c r="D395" s="2" t="s">
        <v>19</v>
      </c>
      <c r="E395" s="2" t="s">
        <v>1078</v>
      </c>
      <c r="F395" s="18">
        <v>74</v>
      </c>
      <c r="G395" s="2">
        <v>1296</v>
      </c>
      <c r="H395" s="2" t="str">
        <f>IFERROR(VLOOKUP(Match_Record[[#This Row],[Player_No]],Squads[[Player No]:[Player Name]],6,TRUE),"")</f>
        <v>Kylian Mbappé</v>
      </c>
      <c r="I395" s="2" t="str">
        <f>IFERROR(VLOOKUP(Match_Record[[#This Row],[Player_No]],Squads[[Player No]:[Player Name]],2,TRUE),"")</f>
        <v>France</v>
      </c>
    </row>
    <row r="396" spans="1:9" x14ac:dyDescent="0.25">
      <c r="A396" s="18">
        <v>51</v>
      </c>
      <c r="B396" s="35">
        <v>44899</v>
      </c>
      <c r="C396" s="2" t="s">
        <v>20</v>
      </c>
      <c r="D396" s="2" t="s">
        <v>19</v>
      </c>
      <c r="E396" s="2" t="s">
        <v>1079</v>
      </c>
      <c r="F396" s="18">
        <v>74</v>
      </c>
      <c r="G396" s="2">
        <v>1297</v>
      </c>
      <c r="H396" s="2" t="str">
        <f>IFERROR(VLOOKUP(Match_Record[[#This Row],[Player_No]],Squads[[Player No]:[Player Name]],6,TRUE),"")</f>
        <v>Ousmane Dembélé</v>
      </c>
      <c r="I396" s="2" t="str">
        <f>IFERROR(VLOOKUP(Match_Record[[#This Row],[Player_No]],Squads[[Player No]:[Player Name]],2,TRUE),"")</f>
        <v>France</v>
      </c>
    </row>
    <row r="397" spans="1:9" x14ac:dyDescent="0.25">
      <c r="A397" s="18">
        <v>51</v>
      </c>
      <c r="B397" s="35">
        <v>44899</v>
      </c>
      <c r="C397" s="2" t="s">
        <v>20</v>
      </c>
      <c r="D397" s="2" t="s">
        <v>19</v>
      </c>
      <c r="E397" s="2" t="s">
        <v>1078</v>
      </c>
      <c r="F397" s="18">
        <v>91</v>
      </c>
      <c r="G397" s="2">
        <v>1296</v>
      </c>
      <c r="H397" s="2" t="str">
        <f>IFERROR(VLOOKUP(Match_Record[[#This Row],[Player_No]],Squads[[Player No]:[Player Name]],6,TRUE),"")</f>
        <v>Kylian Mbappé</v>
      </c>
      <c r="I397" s="2" t="str">
        <f>IFERROR(VLOOKUP(Match_Record[[#This Row],[Player_No]],Squads[[Player No]:[Player Name]],2,TRUE),"")</f>
        <v>France</v>
      </c>
    </row>
    <row r="398" spans="1:9" x14ac:dyDescent="0.25">
      <c r="A398" s="18">
        <v>51</v>
      </c>
      <c r="B398" s="35">
        <v>44899</v>
      </c>
      <c r="C398" s="2" t="s">
        <v>20</v>
      </c>
      <c r="D398" s="2" t="s">
        <v>19</v>
      </c>
      <c r="E398" s="2" t="s">
        <v>1079</v>
      </c>
      <c r="F398" s="18">
        <v>91</v>
      </c>
      <c r="G398" s="2">
        <v>1312</v>
      </c>
      <c r="H398" s="2" t="str">
        <f>IFERROR(VLOOKUP(Match_Record[[#This Row],[Player_No]],Squads[[Player No]:[Player Name]],6,TRUE),"")</f>
        <v>Marcus Thuram</v>
      </c>
      <c r="I398" s="2" t="str">
        <f>IFERROR(VLOOKUP(Match_Record[[#This Row],[Player_No]],Squads[[Player No]:[Player Name]],2,TRUE),"")</f>
        <v>France</v>
      </c>
    </row>
    <row r="399" spans="1:9" x14ac:dyDescent="0.25">
      <c r="A399" s="18">
        <v>51</v>
      </c>
      <c r="B399" s="35">
        <v>44899</v>
      </c>
      <c r="C399" s="2" t="s">
        <v>20</v>
      </c>
      <c r="D399" s="2" t="s">
        <v>19</v>
      </c>
      <c r="E399" s="2" t="s">
        <v>1080</v>
      </c>
      <c r="F399" s="18">
        <v>47</v>
      </c>
      <c r="G399" s="2">
        <v>1537</v>
      </c>
      <c r="H399" s="2" t="str">
        <f>IFERROR(VLOOKUP(Match_Record[[#This Row],[Player_No]],Squads[[Player No]:[Player Name]],6,TRUE),"")</f>
        <v>Bartosz Bereszyński</v>
      </c>
      <c r="I399" s="2" t="str">
        <f>IFERROR(VLOOKUP(Match_Record[[#This Row],[Player_No]],Squads[[Player No]:[Player Name]],2,TRUE),"")</f>
        <v>Poland</v>
      </c>
    </row>
    <row r="400" spans="1:9" x14ac:dyDescent="0.25">
      <c r="A400" s="18">
        <v>51</v>
      </c>
      <c r="B400" s="35">
        <v>44899</v>
      </c>
      <c r="C400" s="2" t="s">
        <v>20</v>
      </c>
      <c r="D400" s="2" t="s">
        <v>19</v>
      </c>
      <c r="E400" s="2" t="s">
        <v>1080</v>
      </c>
      <c r="F400" s="18">
        <v>88</v>
      </c>
      <c r="G400" s="2">
        <v>1521</v>
      </c>
      <c r="H400" s="2" t="str">
        <f>IFERROR(VLOOKUP(Match_Record[[#This Row],[Player_No]],Squads[[Player No]:[Player Name]],6,TRUE),"")</f>
        <v>Matty Cash</v>
      </c>
      <c r="I400" s="2" t="str">
        <f>IFERROR(VLOOKUP(Match_Record[[#This Row],[Player_No]],Squads[[Player No]:[Player Name]],2,TRUE),"")</f>
        <v>Poland</v>
      </c>
    </row>
    <row r="401" spans="1:9" x14ac:dyDescent="0.25">
      <c r="A401" s="18">
        <v>51</v>
      </c>
      <c r="B401" s="35">
        <v>44899</v>
      </c>
      <c r="C401" s="2" t="s">
        <v>20</v>
      </c>
      <c r="D401" s="2" t="s">
        <v>19</v>
      </c>
      <c r="E401" s="2" t="s">
        <v>1078</v>
      </c>
      <c r="F401" s="18">
        <v>99</v>
      </c>
      <c r="G401" s="2">
        <v>1528</v>
      </c>
      <c r="H401" s="2" t="str">
        <f>IFERROR(VLOOKUP(Match_Record[[#This Row],[Player_No]],Squads[[Player No]:[Player Name]],6,TRUE),"")</f>
        <v>Robert Lewandowski </v>
      </c>
      <c r="I401" s="2" t="str">
        <f>IFERROR(VLOOKUP(Match_Record[[#This Row],[Player_No]],Squads[[Player No]:[Player Name]],2,TRUE),"")</f>
        <v>Poland</v>
      </c>
    </row>
    <row r="402" spans="1:9" x14ac:dyDescent="0.25">
      <c r="A402" s="18">
        <v>52</v>
      </c>
      <c r="B402" s="35">
        <v>44899</v>
      </c>
      <c r="C402" s="2" t="s">
        <v>6</v>
      </c>
      <c r="D402" s="2" t="s">
        <v>3</v>
      </c>
      <c r="E402" s="2" t="s">
        <v>1078</v>
      </c>
      <c r="F402" s="18">
        <v>38</v>
      </c>
      <c r="G402" s="2">
        <v>1268</v>
      </c>
      <c r="H402" s="2" t="str">
        <f>IFERROR(VLOOKUP(Match_Record[[#This Row],[Player_No]],Squads[[Player No]:[Player Name]],6,TRUE),"")</f>
        <v>Jordan Henderson</v>
      </c>
      <c r="I402" s="2" t="str">
        <f>IFERROR(VLOOKUP(Match_Record[[#This Row],[Player_No]],Squads[[Player No]:[Player Name]],2,TRUE),"")</f>
        <v>England</v>
      </c>
    </row>
    <row r="403" spans="1:9" x14ac:dyDescent="0.25">
      <c r="A403" s="18">
        <v>52</v>
      </c>
      <c r="B403" s="35">
        <v>44899</v>
      </c>
      <c r="C403" s="2" t="s">
        <v>6</v>
      </c>
      <c r="D403" s="2" t="s">
        <v>3</v>
      </c>
      <c r="E403" s="2" t="s">
        <v>1079</v>
      </c>
      <c r="F403" s="18">
        <v>38</v>
      </c>
      <c r="G403" s="2">
        <v>1282</v>
      </c>
      <c r="H403" s="2" t="str">
        <f>IFERROR(VLOOKUP(Match_Record[[#This Row],[Player_No]],Squads[[Player No]:[Player Name]],6,TRUE),"")</f>
        <v>Jude Bellingham</v>
      </c>
      <c r="I403" s="2" t="str">
        <f>IFERROR(VLOOKUP(Match_Record[[#This Row],[Player_No]],Squads[[Player No]:[Player Name]],2,TRUE),"")</f>
        <v>England</v>
      </c>
    </row>
    <row r="404" spans="1:9" x14ac:dyDescent="0.25">
      <c r="A404" s="18">
        <v>52</v>
      </c>
      <c r="B404" s="35">
        <v>44899</v>
      </c>
      <c r="C404" s="2" t="s">
        <v>6</v>
      </c>
      <c r="D404" s="2" t="s">
        <v>3</v>
      </c>
      <c r="E404" s="2" t="s">
        <v>1078</v>
      </c>
      <c r="F404" s="18">
        <v>45</v>
      </c>
      <c r="G404" s="2">
        <v>1269</v>
      </c>
      <c r="H404" s="2" t="str">
        <f>IFERROR(VLOOKUP(Match_Record[[#This Row],[Player_No]],Squads[[Player No]:[Player Name]],6,TRUE),"")</f>
        <v>Harry Kane </v>
      </c>
      <c r="I404" s="2" t="str">
        <f>IFERROR(VLOOKUP(Match_Record[[#This Row],[Player_No]],Squads[[Player No]:[Player Name]],2,TRUE),"")</f>
        <v>England</v>
      </c>
    </row>
    <row r="405" spans="1:9" x14ac:dyDescent="0.25">
      <c r="A405" s="18">
        <v>52</v>
      </c>
      <c r="B405" s="35">
        <v>44899</v>
      </c>
      <c r="C405" s="2" t="s">
        <v>6</v>
      </c>
      <c r="D405" s="2" t="s">
        <v>3</v>
      </c>
      <c r="E405" s="2" t="s">
        <v>1079</v>
      </c>
      <c r="F405" s="18">
        <v>45</v>
      </c>
      <c r="G405" s="2">
        <v>1280</v>
      </c>
      <c r="H405" s="2" t="str">
        <f>IFERROR(VLOOKUP(Match_Record[[#This Row],[Player_No]],Squads[[Player No]:[Player Name]],6,TRUE),"")</f>
        <v>Phil Foden</v>
      </c>
      <c r="I405" s="2" t="str">
        <f>IFERROR(VLOOKUP(Match_Record[[#This Row],[Player_No]],Squads[[Player No]:[Player Name]],2,TRUE),"")</f>
        <v>England</v>
      </c>
    </row>
    <row r="406" spans="1:9" x14ac:dyDescent="0.25">
      <c r="A406" s="18">
        <v>52</v>
      </c>
      <c r="B406" s="35">
        <v>44899</v>
      </c>
      <c r="C406" s="2" t="s">
        <v>6</v>
      </c>
      <c r="D406" s="2" t="s">
        <v>3</v>
      </c>
      <c r="E406" s="2" t="s">
        <v>1078</v>
      </c>
      <c r="F406" s="18">
        <v>57</v>
      </c>
      <c r="G406" s="2">
        <v>1277</v>
      </c>
      <c r="H406" s="2" t="str">
        <f>IFERROR(VLOOKUP(Match_Record[[#This Row],[Player_No]],Squads[[Player No]:[Player Name]],6,TRUE),"")</f>
        <v>Bukayo Saka</v>
      </c>
      <c r="I406" s="2" t="str">
        <f>IFERROR(VLOOKUP(Match_Record[[#This Row],[Player_No]],Squads[[Player No]:[Player Name]],2,TRUE),"")</f>
        <v>England</v>
      </c>
    </row>
    <row r="407" spans="1:9" x14ac:dyDescent="0.25">
      <c r="A407" s="18">
        <v>52</v>
      </c>
      <c r="B407" s="35">
        <v>44899</v>
      </c>
      <c r="C407" s="2" t="s">
        <v>6</v>
      </c>
      <c r="D407" s="2" t="s">
        <v>3</v>
      </c>
      <c r="E407" s="2" t="s">
        <v>1079</v>
      </c>
      <c r="F407" s="18">
        <v>57</v>
      </c>
      <c r="G407" s="2">
        <v>1280</v>
      </c>
      <c r="H407" s="2" t="str">
        <f>IFERROR(VLOOKUP(Match_Record[[#This Row],[Player_No]],Squads[[Player No]:[Player Name]],6,TRUE),"")</f>
        <v>Phil Foden</v>
      </c>
      <c r="I407" s="2" t="str">
        <f>IFERROR(VLOOKUP(Match_Record[[#This Row],[Player_No]],Squads[[Player No]:[Player Name]],2,TRUE),"")</f>
        <v>England</v>
      </c>
    </row>
    <row r="408" spans="1:9" x14ac:dyDescent="0.25">
      <c r="A408" s="18">
        <v>52</v>
      </c>
      <c r="B408" s="35">
        <v>44899</v>
      </c>
      <c r="C408" s="2" t="s">
        <v>6</v>
      </c>
      <c r="D408" s="2" t="s">
        <v>3</v>
      </c>
      <c r="E408" s="2" t="s">
        <v>1080</v>
      </c>
      <c r="F408" s="18">
        <v>76</v>
      </c>
      <c r="G408" s="2">
        <v>1626</v>
      </c>
      <c r="H408" s="2" t="str">
        <f>IFERROR(VLOOKUP(Match_Record[[#This Row],[Player_No]],Squads[[Player No]:[Player Name]],6,TRUE),"")</f>
        <v>Kalidou Koulibaly </v>
      </c>
      <c r="I408" s="2" t="str">
        <f>IFERROR(VLOOKUP(Match_Record[[#This Row],[Player_No]],Squads[[Player No]:[Player Name]],2,TRUE),"")</f>
        <v>Senegal</v>
      </c>
    </row>
    <row r="409" spans="1:9" x14ac:dyDescent="0.25">
      <c r="A409" s="18">
        <v>53</v>
      </c>
      <c r="B409" s="35">
        <v>44900</v>
      </c>
      <c r="C409" s="2" t="s">
        <v>27</v>
      </c>
      <c r="D409" s="2" t="s">
        <v>24</v>
      </c>
      <c r="E409" s="2" t="s">
        <v>1078</v>
      </c>
      <c r="F409" s="18">
        <v>43</v>
      </c>
      <c r="G409" s="2">
        <v>1414</v>
      </c>
      <c r="H409" s="2" t="str">
        <f>IFERROR(VLOOKUP(Match_Record[[#This Row],[Player_No]],Squads[[Player No]:[Player Name]],6,TRUE),"")</f>
        <v>Daizen Maeda</v>
      </c>
      <c r="I409" s="2" t="str">
        <f>IFERROR(VLOOKUP(Match_Record[[#This Row],[Player_No]],Squads[[Player No]:[Player Name]],2,TRUE),"")</f>
        <v>Japan</v>
      </c>
    </row>
    <row r="410" spans="1:9" x14ac:dyDescent="0.25">
      <c r="A410" s="18">
        <v>53</v>
      </c>
      <c r="B410" s="35">
        <v>44900</v>
      </c>
      <c r="C410" s="2" t="s">
        <v>27</v>
      </c>
      <c r="D410" s="2" t="s">
        <v>24</v>
      </c>
      <c r="E410" s="2" t="s">
        <v>1079</v>
      </c>
      <c r="F410" s="18">
        <v>43</v>
      </c>
      <c r="G410" s="2">
        <v>1411</v>
      </c>
      <c r="H410" s="2" t="str">
        <f>IFERROR(VLOOKUP(Match_Record[[#This Row],[Player_No]],Squads[[Player No]:[Player Name]],6,TRUE),"")</f>
        <v>Maya Yoshida </v>
      </c>
      <c r="I410" s="2" t="str">
        <f>IFERROR(VLOOKUP(Match_Record[[#This Row],[Player_No]],Squads[[Player No]:[Player Name]],2,TRUE),"")</f>
        <v>Japan</v>
      </c>
    </row>
    <row r="411" spans="1:9" x14ac:dyDescent="0.25">
      <c r="A411" s="18">
        <v>53</v>
      </c>
      <c r="B411" s="35">
        <v>44900</v>
      </c>
      <c r="C411" s="2" t="s">
        <v>27</v>
      </c>
      <c r="D411" s="2" t="s">
        <v>24</v>
      </c>
      <c r="E411" s="2" t="s">
        <v>1078</v>
      </c>
      <c r="F411" s="18">
        <v>55</v>
      </c>
      <c r="G411" s="2">
        <v>1186</v>
      </c>
      <c r="H411" s="2" t="str">
        <f>IFERROR(VLOOKUP(Match_Record[[#This Row],[Player_No]],Squads[[Player No]:[Player Name]],6,TRUE),"")</f>
        <v>Ivan Perišić</v>
      </c>
      <c r="I411" s="2" t="str">
        <f>IFERROR(VLOOKUP(Match_Record[[#This Row],[Player_No]],Squads[[Player No]:[Player Name]],2,TRUE),"")</f>
        <v>Croatia</v>
      </c>
    </row>
    <row r="412" spans="1:9" x14ac:dyDescent="0.25">
      <c r="A412" s="18">
        <v>53</v>
      </c>
      <c r="B412" s="35">
        <v>44900</v>
      </c>
      <c r="C412" s="2" t="s">
        <v>27</v>
      </c>
      <c r="D412" s="2" t="s">
        <v>24</v>
      </c>
      <c r="E412" s="2" t="s">
        <v>1079</v>
      </c>
      <c r="F412" s="18">
        <v>55</v>
      </c>
      <c r="G412" s="2">
        <v>1188</v>
      </c>
      <c r="H412" s="2" t="str">
        <f>IFERROR(VLOOKUP(Match_Record[[#This Row],[Player_No]],Squads[[Player No]:[Player Name]],6,TRUE),"")</f>
        <v>Dejan Lovren</v>
      </c>
      <c r="I412" s="2" t="str">
        <f>IFERROR(VLOOKUP(Match_Record[[#This Row],[Player_No]],Squads[[Player No]:[Player Name]],2,TRUE),"")</f>
        <v>Croatia</v>
      </c>
    </row>
    <row r="413" spans="1:9" x14ac:dyDescent="0.25">
      <c r="A413" s="18">
        <v>53</v>
      </c>
      <c r="B413" s="35">
        <v>44900</v>
      </c>
      <c r="C413" s="2" t="s">
        <v>27</v>
      </c>
      <c r="D413" s="2" t="s">
        <v>24</v>
      </c>
      <c r="E413" s="2" t="s">
        <v>1080</v>
      </c>
      <c r="F413" s="18">
        <v>90</v>
      </c>
      <c r="G413" s="2">
        <v>1190</v>
      </c>
      <c r="H413" s="2" t="str">
        <f>IFERROR(VLOOKUP(Match_Record[[#This Row],[Player_No]],Squads[[Player No]:[Player Name]],6,TRUE),"")</f>
        <v>Mateo Kovačić</v>
      </c>
      <c r="I413" s="2" t="str">
        <f>IFERROR(VLOOKUP(Match_Record[[#This Row],[Player_No]],Squads[[Player No]:[Player Name]],2,TRUE),"")</f>
        <v>Croatia</v>
      </c>
    </row>
    <row r="414" spans="1:9" x14ac:dyDescent="0.25">
      <c r="A414" s="18">
        <v>54</v>
      </c>
      <c r="B414" s="35">
        <v>44900</v>
      </c>
      <c r="C414" s="2" t="s">
        <v>1059</v>
      </c>
      <c r="D414" s="2" t="s">
        <v>37</v>
      </c>
      <c r="E414" s="2" t="s">
        <v>1078</v>
      </c>
      <c r="F414" s="18">
        <v>7</v>
      </c>
      <c r="G414" s="2">
        <v>1098</v>
      </c>
      <c r="H414" s="2" t="str">
        <f>IFERROR(VLOOKUP(Match_Record[[#This Row],[Player_No]],Squads[[Player No]:[Player Name]],6,TRUE),"")</f>
        <v>Vinícius Júnior</v>
      </c>
      <c r="I414" s="2" t="str">
        <f>IFERROR(VLOOKUP(Match_Record[[#This Row],[Player_No]],Squads[[Player No]:[Player Name]],2,TRUE),"")</f>
        <v>Brasil</v>
      </c>
    </row>
    <row r="415" spans="1:9" x14ac:dyDescent="0.25">
      <c r="A415" s="18">
        <v>54</v>
      </c>
      <c r="B415" s="35">
        <v>44900</v>
      </c>
      <c r="C415" s="2" t="s">
        <v>1059</v>
      </c>
      <c r="D415" s="2" t="s">
        <v>37</v>
      </c>
      <c r="E415" s="2" t="s">
        <v>1079</v>
      </c>
      <c r="F415" s="18">
        <v>7</v>
      </c>
      <c r="G415" s="2">
        <v>1088</v>
      </c>
      <c r="H415" s="2" t="str">
        <f>IFERROR(VLOOKUP(Match_Record[[#This Row],[Player_No]],Squads[[Player No]:[Player Name]],6,TRUE),"")</f>
        <v>Neymar</v>
      </c>
      <c r="I415" s="2" t="str">
        <f>IFERROR(VLOOKUP(Match_Record[[#This Row],[Player_No]],Squads[[Player No]:[Player Name]],2,TRUE),"")</f>
        <v>Brasil</v>
      </c>
    </row>
    <row r="416" spans="1:9" x14ac:dyDescent="0.25">
      <c r="A416" s="18">
        <v>54</v>
      </c>
      <c r="B416" s="35">
        <v>44900</v>
      </c>
      <c r="C416" s="2" t="s">
        <v>1059</v>
      </c>
      <c r="D416" s="2" t="s">
        <v>37</v>
      </c>
      <c r="E416" s="2" t="s">
        <v>1078</v>
      </c>
      <c r="F416" s="18">
        <v>13</v>
      </c>
      <c r="G416" s="2">
        <v>1088</v>
      </c>
      <c r="H416" s="2" t="str">
        <f>IFERROR(VLOOKUP(Match_Record[[#This Row],[Player_No]],Squads[[Player No]:[Player Name]],6,TRUE),"")</f>
        <v>Neymar</v>
      </c>
      <c r="I416" s="2" t="str">
        <f>IFERROR(VLOOKUP(Match_Record[[#This Row],[Player_No]],Squads[[Player No]:[Player Name]],2,TRUE),"")</f>
        <v>Brasil</v>
      </c>
    </row>
    <row r="417" spans="1:9" x14ac:dyDescent="0.25">
      <c r="A417" s="18">
        <v>54</v>
      </c>
      <c r="B417" s="35">
        <v>44900</v>
      </c>
      <c r="C417" s="2" t="s">
        <v>1059</v>
      </c>
      <c r="D417" s="2" t="s">
        <v>37</v>
      </c>
      <c r="E417" s="2" t="s">
        <v>1078</v>
      </c>
      <c r="F417" s="18">
        <v>29</v>
      </c>
      <c r="G417" s="2">
        <v>1087</v>
      </c>
      <c r="H417" s="2" t="str">
        <f>IFERROR(VLOOKUP(Match_Record[[#This Row],[Player_No]],Squads[[Player No]:[Player Name]],6,TRUE),"")</f>
        <v>Richarlison</v>
      </c>
      <c r="I417" s="2" t="str">
        <f>IFERROR(VLOOKUP(Match_Record[[#This Row],[Player_No]],Squads[[Player No]:[Player Name]],2,TRUE),"")</f>
        <v>Brasil</v>
      </c>
    </row>
    <row r="418" spans="1:9" x14ac:dyDescent="0.25">
      <c r="A418" s="18">
        <v>54</v>
      </c>
      <c r="B418" s="35">
        <v>44900</v>
      </c>
      <c r="C418" s="2" t="s">
        <v>1059</v>
      </c>
      <c r="D418" s="2" t="s">
        <v>37</v>
      </c>
      <c r="E418" s="2" t="s">
        <v>1079</v>
      </c>
      <c r="F418" s="18">
        <v>29</v>
      </c>
      <c r="G418" s="2">
        <v>1081</v>
      </c>
      <c r="H418" s="2" t="str">
        <f>IFERROR(VLOOKUP(Match_Record[[#This Row],[Player_No]],Squads[[Player No]:[Player Name]],6,TRUE),"")</f>
        <v>Thiago Silva </v>
      </c>
      <c r="I418" s="2" t="str">
        <f>IFERROR(VLOOKUP(Match_Record[[#This Row],[Player_No]],Squads[[Player No]:[Player Name]],2,TRUE),"")</f>
        <v>Brasil</v>
      </c>
    </row>
    <row r="419" spans="1:9" x14ac:dyDescent="0.25">
      <c r="A419" s="18">
        <v>54</v>
      </c>
      <c r="B419" s="35">
        <v>44900</v>
      </c>
      <c r="C419" s="2" t="s">
        <v>1059</v>
      </c>
      <c r="D419" s="2" t="s">
        <v>37</v>
      </c>
      <c r="E419" s="2" t="s">
        <v>1078</v>
      </c>
      <c r="F419" s="18">
        <v>36</v>
      </c>
      <c r="G419" s="2">
        <v>1085</v>
      </c>
      <c r="H419" s="2" t="str">
        <f>IFERROR(VLOOKUP(Match_Record[[#This Row],[Player_No]],Squads[[Player No]:[Player Name]],6,TRUE),"")</f>
        <v>Lucas Paquetá</v>
      </c>
      <c r="I419" s="2" t="str">
        <f>IFERROR(VLOOKUP(Match_Record[[#This Row],[Player_No]],Squads[[Player No]:[Player Name]],2,TRUE),"")</f>
        <v>Brasil</v>
      </c>
    </row>
    <row r="420" spans="1:9" x14ac:dyDescent="0.25">
      <c r="A420" s="18">
        <v>54</v>
      </c>
      <c r="B420" s="35">
        <v>44900</v>
      </c>
      <c r="C420" s="2" t="s">
        <v>1059</v>
      </c>
      <c r="D420" s="2" t="s">
        <v>37</v>
      </c>
      <c r="E420" s="2" t="s">
        <v>1079</v>
      </c>
      <c r="F420" s="18">
        <v>36</v>
      </c>
      <c r="G420" s="2">
        <v>1098</v>
      </c>
      <c r="H420" s="2" t="str">
        <f>IFERROR(VLOOKUP(Match_Record[[#This Row],[Player_No]],Squads[[Player No]:[Player Name]],6,TRUE),"")</f>
        <v>Vinícius Júnior</v>
      </c>
      <c r="I420" s="2" t="str">
        <f>IFERROR(VLOOKUP(Match_Record[[#This Row],[Player_No]],Squads[[Player No]:[Player Name]],2,TRUE),"")</f>
        <v>Brasil</v>
      </c>
    </row>
    <row r="421" spans="1:9" x14ac:dyDescent="0.25">
      <c r="A421" s="18">
        <v>54</v>
      </c>
      <c r="B421" s="35">
        <v>44900</v>
      </c>
      <c r="C421" s="2" t="s">
        <v>1059</v>
      </c>
      <c r="D421" s="2" t="s">
        <v>37</v>
      </c>
      <c r="E421" s="2" t="s">
        <v>1080</v>
      </c>
      <c r="F421" s="18">
        <v>44</v>
      </c>
      <c r="G421" s="2">
        <v>1420</v>
      </c>
      <c r="H421" s="2" t="str">
        <f>IFERROR(VLOOKUP(Match_Record[[#This Row],[Player_No]],Squads[[Player No]:[Player Name]],6,TRUE),"")</f>
        <v>Jung Woo-young</v>
      </c>
      <c r="I421" s="2" t="str">
        <f>IFERROR(VLOOKUP(Match_Record[[#This Row],[Player_No]],Squads[[Player No]:[Player Name]],2,TRUE),"")</f>
        <v>Korea Rep</v>
      </c>
    </row>
    <row r="422" spans="1:9" x14ac:dyDescent="0.25">
      <c r="A422" s="18">
        <v>54</v>
      </c>
      <c r="B422" s="35">
        <v>44900</v>
      </c>
      <c r="C422" s="2" t="s">
        <v>1059</v>
      </c>
      <c r="D422" s="2" t="s">
        <v>37</v>
      </c>
      <c r="E422" s="2" t="s">
        <v>1078</v>
      </c>
      <c r="F422" s="18">
        <v>76</v>
      </c>
      <c r="G422" s="2">
        <v>1423</v>
      </c>
      <c r="H422" s="2" t="str">
        <f>IFERROR(VLOOKUP(Match_Record[[#This Row],[Player_No]],Squads[[Player No]:[Player Name]],6,TRUE),"")</f>
        <v>Paik Seung-ho</v>
      </c>
      <c r="I422" s="2" t="str">
        <f>IFERROR(VLOOKUP(Match_Record[[#This Row],[Player_No]],Squads[[Player No]:[Player Name]],2,TRUE),"")</f>
        <v>Korea Rep</v>
      </c>
    </row>
    <row r="423" spans="1:9" x14ac:dyDescent="0.25">
      <c r="A423" s="18">
        <v>55</v>
      </c>
      <c r="B423" s="35">
        <v>44901</v>
      </c>
      <c r="C423" s="2" t="s">
        <v>23</v>
      </c>
      <c r="D423" s="2" t="s">
        <v>28</v>
      </c>
      <c r="E423" s="2" t="s">
        <v>1080</v>
      </c>
      <c r="F423" s="18">
        <v>90</v>
      </c>
      <c r="G423" s="2">
        <v>1473</v>
      </c>
      <c r="H423" s="2" t="str">
        <f>IFERROR(VLOOKUP(Match_Record[[#This Row],[Player_No]],Squads[[Player No]:[Player Name]],6,TRUE),"")</f>
        <v>Romain Saïss </v>
      </c>
      <c r="I423" s="2" t="str">
        <f>IFERROR(VLOOKUP(Match_Record[[#This Row],[Player_No]],Squads[[Player No]:[Player Name]],2,TRUE),"")</f>
        <v>Morocco</v>
      </c>
    </row>
    <row r="424" spans="1:9" x14ac:dyDescent="0.25">
      <c r="A424" s="18">
        <v>55</v>
      </c>
      <c r="B424" s="35">
        <v>44901</v>
      </c>
      <c r="C424" s="2" t="s">
        <v>23</v>
      </c>
      <c r="D424" s="2" t="s">
        <v>28</v>
      </c>
      <c r="E424" s="2" t="s">
        <v>1080</v>
      </c>
      <c r="F424" s="18">
        <v>77</v>
      </c>
      <c r="G424" s="2">
        <v>1698</v>
      </c>
      <c r="H424" s="2" t="str">
        <f>IFERROR(VLOOKUP(Match_Record[[#This Row],[Player_No]],Squads[[Player No]:[Player Name]],6,TRUE),"")</f>
        <v>Aymeric Laporte</v>
      </c>
      <c r="I424" s="2" t="str">
        <f>IFERROR(VLOOKUP(Match_Record[[#This Row],[Player_No]],Squads[[Player No]:[Player Name]],2,TRUE),"")</f>
        <v>Spain</v>
      </c>
    </row>
    <row r="425" spans="1:9" x14ac:dyDescent="0.25">
      <c r="A425" s="18">
        <v>56</v>
      </c>
      <c r="B425" s="35">
        <v>44901</v>
      </c>
      <c r="C425" s="2" t="s">
        <v>38</v>
      </c>
      <c r="D425" s="2" t="s">
        <v>33</v>
      </c>
      <c r="E425" s="2" t="s">
        <v>1078</v>
      </c>
      <c r="F425" s="18">
        <v>17</v>
      </c>
      <c r="G425" s="2">
        <v>1571</v>
      </c>
      <c r="H425" s="2" t="str">
        <f>IFERROR(VLOOKUP(Match_Record[[#This Row],[Player_No]],Squads[[Player No]:[Player Name]],6,TRUE),"")</f>
        <v>Gonçalo Ramos</v>
      </c>
      <c r="I425" s="2" t="str">
        <f>IFERROR(VLOOKUP(Match_Record[[#This Row],[Player_No]],Squads[[Player No]:[Player Name]],2,TRUE),"")</f>
        <v>Portugal</v>
      </c>
    </row>
    <row r="426" spans="1:9" x14ac:dyDescent="0.25">
      <c r="A426" s="18">
        <v>56</v>
      </c>
      <c r="B426" s="35">
        <v>44901</v>
      </c>
      <c r="C426" s="2" t="s">
        <v>38</v>
      </c>
      <c r="D426" s="2" t="s">
        <v>33</v>
      </c>
      <c r="E426" s="2" t="s">
        <v>1079</v>
      </c>
      <c r="F426" s="18">
        <v>17</v>
      </c>
      <c r="G426" s="2">
        <v>1556</v>
      </c>
      <c r="H426" s="2" t="str">
        <f>IFERROR(VLOOKUP(Match_Record[[#This Row],[Player_No]],Squads[[Player No]:[Player Name]],6,TRUE),"")</f>
        <v>João Félix</v>
      </c>
      <c r="I426" s="2" t="str">
        <f>IFERROR(VLOOKUP(Match_Record[[#This Row],[Player_No]],Squads[[Player No]:[Player Name]],2,TRUE),"")</f>
        <v>Portugal</v>
      </c>
    </row>
    <row r="427" spans="1:9" x14ac:dyDescent="0.25">
      <c r="A427" s="18">
        <v>56</v>
      </c>
      <c r="B427" s="35">
        <v>44901</v>
      </c>
      <c r="C427" s="2" t="s">
        <v>38</v>
      </c>
      <c r="D427" s="2" t="s">
        <v>33</v>
      </c>
      <c r="E427" s="2" t="s">
        <v>1078</v>
      </c>
      <c r="F427" s="18">
        <v>33</v>
      </c>
      <c r="G427" s="2">
        <v>1548</v>
      </c>
      <c r="H427" s="2" t="str">
        <f>IFERROR(VLOOKUP(Match_Record[[#This Row],[Player_No]],Squads[[Player No]:[Player Name]],6,TRUE),"")</f>
        <v>Pepe</v>
      </c>
      <c r="I427" s="2" t="str">
        <f>IFERROR(VLOOKUP(Match_Record[[#This Row],[Player_No]],Squads[[Player No]:[Player Name]],2,TRUE),"")</f>
        <v>Portugal</v>
      </c>
    </row>
    <row r="428" spans="1:9" x14ac:dyDescent="0.25">
      <c r="A428" s="18">
        <v>56</v>
      </c>
      <c r="B428" s="35">
        <v>44901</v>
      </c>
      <c r="C428" s="2" t="s">
        <v>38</v>
      </c>
      <c r="D428" s="2" t="s">
        <v>33</v>
      </c>
      <c r="E428" s="2" t="s">
        <v>1079</v>
      </c>
      <c r="F428" s="18">
        <v>33</v>
      </c>
      <c r="G428" s="2">
        <v>1553</v>
      </c>
      <c r="H428" s="2" t="str">
        <f>IFERROR(VLOOKUP(Match_Record[[#This Row],[Player_No]],Squads[[Player No]:[Player Name]],6,TRUE),"")</f>
        <v>Bruno Fernandes</v>
      </c>
      <c r="I428" s="2" t="str">
        <f>IFERROR(VLOOKUP(Match_Record[[#This Row],[Player_No]],Squads[[Player No]:[Player Name]],2,TRUE),"")</f>
        <v>Portugal</v>
      </c>
    </row>
    <row r="429" spans="1:9" x14ac:dyDescent="0.25">
      <c r="A429" s="18">
        <v>56</v>
      </c>
      <c r="B429" s="35">
        <v>44901</v>
      </c>
      <c r="C429" s="2" t="s">
        <v>38</v>
      </c>
      <c r="D429" s="2" t="s">
        <v>33</v>
      </c>
      <c r="E429" s="2" t="s">
        <v>1078</v>
      </c>
      <c r="F429" s="18">
        <v>51</v>
      </c>
      <c r="G429" s="2">
        <v>1571</v>
      </c>
      <c r="H429" s="2" t="str">
        <f>IFERROR(VLOOKUP(Match_Record[[#This Row],[Player_No]],Squads[[Player No]:[Player Name]],6,TRUE),"")</f>
        <v>Gonçalo Ramos</v>
      </c>
      <c r="I429" s="2" t="str">
        <f>IFERROR(VLOOKUP(Match_Record[[#This Row],[Player_No]],Squads[[Player No]:[Player Name]],2,TRUE),"")</f>
        <v>Portugal</v>
      </c>
    </row>
    <row r="430" spans="1:9" x14ac:dyDescent="0.25">
      <c r="A430" s="18">
        <v>56</v>
      </c>
      <c r="B430" s="35">
        <v>44901</v>
      </c>
      <c r="C430" s="2" t="s">
        <v>38</v>
      </c>
      <c r="D430" s="2" t="s">
        <v>33</v>
      </c>
      <c r="E430" s="2" t="s">
        <v>1078</v>
      </c>
      <c r="F430" s="18">
        <v>55</v>
      </c>
      <c r="G430" s="2">
        <v>1550</v>
      </c>
      <c r="H430" s="2" t="str">
        <f>IFERROR(VLOOKUP(Match_Record[[#This Row],[Player_No]],Squads[[Player No]:[Player Name]],6,TRUE),"")</f>
        <v>Raphaël Guerreiro</v>
      </c>
      <c r="I430" s="2" t="str">
        <f>IFERROR(VLOOKUP(Match_Record[[#This Row],[Player_No]],Squads[[Player No]:[Player Name]],2,TRUE),"")</f>
        <v>Portugal</v>
      </c>
    </row>
    <row r="431" spans="1:9" x14ac:dyDescent="0.25">
      <c r="A431" s="18">
        <v>56</v>
      </c>
      <c r="B431" s="35">
        <v>44901</v>
      </c>
      <c r="C431" s="2" t="s">
        <v>38</v>
      </c>
      <c r="D431" s="2" t="s">
        <v>33</v>
      </c>
      <c r="E431" s="2" t="s">
        <v>1079</v>
      </c>
      <c r="F431" s="18">
        <v>55</v>
      </c>
      <c r="G431" s="2">
        <v>1571</v>
      </c>
      <c r="H431" s="2" t="str">
        <f>IFERROR(VLOOKUP(Match_Record[[#This Row],[Player_No]],Squads[[Player No]:[Player Name]],6,TRUE),"")</f>
        <v>Gonçalo Ramos</v>
      </c>
      <c r="I431" s="2" t="str">
        <f>IFERROR(VLOOKUP(Match_Record[[#This Row],[Player_No]],Squads[[Player No]:[Player Name]],2,TRUE),"")</f>
        <v>Portugal</v>
      </c>
    </row>
    <row r="432" spans="1:9" x14ac:dyDescent="0.25">
      <c r="A432" s="18">
        <v>56</v>
      </c>
      <c r="B432" s="35">
        <v>44901</v>
      </c>
      <c r="C432" s="2" t="s">
        <v>38</v>
      </c>
      <c r="D432" s="2" t="s">
        <v>33</v>
      </c>
      <c r="E432" s="2" t="s">
        <v>1078</v>
      </c>
      <c r="F432" s="18">
        <v>67</v>
      </c>
      <c r="G432" s="2">
        <v>1571</v>
      </c>
      <c r="H432" s="2" t="str">
        <f>IFERROR(VLOOKUP(Match_Record[[#This Row],[Player_No]],Squads[[Player No]:[Player Name]],6,TRUE),"")</f>
        <v>Gonçalo Ramos</v>
      </c>
      <c r="I432" s="2" t="str">
        <f>IFERROR(VLOOKUP(Match_Record[[#This Row],[Player_No]],Squads[[Player No]:[Player Name]],2,TRUE),"")</f>
        <v>Portugal</v>
      </c>
    </row>
    <row r="433" spans="1:9" x14ac:dyDescent="0.25">
      <c r="A433" s="18">
        <v>56</v>
      </c>
      <c r="B433" s="35">
        <v>44901</v>
      </c>
      <c r="C433" s="2" t="s">
        <v>38</v>
      </c>
      <c r="D433" s="2" t="s">
        <v>33</v>
      </c>
      <c r="E433" s="2" t="s">
        <v>1079</v>
      </c>
      <c r="F433" s="18">
        <v>67</v>
      </c>
      <c r="G433" s="2">
        <v>1556</v>
      </c>
      <c r="H433" s="2" t="str">
        <f>IFERROR(VLOOKUP(Match_Record[[#This Row],[Player_No]],Squads[[Player No]:[Player Name]],6,TRUE),"")</f>
        <v>João Félix</v>
      </c>
      <c r="I433" s="2" t="str">
        <f>IFERROR(VLOOKUP(Match_Record[[#This Row],[Player_No]],Squads[[Player No]:[Player Name]],2,TRUE),"")</f>
        <v>Portugal</v>
      </c>
    </row>
    <row r="434" spans="1:9" x14ac:dyDescent="0.25">
      <c r="A434" s="18">
        <v>56</v>
      </c>
      <c r="B434" s="35">
        <v>44901</v>
      </c>
      <c r="C434" s="2" t="s">
        <v>38</v>
      </c>
      <c r="D434" s="2" t="s">
        <v>33</v>
      </c>
      <c r="E434" s="2" t="s">
        <v>1078</v>
      </c>
      <c r="F434" s="18">
        <v>92</v>
      </c>
      <c r="G434" s="2">
        <v>1560</v>
      </c>
      <c r="H434" s="2" t="str">
        <f>IFERROR(VLOOKUP(Match_Record[[#This Row],[Player_No]],Squads[[Player No]:[Player Name]],6,TRUE),"")</f>
        <v>Rafael Leão</v>
      </c>
      <c r="I434" s="2" t="str">
        <f>IFERROR(VLOOKUP(Match_Record[[#This Row],[Player_No]],Squads[[Player No]:[Player Name]],2,TRUE),"")</f>
        <v>Portugal</v>
      </c>
    </row>
    <row r="435" spans="1:9" x14ac:dyDescent="0.25">
      <c r="A435" s="18">
        <v>56</v>
      </c>
      <c r="B435" s="35">
        <v>44901</v>
      </c>
      <c r="C435" s="2" t="s">
        <v>38</v>
      </c>
      <c r="D435" s="2" t="s">
        <v>33</v>
      </c>
      <c r="E435" s="2" t="s">
        <v>1079</v>
      </c>
      <c r="F435" s="18">
        <v>92</v>
      </c>
      <c r="G435" s="2">
        <v>1550</v>
      </c>
      <c r="H435" s="2" t="str">
        <f>IFERROR(VLOOKUP(Match_Record[[#This Row],[Player_No]],Squads[[Player No]:[Player Name]],6,TRUE),"")</f>
        <v>Raphaël Guerreiro</v>
      </c>
      <c r="I435" s="2" t="str">
        <f>IFERROR(VLOOKUP(Match_Record[[#This Row],[Player_No]],Squads[[Player No]:[Player Name]],2,TRUE),"")</f>
        <v>Portugal</v>
      </c>
    </row>
    <row r="436" spans="1:9" x14ac:dyDescent="0.25">
      <c r="A436" s="18">
        <v>56</v>
      </c>
      <c r="B436" s="35">
        <v>44901</v>
      </c>
      <c r="C436" s="2" t="s">
        <v>38</v>
      </c>
      <c r="D436" s="2" t="s">
        <v>33</v>
      </c>
      <c r="E436" s="2" t="s">
        <v>1080</v>
      </c>
      <c r="F436" s="18">
        <v>43</v>
      </c>
      <c r="G436" s="2">
        <v>1722</v>
      </c>
      <c r="H436" s="2" t="str">
        <f>IFERROR(VLOOKUP(Match_Record[[#This Row],[Player_No]],Squads[[Player No]:[Player Name]],6,TRUE),"")</f>
        <v>Fabian Schär</v>
      </c>
      <c r="I436" s="2" t="str">
        <f>IFERROR(VLOOKUP(Match_Record[[#This Row],[Player_No]],Squads[[Player No]:[Player Name]],2,TRUE),"")</f>
        <v>Switzerland</v>
      </c>
    </row>
    <row r="437" spans="1:9" x14ac:dyDescent="0.25">
      <c r="A437" s="18">
        <v>56</v>
      </c>
      <c r="B437" s="35">
        <v>44901</v>
      </c>
      <c r="C437" s="2" t="s">
        <v>38</v>
      </c>
      <c r="D437" s="2" t="s">
        <v>33</v>
      </c>
      <c r="E437" s="2" t="s">
        <v>1078</v>
      </c>
      <c r="F437" s="18">
        <v>41</v>
      </c>
      <c r="G437" s="2">
        <v>1705</v>
      </c>
      <c r="H437" s="2" t="str">
        <f>IFERROR(VLOOKUP(Match_Record[[#This Row],[Player_No]],Squads[[Player No]:[Player Name]],6,TRUE),"")</f>
        <v>Manuel Akanji</v>
      </c>
      <c r="I437" s="2" t="str">
        <f>IFERROR(VLOOKUP(Match_Record[[#This Row],[Player_No]],Squads[[Player No]:[Player Name]],2,TRUE),"")</f>
        <v>Switzerland</v>
      </c>
    </row>
    <row r="438" spans="1:9" x14ac:dyDescent="0.25">
      <c r="A438" s="18">
        <v>56</v>
      </c>
      <c r="B438" s="35">
        <v>44901</v>
      </c>
      <c r="C438" s="2" t="s">
        <v>38</v>
      </c>
      <c r="D438" s="2" t="s">
        <v>33</v>
      </c>
      <c r="E438" s="2" t="s">
        <v>1080</v>
      </c>
      <c r="F438" s="18">
        <v>59</v>
      </c>
      <c r="G438" s="2">
        <v>1718</v>
      </c>
      <c r="H438" s="2" t="str">
        <f>IFERROR(VLOOKUP(Match_Record[[#This Row],[Player_No]],Squads[[Player No]:[Player Name]],6,TRUE),"")</f>
        <v>Eray Cömert</v>
      </c>
      <c r="I438" s="2" t="str">
        <f>IFERROR(VLOOKUP(Match_Record[[#This Row],[Player_No]],Squads[[Player No]:[Player Name]],2,TRUE),"")</f>
        <v>Switzerland</v>
      </c>
    </row>
    <row r="439" spans="1:9" x14ac:dyDescent="0.25">
      <c r="A439" s="18">
        <v>57</v>
      </c>
      <c r="B439" s="35">
        <v>44904</v>
      </c>
      <c r="C439" s="2" t="s">
        <v>24</v>
      </c>
      <c r="D439" s="2" t="s">
        <v>1059</v>
      </c>
      <c r="E439" s="2" t="s">
        <v>1080</v>
      </c>
      <c r="F439" s="18">
        <v>31</v>
      </c>
      <c r="G439" s="2">
        <v>1193</v>
      </c>
      <c r="H439" s="2" t="str">
        <f>IFERROR(VLOOKUP(Match_Record[[#This Row],[Player_No]],Squads[[Player No]:[Player Name]],6,TRUE),"")</f>
        <v>Marcelo Brozović</v>
      </c>
      <c r="I439" s="2" t="str">
        <f>IFERROR(VLOOKUP(Match_Record[[#This Row],[Player_No]],Squads[[Player No]:[Player Name]],2,TRUE),"")</f>
        <v>Croatia</v>
      </c>
    </row>
    <row r="440" spans="1:9" x14ac:dyDescent="0.25">
      <c r="A440" s="18">
        <v>57</v>
      </c>
      <c r="B440" s="35">
        <v>44904</v>
      </c>
      <c r="C440" s="2" t="s">
        <v>24</v>
      </c>
      <c r="D440" s="2" t="s">
        <v>1059</v>
      </c>
      <c r="E440" s="2" t="s">
        <v>1078</v>
      </c>
      <c r="F440" s="18">
        <v>117</v>
      </c>
      <c r="G440" s="2">
        <v>1198</v>
      </c>
      <c r="H440" s="2" t="str">
        <f>IFERROR(VLOOKUP(Match_Record[[#This Row],[Player_No]],Squads[[Player No]:[Player Name]],6,TRUE),"")</f>
        <v>Bruno Petković</v>
      </c>
      <c r="I440" s="2" t="str">
        <f>IFERROR(VLOOKUP(Match_Record[[#This Row],[Player_No]],Squads[[Player No]:[Player Name]],2,TRUE),"")</f>
        <v>Croatia</v>
      </c>
    </row>
    <row r="441" spans="1:9" x14ac:dyDescent="0.25">
      <c r="A441" s="18">
        <v>57</v>
      </c>
      <c r="B441" s="35">
        <v>44904</v>
      </c>
      <c r="C441" s="2" t="s">
        <v>24</v>
      </c>
      <c r="D441" s="2" t="s">
        <v>1059</v>
      </c>
      <c r="E441" s="2" t="s">
        <v>1079</v>
      </c>
      <c r="F441" s="18">
        <v>117</v>
      </c>
      <c r="G441" s="2">
        <v>1200</v>
      </c>
      <c r="H441" s="2" t="str">
        <f>IFERROR(VLOOKUP(Match_Record[[#This Row],[Player_No]],Squads[[Player No]:[Player Name]],6,TRUE),"")</f>
        <v>Mislav Oršić</v>
      </c>
      <c r="I441" s="2" t="str">
        <f>IFERROR(VLOOKUP(Match_Record[[#This Row],[Player_No]],Squads[[Player No]:[Player Name]],2,TRUE),"")</f>
        <v>Croatia</v>
      </c>
    </row>
    <row r="442" spans="1:9" x14ac:dyDescent="0.25">
      <c r="A442" s="18">
        <v>57</v>
      </c>
      <c r="B442" s="35">
        <v>44904</v>
      </c>
      <c r="C442" s="2" t="s">
        <v>24</v>
      </c>
      <c r="D442" s="2" t="s">
        <v>1059</v>
      </c>
      <c r="E442" s="2" t="s">
        <v>1080</v>
      </c>
      <c r="F442" s="18">
        <v>25</v>
      </c>
      <c r="G442" s="2">
        <v>1080</v>
      </c>
      <c r="H442" s="2" t="str">
        <f>IFERROR(VLOOKUP(Match_Record[[#This Row],[Player_No]],Squads[[Player No]:[Player Name]],6,TRUE),"")</f>
        <v>Danilo</v>
      </c>
      <c r="I442" s="2" t="str">
        <f>IFERROR(VLOOKUP(Match_Record[[#This Row],[Player_No]],Squads[[Player No]:[Player Name]],2,TRUE),"")</f>
        <v>Brasil</v>
      </c>
    </row>
    <row r="443" spans="1:9" x14ac:dyDescent="0.25">
      <c r="A443" s="18">
        <v>57</v>
      </c>
      <c r="B443" s="35">
        <v>44904</v>
      </c>
      <c r="C443" s="2" t="s">
        <v>24</v>
      </c>
      <c r="D443" s="2" t="s">
        <v>1059</v>
      </c>
      <c r="E443" s="2" t="s">
        <v>1080</v>
      </c>
      <c r="F443" s="18">
        <v>68</v>
      </c>
      <c r="G443" s="2">
        <v>1083</v>
      </c>
      <c r="H443" s="2" t="str">
        <f>IFERROR(VLOOKUP(Match_Record[[#This Row],[Player_No]],Squads[[Player No]:[Player Name]],6,TRUE),"")</f>
        <v>Casemiro</v>
      </c>
      <c r="I443" s="2" t="str">
        <f>IFERROR(VLOOKUP(Match_Record[[#This Row],[Player_No]],Squads[[Player No]:[Player Name]],2,TRUE),"")</f>
        <v>Brasil</v>
      </c>
    </row>
    <row r="444" spans="1:9" x14ac:dyDescent="0.25">
      <c r="A444" s="18">
        <v>57</v>
      </c>
      <c r="B444" s="35">
        <v>44904</v>
      </c>
      <c r="C444" s="2" t="s">
        <v>24</v>
      </c>
      <c r="D444" s="2" t="s">
        <v>1059</v>
      </c>
      <c r="E444" s="2" t="s">
        <v>1080</v>
      </c>
      <c r="F444" s="18">
        <v>77</v>
      </c>
      <c r="G444" s="2">
        <v>1082</v>
      </c>
      <c r="H444" s="2" t="str">
        <f>IFERROR(VLOOKUP(Match_Record[[#This Row],[Player_No]],Squads[[Player No]:[Player Name]],6,TRUE),"")</f>
        <v>Marquinhos</v>
      </c>
      <c r="I444" s="2" t="str">
        <f>IFERROR(VLOOKUP(Match_Record[[#This Row],[Player_No]],Squads[[Player No]:[Player Name]],2,TRUE),"")</f>
        <v>Brasil</v>
      </c>
    </row>
    <row r="445" spans="1:9" x14ac:dyDescent="0.25">
      <c r="A445" s="18">
        <v>57</v>
      </c>
      <c r="B445" s="35">
        <v>44904</v>
      </c>
      <c r="C445" s="2" t="s">
        <v>24</v>
      </c>
      <c r="D445" s="2" t="s">
        <v>1059</v>
      </c>
      <c r="E445" s="2" t="s">
        <v>1078</v>
      </c>
      <c r="F445" s="18">
        <v>105</v>
      </c>
      <c r="G445" s="2">
        <v>1088</v>
      </c>
      <c r="H445" s="2" t="str">
        <f>IFERROR(VLOOKUP(Match_Record[[#This Row],[Player_No]],Squads[[Player No]:[Player Name]],6,TRUE),"")</f>
        <v>Neymar</v>
      </c>
      <c r="I445" s="2" t="str">
        <f>IFERROR(VLOOKUP(Match_Record[[#This Row],[Player_No]],Squads[[Player No]:[Player Name]],2,TRUE),"")</f>
        <v>Brasil</v>
      </c>
    </row>
    <row r="446" spans="1:9" x14ac:dyDescent="0.25">
      <c r="A446" s="18">
        <v>57</v>
      </c>
      <c r="B446" s="35">
        <v>44904</v>
      </c>
      <c r="C446" s="2" t="s">
        <v>24</v>
      </c>
      <c r="D446" s="2" t="s">
        <v>1059</v>
      </c>
      <c r="E446" s="2" t="s">
        <v>1079</v>
      </c>
      <c r="F446" s="18">
        <v>105</v>
      </c>
      <c r="G446" s="2">
        <v>1085</v>
      </c>
      <c r="H446" s="2" t="str">
        <f>IFERROR(VLOOKUP(Match_Record[[#This Row],[Player_No]],Squads[[Player No]:[Player Name]],6,TRUE),"")</f>
        <v>Lucas Paquetá</v>
      </c>
      <c r="I446" s="2" t="str">
        <f>IFERROR(VLOOKUP(Match_Record[[#This Row],[Player_No]],Squads[[Player No]:[Player Name]],2,TRUE),"")</f>
        <v>Brasil</v>
      </c>
    </row>
    <row r="447" spans="1:9" x14ac:dyDescent="0.25">
      <c r="A447" s="18">
        <v>58</v>
      </c>
      <c r="B447" s="35">
        <v>44904</v>
      </c>
      <c r="C447" s="2" t="s">
        <v>4</v>
      </c>
      <c r="D447" s="2" t="s">
        <v>13</v>
      </c>
      <c r="E447" s="2" t="s">
        <v>1080</v>
      </c>
      <c r="F447" s="18">
        <v>43</v>
      </c>
      <c r="G447" s="2">
        <v>1495</v>
      </c>
      <c r="H447" s="2" t="str">
        <f>IFERROR(VLOOKUP(Match_Record[[#This Row],[Player_No]],Squads[[Player No]:[Player Name]],6,TRUE),"")</f>
        <v>Jurriën Timber</v>
      </c>
      <c r="I447" s="2" t="str">
        <f>IFERROR(VLOOKUP(Match_Record[[#This Row],[Player_No]],Squads[[Player No]:[Player Name]],2,TRUE),"")</f>
        <v>Netherlands</v>
      </c>
    </row>
    <row r="448" spans="1:9" x14ac:dyDescent="0.25">
      <c r="A448" s="18">
        <v>58</v>
      </c>
      <c r="B448" s="35">
        <v>44904</v>
      </c>
      <c r="C448" s="2" t="s">
        <v>4</v>
      </c>
      <c r="D448" s="2" t="s">
        <v>13</v>
      </c>
      <c r="E448" s="2" t="s">
        <v>1080</v>
      </c>
      <c r="F448" s="18">
        <v>45</v>
      </c>
      <c r="G448" s="2">
        <v>1512</v>
      </c>
      <c r="H448" s="2" t="str">
        <f>IFERROR(VLOOKUP(Match_Record[[#This Row],[Player_No]],Squads[[Player No]:[Player Name]],6,TRUE),"")</f>
        <v>Wout Weghorst</v>
      </c>
      <c r="I448" s="2" t="str">
        <f>IFERROR(VLOOKUP(Match_Record[[#This Row],[Player_No]],Squads[[Player No]:[Player Name]],2,TRUE),"")</f>
        <v>Netherlands</v>
      </c>
    </row>
    <row r="449" spans="1:9" x14ac:dyDescent="0.25">
      <c r="A449" s="18">
        <v>58</v>
      </c>
      <c r="B449" s="35">
        <v>44904</v>
      </c>
      <c r="C449" s="2" t="s">
        <v>4</v>
      </c>
      <c r="D449" s="2" t="s">
        <v>13</v>
      </c>
      <c r="E449" s="2" t="s">
        <v>1080</v>
      </c>
      <c r="F449" s="18">
        <v>76</v>
      </c>
      <c r="G449" s="2">
        <v>1503</v>
      </c>
      <c r="H449" s="2" t="str">
        <f>IFERROR(VLOOKUP(Match_Record[[#This Row],[Player_No]],Squads[[Player No]:[Player Name]],6,TRUE),"")</f>
        <v>Memphis Depay</v>
      </c>
      <c r="I449" s="2" t="str">
        <f>IFERROR(VLOOKUP(Match_Record[[#This Row],[Player_No]],Squads[[Player No]:[Player Name]],2,TRUE),"")</f>
        <v>Netherlands</v>
      </c>
    </row>
    <row r="450" spans="1:9" x14ac:dyDescent="0.25">
      <c r="A450" s="18">
        <v>58</v>
      </c>
      <c r="B450" s="35">
        <v>44904</v>
      </c>
      <c r="C450" s="2" t="s">
        <v>4</v>
      </c>
      <c r="D450" s="2" t="s">
        <v>13</v>
      </c>
      <c r="E450" s="2" t="s">
        <v>1078</v>
      </c>
      <c r="F450" s="18">
        <v>83</v>
      </c>
      <c r="G450" s="2">
        <v>1512</v>
      </c>
      <c r="H450" s="2" t="str">
        <f>IFERROR(VLOOKUP(Match_Record[[#This Row],[Player_No]],Squads[[Player No]:[Player Name]],6,TRUE),"")</f>
        <v>Wout Weghorst</v>
      </c>
      <c r="I450" s="2" t="str">
        <f>IFERROR(VLOOKUP(Match_Record[[#This Row],[Player_No]],Squads[[Player No]:[Player Name]],2,TRUE),"")</f>
        <v>Netherlands</v>
      </c>
    </row>
    <row r="451" spans="1:9" x14ac:dyDescent="0.25">
      <c r="A451" s="18">
        <v>58</v>
      </c>
      <c r="B451" s="35">
        <v>44904</v>
      </c>
      <c r="C451" s="2" t="s">
        <v>4</v>
      </c>
      <c r="D451" s="2" t="s">
        <v>13</v>
      </c>
      <c r="E451" s="2" t="s">
        <v>1079</v>
      </c>
      <c r="F451" s="18">
        <v>83</v>
      </c>
      <c r="G451" s="2">
        <v>1504</v>
      </c>
      <c r="H451" s="2" t="str">
        <f>IFERROR(VLOOKUP(Match_Record[[#This Row],[Player_No]],Squads[[Player No]:[Player Name]],6,TRUE),"")</f>
        <v>Steven Berghuis</v>
      </c>
      <c r="I451" s="2" t="str">
        <f>IFERROR(VLOOKUP(Match_Record[[#This Row],[Player_No]],Squads[[Player No]:[Player Name]],2,TRUE),"")</f>
        <v>Netherlands</v>
      </c>
    </row>
    <row r="452" spans="1:9" x14ac:dyDescent="0.25">
      <c r="A452" s="18">
        <v>58</v>
      </c>
      <c r="B452" s="35">
        <v>44904</v>
      </c>
      <c r="C452" s="2" t="s">
        <v>4</v>
      </c>
      <c r="D452" s="2" t="s">
        <v>13</v>
      </c>
      <c r="E452" s="2" t="s">
        <v>1080</v>
      </c>
      <c r="F452" s="18">
        <v>101</v>
      </c>
      <c r="G452" s="2">
        <v>1500</v>
      </c>
      <c r="H452" s="2" t="str">
        <f>IFERROR(VLOOKUP(Match_Record[[#This Row],[Player_No]],Squads[[Player No]:[Player Name]],6,TRUE),"")</f>
        <v>Steven Bergwijn</v>
      </c>
      <c r="I452" s="2" t="str">
        <f>IFERROR(VLOOKUP(Match_Record[[#This Row],[Player_No]],Squads[[Player No]:[Player Name]],2,TRUE),"")</f>
        <v>Netherlands</v>
      </c>
    </row>
    <row r="453" spans="1:9" x14ac:dyDescent="0.25">
      <c r="A453" s="18">
        <v>58</v>
      </c>
      <c r="B453" s="35">
        <v>44904</v>
      </c>
      <c r="C453" s="2" t="s">
        <v>4</v>
      </c>
      <c r="D453" s="2" t="s">
        <v>13</v>
      </c>
      <c r="E453" s="2" t="s">
        <v>1080</v>
      </c>
      <c r="F453" s="18">
        <v>113</v>
      </c>
      <c r="G453" s="2">
        <v>1515</v>
      </c>
      <c r="H453" s="2" t="str">
        <f>IFERROR(VLOOKUP(Match_Record[[#This Row],[Player_No]],Squads[[Player No]:[Player Name]],6,TRUE),"")</f>
        <v>Denzel Dumfries</v>
      </c>
      <c r="I453" s="2" t="str">
        <f>IFERROR(VLOOKUP(Match_Record[[#This Row],[Player_No]],Squads[[Player No]:[Player Name]],2,TRUE),"")</f>
        <v>Netherlands</v>
      </c>
    </row>
    <row r="454" spans="1:9" x14ac:dyDescent="0.25">
      <c r="A454" s="18">
        <v>58</v>
      </c>
      <c r="B454" s="35">
        <v>44904</v>
      </c>
      <c r="C454" s="2" t="s">
        <v>4</v>
      </c>
      <c r="D454" s="2" t="s">
        <v>13</v>
      </c>
      <c r="E454" s="2" t="s">
        <v>1080</v>
      </c>
      <c r="F454" s="18">
        <v>113</v>
      </c>
      <c r="G454" s="2">
        <v>1505</v>
      </c>
      <c r="H454" s="2" t="str">
        <f>IFERROR(VLOOKUP(Match_Record[[#This Row],[Player_No]],Squads[[Player No]:[Player Name]],6,TRUE),"")</f>
        <v>Noa Lang</v>
      </c>
      <c r="I454" s="2" t="str">
        <f>IFERROR(VLOOKUP(Match_Record[[#This Row],[Player_No]],Squads[[Player No]:[Player Name]],2,TRUE),"")</f>
        <v>Netherlands</v>
      </c>
    </row>
    <row r="455" spans="1:9" x14ac:dyDescent="0.25">
      <c r="A455" s="18">
        <v>58</v>
      </c>
      <c r="B455" s="35">
        <v>44904</v>
      </c>
      <c r="C455" s="2" t="s">
        <v>4</v>
      </c>
      <c r="D455" s="2" t="s">
        <v>13</v>
      </c>
      <c r="E455" s="2" t="s">
        <v>1080</v>
      </c>
      <c r="F455" s="18">
        <v>88</v>
      </c>
      <c r="G455" s="2">
        <v>1504</v>
      </c>
      <c r="H455" s="2" t="str">
        <f>IFERROR(VLOOKUP(Match_Record[[#This Row],[Player_No]],Squads[[Player No]:[Player Name]],6,TRUE),"")</f>
        <v>Steven Berghuis</v>
      </c>
      <c r="I455" s="2" t="str">
        <f>IFERROR(VLOOKUP(Match_Record[[#This Row],[Player_No]],Squads[[Player No]:[Player Name]],2,TRUE),"")</f>
        <v>Netherlands</v>
      </c>
    </row>
    <row r="456" spans="1:9" x14ac:dyDescent="0.25">
      <c r="A456" s="18">
        <v>58</v>
      </c>
      <c r="B456" s="35">
        <v>44904</v>
      </c>
      <c r="C456" s="2" t="s">
        <v>4</v>
      </c>
      <c r="D456" s="2" t="s">
        <v>13</v>
      </c>
      <c r="E456" s="2" t="s">
        <v>1078</v>
      </c>
      <c r="F456" s="18">
        <v>101</v>
      </c>
      <c r="G456" s="2">
        <v>1512</v>
      </c>
      <c r="H456" s="2" t="str">
        <f>IFERROR(VLOOKUP(Match_Record[[#This Row],[Player_No]],Squads[[Player No]:[Player Name]],6,TRUE),"")</f>
        <v>Wout Weghorst</v>
      </c>
      <c r="I456" s="2" t="str">
        <f>IFERROR(VLOOKUP(Match_Record[[#This Row],[Player_No]],Squads[[Player No]:[Player Name]],2,TRUE),"")</f>
        <v>Netherlands</v>
      </c>
    </row>
    <row r="457" spans="1:9" x14ac:dyDescent="0.25">
      <c r="A457" s="18">
        <v>58</v>
      </c>
      <c r="B457" s="35">
        <v>44904</v>
      </c>
      <c r="C457" s="2" t="s">
        <v>4</v>
      </c>
      <c r="D457" s="2" t="s">
        <v>13</v>
      </c>
      <c r="E457" s="2" t="s">
        <v>1079</v>
      </c>
      <c r="F457" s="18">
        <v>101</v>
      </c>
      <c r="G457" s="2">
        <v>1513</v>
      </c>
      <c r="H457" s="2" t="str">
        <f>IFERROR(VLOOKUP(Match_Record[[#This Row],[Player_No]],Squads[[Player No]:[Player Name]],6,TRUE),"")</f>
        <v>Teun Koopmeiners</v>
      </c>
      <c r="I457" s="2" t="str">
        <f>IFERROR(VLOOKUP(Match_Record[[#This Row],[Player_No]],Squads[[Player No]:[Player Name]],2,TRUE),"")</f>
        <v>Netherlands</v>
      </c>
    </row>
    <row r="458" spans="1:9" x14ac:dyDescent="0.25">
      <c r="A458" s="18">
        <v>58</v>
      </c>
      <c r="B458" s="35">
        <v>44904</v>
      </c>
      <c r="C458" s="2" t="s">
        <v>4</v>
      </c>
      <c r="D458" s="2" t="s">
        <v>13</v>
      </c>
      <c r="E458" s="2" t="s">
        <v>1078</v>
      </c>
      <c r="F458" s="18">
        <v>35</v>
      </c>
      <c r="G458" s="2">
        <v>1026</v>
      </c>
      <c r="H458" s="2" t="str">
        <f>IFERROR(VLOOKUP(Match_Record[[#This Row],[Player_No]],Squads[[Player No]:[Player Name]],6,TRUE),"")</f>
        <v>Nahuel Molina</v>
      </c>
      <c r="I458" s="2" t="str">
        <f>IFERROR(VLOOKUP(Match_Record[[#This Row],[Player_No]],Squads[[Player No]:[Player Name]],2,TRUE),"")</f>
        <v>Argentina</v>
      </c>
    </row>
    <row r="459" spans="1:9" x14ac:dyDescent="0.25">
      <c r="A459" s="18">
        <v>58</v>
      </c>
      <c r="B459" s="35">
        <v>44904</v>
      </c>
      <c r="C459" s="2" t="s">
        <v>4</v>
      </c>
      <c r="D459" s="2" t="s">
        <v>13</v>
      </c>
      <c r="E459" s="2" t="s">
        <v>1079</v>
      </c>
      <c r="F459" s="18">
        <v>35</v>
      </c>
      <c r="G459" s="2">
        <v>1010</v>
      </c>
      <c r="H459" s="2" t="str">
        <f>IFERROR(VLOOKUP(Match_Record[[#This Row],[Player_No]],Squads[[Player No]:[Player Name]],6,TRUE),"")</f>
        <v>Lionel Messi</v>
      </c>
      <c r="I459" s="2" t="str">
        <f>IFERROR(VLOOKUP(Match_Record[[#This Row],[Player_No]],Squads[[Player No]:[Player Name]],2,TRUE),"")</f>
        <v>Argentina</v>
      </c>
    </row>
    <row r="460" spans="1:9" x14ac:dyDescent="0.25">
      <c r="A460" s="18">
        <v>58</v>
      </c>
      <c r="B460" s="35">
        <v>44904</v>
      </c>
      <c r="C460" s="2" t="s">
        <v>4</v>
      </c>
      <c r="D460" s="2" t="s">
        <v>13</v>
      </c>
      <c r="E460" s="2" t="s">
        <v>1080</v>
      </c>
      <c r="F460" s="18">
        <v>43</v>
      </c>
      <c r="G460" s="2">
        <v>1008</v>
      </c>
      <c r="H460" s="2" t="str">
        <f>IFERROR(VLOOKUP(Match_Record[[#This Row],[Player_No]],Squads[[Player No]:[Player Name]],6,TRUE),"")</f>
        <v>Marcos Acuña</v>
      </c>
      <c r="I460" s="2" t="str">
        <f>IFERROR(VLOOKUP(Match_Record[[#This Row],[Player_No]],Squads[[Player No]:[Player Name]],2,TRUE),"")</f>
        <v>Argentina</v>
      </c>
    </row>
    <row r="461" spans="1:9" x14ac:dyDescent="0.25">
      <c r="A461" s="18">
        <v>58</v>
      </c>
      <c r="B461" s="35">
        <v>44904</v>
      </c>
      <c r="C461" s="2" t="s">
        <v>4</v>
      </c>
      <c r="D461" s="2" t="s">
        <v>13</v>
      </c>
      <c r="E461" s="2" t="s">
        <v>1080</v>
      </c>
      <c r="F461" s="18">
        <v>45</v>
      </c>
      <c r="G461" s="2">
        <v>1013</v>
      </c>
      <c r="H461" s="2" t="str">
        <f>IFERROR(VLOOKUP(Match_Record[[#This Row],[Player_No]],Squads[[Player No]:[Player Name]],6,TRUE),"")</f>
        <v>Cristian Romero</v>
      </c>
      <c r="I461" s="2" t="str">
        <f>IFERROR(VLOOKUP(Match_Record[[#This Row],[Player_No]],Squads[[Player No]:[Player Name]],2,TRUE),"")</f>
        <v>Argentina</v>
      </c>
    </row>
    <row r="462" spans="1:9" x14ac:dyDescent="0.25">
      <c r="A462" s="18">
        <v>58</v>
      </c>
      <c r="B462" s="35">
        <v>44904</v>
      </c>
      <c r="C462" s="2" t="s">
        <v>4</v>
      </c>
      <c r="D462" s="2" t="s">
        <v>13</v>
      </c>
      <c r="E462" s="2" t="s">
        <v>1078</v>
      </c>
      <c r="F462" s="18">
        <v>73</v>
      </c>
      <c r="G462" s="2">
        <v>1010</v>
      </c>
      <c r="H462" s="2" t="str">
        <f>IFERROR(VLOOKUP(Match_Record[[#This Row],[Player_No]],Squads[[Player No]:[Player Name]],6,TRUE),"")</f>
        <v>Lionel Messi</v>
      </c>
      <c r="I462" s="2" t="str">
        <f>IFERROR(VLOOKUP(Match_Record[[#This Row],[Player_No]],Squads[[Player No]:[Player Name]],2,TRUE),"")</f>
        <v>Argentina</v>
      </c>
    </row>
    <row r="463" spans="1:9" x14ac:dyDescent="0.25">
      <c r="A463" s="18">
        <v>58</v>
      </c>
      <c r="B463" s="35">
        <v>44904</v>
      </c>
      <c r="C463" s="2" t="s">
        <v>4</v>
      </c>
      <c r="D463" s="2" t="s">
        <v>13</v>
      </c>
      <c r="E463" s="2" t="s">
        <v>1080</v>
      </c>
      <c r="F463" s="18">
        <v>76</v>
      </c>
      <c r="G463" s="2">
        <v>1025</v>
      </c>
      <c r="H463" s="2" t="str">
        <f>IFERROR(VLOOKUP(Match_Record[[#This Row],[Player_No]],Squads[[Player No]:[Player Name]],6,TRUE),"")</f>
        <v>Lisandro Martínez</v>
      </c>
      <c r="I463" s="2" t="str">
        <f>IFERROR(VLOOKUP(Match_Record[[#This Row],[Player_No]],Squads[[Player No]:[Player Name]],2,TRUE),"")</f>
        <v>Argentina</v>
      </c>
    </row>
    <row r="464" spans="1:9" x14ac:dyDescent="0.25">
      <c r="A464" s="18">
        <v>58</v>
      </c>
      <c r="B464" s="35">
        <v>44904</v>
      </c>
      <c r="C464" s="2" t="s">
        <v>4</v>
      </c>
      <c r="D464" s="2" t="s">
        <v>13</v>
      </c>
      <c r="E464" s="2" t="s">
        <v>1080</v>
      </c>
      <c r="F464" s="18">
        <v>89</v>
      </c>
      <c r="G464" s="2">
        <v>1005</v>
      </c>
      <c r="H464" s="2" t="str">
        <f>IFERROR(VLOOKUP(Match_Record[[#This Row],[Player_No]],Squads[[Player No]:[Player Name]],6,TRUE),"")</f>
        <v>Leandro Paredes</v>
      </c>
      <c r="I464" s="2" t="str">
        <f>IFERROR(VLOOKUP(Match_Record[[#This Row],[Player_No]],Squads[[Player No]:[Player Name]],2,TRUE),"")</f>
        <v>Argentina</v>
      </c>
    </row>
    <row r="465" spans="1:9" x14ac:dyDescent="0.25">
      <c r="A465" s="18">
        <v>58</v>
      </c>
      <c r="B465" s="35">
        <v>44904</v>
      </c>
      <c r="C465" s="2" t="s">
        <v>4</v>
      </c>
      <c r="D465" s="2" t="s">
        <v>13</v>
      </c>
      <c r="E465" s="2" t="s">
        <v>1080</v>
      </c>
      <c r="F465" s="18">
        <v>100</v>
      </c>
      <c r="G465" s="2">
        <v>1010</v>
      </c>
      <c r="H465" s="2" t="str">
        <f>IFERROR(VLOOKUP(Match_Record[[#This Row],[Player_No]],Squads[[Player No]:[Player Name]],6,TRUE),"")</f>
        <v>Lionel Messi</v>
      </c>
      <c r="I465" s="2" t="str">
        <f>IFERROR(VLOOKUP(Match_Record[[#This Row],[Player_No]],Squads[[Player No]:[Player Name]],2,TRUE),"")</f>
        <v>Argentina</v>
      </c>
    </row>
    <row r="466" spans="1:9" x14ac:dyDescent="0.25">
      <c r="A466" s="18">
        <v>58</v>
      </c>
      <c r="B466" s="35">
        <v>44904</v>
      </c>
      <c r="C466" s="2" t="s">
        <v>4</v>
      </c>
      <c r="D466" s="2" t="s">
        <v>13</v>
      </c>
      <c r="E466" s="2" t="s">
        <v>1080</v>
      </c>
      <c r="F466" s="18">
        <v>102</v>
      </c>
      <c r="G466" s="2">
        <v>1019</v>
      </c>
      <c r="H466" s="2" t="str">
        <f>IFERROR(VLOOKUP(Match_Record[[#This Row],[Player_No]],Squads[[Player No]:[Player Name]],6,TRUE),"")</f>
        <v>Nicolás Otamendi</v>
      </c>
      <c r="I466" s="2" t="str">
        <f>IFERROR(VLOOKUP(Match_Record[[#This Row],[Player_No]],Squads[[Player No]:[Player Name]],2,TRUE),"")</f>
        <v>Argentina</v>
      </c>
    </row>
    <row r="467" spans="1:9" x14ac:dyDescent="0.25">
      <c r="A467" s="18">
        <v>58</v>
      </c>
      <c r="B467" s="35">
        <v>44904</v>
      </c>
      <c r="C467" s="2" t="s">
        <v>4</v>
      </c>
      <c r="D467" s="2" t="s">
        <v>13</v>
      </c>
      <c r="E467" s="2" t="s">
        <v>1080</v>
      </c>
      <c r="F467" s="18">
        <v>109</v>
      </c>
      <c r="G467" s="2">
        <v>1004</v>
      </c>
      <c r="H467" s="2" t="str">
        <f>IFERROR(VLOOKUP(Match_Record[[#This Row],[Player_No]],Squads[[Player No]:[Player Name]],6,TRUE),"")</f>
        <v>Gonzalo Montiel</v>
      </c>
      <c r="I467" s="2" t="str">
        <f>IFERROR(VLOOKUP(Match_Record[[#This Row],[Player_No]],Squads[[Player No]:[Player Name]],2,TRUE),"")</f>
        <v>Argentina</v>
      </c>
    </row>
    <row r="468" spans="1:9" x14ac:dyDescent="0.25">
      <c r="A468" s="18">
        <v>58</v>
      </c>
      <c r="B468" s="35">
        <v>44904</v>
      </c>
      <c r="C468" s="2" t="s">
        <v>4</v>
      </c>
      <c r="D468" s="2" t="s">
        <v>13</v>
      </c>
      <c r="E468" s="2" t="s">
        <v>1080</v>
      </c>
      <c r="F468" s="18">
        <v>112</v>
      </c>
      <c r="G468" s="2">
        <v>1006</v>
      </c>
      <c r="H468" s="2" t="str">
        <f>IFERROR(VLOOKUP(Match_Record[[#This Row],[Player_No]],Squads[[Player No]:[Player Name]],6,TRUE),"")</f>
        <v>Germán Pezzella</v>
      </c>
      <c r="I468" s="2" t="str">
        <f>IFERROR(VLOOKUP(Match_Record[[#This Row],[Player_No]],Squads[[Player No]:[Player Name]],2,TRUE),"")</f>
        <v>Argentina</v>
      </c>
    </row>
    <row r="469" spans="1:9" x14ac:dyDescent="0.25">
      <c r="A469" s="18">
        <v>59</v>
      </c>
      <c r="B469" s="35">
        <v>44905</v>
      </c>
      <c r="C469" s="2" t="s">
        <v>23</v>
      </c>
      <c r="D469" s="2" t="s">
        <v>38</v>
      </c>
      <c r="E469" s="2" t="s">
        <v>1078</v>
      </c>
      <c r="F469" s="18">
        <v>42</v>
      </c>
      <c r="G469" s="2">
        <v>1486</v>
      </c>
      <c r="H469" s="2" t="str">
        <f>IFERROR(VLOOKUP(Match_Record[[#This Row],[Player_No]],Squads[[Player No]:[Player Name]],6,TRUE),"")</f>
        <v>Youssef En-Nesyri</v>
      </c>
      <c r="I469" s="2" t="str">
        <f>IFERROR(VLOOKUP(Match_Record[[#This Row],[Player_No]],Squads[[Player No]:[Player Name]],2,TRUE),"")</f>
        <v>Morocco</v>
      </c>
    </row>
    <row r="470" spans="1:9" x14ac:dyDescent="0.25">
      <c r="A470" s="18">
        <v>59</v>
      </c>
      <c r="B470" s="35">
        <v>44905</v>
      </c>
      <c r="C470" s="2" t="s">
        <v>23</v>
      </c>
      <c r="D470" s="2" t="s">
        <v>38</v>
      </c>
      <c r="E470" s="2" t="s">
        <v>1079</v>
      </c>
      <c r="F470" s="18">
        <v>42</v>
      </c>
      <c r="G470" s="2">
        <v>1492</v>
      </c>
      <c r="H470" s="2" t="str">
        <f>IFERROR(VLOOKUP(Match_Record[[#This Row],[Player_No]],Squads[[Player No]:[Player Name]],6,TRUE),"")</f>
        <v>Yahia Attiyat Allah</v>
      </c>
      <c r="I470" s="2" t="str">
        <f>IFERROR(VLOOKUP(Match_Record[[#This Row],[Player_No]],Squads[[Player No]:[Player Name]],2,TRUE),"")</f>
        <v>Morocco</v>
      </c>
    </row>
    <row r="471" spans="1:9" x14ac:dyDescent="0.25">
      <c r="A471" s="18">
        <v>59</v>
      </c>
      <c r="B471" s="35">
        <v>44905</v>
      </c>
      <c r="C471" s="2" t="s">
        <v>23</v>
      </c>
      <c r="D471" s="2" t="s">
        <v>38</v>
      </c>
      <c r="E471" s="2" t="s">
        <v>1080</v>
      </c>
      <c r="F471" s="18">
        <v>70</v>
      </c>
      <c r="G471" s="2">
        <v>1487</v>
      </c>
      <c r="H471" s="2" t="str">
        <f>IFERROR(VLOOKUP(Match_Record[[#This Row],[Player_No]],Squads[[Player No]:[Player Name]],6,TRUE),"")</f>
        <v>Achraf Dari</v>
      </c>
      <c r="I471" s="2" t="str">
        <f>IFERROR(VLOOKUP(Match_Record[[#This Row],[Player_No]],Squads[[Player No]:[Player Name]],2,TRUE),"")</f>
        <v>Morocco</v>
      </c>
    </row>
    <row r="472" spans="1:9" x14ac:dyDescent="0.25">
      <c r="A472" s="18">
        <v>59</v>
      </c>
      <c r="B472" s="35">
        <v>44905</v>
      </c>
      <c r="C472" s="2" t="s">
        <v>23</v>
      </c>
      <c r="D472" s="2" t="s">
        <v>38</v>
      </c>
      <c r="E472" s="2" t="s">
        <v>1080</v>
      </c>
      <c r="F472" s="18">
        <v>91</v>
      </c>
      <c r="G472" s="2">
        <v>1488</v>
      </c>
      <c r="H472" s="2" t="str">
        <f>IFERROR(VLOOKUP(Match_Record[[#This Row],[Player_No]],Squads[[Player No]:[Player Name]],6,TRUE),"")</f>
        <v>Walid Cheddira</v>
      </c>
      <c r="I472" s="2" t="str">
        <f>IFERROR(VLOOKUP(Match_Record[[#This Row],[Player_No]],Squads[[Player No]:[Player Name]],2,TRUE),"")</f>
        <v>Morocco</v>
      </c>
    </row>
    <row r="473" spans="1:9" x14ac:dyDescent="0.25">
      <c r="A473" s="18">
        <v>59</v>
      </c>
      <c r="B473" s="35">
        <v>44905</v>
      </c>
      <c r="C473" s="2" t="s">
        <v>23</v>
      </c>
      <c r="D473" s="2" t="s">
        <v>38</v>
      </c>
      <c r="E473" s="2" t="s">
        <v>1081</v>
      </c>
      <c r="F473" s="18">
        <v>93</v>
      </c>
      <c r="G473" s="2">
        <v>1488</v>
      </c>
      <c r="H473" s="2" t="str">
        <f>IFERROR(VLOOKUP(Match_Record[[#This Row],[Player_No]],Squads[[Player No]:[Player Name]],6,TRUE),"")</f>
        <v>Walid Cheddira</v>
      </c>
      <c r="I473" s="2" t="str">
        <f>IFERROR(VLOOKUP(Match_Record[[#This Row],[Player_No]],Squads[[Player No]:[Player Name]],2,TRUE),"")</f>
        <v>Morocco</v>
      </c>
    </row>
    <row r="474" spans="1:9" x14ac:dyDescent="0.25">
      <c r="A474" s="18">
        <v>59</v>
      </c>
      <c r="B474" s="35">
        <v>44905</v>
      </c>
      <c r="C474" s="2" t="s">
        <v>23</v>
      </c>
      <c r="D474" s="2" t="s">
        <v>38</v>
      </c>
      <c r="E474" s="2" t="s">
        <v>1080</v>
      </c>
      <c r="F474" s="18">
        <v>87</v>
      </c>
      <c r="G474" s="2">
        <v>1561</v>
      </c>
      <c r="H474" s="2" t="str">
        <f>IFERROR(VLOOKUP(Match_Record[[#This Row],[Player_No]],Squads[[Player No]:[Player Name]],6,TRUE),"")</f>
        <v>Vitinha</v>
      </c>
      <c r="I474" s="2" t="str">
        <f>IFERROR(VLOOKUP(Match_Record[[#This Row],[Player_No]],Squads[[Player No]:[Player Name]],2,TRUE),"")</f>
        <v>Portugal</v>
      </c>
    </row>
    <row r="475" spans="1:9" x14ac:dyDescent="0.25">
      <c r="A475" s="18">
        <v>60</v>
      </c>
      <c r="B475" s="35">
        <v>44905</v>
      </c>
      <c r="C475" s="2" t="s">
        <v>20</v>
      </c>
      <c r="D475" s="2" t="s">
        <v>6</v>
      </c>
      <c r="E475" s="2" t="s">
        <v>1078</v>
      </c>
      <c r="F475" s="18">
        <v>17</v>
      </c>
      <c r="G475" s="2">
        <v>1294</v>
      </c>
      <c r="H475" s="2" t="str">
        <f>IFERROR(VLOOKUP(Match_Record[[#This Row],[Player_No]],Squads[[Player No]:[Player Name]],6,TRUE),"")</f>
        <v>Aurélien Tchouaméni</v>
      </c>
      <c r="I475" s="2" t="str">
        <f>IFERROR(VLOOKUP(Match_Record[[#This Row],[Player_No]],Squads[[Player No]:[Player Name]],2,TRUE),"")</f>
        <v>France</v>
      </c>
    </row>
    <row r="476" spans="1:9" x14ac:dyDescent="0.25">
      <c r="A476" s="18">
        <v>60</v>
      </c>
      <c r="B476" s="35">
        <v>44905</v>
      </c>
      <c r="C476" s="2" t="s">
        <v>20</v>
      </c>
      <c r="D476" s="2" t="s">
        <v>6</v>
      </c>
      <c r="E476" s="2" t="s">
        <v>1079</v>
      </c>
      <c r="F476" s="18">
        <v>17</v>
      </c>
      <c r="G476" s="2">
        <v>1293</v>
      </c>
      <c r="H476" s="2" t="str">
        <f>IFERROR(VLOOKUP(Match_Record[[#This Row],[Player_No]],Squads[[Player No]:[Player Name]],6,TRUE),"")</f>
        <v>Antoine Griezmann</v>
      </c>
      <c r="I476" s="2" t="str">
        <f>IFERROR(VLOOKUP(Match_Record[[#This Row],[Player_No]],Squads[[Player No]:[Player Name]],2,TRUE),"")</f>
        <v>France</v>
      </c>
    </row>
    <row r="477" spans="1:9" x14ac:dyDescent="0.25">
      <c r="A477" s="18">
        <v>60</v>
      </c>
      <c r="B477" s="35">
        <v>44905</v>
      </c>
      <c r="C477" s="2" t="s">
        <v>20</v>
      </c>
      <c r="D477" s="2" t="s">
        <v>6</v>
      </c>
      <c r="E477" s="2" t="s">
        <v>1080</v>
      </c>
      <c r="F477" s="18">
        <v>43</v>
      </c>
      <c r="G477" s="2">
        <v>1293</v>
      </c>
      <c r="H477" s="2" t="str">
        <f>IFERROR(VLOOKUP(Match_Record[[#This Row],[Player_No]],Squads[[Player No]:[Player Name]],6,TRUE),"")</f>
        <v>Antoine Griezmann</v>
      </c>
      <c r="I477" s="2" t="str">
        <f>IFERROR(VLOOKUP(Match_Record[[#This Row],[Player_No]],Squads[[Player No]:[Player Name]],2,TRUE),"")</f>
        <v>France</v>
      </c>
    </row>
    <row r="478" spans="1:9" x14ac:dyDescent="0.25">
      <c r="A478" s="18">
        <v>60</v>
      </c>
      <c r="B478" s="35">
        <v>44905</v>
      </c>
      <c r="C478" s="2" t="s">
        <v>20</v>
      </c>
      <c r="D478" s="2" t="s">
        <v>6</v>
      </c>
      <c r="E478" s="2" t="s">
        <v>1080</v>
      </c>
      <c r="F478" s="18">
        <v>46</v>
      </c>
      <c r="G478" s="2">
        <v>1297</v>
      </c>
      <c r="H478" s="2" t="str">
        <f>IFERROR(VLOOKUP(Match_Record[[#This Row],[Player_No]],Squads[[Player No]:[Player Name]],6,TRUE),"")</f>
        <v>Ousmane Dembélé</v>
      </c>
      <c r="I478" s="2" t="str">
        <f>IFERROR(VLOOKUP(Match_Record[[#This Row],[Player_No]],Squads[[Player No]:[Player Name]],2,TRUE),"")</f>
        <v>France</v>
      </c>
    </row>
    <row r="479" spans="1:9" x14ac:dyDescent="0.25">
      <c r="A479" s="18">
        <v>60</v>
      </c>
      <c r="B479" s="35">
        <v>44905</v>
      </c>
      <c r="C479" s="2" t="s">
        <v>20</v>
      </c>
      <c r="D479" s="2" t="s">
        <v>6</v>
      </c>
      <c r="E479" s="2" t="s">
        <v>1078</v>
      </c>
      <c r="F479" s="18">
        <v>78</v>
      </c>
      <c r="G479" s="2">
        <v>1295</v>
      </c>
      <c r="H479" s="2" t="str">
        <f>IFERROR(VLOOKUP(Match_Record[[#This Row],[Player_No]],Squads[[Player No]:[Player Name]],6,TRUE),"")</f>
        <v>Olivier Giroud</v>
      </c>
      <c r="I479" s="2" t="str">
        <f>IFERROR(VLOOKUP(Match_Record[[#This Row],[Player_No]],Squads[[Player No]:[Player Name]],2,TRUE),"")</f>
        <v>France</v>
      </c>
    </row>
    <row r="480" spans="1:9" x14ac:dyDescent="0.25">
      <c r="A480" s="18">
        <v>60</v>
      </c>
      <c r="B480" s="35">
        <v>44905</v>
      </c>
      <c r="C480" s="2" t="s">
        <v>20</v>
      </c>
      <c r="D480" s="2" t="s">
        <v>6</v>
      </c>
      <c r="E480" s="2" t="s">
        <v>1079</v>
      </c>
      <c r="F480" s="18">
        <v>78</v>
      </c>
      <c r="G480" s="2">
        <v>1293</v>
      </c>
      <c r="H480" s="2" t="str">
        <f>IFERROR(VLOOKUP(Match_Record[[#This Row],[Player_No]],Squads[[Player No]:[Player Name]],6,TRUE),"")</f>
        <v>Antoine Griezmann</v>
      </c>
      <c r="I480" s="2" t="str">
        <f>IFERROR(VLOOKUP(Match_Record[[#This Row],[Player_No]],Squads[[Player No]:[Player Name]],2,TRUE),"")</f>
        <v>France</v>
      </c>
    </row>
    <row r="481" spans="1:9" x14ac:dyDescent="0.25">
      <c r="A481" s="18">
        <v>60</v>
      </c>
      <c r="B481" s="35">
        <v>44905</v>
      </c>
      <c r="C481" s="2" t="s">
        <v>20</v>
      </c>
      <c r="D481" s="2" t="s">
        <v>6</v>
      </c>
      <c r="E481" s="2" t="s">
        <v>1080</v>
      </c>
      <c r="F481" s="18">
        <v>82</v>
      </c>
      <c r="G481" s="2">
        <v>1308</v>
      </c>
      <c r="H481" s="2" t="str">
        <f>IFERROR(VLOOKUP(Match_Record[[#This Row],[Player_No]],Squads[[Player No]:[Player Name]],6,TRUE),"")</f>
        <v>Theo Hernandez</v>
      </c>
      <c r="I481" s="2" t="str">
        <f>IFERROR(VLOOKUP(Match_Record[[#This Row],[Player_No]],Squads[[Player No]:[Player Name]],2,TRUE),"")</f>
        <v>France</v>
      </c>
    </row>
    <row r="482" spans="1:9" x14ac:dyDescent="0.25">
      <c r="A482" s="18">
        <v>60</v>
      </c>
      <c r="B482" s="35">
        <v>44905</v>
      </c>
      <c r="C482" s="2" t="s">
        <v>20</v>
      </c>
      <c r="D482" s="2" t="s">
        <v>6</v>
      </c>
      <c r="E482" s="2" t="s">
        <v>1078</v>
      </c>
      <c r="F482" s="18">
        <v>54</v>
      </c>
      <c r="G482" s="2">
        <v>1269</v>
      </c>
      <c r="H482" s="2" t="str">
        <f>IFERROR(VLOOKUP(Match_Record[[#This Row],[Player_No]],Squads[[Player No]:[Player Name]],6,TRUE),"")</f>
        <v>Harry Kane </v>
      </c>
      <c r="I482" s="2" t="str">
        <f>IFERROR(VLOOKUP(Match_Record[[#This Row],[Player_No]],Squads[[Player No]:[Player Name]],2,TRUE),"")</f>
        <v>England</v>
      </c>
    </row>
    <row r="483" spans="1:9" x14ac:dyDescent="0.25">
      <c r="A483" s="18">
        <v>60</v>
      </c>
      <c r="B483" s="35">
        <v>44905</v>
      </c>
      <c r="C483" s="2" t="s">
        <v>20</v>
      </c>
      <c r="D483" s="2" t="s">
        <v>6</v>
      </c>
      <c r="E483" s="2" t="s">
        <v>1538</v>
      </c>
      <c r="F483" s="18">
        <v>84</v>
      </c>
      <c r="G483" s="2">
        <v>1269</v>
      </c>
      <c r="H483" s="2" t="str">
        <f>IFERROR(VLOOKUP(Match_Record[[#This Row],[Player_No]],Squads[[Player No]:[Player Name]],6,TRUE),"")</f>
        <v>Harry Kane </v>
      </c>
      <c r="I483" s="2" t="str">
        <f>IFERROR(VLOOKUP(Match_Record[[#This Row],[Player_No]],Squads[[Player No]:[Player Name]],2,TRUE),"")</f>
        <v>England</v>
      </c>
    </row>
    <row r="484" spans="1:9" x14ac:dyDescent="0.25">
      <c r="A484" s="18">
        <v>60</v>
      </c>
      <c r="B484" s="35">
        <v>44905</v>
      </c>
      <c r="C484" s="2" t="s">
        <v>20</v>
      </c>
      <c r="D484" s="2" t="s">
        <v>6</v>
      </c>
      <c r="E484" s="2" t="s">
        <v>1080</v>
      </c>
      <c r="F484" s="18">
        <v>90</v>
      </c>
      <c r="G484" s="2">
        <v>1266</v>
      </c>
      <c r="H484" s="2" t="str">
        <f>IFERROR(VLOOKUP(Match_Record[[#This Row],[Player_No]],Squads[[Player No]:[Player Name]],6,TRUE),"")</f>
        <v>Harry Maguire</v>
      </c>
      <c r="I484" s="2" t="str">
        <f>IFERROR(VLOOKUP(Match_Record[[#This Row],[Player_No]],Squads[[Player No]:[Player Name]],2,TRUE),"")</f>
        <v>England</v>
      </c>
    </row>
    <row r="485" spans="1:9" x14ac:dyDescent="0.25">
      <c r="A485" s="18">
        <v>61</v>
      </c>
      <c r="B485" s="35">
        <v>44908</v>
      </c>
      <c r="C485" s="2" t="s">
        <v>24</v>
      </c>
      <c r="D485" s="2" t="s">
        <v>13</v>
      </c>
      <c r="E485" s="2" t="s">
        <v>1078</v>
      </c>
      <c r="F485" s="18">
        <v>34</v>
      </c>
      <c r="G485" s="2">
        <v>1010</v>
      </c>
      <c r="H485" s="2" t="str">
        <f>IFERROR(VLOOKUP(Match_Record[[#This Row],[Player_No]],Squads[[Player No]:[Player Name]],6,TRUE),"")</f>
        <v>Lionel Messi</v>
      </c>
      <c r="I485" s="2" t="str">
        <f>IFERROR(VLOOKUP(Match_Record[[#This Row],[Player_No]],Squads[[Player No]:[Player Name]],2,TRUE),"")</f>
        <v>Argentina</v>
      </c>
    </row>
    <row r="486" spans="1:9" x14ac:dyDescent="0.25">
      <c r="A486" s="18">
        <v>61</v>
      </c>
      <c r="B486" s="35">
        <v>44908</v>
      </c>
      <c r="C486" s="2" t="s">
        <v>24</v>
      </c>
      <c r="D486" s="2" t="s">
        <v>13</v>
      </c>
      <c r="E486" s="2" t="s">
        <v>1078</v>
      </c>
      <c r="F486" s="18">
        <v>39</v>
      </c>
      <c r="G486" s="2">
        <v>1009</v>
      </c>
      <c r="H486" s="2" t="str">
        <f>IFERROR(VLOOKUP(Match_Record[[#This Row],[Player_No]],Squads[[Player No]:[Player Name]],6,TRUE),"")</f>
        <v>Julián Álvarez</v>
      </c>
      <c r="I486" s="2" t="str">
        <f>IFERROR(VLOOKUP(Match_Record[[#This Row],[Player_No]],Squads[[Player No]:[Player Name]],2,TRUE),"")</f>
        <v>Argentina</v>
      </c>
    </row>
    <row r="487" spans="1:9" x14ac:dyDescent="0.25">
      <c r="A487" s="18">
        <v>61</v>
      </c>
      <c r="B487" s="35">
        <v>44908</v>
      </c>
      <c r="C487" s="2" t="s">
        <v>24</v>
      </c>
      <c r="D487" s="2" t="s">
        <v>13</v>
      </c>
      <c r="E487" s="2" t="s">
        <v>1080</v>
      </c>
      <c r="F487" s="18">
        <v>68</v>
      </c>
      <c r="G487" s="2">
        <v>1013</v>
      </c>
      <c r="H487" s="2" t="str">
        <f>IFERROR(VLOOKUP(Match_Record[[#This Row],[Player_No]],Squads[[Player No]:[Player Name]],6,TRUE),"")</f>
        <v>Cristian Romero</v>
      </c>
      <c r="I487" s="2" t="str">
        <f>IFERROR(VLOOKUP(Match_Record[[#This Row],[Player_No]],Squads[[Player No]:[Player Name]],2,TRUE),"")</f>
        <v>Argentina</v>
      </c>
    </row>
    <row r="488" spans="1:9" x14ac:dyDescent="0.25">
      <c r="A488" s="18">
        <v>61</v>
      </c>
      <c r="B488" s="35">
        <v>44908</v>
      </c>
      <c r="C488" s="2" t="s">
        <v>24</v>
      </c>
      <c r="D488" s="2" t="s">
        <v>13</v>
      </c>
      <c r="E488" s="2" t="s">
        <v>1078</v>
      </c>
      <c r="F488" s="18">
        <v>69</v>
      </c>
      <c r="G488" s="2">
        <v>1009</v>
      </c>
      <c r="H488" s="2" t="str">
        <f>IFERROR(VLOOKUP(Match_Record[[#This Row],[Player_No]],Squads[[Player No]:[Player Name]],6,TRUE),"")</f>
        <v>Julián Álvarez</v>
      </c>
      <c r="I488" s="2" t="str">
        <f>IFERROR(VLOOKUP(Match_Record[[#This Row],[Player_No]],Squads[[Player No]:[Player Name]],2,TRUE),"")</f>
        <v>Argentina</v>
      </c>
    </row>
    <row r="489" spans="1:9" x14ac:dyDescent="0.25">
      <c r="A489" s="18">
        <v>61</v>
      </c>
      <c r="B489" s="35">
        <v>44908</v>
      </c>
      <c r="C489" s="2" t="s">
        <v>24</v>
      </c>
      <c r="D489" s="2" t="s">
        <v>13</v>
      </c>
      <c r="E489" s="2" t="s">
        <v>1079</v>
      </c>
      <c r="F489" s="18">
        <v>69</v>
      </c>
      <c r="G489" s="2">
        <v>1010</v>
      </c>
      <c r="H489" s="2" t="str">
        <f>IFERROR(VLOOKUP(Match_Record[[#This Row],[Player_No]],Squads[[Player No]:[Player Name]],6,TRUE),"")</f>
        <v>Lionel Messi</v>
      </c>
      <c r="I489" s="2" t="str">
        <f>IFERROR(VLOOKUP(Match_Record[[#This Row],[Player_No]],Squads[[Player No]:[Player Name]],2,TRUE),"")</f>
        <v>Argentina</v>
      </c>
    </row>
    <row r="490" spans="1:9" x14ac:dyDescent="0.25">
      <c r="A490" s="18">
        <v>61</v>
      </c>
      <c r="B490" s="35">
        <v>44908</v>
      </c>
      <c r="C490" s="2" t="s">
        <v>24</v>
      </c>
      <c r="D490" s="2" t="s">
        <v>13</v>
      </c>
      <c r="E490" s="2" t="s">
        <v>1080</v>
      </c>
      <c r="F490" s="18">
        <v>71</v>
      </c>
      <c r="G490" s="2">
        <v>1019</v>
      </c>
      <c r="H490" s="2" t="str">
        <f>IFERROR(VLOOKUP(Match_Record[[#This Row],[Player_No]],Squads[[Player No]:[Player Name]],6,TRUE),"")</f>
        <v>Nicolás Otamendi</v>
      </c>
      <c r="I490" s="2" t="str">
        <f>IFERROR(VLOOKUP(Match_Record[[#This Row],[Player_No]],Squads[[Player No]:[Player Name]],2,TRUE),"")</f>
        <v>Argentina</v>
      </c>
    </row>
    <row r="491" spans="1:9" x14ac:dyDescent="0.25">
      <c r="A491" s="18">
        <v>61</v>
      </c>
      <c r="B491" s="35">
        <v>44908</v>
      </c>
      <c r="C491" s="2" t="s">
        <v>24</v>
      </c>
      <c r="D491" s="2" t="s">
        <v>13</v>
      </c>
      <c r="E491" s="2" t="s">
        <v>1080</v>
      </c>
      <c r="F491" s="18">
        <v>32</v>
      </c>
      <c r="G491" s="2">
        <v>1183</v>
      </c>
      <c r="H491" s="2" t="str">
        <f>IFERROR(VLOOKUP(Match_Record[[#This Row],[Player_No]],Squads[[Player No]:[Player Name]],6,TRUE),"")</f>
        <v>Dominik Livaković</v>
      </c>
      <c r="I491" s="2" t="str">
        <f>IFERROR(VLOOKUP(Match_Record[[#This Row],[Player_No]],Squads[[Player No]:[Player Name]],2,TRUE),"")</f>
        <v>Croatia</v>
      </c>
    </row>
    <row r="492" spans="1:9" x14ac:dyDescent="0.25">
      <c r="A492" s="18">
        <v>61</v>
      </c>
      <c r="B492" s="35">
        <v>44908</v>
      </c>
      <c r="C492" s="2" t="s">
        <v>24</v>
      </c>
      <c r="D492" s="2" t="s">
        <v>13</v>
      </c>
      <c r="E492" s="2" t="s">
        <v>1080</v>
      </c>
      <c r="F492" s="18">
        <v>32</v>
      </c>
      <c r="G492" s="2">
        <v>1190</v>
      </c>
      <c r="H492" s="2" t="str">
        <f>IFERROR(VLOOKUP(Match_Record[[#This Row],[Player_No]],Squads[[Player No]:[Player Name]],6,TRUE),"")</f>
        <v>Mateo Kovačić</v>
      </c>
      <c r="I492" s="2" t="str">
        <f>IFERROR(VLOOKUP(Match_Record[[#This Row],[Player_No]],Squads[[Player No]:[Player Name]],2,TRUE),"")</f>
        <v>Croatia</v>
      </c>
    </row>
    <row r="493" spans="1:9" x14ac:dyDescent="0.25">
      <c r="A493" s="18">
        <v>62</v>
      </c>
      <c r="B493" s="35">
        <v>44909</v>
      </c>
      <c r="C493" s="2" t="s">
        <v>23</v>
      </c>
      <c r="D493" s="2" t="s">
        <v>20</v>
      </c>
      <c r="E493" s="2" t="s">
        <v>1080</v>
      </c>
      <c r="F493" s="18">
        <v>27</v>
      </c>
      <c r="G493" s="2">
        <v>1484</v>
      </c>
      <c r="H493" s="2" t="str">
        <f>IFERROR(VLOOKUP(Match_Record[[#This Row],[Player_No]],Squads[[Player No]:[Player Name]],6,TRUE),"")</f>
        <v>Sofiane Boufal</v>
      </c>
      <c r="I493" s="2" t="str">
        <f>IFERROR(VLOOKUP(Match_Record[[#This Row],[Player_No]],Squads[[Player No]:[Player Name]],2,TRUE),"")</f>
        <v>Morocco</v>
      </c>
    </row>
    <row r="494" spans="1:9" x14ac:dyDescent="0.25">
      <c r="A494" s="18">
        <v>62</v>
      </c>
      <c r="B494" s="35">
        <v>44909</v>
      </c>
      <c r="C494" s="2" t="s">
        <v>23</v>
      </c>
      <c r="D494" s="2" t="s">
        <v>20</v>
      </c>
      <c r="E494" s="2" t="s">
        <v>1078</v>
      </c>
      <c r="F494" s="18">
        <v>5</v>
      </c>
      <c r="G494" s="2">
        <v>1308</v>
      </c>
      <c r="H494" s="2" t="str">
        <f>IFERROR(VLOOKUP(Match_Record[[#This Row],[Player_No]],Squads[[Player No]:[Player Name]],6,TRUE),"")</f>
        <v>Theo Hernandez</v>
      </c>
      <c r="I494" s="2" t="str">
        <f>IFERROR(VLOOKUP(Match_Record[[#This Row],[Player_No]],Squads[[Player No]:[Player Name]],2,TRUE),"")</f>
        <v>France</v>
      </c>
    </row>
    <row r="495" spans="1:9" x14ac:dyDescent="0.25">
      <c r="A495" s="18">
        <v>62</v>
      </c>
      <c r="B495" s="35">
        <v>44909</v>
      </c>
      <c r="C495" s="2" t="s">
        <v>23</v>
      </c>
      <c r="D495" s="2" t="s">
        <v>20</v>
      </c>
      <c r="E495" s="2" t="s">
        <v>1078</v>
      </c>
      <c r="F495" s="18">
        <v>79</v>
      </c>
      <c r="G495" s="2">
        <v>1298</v>
      </c>
      <c r="H495" s="2" t="str">
        <f>IFERROR(VLOOKUP(Match_Record[[#This Row],[Player_No]],Squads[[Player No]:[Player Name]],6,TRUE),"")</f>
        <v>Randal Kolo Muani</v>
      </c>
      <c r="I495" s="2" t="str">
        <f>IFERROR(VLOOKUP(Match_Record[[#This Row],[Player_No]],Squads[[Player No]:[Player Name]],2,TRUE),"")</f>
        <v>France</v>
      </c>
    </row>
    <row r="496" spans="1:9" x14ac:dyDescent="0.25">
      <c r="A496" s="18">
        <v>63</v>
      </c>
      <c r="B496" s="35">
        <v>44912</v>
      </c>
      <c r="C496" s="2" t="s">
        <v>24</v>
      </c>
      <c r="D496" s="2" t="s">
        <v>23</v>
      </c>
      <c r="E496" s="2" t="s">
        <v>1078</v>
      </c>
      <c r="F496" s="18">
        <v>7</v>
      </c>
      <c r="G496" s="2">
        <v>1202</v>
      </c>
      <c r="H496" s="2" t="str">
        <f>IFERROR(VLOOKUP(Match_Record[[#This Row],[Player_No]],Squads[[Player No]:[Player Name]],6,TRUE),"")</f>
        <v>Joško Gvardiol</v>
      </c>
      <c r="I496" s="2" t="str">
        <f>IFERROR(VLOOKUP(Match_Record[[#This Row],[Player_No]],Squads[[Player No]:[Player Name]],2,TRUE),"")</f>
        <v>Croatia</v>
      </c>
    </row>
    <row r="497" spans="1:9" x14ac:dyDescent="0.25">
      <c r="A497" s="18">
        <v>63</v>
      </c>
      <c r="B497" s="35">
        <v>44912</v>
      </c>
      <c r="C497" s="2" t="s">
        <v>24</v>
      </c>
      <c r="D497" s="2" t="s">
        <v>23</v>
      </c>
      <c r="E497" s="2" t="s">
        <v>1079</v>
      </c>
      <c r="F497" s="18">
        <v>7</v>
      </c>
      <c r="G497" s="2">
        <v>1186</v>
      </c>
      <c r="H497" s="2" t="str">
        <f>IFERROR(VLOOKUP(Match_Record[[#This Row],[Player_No]],Squads[[Player No]:[Player Name]],6,TRUE),"")</f>
        <v>Ivan Perišić</v>
      </c>
      <c r="I497" s="2" t="str">
        <f>IFERROR(VLOOKUP(Match_Record[[#This Row],[Player_No]],Squads[[Player No]:[Player Name]],2,TRUE),"")</f>
        <v>Croatia</v>
      </c>
    </row>
    <row r="498" spans="1:9" x14ac:dyDescent="0.25">
      <c r="A498" s="18">
        <v>63</v>
      </c>
      <c r="B498" s="35">
        <v>44912</v>
      </c>
      <c r="C498" s="2" t="s">
        <v>24</v>
      </c>
      <c r="D498" s="2" t="s">
        <v>23</v>
      </c>
      <c r="E498" s="2" t="s">
        <v>1078</v>
      </c>
      <c r="F498" s="18">
        <v>42</v>
      </c>
      <c r="G498" s="2">
        <v>1200</v>
      </c>
      <c r="H498" s="2" t="str">
        <f>IFERROR(VLOOKUP(Match_Record[[#This Row],[Player_No]],Squads[[Player No]:[Player Name]],6,TRUE),"")</f>
        <v>Mislav Oršić</v>
      </c>
      <c r="I498" s="2" t="str">
        <f>IFERROR(VLOOKUP(Match_Record[[#This Row],[Player_No]],Squads[[Player No]:[Player Name]],2,TRUE),"")</f>
        <v>Croatia</v>
      </c>
    </row>
    <row r="499" spans="1:9" x14ac:dyDescent="0.25">
      <c r="A499" s="18">
        <v>63</v>
      </c>
      <c r="B499" s="35">
        <v>44912</v>
      </c>
      <c r="C499" s="2" t="s">
        <v>24</v>
      </c>
      <c r="D499" s="2" t="s">
        <v>23</v>
      </c>
      <c r="E499" s="2" t="s">
        <v>1079</v>
      </c>
      <c r="F499" s="18">
        <v>42</v>
      </c>
      <c r="G499" s="2">
        <v>1196</v>
      </c>
      <c r="H499" s="2" t="str">
        <f>IFERROR(VLOOKUP(Match_Record[[#This Row],[Player_No]],Squads[[Player No]:[Player Name]],6,TRUE),"")</f>
        <v>Marko Livaja</v>
      </c>
      <c r="I499" s="2" t="str">
        <f>IFERROR(VLOOKUP(Match_Record[[#This Row],[Player_No]],Squads[[Player No]:[Player Name]],2,TRUE),"")</f>
        <v>Croatia</v>
      </c>
    </row>
    <row r="500" spans="1:9" x14ac:dyDescent="0.25">
      <c r="A500" s="18">
        <v>63</v>
      </c>
      <c r="B500" s="35">
        <v>44912</v>
      </c>
      <c r="C500" s="2" t="s">
        <v>24</v>
      </c>
      <c r="D500" s="2" t="s">
        <v>23</v>
      </c>
      <c r="E500" s="2" t="s">
        <v>1078</v>
      </c>
      <c r="F500" s="18">
        <v>9</v>
      </c>
      <c r="G500" s="2">
        <v>1487</v>
      </c>
      <c r="H500" s="2" t="str">
        <f>IFERROR(VLOOKUP(Match_Record[[#This Row],[Player_No]],Squads[[Player No]:[Player Name]],6,TRUE),"")</f>
        <v>Achraf Dari</v>
      </c>
      <c r="I500" s="2" t="str">
        <f>IFERROR(VLOOKUP(Match_Record[[#This Row],[Player_No]],Squads[[Player No]:[Player Name]],2,TRUE),"")</f>
        <v>Morocco</v>
      </c>
    </row>
    <row r="501" spans="1:9" x14ac:dyDescent="0.25">
      <c r="A501" s="18">
        <v>63</v>
      </c>
      <c r="B501" s="35">
        <v>44912</v>
      </c>
      <c r="C501" s="2" t="s">
        <v>24</v>
      </c>
      <c r="D501" s="2" t="s">
        <v>23</v>
      </c>
      <c r="E501" s="2" t="s">
        <v>1080</v>
      </c>
      <c r="F501" s="18">
        <v>69</v>
      </c>
      <c r="G501" s="2">
        <v>1475</v>
      </c>
      <c r="H501" s="2" t="str">
        <f>IFERROR(VLOOKUP(Match_Record[[#This Row],[Player_No]],Squads[[Player No]:[Player Name]],6,TRUE),"")</f>
        <v>Azzedine Ounahi</v>
      </c>
      <c r="I501" s="2" t="str">
        <f>IFERROR(VLOOKUP(Match_Record[[#This Row],[Player_No]],Squads[[Player No]:[Player Name]],2,TRUE),"")</f>
        <v>Morocco</v>
      </c>
    </row>
    <row r="502" spans="1:9" x14ac:dyDescent="0.25">
      <c r="A502" s="18">
        <v>63</v>
      </c>
      <c r="B502" s="35">
        <v>44912</v>
      </c>
      <c r="C502" s="2" t="s">
        <v>24</v>
      </c>
      <c r="D502" s="2" t="s">
        <v>23</v>
      </c>
      <c r="E502" s="2" t="s">
        <v>1080</v>
      </c>
      <c r="F502" s="18">
        <v>84</v>
      </c>
      <c r="G502" s="2">
        <v>1482</v>
      </c>
      <c r="H502" s="2" t="str">
        <f>IFERROR(VLOOKUP(Match_Record[[#This Row],[Player_No]],Squads[[Player No]:[Player Name]],6,TRUE),"")</f>
        <v>Selim Amallah</v>
      </c>
      <c r="I502" s="2" t="str">
        <f>IFERROR(VLOOKUP(Match_Record[[#This Row],[Player_No]],Squads[[Player No]:[Player Name]],2,TRUE),"")</f>
        <v>Morocco</v>
      </c>
    </row>
    <row r="503" spans="1:9" x14ac:dyDescent="0.25">
      <c r="A503" s="18">
        <v>64</v>
      </c>
      <c r="B503" s="35">
        <v>44913</v>
      </c>
      <c r="C503" s="2" t="s">
        <v>13</v>
      </c>
      <c r="D503" s="2" t="s">
        <v>20</v>
      </c>
      <c r="E503" s="2" t="s">
        <v>1078</v>
      </c>
      <c r="F503" s="18">
        <v>23</v>
      </c>
      <c r="G503" s="2">
        <v>1010</v>
      </c>
      <c r="H503" s="2" t="str">
        <f>IFERROR(VLOOKUP(Match_Record[[#This Row],[Player_No]],Squads[[Player No]:[Player Name]],6,TRUE),"")</f>
        <v>Lionel Messi</v>
      </c>
      <c r="I503" s="2" t="str">
        <f>IFERROR(VLOOKUP(Match_Record[[#This Row],[Player_No]],Squads[[Player No]:[Player Name]],2,TRUE),"")</f>
        <v>Argentina</v>
      </c>
    </row>
    <row r="504" spans="1:9" x14ac:dyDescent="0.25">
      <c r="A504" s="18">
        <v>64</v>
      </c>
      <c r="B504" s="35">
        <v>44913</v>
      </c>
      <c r="C504" s="2" t="s">
        <v>13</v>
      </c>
      <c r="D504" s="2" t="s">
        <v>20</v>
      </c>
      <c r="E504" s="2" t="s">
        <v>1078</v>
      </c>
      <c r="F504" s="18">
        <v>36</v>
      </c>
      <c r="G504" s="2">
        <v>1011</v>
      </c>
      <c r="H504" s="2" t="str">
        <f>IFERROR(VLOOKUP(Match_Record[[#This Row],[Player_No]],Squads[[Player No]:[Player Name]],6,TRUE),"")</f>
        <v>Ángel Di María</v>
      </c>
      <c r="I504" s="2" t="str">
        <f>IFERROR(VLOOKUP(Match_Record[[#This Row],[Player_No]],Squads[[Player No]:[Player Name]],2,TRUE),"")</f>
        <v>Argentina</v>
      </c>
    </row>
    <row r="505" spans="1:9" x14ac:dyDescent="0.25">
      <c r="A505" s="18">
        <v>64</v>
      </c>
      <c r="B505" s="35">
        <v>44913</v>
      </c>
      <c r="C505" s="2" t="s">
        <v>13</v>
      </c>
      <c r="D505" s="2" t="s">
        <v>20</v>
      </c>
      <c r="E505" s="2" t="s">
        <v>1079</v>
      </c>
      <c r="F505" s="18">
        <v>36</v>
      </c>
      <c r="G505" s="2">
        <v>1020</v>
      </c>
      <c r="H505" s="2" t="str">
        <f>IFERROR(VLOOKUP(Match_Record[[#This Row],[Player_No]],Squads[[Player No]:[Player Name]],6,TRUE),"")</f>
        <v>Alexis Mac Allister</v>
      </c>
      <c r="I505" s="2" t="str">
        <f>IFERROR(VLOOKUP(Match_Record[[#This Row],[Player_No]],Squads[[Player No]:[Player Name]],2,TRUE),"")</f>
        <v>Argentina</v>
      </c>
    </row>
    <row r="506" spans="1:9" x14ac:dyDescent="0.25">
      <c r="A506" s="18">
        <v>64</v>
      </c>
      <c r="B506" s="35">
        <v>44913</v>
      </c>
      <c r="C506" s="2" t="s">
        <v>13</v>
      </c>
      <c r="D506" s="2" t="s">
        <v>20</v>
      </c>
      <c r="E506" s="2" t="s">
        <v>1080</v>
      </c>
      <c r="F506" s="18">
        <v>45</v>
      </c>
      <c r="G506" s="2">
        <v>1024</v>
      </c>
      <c r="H506" s="2" t="str">
        <f>IFERROR(VLOOKUP(Match_Record[[#This Row],[Player_No]],Squads[[Player No]:[Player Name]],6,TRUE),"")</f>
        <v>Enzo Fernández</v>
      </c>
      <c r="I506" s="2" t="str">
        <f>IFERROR(VLOOKUP(Match_Record[[#This Row],[Player_No]],Squads[[Player No]:[Player Name]],2,TRUE),"")</f>
        <v>Argentina</v>
      </c>
    </row>
    <row r="507" spans="1:9" x14ac:dyDescent="0.25">
      <c r="A507" s="18">
        <v>64</v>
      </c>
      <c r="B507" s="35">
        <v>44913</v>
      </c>
      <c r="C507" s="2" t="s">
        <v>13</v>
      </c>
      <c r="D507" s="2" t="s">
        <v>20</v>
      </c>
      <c r="E507" s="2" t="s">
        <v>1080</v>
      </c>
      <c r="F507" s="18">
        <v>98</v>
      </c>
      <c r="G507" s="2">
        <v>1008</v>
      </c>
      <c r="H507" s="2" t="str">
        <f>IFERROR(VLOOKUP(Match_Record[[#This Row],[Player_No]],Squads[[Player No]:[Player Name]],6,TRUE),"")</f>
        <v>Marcos Acuña</v>
      </c>
      <c r="I507" s="2" t="str">
        <f>IFERROR(VLOOKUP(Match_Record[[#This Row],[Player_No]],Squads[[Player No]:[Player Name]],2,TRUE),"")</f>
        <v>Argentina</v>
      </c>
    </row>
    <row r="508" spans="1:9" x14ac:dyDescent="0.25">
      <c r="A508" s="18">
        <v>64</v>
      </c>
      <c r="B508" s="35">
        <v>44913</v>
      </c>
      <c r="C508" s="2" t="s">
        <v>13</v>
      </c>
      <c r="D508" s="2" t="s">
        <v>20</v>
      </c>
      <c r="E508" s="2" t="s">
        <v>1078</v>
      </c>
      <c r="F508" s="18">
        <v>108</v>
      </c>
      <c r="G508" s="2">
        <v>1010</v>
      </c>
      <c r="H508" s="2" t="str">
        <f>IFERROR(VLOOKUP(Match_Record[[#This Row],[Player_No]],Squads[[Player No]:[Player Name]],6,TRUE),"")</f>
        <v>Lionel Messi</v>
      </c>
      <c r="I508" s="2" t="str">
        <f>IFERROR(VLOOKUP(Match_Record[[#This Row],[Player_No]],Squads[[Player No]:[Player Name]],2,TRUE),"")</f>
        <v>Argentina</v>
      </c>
    </row>
    <row r="509" spans="1:9" x14ac:dyDescent="0.25">
      <c r="A509" s="18">
        <v>64</v>
      </c>
      <c r="B509" s="35">
        <v>44913</v>
      </c>
      <c r="C509" s="2" t="s">
        <v>13</v>
      </c>
      <c r="D509" s="2" t="s">
        <v>20</v>
      </c>
      <c r="E509" s="2" t="s">
        <v>1080</v>
      </c>
      <c r="F509" s="18">
        <v>114</v>
      </c>
      <c r="G509" s="2">
        <v>1005</v>
      </c>
      <c r="H509" s="2" t="str">
        <f>IFERROR(VLOOKUP(Match_Record[[#This Row],[Player_No]],Squads[[Player No]:[Player Name]],6,TRUE),"")</f>
        <v>Leandro Paredes</v>
      </c>
      <c r="I509" s="2" t="str">
        <f>IFERROR(VLOOKUP(Match_Record[[#This Row],[Player_No]],Squads[[Player No]:[Player Name]],2,TRUE),"")</f>
        <v>Argentina</v>
      </c>
    </row>
    <row r="510" spans="1:9" x14ac:dyDescent="0.25">
      <c r="A510" s="18">
        <v>64</v>
      </c>
      <c r="B510" s="35">
        <v>44913</v>
      </c>
      <c r="C510" s="2" t="s">
        <v>13</v>
      </c>
      <c r="D510" s="2" t="s">
        <v>20</v>
      </c>
      <c r="E510" s="2" t="s">
        <v>1080</v>
      </c>
      <c r="F510" s="18">
        <v>116</v>
      </c>
      <c r="G510" s="2">
        <v>1004</v>
      </c>
      <c r="H510" s="2" t="str">
        <f>IFERROR(VLOOKUP(Match_Record[[#This Row],[Player_No]],Squads[[Player No]:[Player Name]],6,TRUE),"")</f>
        <v>Gonzalo Montiel</v>
      </c>
      <c r="I510" s="2" t="str">
        <f>IFERROR(VLOOKUP(Match_Record[[#This Row],[Player_No]],Squads[[Player No]:[Player Name]],2,TRUE),"")</f>
        <v>Argentina</v>
      </c>
    </row>
    <row r="511" spans="1:9" x14ac:dyDescent="0.25">
      <c r="A511" s="18">
        <v>64</v>
      </c>
      <c r="B511" s="35">
        <v>44913</v>
      </c>
      <c r="C511" s="2" t="s">
        <v>13</v>
      </c>
      <c r="D511" s="2" t="s">
        <v>20</v>
      </c>
      <c r="E511" s="2" t="s">
        <v>1080</v>
      </c>
      <c r="F511" s="18">
        <v>120</v>
      </c>
      <c r="G511" s="2">
        <v>1023</v>
      </c>
      <c r="H511" s="2" t="str">
        <f>IFERROR(VLOOKUP(Match_Record[[#This Row],[Player_No]],Squads[[Player No]:[Player Name]],6,TRUE),"")</f>
        <v>Emiliano Martínez</v>
      </c>
      <c r="I511" s="2" t="str">
        <f>IFERROR(VLOOKUP(Match_Record[[#This Row],[Player_No]],Squads[[Player No]:[Player Name]],2,TRUE),"")</f>
        <v>Argentina</v>
      </c>
    </row>
    <row r="512" spans="1:9" x14ac:dyDescent="0.25">
      <c r="A512" s="18">
        <v>64</v>
      </c>
      <c r="B512" s="35">
        <v>44913</v>
      </c>
      <c r="C512" s="2" t="s">
        <v>13</v>
      </c>
      <c r="D512" s="2" t="s">
        <v>20</v>
      </c>
      <c r="E512" s="2" t="s">
        <v>1080</v>
      </c>
      <c r="F512" s="18">
        <v>55</v>
      </c>
      <c r="G512" s="2">
        <v>1300</v>
      </c>
      <c r="H512" s="2" t="str">
        <f>IFERROR(VLOOKUP(Match_Record[[#This Row],[Player_No]],Squads[[Player No]:[Player Name]],6,TRUE),"")</f>
        <v>Adrien Rabiot</v>
      </c>
      <c r="I512" s="2" t="str">
        <f>IFERROR(VLOOKUP(Match_Record[[#This Row],[Player_No]],Squads[[Player No]:[Player Name]],2,TRUE),"")</f>
        <v>France</v>
      </c>
    </row>
    <row r="513" spans="1:9" x14ac:dyDescent="0.25">
      <c r="A513" s="18">
        <v>64</v>
      </c>
      <c r="B513" s="35">
        <v>44913</v>
      </c>
      <c r="C513" s="2" t="s">
        <v>13</v>
      </c>
      <c r="D513" s="2" t="s">
        <v>20</v>
      </c>
      <c r="E513" s="2" t="s">
        <v>1078</v>
      </c>
      <c r="F513" s="18">
        <v>80</v>
      </c>
      <c r="G513" s="2">
        <v>1296</v>
      </c>
      <c r="H513" s="2" t="str">
        <f>IFERROR(VLOOKUP(Match_Record[[#This Row],[Player_No]],Squads[[Player No]:[Player Name]],6,TRUE),"")</f>
        <v>Kylian Mbappé</v>
      </c>
      <c r="I513" s="2" t="str">
        <f>IFERROR(VLOOKUP(Match_Record[[#This Row],[Player_No]],Squads[[Player No]:[Player Name]],2,TRUE),"")</f>
        <v>France</v>
      </c>
    </row>
    <row r="514" spans="1:9" x14ac:dyDescent="0.25">
      <c r="A514" s="18">
        <v>64</v>
      </c>
      <c r="B514" s="35">
        <v>44913</v>
      </c>
      <c r="C514" s="2" t="s">
        <v>13</v>
      </c>
      <c r="D514" s="2" t="s">
        <v>20</v>
      </c>
      <c r="E514" s="2" t="s">
        <v>1078</v>
      </c>
      <c r="F514" s="18">
        <v>80</v>
      </c>
      <c r="G514" s="2">
        <v>1296</v>
      </c>
      <c r="H514" s="2" t="str">
        <f>IFERROR(VLOOKUP(Match_Record[[#This Row],[Player_No]],Squads[[Player No]:[Player Name]],6,TRUE),"")</f>
        <v>Kylian Mbappé</v>
      </c>
      <c r="I514" s="2" t="str">
        <f>IFERROR(VLOOKUP(Match_Record[[#This Row],[Player_No]],Squads[[Player No]:[Player Name]],2,TRUE),"")</f>
        <v>France</v>
      </c>
    </row>
    <row r="515" spans="1:9" x14ac:dyDescent="0.25">
      <c r="A515" s="18">
        <v>64</v>
      </c>
      <c r="B515" s="35">
        <v>44913</v>
      </c>
      <c r="C515" s="2" t="s">
        <v>13</v>
      </c>
      <c r="D515" s="2" t="s">
        <v>20</v>
      </c>
      <c r="E515" s="2" t="s">
        <v>1079</v>
      </c>
      <c r="F515" s="18">
        <v>81</v>
      </c>
      <c r="G515" s="2">
        <v>1312</v>
      </c>
      <c r="H515" s="2" t="str">
        <f>IFERROR(VLOOKUP(Match_Record[[#This Row],[Player_No]],Squads[[Player No]:[Player Name]],6,TRUE),"")</f>
        <v>Marcus Thuram</v>
      </c>
      <c r="I515" s="2" t="str">
        <f>IFERROR(VLOOKUP(Match_Record[[#This Row],[Player_No]],Squads[[Player No]:[Player Name]],2,TRUE),"")</f>
        <v>France</v>
      </c>
    </row>
    <row r="516" spans="1:9" x14ac:dyDescent="0.25">
      <c r="A516" s="18">
        <v>64</v>
      </c>
      <c r="B516" s="35">
        <v>44913</v>
      </c>
      <c r="C516" s="2" t="s">
        <v>13</v>
      </c>
      <c r="D516" s="2" t="s">
        <v>20</v>
      </c>
      <c r="E516" s="2" t="s">
        <v>1080</v>
      </c>
      <c r="F516" s="18">
        <v>87</v>
      </c>
      <c r="G516" s="2">
        <v>1312</v>
      </c>
      <c r="H516" s="2" t="str">
        <f>IFERROR(VLOOKUP(Match_Record[[#This Row],[Player_No]],Squads[[Player No]:[Player Name]],6,TRUE),"")</f>
        <v>Marcus Thuram</v>
      </c>
      <c r="I516" s="2" t="str">
        <f>IFERROR(VLOOKUP(Match_Record[[#This Row],[Player_No]],Squads[[Player No]:[Player Name]],2,TRUE),"")</f>
        <v>France</v>
      </c>
    </row>
    <row r="517" spans="1:9" x14ac:dyDescent="0.25">
      <c r="A517" s="18">
        <v>64</v>
      </c>
      <c r="B517" s="35">
        <v>44913</v>
      </c>
      <c r="C517" s="2" t="s">
        <v>13</v>
      </c>
      <c r="D517" s="2" t="s">
        <v>20</v>
      </c>
      <c r="E517" s="2" t="s">
        <v>1080</v>
      </c>
      <c r="F517" s="18">
        <v>95</v>
      </c>
      <c r="G517" s="2">
        <v>1295</v>
      </c>
      <c r="H517" s="2" t="str">
        <f>IFERROR(VLOOKUP(Match_Record[[#This Row],[Player_No]],Squads[[Player No]:[Player Name]],6,TRUE),"")</f>
        <v>Olivier Giroud</v>
      </c>
      <c r="I517" s="2" t="str">
        <f>IFERROR(VLOOKUP(Match_Record[[#This Row],[Player_No]],Squads[[Player No]:[Player Name]],2,TRUE),"")</f>
        <v>France</v>
      </c>
    </row>
    <row r="518" spans="1:9" x14ac:dyDescent="0.25">
      <c r="A518" s="18">
        <v>64</v>
      </c>
      <c r="B518" s="35">
        <v>44913</v>
      </c>
      <c r="C518" s="2" t="s">
        <v>13</v>
      </c>
      <c r="D518" s="2" t="s">
        <v>20</v>
      </c>
      <c r="E518" s="2" t="s">
        <v>1078</v>
      </c>
      <c r="F518" s="18">
        <v>118</v>
      </c>
      <c r="G518" s="2">
        <v>1296</v>
      </c>
      <c r="H518" s="2" t="str">
        <f>IFERROR(VLOOKUP(Match_Record[[#This Row],[Player_No]],Squads[[Player No]:[Player Name]],6,TRUE),"")</f>
        <v>Kylian Mbappé</v>
      </c>
      <c r="I518" s="2" t="str">
        <f>IFERROR(VLOOKUP(Match_Record[[#This Row],[Player_No]],Squads[[Player No]:[Player Name]],2,TRUE),"")</f>
        <v>France</v>
      </c>
    </row>
    <row r="519" spans="1:9" x14ac:dyDescent="0.25">
      <c r="A519" s="2" t="s">
        <v>1083</v>
      </c>
      <c r="B519" s="2">
        <f>SUBTOTAL(103,Match_Record[Date])</f>
        <v>517</v>
      </c>
      <c r="C519" s="2"/>
      <c r="D519" s="2"/>
      <c r="E519" s="2"/>
      <c r="F519" s="2"/>
      <c r="G519" s="2"/>
      <c r="H519" s="2"/>
      <c r="I519" s="2">
        <f>SUBTOTAL(103,Match_Record[Team])</f>
        <v>517</v>
      </c>
    </row>
  </sheetData>
  <phoneticPr fontId="18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7C730E-AB4F-4BAD-A13D-21AC74F0D0BD}">
          <x14:formula1>
            <xm:f>'World Cup 2022 Matches'!$C$2:$C$52</xm:f>
          </x14:formula1>
          <xm:sqref>A2:A375</xm:sqref>
        </x14:dataValidation>
        <x14:dataValidation type="list" allowBlank="1" showInputMessage="1" showErrorMessage="1" xr:uid="{A6B35CE4-1603-4F69-B6E6-8FC9ED10303B}">
          <x14:formula1>
            <xm:f>Squads!$A$2:$A$831</xm:f>
          </x14:formula1>
          <xm:sqref>G2:G518</xm:sqref>
        </x14:dataValidation>
        <x14:dataValidation type="list" allowBlank="1" showInputMessage="1" showErrorMessage="1" xr:uid="{42DC813D-B77E-493F-A2D4-A46017E0F5C7}">
          <x14:formula1>
            <xm:f>Categories!$G$2:$G$11</xm:f>
          </x14:formula1>
          <xm:sqref>E2:E518</xm:sqref>
        </x14:dataValidation>
        <x14:dataValidation type="list" allowBlank="1" showInputMessage="1" showErrorMessage="1" xr:uid="{3F8D15F8-9CAE-407A-BDCD-3FE2DEF9BD2A}">
          <x14:formula1>
            <xm:f>Categories!$L$2:$L$33</xm:f>
          </x14:formula1>
          <xm:sqref>C2:D518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43C70-2192-4E3F-99AF-1B5C3402732D}">
  <sheetPr codeName="Sheet12"/>
  <dimension ref="A1:R300"/>
  <sheetViews>
    <sheetView topLeftCell="E1" workbookViewId="0">
      <pane ySplit="2" topLeftCell="A3" activePane="bottomLeft" state="frozen"/>
      <selection pane="bottomLeft" activeCell="R6" sqref="R6"/>
    </sheetView>
  </sheetViews>
  <sheetFormatPr defaultRowHeight="15" x14ac:dyDescent="0.25"/>
  <cols>
    <col min="1" max="1" width="29.42578125" bestFit="1" customWidth="1"/>
    <col min="2" max="2" width="25.5703125" bestFit="1" customWidth="1"/>
    <col min="3" max="3" width="17.85546875" customWidth="1"/>
    <col min="4" max="4" width="22.42578125" customWidth="1"/>
    <col min="5" max="5" width="11.140625" customWidth="1"/>
    <col min="6" max="6" width="12" bestFit="1" customWidth="1"/>
    <col min="7" max="7" width="28.85546875" bestFit="1" customWidth="1"/>
    <col min="8" max="8" width="8.140625" customWidth="1"/>
    <col min="9" max="9" width="26" bestFit="1" customWidth="1"/>
    <col min="10" max="10" width="39.140625" bestFit="1" customWidth="1"/>
    <col min="12" max="12" width="0.42578125" customWidth="1"/>
    <col min="13" max="13" width="9.140625" hidden="1" customWidth="1"/>
    <col min="14" max="14" width="32.28515625" customWidth="1"/>
    <col min="17" max="17" width="31.5703125" bestFit="1" customWidth="1"/>
    <col min="18" max="18" width="8.5703125" bestFit="1" customWidth="1"/>
  </cols>
  <sheetData>
    <row r="1" spans="1:18" ht="75.75" customHeight="1" x14ac:dyDescent="0.25">
      <c r="A1" s="112" t="s">
        <v>1117</v>
      </c>
      <c r="B1" s="112"/>
      <c r="C1" s="112"/>
      <c r="D1" s="112"/>
      <c r="F1" s="113" t="s">
        <v>5497</v>
      </c>
      <c r="G1" s="113"/>
      <c r="I1" s="113" t="s">
        <v>5498</v>
      </c>
      <c r="J1" s="113"/>
    </row>
    <row r="2" spans="1:18" ht="30" x14ac:dyDescent="0.25">
      <c r="A2" s="43" t="s">
        <v>1100</v>
      </c>
      <c r="B2" s="43" t="s">
        <v>1099</v>
      </c>
      <c r="C2" s="43" t="s">
        <v>1068</v>
      </c>
      <c r="D2" s="43" t="s">
        <v>1568</v>
      </c>
      <c r="F2" s="71" t="s">
        <v>1583</v>
      </c>
      <c r="G2" s="72" t="s">
        <v>1616</v>
      </c>
      <c r="I2" s="71" t="s">
        <v>1103</v>
      </c>
      <c r="J2" s="72" t="s">
        <v>1616</v>
      </c>
    </row>
    <row r="3" spans="1:18" x14ac:dyDescent="0.25">
      <c r="A3" s="9" t="str" cm="1">
        <f t="array" ref="A3:A299">_xlfn.UNIQUE(Squads[[#Data],[#Totals],[Current Club]])</f>
        <v>River Plate</v>
      </c>
      <c r="B3" s="9" t="str">
        <f>_xlfn.XLOOKUP(A3,Clubs[Current Club],Clubs[Club - League])</f>
        <v>Liga Professional Argentina</v>
      </c>
      <c r="C3" s="9" t="str">
        <f>_xlfn.XLOOKUP(B3,Club_Leagues[Club - League],Club_Leagues[Football Association])</f>
        <v>Argentina</v>
      </c>
      <c r="D3" s="42">
        <f>COUNTIF(Squads[Current Club],'Club Representation info'!A3)</f>
        <v>2</v>
      </c>
      <c r="F3" s="42" t="s">
        <v>6</v>
      </c>
      <c r="G3" s="9">
        <v>164</v>
      </c>
      <c r="I3" s="42" t="s">
        <v>958</v>
      </c>
      <c r="J3" s="9">
        <v>17</v>
      </c>
    </row>
    <row r="4" spans="1:18" x14ac:dyDescent="0.25">
      <c r="A4" s="9" t="str">
        <v>Villarreal</v>
      </c>
      <c r="B4" s="9" t="str">
        <f>_xlfn.XLOOKUP(A4,Clubs[Current Club],Clubs[Club - League])</f>
        <v>La Liga</v>
      </c>
      <c r="C4" s="9" t="str">
        <f>_xlfn.XLOOKUP(B4,Club_Leagues[Club - League],Club_Leagues[Football Association])</f>
        <v>Spain</v>
      </c>
      <c r="D4" s="42">
        <f>COUNTIF(Squads[Current Club],'Club Representation info'!A4)</f>
        <v>5</v>
      </c>
      <c r="F4" s="42" t="s">
        <v>28</v>
      </c>
      <c r="G4" s="9">
        <v>86</v>
      </c>
      <c r="I4" s="42" t="s">
        <v>957</v>
      </c>
      <c r="J4" s="9">
        <v>16</v>
      </c>
      <c r="N4" s="111" t="s">
        <v>1111</v>
      </c>
      <c r="O4" s="111"/>
      <c r="Q4" s="111" t="s">
        <v>1115</v>
      </c>
      <c r="R4" s="111"/>
    </row>
    <row r="5" spans="1:18" x14ac:dyDescent="0.25">
      <c r="A5" s="9" t="str">
        <v>Lyon</v>
      </c>
      <c r="B5" s="9" t="str">
        <f>_xlfn.XLOOKUP(A5,Clubs[Current Club],Clubs[Club - League])</f>
        <v>Ligue 1</v>
      </c>
      <c r="C5" s="9" t="str">
        <f>_xlfn.XLOOKUP(B5,Club_Leagues[Club - League],Club_Leagues[Football Association])</f>
        <v>France</v>
      </c>
      <c r="D5" s="42">
        <f>COUNTIF(Squads[Current Club],'Club Representation info'!A5)</f>
        <v>2</v>
      </c>
      <c r="F5" s="42" t="s">
        <v>26</v>
      </c>
      <c r="G5" s="9">
        <v>80</v>
      </c>
      <c r="I5" s="42" t="s">
        <v>954</v>
      </c>
      <c r="J5" s="9">
        <v>16</v>
      </c>
      <c r="N5" s="42" t="s">
        <v>1107</v>
      </c>
      <c r="O5" s="9">
        <f>MAX($D$3:$D$298)</f>
        <v>17</v>
      </c>
      <c r="Q5" s="42" t="s">
        <v>1116</v>
      </c>
      <c r="R5" s="9">
        <f>MAX($G$3:$G$32)</f>
        <v>164</v>
      </c>
    </row>
    <row r="6" spans="1:18" x14ac:dyDescent="0.25">
      <c r="A6" s="9" t="str">
        <v>Sevilla</v>
      </c>
      <c r="B6" s="9" t="str">
        <f>_xlfn.XLOOKUP(A6,Clubs[Current Club],Clubs[Club - League])</f>
        <v>La Liga</v>
      </c>
      <c r="C6" s="9" t="str">
        <f>_xlfn.XLOOKUP(B6,Club_Leagues[Club - League],Club_Leagues[Football Association])</f>
        <v>Spain</v>
      </c>
      <c r="D6" s="42">
        <f>COUNTIF(Squads[Current Club],'Club Representation info'!A6)</f>
        <v>10</v>
      </c>
      <c r="F6" s="42" t="s">
        <v>1017</v>
      </c>
      <c r="G6" s="9">
        <v>68</v>
      </c>
      <c r="I6" s="42" t="s">
        <v>961</v>
      </c>
      <c r="J6" s="9">
        <v>15</v>
      </c>
      <c r="N6" s="42" t="s">
        <v>1108</v>
      </c>
      <c r="O6" s="9">
        <f>MIN($D$3:$D$298)</f>
        <v>1</v>
      </c>
      <c r="Q6" s="42" t="s">
        <v>1108</v>
      </c>
      <c r="R6" s="9">
        <f>MIN($G$3:$G$43)</f>
        <v>3</v>
      </c>
    </row>
    <row r="7" spans="1:18" x14ac:dyDescent="0.25">
      <c r="A7" s="9" t="str">
        <v>Juventus</v>
      </c>
      <c r="B7" s="9" t="str">
        <f>_xlfn.XLOOKUP(A7,Clubs[Current Club],Clubs[Club - League])</f>
        <v>Serie A</v>
      </c>
      <c r="C7" s="9" t="str">
        <f>_xlfn.XLOOKUP(B7,Club_Leagues[Club - League],Club_Leagues[Football Association])</f>
        <v>Italy</v>
      </c>
      <c r="D7" s="42">
        <f>COUNTIF(Squads[Current Club],'Club Representation info'!A7)</f>
        <v>11</v>
      </c>
      <c r="F7" s="42" t="s">
        <v>20</v>
      </c>
      <c r="G7" s="9">
        <v>57</v>
      </c>
      <c r="I7" s="42" t="s">
        <v>960</v>
      </c>
      <c r="J7" s="9">
        <v>14</v>
      </c>
      <c r="N7" s="42" t="s">
        <v>1109</v>
      </c>
      <c r="O7" s="9">
        <f>O5-O6</f>
        <v>16</v>
      </c>
      <c r="Q7" s="42" t="s">
        <v>1109</v>
      </c>
      <c r="R7" s="9">
        <f>R5-R6</f>
        <v>161</v>
      </c>
    </row>
    <row r="8" spans="1:18" x14ac:dyDescent="0.25">
      <c r="A8" s="9" t="str">
        <v>Real Betis</v>
      </c>
      <c r="B8" s="9" t="str">
        <f>_xlfn.XLOOKUP(A8,Clubs[Current Club],Clubs[Club - League])</f>
        <v>La Liga</v>
      </c>
      <c r="C8" s="9" t="str">
        <f>_xlfn.XLOOKUP(B8,Club_Leagues[Club - League],Club_Leagues[Football Association])</f>
        <v>Spain</v>
      </c>
      <c r="D8" s="42">
        <f>COUNTIF(Squads[Current Club],'Club Representation info'!A8)</f>
        <v>5</v>
      </c>
      <c r="F8" s="42" t="s">
        <v>10</v>
      </c>
      <c r="G8" s="9">
        <v>36</v>
      </c>
      <c r="I8" s="42" t="s">
        <v>989</v>
      </c>
      <c r="J8" s="9">
        <v>13</v>
      </c>
      <c r="N8" s="45" t="s">
        <v>1104</v>
      </c>
      <c r="O8" s="46">
        <f>AVERAGE($D$3:$D$298)</f>
        <v>2.8040540540540539</v>
      </c>
      <c r="Q8" s="45" t="s">
        <v>1104</v>
      </c>
      <c r="R8" s="46">
        <f>AVERAGE($G$3:$G$43)</f>
        <v>52.12903225806452</v>
      </c>
    </row>
    <row r="9" spans="1:18" x14ac:dyDescent="0.25">
      <c r="A9" s="9" t="str">
        <v>Atlético Madrid</v>
      </c>
      <c r="B9" s="9" t="str">
        <f>_xlfn.XLOOKUP(A9,Clubs[Current Club],Clubs[Club - League])</f>
        <v>La Liga</v>
      </c>
      <c r="C9" s="9" t="str">
        <f>_xlfn.XLOOKUP(B9,Club_Leagues[Club - League],Club_Leagues[Football Association])</f>
        <v>Spain</v>
      </c>
      <c r="D9" s="42">
        <f>COUNTIF(Squads[Current Club],'Club Representation info'!A9)</f>
        <v>12</v>
      </c>
      <c r="F9" s="42" t="s">
        <v>14</v>
      </c>
      <c r="G9" s="9">
        <v>35</v>
      </c>
      <c r="I9" s="42" t="s">
        <v>979</v>
      </c>
      <c r="J9" s="9">
        <v>12</v>
      </c>
      <c r="N9" s="45" t="s">
        <v>1105</v>
      </c>
      <c r="O9" s="46">
        <f>MEDIAN($D$3:$D$298)</f>
        <v>2</v>
      </c>
      <c r="Q9" s="45" t="s">
        <v>1105</v>
      </c>
      <c r="R9" s="46">
        <f>MEDIAN($G$3:$G$43)</f>
        <v>14</v>
      </c>
    </row>
    <row r="10" spans="1:18" x14ac:dyDescent="0.25">
      <c r="A10" s="9" t="str">
        <v>Manchester City</v>
      </c>
      <c r="B10" s="9" t="str">
        <f>_xlfn.XLOOKUP(A10,Clubs[Current Club],Clubs[Club - League])</f>
        <v>Premier League</v>
      </c>
      <c r="C10" s="9" t="str">
        <f>_xlfn.XLOOKUP(B10,Club_Leagues[Club - League],Club_Leagues[Football Association])</f>
        <v>England</v>
      </c>
      <c r="D10" s="42">
        <f>COUNTIF(Squads[Current Club],'Club Representation info'!A10)</f>
        <v>16</v>
      </c>
      <c r="F10" s="42" t="s">
        <v>8</v>
      </c>
      <c r="G10" s="9">
        <v>33</v>
      </c>
      <c r="I10" s="42" t="s">
        <v>984</v>
      </c>
      <c r="J10" s="9">
        <v>12</v>
      </c>
      <c r="N10" s="45" t="s">
        <v>1106</v>
      </c>
      <c r="O10" s="46">
        <f>_xlfn.MODE.SNGL($D$3:$D$298)</f>
        <v>1</v>
      </c>
      <c r="Q10" s="45" t="s">
        <v>1106</v>
      </c>
      <c r="R10" s="46">
        <f>_xlfn.MODE.SNGL($G$3:$G$43)</f>
        <v>7</v>
      </c>
    </row>
    <row r="11" spans="1:18" x14ac:dyDescent="0.25">
      <c r="A11" s="9" t="str">
        <v>Paris Saint-Germain</v>
      </c>
      <c r="B11" s="9" t="str">
        <f>_xlfn.XLOOKUP(A11,Clubs[Current Club],Clubs[Club - League])</f>
        <v>Ligue 1</v>
      </c>
      <c r="C11" s="9" t="str">
        <f>_xlfn.XLOOKUP(B11,Club_Leagues[Club - League],Club_Leagues[Football Association])</f>
        <v>France</v>
      </c>
      <c r="D11" s="42">
        <f>COUNTIF(Squads[Current Club],'Club Representation info'!A11)</f>
        <v>11</v>
      </c>
      <c r="F11" s="42" t="s">
        <v>30</v>
      </c>
      <c r="G11" s="9">
        <v>24</v>
      </c>
      <c r="I11" s="42" t="s">
        <v>964</v>
      </c>
      <c r="J11" s="9">
        <v>12</v>
      </c>
      <c r="N11" s="45" t="s">
        <v>1110</v>
      </c>
      <c r="O11" s="46">
        <f>SKEW($D$3:$D$298)</f>
        <v>2.4875263466571207</v>
      </c>
      <c r="Q11" s="45" t="s">
        <v>1110</v>
      </c>
      <c r="R11" s="46">
        <f>SKEW($G$3:$G$43)</f>
        <v>5.121375530091516</v>
      </c>
    </row>
    <row r="12" spans="1:18" x14ac:dyDescent="0.25">
      <c r="A12" s="9" t="str">
        <v>Tottenham Hotspur</v>
      </c>
      <c r="B12" s="9" t="str">
        <f>_xlfn.XLOOKUP(A12,Clubs[Current Club],Clubs[Club - League])</f>
        <v>Premier League</v>
      </c>
      <c r="C12" s="9" t="str">
        <f>_xlfn.XLOOKUP(B12,Club_Leagues[Club - League],Club_Leagues[Football Association])</f>
        <v>England</v>
      </c>
      <c r="D12" s="42">
        <f>COUNTIF(Squads[Current Club],'Club Representation info'!A12)</f>
        <v>11</v>
      </c>
      <c r="F12" s="42" t="s">
        <v>18</v>
      </c>
      <c r="G12" s="9">
        <v>24</v>
      </c>
      <c r="I12" s="42" t="s">
        <v>980</v>
      </c>
      <c r="J12" s="9">
        <v>11</v>
      </c>
      <c r="N12" s="45" t="s">
        <v>1112</v>
      </c>
      <c r="O12" s="46">
        <f>_xlfn.QUARTILE.EXC($D$3:$D$298,1)</f>
        <v>1</v>
      </c>
      <c r="Q12" s="45" t="s">
        <v>1112</v>
      </c>
      <c r="R12" s="46">
        <f>_xlfn.QUARTILE.EXC($G$3:$G$43,1)</f>
        <v>7</v>
      </c>
    </row>
    <row r="13" spans="1:18" x14ac:dyDescent="0.25">
      <c r="A13" s="9" t="str">
        <v>Bayer Leverkusen</v>
      </c>
      <c r="B13" s="9" t="str">
        <f>_xlfn.XLOOKUP(A13,Clubs[Current Club],Clubs[Club - League])</f>
        <v>Bundesliga</v>
      </c>
      <c r="C13" s="9" t="str">
        <f>_xlfn.XLOOKUP(B13,Club_Leagues[Club - League],Club_Leagues[Football Association])</f>
        <v>Germany</v>
      </c>
      <c r="D13" s="42">
        <f>COUNTIF(Squads[Current Club],'Club Representation info'!A13)</f>
        <v>4</v>
      </c>
      <c r="F13" s="42" t="s">
        <v>1032</v>
      </c>
      <c r="G13" s="9">
        <v>20</v>
      </c>
      <c r="I13" s="42" t="s">
        <v>975</v>
      </c>
      <c r="J13" s="9">
        <v>11</v>
      </c>
      <c r="N13" s="45" t="s">
        <v>1113</v>
      </c>
      <c r="O13" s="46">
        <f>_xlfn.QUARTILE.EXC($D$3:$D$298,3)</f>
        <v>3</v>
      </c>
      <c r="Q13" s="45" t="s">
        <v>1113</v>
      </c>
      <c r="R13" s="46">
        <f>_xlfn.QUARTILE.EXC($G$3:$G$43,3)</f>
        <v>35</v>
      </c>
    </row>
    <row r="14" spans="1:18" x14ac:dyDescent="0.25">
      <c r="A14" s="9" t="str">
        <v>Atlanta United FC</v>
      </c>
      <c r="B14" s="9" t="str">
        <f>_xlfn.XLOOKUP(A14,Clubs[Current Club],Clubs[Club - League])</f>
        <v>MLS</v>
      </c>
      <c r="C14" s="9" t="str">
        <f>_xlfn.XLOOKUP(B14,Club_Leagues[Club - League],Club_Leagues[Football Association])</f>
        <v>USA</v>
      </c>
      <c r="D14" s="42">
        <f>COUNTIF(Squads[Current Club],'Club Representation info'!A14)</f>
        <v>1</v>
      </c>
      <c r="F14" s="42" t="s">
        <v>38</v>
      </c>
      <c r="G14" s="9">
        <v>19</v>
      </c>
      <c r="I14" s="42" t="s">
        <v>967</v>
      </c>
      <c r="J14" s="9">
        <v>11</v>
      </c>
      <c r="N14" s="45" t="s">
        <v>1571</v>
      </c>
      <c r="O14" s="46">
        <f>O13-O12</f>
        <v>2</v>
      </c>
      <c r="Q14" s="45" t="s">
        <v>1571</v>
      </c>
      <c r="R14" s="46">
        <f>R13-R12</f>
        <v>28</v>
      </c>
    </row>
    <row r="15" spans="1:18" x14ac:dyDescent="0.25">
      <c r="A15" s="9" t="str">
        <v>Benfica</v>
      </c>
      <c r="B15" s="9" t="str">
        <f>_xlfn.XLOOKUP(A15,Clubs[Current Club],Clubs[Club - League])</f>
        <v>Primeira Liga</v>
      </c>
      <c r="C15" s="9" t="str">
        <f>_xlfn.XLOOKUP(B15,Club_Leagues[Club - League],Club_Leagues[Football Association])</f>
        <v>Portugal</v>
      </c>
      <c r="D15" s="42">
        <f>COUNTIF(Squads[Current Club],'Club Representation info'!A15)</f>
        <v>6</v>
      </c>
      <c r="F15" s="42" t="s">
        <v>4</v>
      </c>
      <c r="G15" s="9">
        <v>19</v>
      </c>
      <c r="I15" s="42" t="s">
        <v>972</v>
      </c>
      <c r="J15" s="9">
        <v>11</v>
      </c>
      <c r="N15" s="9" t="s">
        <v>1569</v>
      </c>
      <c r="O15" s="46">
        <f>_xlfn.STDEV.S($D$3:$D$298)</f>
        <v>2.921942200112293</v>
      </c>
      <c r="Q15" s="9" t="s">
        <v>1569</v>
      </c>
      <c r="R15" s="46">
        <f>_xlfn.STDEV.S($G$3:$G$43)</f>
        <v>144.28276449053871</v>
      </c>
    </row>
    <row r="16" spans="1:18" x14ac:dyDescent="0.25">
      <c r="A16" s="9" t="str">
        <v>Brighton &amp; Hove Albion</v>
      </c>
      <c r="B16" s="9" t="str">
        <f>_xlfn.XLOOKUP(A16,Clubs[Current Club],Clubs[Club - League])</f>
        <v>Premier League</v>
      </c>
      <c r="C16" s="9" t="str">
        <f>_xlfn.XLOOKUP(B16,Club_Leagues[Club - League],Club_Leagues[Football Association])</f>
        <v>England</v>
      </c>
      <c r="D16" s="42">
        <f>COUNTIF(Squads[Current Club],'Club Representation info'!A16)</f>
        <v>8</v>
      </c>
      <c r="F16" s="42" t="s">
        <v>29</v>
      </c>
      <c r="G16" s="9">
        <v>17</v>
      </c>
      <c r="I16" s="42" t="s">
        <v>953</v>
      </c>
      <c r="J16" s="9">
        <v>11</v>
      </c>
      <c r="N16" s="45" t="s">
        <v>1570</v>
      </c>
      <c r="O16" s="46">
        <f>_xlfn.VAR.S($D$3:$D$298)</f>
        <v>8.537746220797068</v>
      </c>
      <c r="Q16" s="45" t="s">
        <v>1570</v>
      </c>
      <c r="R16" s="46">
        <f>_xlfn.VAR.S($G$3:$G$43)</f>
        <v>20817.516129032258</v>
      </c>
    </row>
    <row r="17" spans="1:18" x14ac:dyDescent="0.25">
      <c r="A17" s="9" t="str">
        <v>Roma</v>
      </c>
      <c r="B17" s="9" t="str">
        <f>_xlfn.XLOOKUP(A17,Clubs[Current Club],Clubs[Club - League])</f>
        <v>Serie A</v>
      </c>
      <c r="C17" s="9" t="str">
        <f>_xlfn.XLOOKUP(B17,Club_Leagues[Club - League],Club_Leagues[Football Association])</f>
        <v>Italy</v>
      </c>
      <c r="D17" s="42">
        <f>COUNTIF(Squads[Current Club],'Club Representation info'!A17)</f>
        <v>4</v>
      </c>
      <c r="F17" s="42" t="s">
        <v>37</v>
      </c>
      <c r="G17" s="9">
        <v>14</v>
      </c>
      <c r="I17" s="42" t="s">
        <v>978</v>
      </c>
      <c r="J17" s="9">
        <v>10</v>
      </c>
      <c r="N17" s="45" t="s">
        <v>1572</v>
      </c>
      <c r="O17" s="46">
        <f>O15/O8</f>
        <v>1.042042037630408</v>
      </c>
      <c r="Q17" s="45" t="s">
        <v>1572</v>
      </c>
      <c r="R17" s="46">
        <f>R15/R8</f>
        <v>2.7678005564397896</v>
      </c>
    </row>
    <row r="18" spans="1:18" x14ac:dyDescent="0.25">
      <c r="A18" s="9" t="str">
        <v>Internazionale</v>
      </c>
      <c r="B18" s="9" t="str">
        <f>_xlfn.XLOOKUP(A18,Clubs[Current Club],Clubs[Club - League])</f>
        <v>Serie A</v>
      </c>
      <c r="C18" s="9" t="str">
        <f>_xlfn.XLOOKUP(B18,Club_Leagues[Club - League],Club_Leagues[Football Association])</f>
        <v>Italy</v>
      </c>
      <c r="D18" s="42">
        <f>COUNTIF(Squads[Current Club],'Club Representation info'!A18)</f>
        <v>6</v>
      </c>
      <c r="F18" s="42" t="s">
        <v>1020</v>
      </c>
      <c r="G18" s="9">
        <v>13</v>
      </c>
      <c r="I18" s="42" t="s">
        <v>971</v>
      </c>
      <c r="J18" s="9">
        <v>10</v>
      </c>
    </row>
    <row r="19" spans="1:18" x14ac:dyDescent="0.25">
      <c r="A19" s="9" t="str">
        <v>Aston Villa</v>
      </c>
      <c r="B19" s="9" t="str">
        <f>_xlfn.XLOOKUP(A19,Clubs[Current Club],Clubs[Club - League])</f>
        <v>Premier League</v>
      </c>
      <c r="C19" s="9" t="str">
        <f>_xlfn.XLOOKUP(B19,Club_Leagues[Club - League],Club_Leagues[Football Association])</f>
        <v>England</v>
      </c>
      <c r="D19" s="42">
        <f>COUNTIF(Squads[Current Club],'Club Representation info'!A19)</f>
        <v>4</v>
      </c>
      <c r="F19" s="42" t="s">
        <v>1029</v>
      </c>
      <c r="G19" s="9">
        <v>13</v>
      </c>
      <c r="I19" s="42" t="s">
        <v>952</v>
      </c>
      <c r="J19" s="9">
        <v>8</v>
      </c>
    </row>
    <row r="20" spans="1:18" x14ac:dyDescent="0.25">
      <c r="A20" s="9" t="str">
        <v>Manchester United</v>
      </c>
      <c r="B20" s="9" t="str">
        <f>_xlfn.XLOOKUP(A20,Clubs[Current Club],Clubs[Club - League])</f>
        <v>Premier League</v>
      </c>
      <c r="C20" s="9" t="str">
        <f>_xlfn.XLOOKUP(B20,Club_Leagues[Club - League],Club_Leagues[Football Association])</f>
        <v>England</v>
      </c>
      <c r="D20" s="42">
        <f>COUNTIF(Squads[Current Club],'Club Representation info'!A20)</f>
        <v>14</v>
      </c>
      <c r="F20" s="42" t="s">
        <v>27</v>
      </c>
      <c r="G20" s="9">
        <v>10</v>
      </c>
      <c r="I20" s="42" t="s">
        <v>959</v>
      </c>
      <c r="J20" s="9">
        <v>8</v>
      </c>
    </row>
    <row r="21" spans="1:18" x14ac:dyDescent="0.25">
      <c r="A21" s="9" t="str">
        <v>Copenhagen</v>
      </c>
      <c r="B21" s="9" t="str">
        <f>_xlfn.XLOOKUP(A21,Clubs[Current Club],Clubs[Club - League])</f>
        <v>Superliga</v>
      </c>
      <c r="C21" s="9" t="str">
        <f>_xlfn.XLOOKUP(B21,Club_Leagues[Club - League],Club_Leagues[Football Association])</f>
        <v>Denmark</v>
      </c>
      <c r="D21" s="42">
        <f>COUNTIF(Squads[Current Club],'Club Representation info'!A21)</f>
        <v>3</v>
      </c>
      <c r="F21" s="42" t="s">
        <v>33</v>
      </c>
      <c r="G21" s="9">
        <v>9</v>
      </c>
      <c r="I21" s="42" t="s">
        <v>969</v>
      </c>
      <c r="J21" s="9">
        <v>8</v>
      </c>
    </row>
    <row r="22" spans="1:18" x14ac:dyDescent="0.25">
      <c r="A22" s="9" t="str">
        <v>Columbus Crew</v>
      </c>
      <c r="B22" s="9" t="str">
        <f>_xlfn.XLOOKUP(A22,Clubs[Current Club],Clubs[Club - League])</f>
        <v>MLS</v>
      </c>
      <c r="C22" s="9" t="str">
        <f>_xlfn.XLOOKUP(B22,Club_Leagues[Club - League],Club_Leagues[Football Association])</f>
        <v>USA</v>
      </c>
      <c r="D22" s="42">
        <f>COUNTIF(Squads[Current Club],'Club Representation info'!A22)</f>
        <v>1</v>
      </c>
      <c r="F22" s="42" t="s">
        <v>7</v>
      </c>
      <c r="G22" s="9">
        <v>9</v>
      </c>
      <c r="I22" s="42" t="s">
        <v>968</v>
      </c>
      <c r="J22" s="9">
        <v>7</v>
      </c>
    </row>
    <row r="23" spans="1:18" x14ac:dyDescent="0.25">
      <c r="A23" s="9" t="str">
        <v>Heart of Midlothian</v>
      </c>
      <c r="B23" s="9" t="str">
        <f>_xlfn.XLOOKUP(A23,Clubs[Current Club],Clubs[Club - League])</f>
        <v>Premiership</v>
      </c>
      <c r="C23" s="9" t="str">
        <f>_xlfn.XLOOKUP(B23,Club_Leagues[Club - League],Club_Leagues[Football Association])</f>
        <v>Scotland</v>
      </c>
      <c r="D23" s="42">
        <f>COUNTIF(Squads[Current Club],'Club Representation info'!A23)</f>
        <v>3</v>
      </c>
      <c r="F23" s="42" t="s">
        <v>16</v>
      </c>
      <c r="G23" s="9">
        <v>8</v>
      </c>
      <c r="I23" s="42" t="s">
        <v>966</v>
      </c>
      <c r="J23" s="9">
        <v>7</v>
      </c>
    </row>
    <row r="24" spans="1:18" x14ac:dyDescent="0.25">
      <c r="A24" s="9" t="str">
        <v>Brescia</v>
      </c>
      <c r="B24" s="9" t="str">
        <f>_xlfn.XLOOKUP(A24,Clubs[Current Club],Clubs[Club - League])</f>
        <v>Serie B</v>
      </c>
      <c r="C24" s="9" t="str">
        <f>_xlfn.XLOOKUP(B24,Club_Leagues[Club - League],Club_Leagues[Football Association])</f>
        <v>Italy</v>
      </c>
      <c r="D24" s="42">
        <f>COUNTIF(Squads[Current Club],'Club Representation info'!A24)</f>
        <v>1</v>
      </c>
      <c r="F24" s="42" t="s">
        <v>17</v>
      </c>
      <c r="G24" s="9">
        <v>8</v>
      </c>
      <c r="I24" s="42" t="s">
        <v>987</v>
      </c>
      <c r="J24" s="9">
        <v>7</v>
      </c>
    </row>
    <row r="25" spans="1:18" x14ac:dyDescent="0.25">
      <c r="A25" s="9" t="str">
        <v>Hibernian</v>
      </c>
      <c r="B25" s="9" t="str">
        <f>_xlfn.XLOOKUP(A25,Clubs[Current Club],Clubs[Club - League])</f>
        <v>Premiership</v>
      </c>
      <c r="C25" s="9" t="str">
        <f>_xlfn.XLOOKUP(B25,Club_Leagues[Club - League],Club_Leagues[Football Association])</f>
        <v>Scotland</v>
      </c>
      <c r="D25" s="42">
        <f>COUNTIF(Squads[Current Club],'Club Representation info'!A25)</f>
        <v>1</v>
      </c>
      <c r="F25" s="42" t="s">
        <v>21</v>
      </c>
      <c r="G25" s="9">
        <v>7</v>
      </c>
      <c r="I25" s="42" t="s">
        <v>962</v>
      </c>
      <c r="J25" s="9">
        <v>7</v>
      </c>
    </row>
    <row r="26" spans="1:18" x14ac:dyDescent="0.25">
      <c r="A26" s="9" t="str">
        <v>Melbourne City</v>
      </c>
      <c r="B26" s="9" t="str">
        <f>_xlfn.XLOOKUP(A26,Clubs[Current Club],Clubs[Club - League])</f>
        <v>A League</v>
      </c>
      <c r="C26" s="9" t="str">
        <f>_xlfn.XLOOKUP(B26,Club_Leagues[Club - League],Club_Leagues[Football Association])</f>
        <v>Australia</v>
      </c>
      <c r="D26" s="42">
        <f>COUNTIF(Squads[Current Club],'Club Representation info'!A26)</f>
        <v>2</v>
      </c>
      <c r="F26" s="42" t="s">
        <v>1059</v>
      </c>
      <c r="G26" s="9">
        <v>7</v>
      </c>
      <c r="I26" s="42" t="s">
        <v>965</v>
      </c>
      <c r="J26" s="9">
        <v>7</v>
      </c>
    </row>
    <row r="27" spans="1:18" x14ac:dyDescent="0.25">
      <c r="A27" s="9" t="str">
        <v>Sunderland</v>
      </c>
      <c r="B27" s="9" t="str">
        <f>_xlfn.XLOOKUP(A27,Clubs[Current Club],Clubs[Club - League])</f>
        <v>Championship</v>
      </c>
      <c r="C27" s="9" t="str">
        <f>_xlfn.XLOOKUP(B27,Club_Leagues[Club - League],Club_Leagues[Football Association])</f>
        <v>England</v>
      </c>
      <c r="D27" s="42">
        <f>COUNTIF(Squads[Current Club],'Club Representation info'!A27)</f>
        <v>2</v>
      </c>
      <c r="F27" s="42" t="s">
        <v>24</v>
      </c>
      <c r="G27" s="9">
        <v>7</v>
      </c>
      <c r="I27" s="42" t="s">
        <v>956</v>
      </c>
      <c r="J27" s="9">
        <v>7</v>
      </c>
    </row>
    <row r="28" spans="1:18" x14ac:dyDescent="0.25">
      <c r="A28" s="9" t="str">
        <v>Hellas Verona</v>
      </c>
      <c r="B28" s="9" t="str">
        <f>_xlfn.XLOOKUP(A28,Clubs[Current Club],Clubs[Club - League])</f>
        <v>Serie A</v>
      </c>
      <c r="C28" s="9" t="str">
        <f>_xlfn.XLOOKUP(B28,Club_Leagues[Club - League],Club_Leagues[Football Association])</f>
        <v>Italy</v>
      </c>
      <c r="D28" s="42">
        <f>COUNTIF(Squads[Current Club],'Club Representation info'!A28)</f>
        <v>4</v>
      </c>
      <c r="F28" s="42" t="s">
        <v>13</v>
      </c>
      <c r="G28" s="9">
        <v>6</v>
      </c>
      <c r="I28" s="42" t="s">
        <v>983</v>
      </c>
      <c r="J28" s="9">
        <v>7</v>
      </c>
    </row>
    <row r="29" spans="1:18" x14ac:dyDescent="0.25">
      <c r="A29" s="9" t="str">
        <v>Cádiz</v>
      </c>
      <c r="B29" s="9" t="str">
        <f>_xlfn.XLOOKUP(A29,Clubs[Current Club],Clubs[Club - League])</f>
        <v>La Liga</v>
      </c>
      <c r="C29" s="9" t="str">
        <f>_xlfn.XLOOKUP(B29,Club_Leagues[Club - League],Club_Leagues[Football Association])</f>
        <v>Spain</v>
      </c>
      <c r="D29" s="42">
        <f>COUNTIF(Squads[Current Club],'Club Representation info'!A29)</f>
        <v>1</v>
      </c>
      <c r="F29" s="42" t="s">
        <v>19</v>
      </c>
      <c r="G29" s="9">
        <v>4</v>
      </c>
      <c r="I29" s="42" t="s">
        <v>981</v>
      </c>
      <c r="J29" s="9">
        <v>6</v>
      </c>
    </row>
    <row r="30" spans="1:18" x14ac:dyDescent="0.25">
      <c r="A30" s="9" t="str">
        <v>Sydney FC</v>
      </c>
      <c r="B30" s="9" t="str">
        <f>_xlfn.XLOOKUP(A30,Clubs[Current Club],Clubs[Club - League])</f>
        <v>A League</v>
      </c>
      <c r="C30" s="9" t="str">
        <f>_xlfn.XLOOKUP(B30,Club_Leagues[Club - League],Club_Leagues[Football Association])</f>
        <v>Australia</v>
      </c>
      <c r="D30" s="42">
        <f>COUNTIF(Squads[Current Club],'Club Representation info'!A30)</f>
        <v>1</v>
      </c>
      <c r="F30" s="42" t="s">
        <v>9</v>
      </c>
      <c r="G30" s="9">
        <v>4</v>
      </c>
      <c r="I30" s="42" t="s">
        <v>976</v>
      </c>
      <c r="J30" s="9">
        <v>6</v>
      </c>
    </row>
    <row r="31" spans="1:18" x14ac:dyDescent="0.25">
      <c r="A31" s="9" t="str">
        <v>Celtic</v>
      </c>
      <c r="B31" s="9" t="str">
        <f>_xlfn.XLOOKUP(A31,Clubs[Current Club],Clubs[Club - League])</f>
        <v>Premiership</v>
      </c>
      <c r="C31" s="9" t="str">
        <f>_xlfn.XLOOKUP(B31,Club_Leagues[Club - League],Club_Leagues[Football Association])</f>
        <v>Scotland</v>
      </c>
      <c r="D31" s="42">
        <f>COUNTIF(Squads[Current Club],'Club Representation info'!A31)</f>
        <v>4</v>
      </c>
      <c r="F31" s="42" t="s">
        <v>1039</v>
      </c>
      <c r="G31" s="9">
        <v>4</v>
      </c>
      <c r="I31" s="42" t="s">
        <v>974</v>
      </c>
      <c r="J31" s="9">
        <v>6</v>
      </c>
    </row>
    <row r="32" spans="1:18" x14ac:dyDescent="0.25">
      <c r="A32" s="9" t="str">
        <v>Middlesbrough</v>
      </c>
      <c r="B32" s="9" t="str">
        <f>_xlfn.XLOOKUP(A32,Clubs[Current Club],Clubs[Club - League])</f>
        <v>Championship</v>
      </c>
      <c r="C32" s="9" t="str">
        <f>_xlfn.XLOOKUP(B32,Club_Leagues[Club - League],Club_Leagues[Football Association])</f>
        <v>England</v>
      </c>
      <c r="D32" s="42">
        <f>COUNTIF(Squads[Current Club],'Club Representation info'!A32)</f>
        <v>1</v>
      </c>
      <c r="F32" s="42" t="s">
        <v>23</v>
      </c>
      <c r="G32" s="9">
        <v>3</v>
      </c>
      <c r="I32" s="42" t="s">
        <v>996</v>
      </c>
      <c r="J32" s="9">
        <v>6</v>
      </c>
    </row>
    <row r="33" spans="1:10" x14ac:dyDescent="0.25">
      <c r="A33" s="9" t="str">
        <v>Fagiano Okayama</v>
      </c>
      <c r="B33" s="9" t="str">
        <f>_xlfn.XLOOKUP(A33,Clubs[Current Club],Clubs[Club - League])</f>
        <v>J2 League</v>
      </c>
      <c r="C33" s="9" t="str">
        <f>_xlfn.XLOOKUP(B33,Club_Leagues[Club - League],Club_Leagues[Football Association])</f>
        <v>Japan</v>
      </c>
      <c r="D33" s="42">
        <f>COUNTIF(Squads[Current Club],'Club Representation info'!A33)</f>
        <v>1</v>
      </c>
      <c r="F33" s="42" t="s">
        <v>1102</v>
      </c>
      <c r="G33" s="9">
        <v>808</v>
      </c>
      <c r="I33" s="42" t="s">
        <v>1102</v>
      </c>
      <c r="J33" s="9">
        <v>299</v>
      </c>
    </row>
    <row r="34" spans="1:10" x14ac:dyDescent="0.25">
      <c r="A34" s="9" t="str">
        <v>Dundee United</v>
      </c>
      <c r="B34" s="9" t="str">
        <f>_xlfn.XLOOKUP(A34,Clubs[Current Club],Clubs[Club - League])</f>
        <v>Premiership</v>
      </c>
      <c r="C34" s="9" t="str">
        <f>_xlfn.XLOOKUP(B34,Club_Leagues[Club - League],Club_Leagues[Football Association])</f>
        <v>Scotland</v>
      </c>
      <c r="D34" s="42">
        <f>COUNTIF(Squads[Current Club],'Club Representation info'!A34)</f>
        <v>2</v>
      </c>
    </row>
    <row r="35" spans="1:10" x14ac:dyDescent="0.25">
      <c r="A35" s="9" t="str">
        <v>Central Coast Mariners</v>
      </c>
      <c r="B35" s="9" t="str">
        <f>_xlfn.XLOOKUP(A35,Clubs[Current Club],Clubs[Club - League])</f>
        <v>A League</v>
      </c>
      <c r="C35" s="9" t="str">
        <f>_xlfn.XLOOKUP(B35,Club_Leagues[Club - League],Club_Leagues[Football Association])</f>
        <v>Australia</v>
      </c>
      <c r="D35" s="42">
        <f>COUNTIF(Squads[Current Club],'Club Representation info'!A35)</f>
        <v>3</v>
      </c>
    </row>
    <row r="36" spans="1:10" x14ac:dyDescent="0.25">
      <c r="A36" s="9" t="str">
        <v>Stoke City</v>
      </c>
      <c r="B36" s="9" t="str">
        <f>_xlfn.XLOOKUP(A36,Clubs[Current Club],Clubs[Club - League])</f>
        <v>Championship</v>
      </c>
      <c r="C36" s="9" t="str">
        <f>_xlfn.XLOOKUP(B36,Club_Leagues[Club - League],Club_Leagues[Football Association])</f>
        <v>England</v>
      </c>
      <c r="D36" s="42">
        <f>COUNTIF(Squads[Current Club],'Club Representation info'!A36)</f>
        <v>1</v>
      </c>
    </row>
    <row r="37" spans="1:10" x14ac:dyDescent="0.25">
      <c r="A37" s="9" t="str">
        <v>Albirex Niigata</v>
      </c>
      <c r="B37" s="9" t="str">
        <f>_xlfn.XLOOKUP(A37,Clubs[Current Club],Clubs[Club - League])</f>
        <v>J2 League</v>
      </c>
      <c r="C37" s="9" t="str">
        <f>_xlfn.XLOOKUP(B37,Club_Leagues[Club - League],Club_Leagues[Football Association])</f>
        <v>Japan</v>
      </c>
      <c r="D37" s="42">
        <f>COUNTIF(Squads[Current Club],'Club Representation info'!A37)</f>
        <v>1</v>
      </c>
    </row>
    <row r="38" spans="1:10" x14ac:dyDescent="0.25">
      <c r="A38" s="9" t="str">
        <v>FC St. Pauli</v>
      </c>
      <c r="B38" s="9" t="str">
        <f>_xlfn.XLOOKUP(A38,Clubs[Current Club],Clubs[Club - League])</f>
        <v>2. Bundesliga</v>
      </c>
      <c r="C38" s="9" t="str">
        <f>_xlfn.XLOOKUP(B38,Club_Leagues[Club - League],Club_Leagues[Football Association])</f>
        <v>Germany</v>
      </c>
      <c r="D38" s="42">
        <f>COUNTIF(Squads[Current Club],'Club Representation info'!A38)</f>
        <v>1</v>
      </c>
    </row>
    <row r="39" spans="1:10" x14ac:dyDescent="0.25">
      <c r="A39" s="9" t="str">
        <v>Adelaide United</v>
      </c>
      <c r="B39" s="9" t="str">
        <f>_xlfn.XLOOKUP(A39,Clubs[Current Club],Clubs[Club - League])</f>
        <v>A League</v>
      </c>
      <c r="C39" s="9" t="str">
        <f>_xlfn.XLOOKUP(B39,Club_Leagues[Club - League],Club_Leagues[Football Association])</f>
        <v>Australia</v>
      </c>
      <c r="D39" s="42">
        <f>COUNTIF(Squads[Current Club],'Club Representation info'!A39)</f>
        <v>1</v>
      </c>
    </row>
    <row r="40" spans="1:10" x14ac:dyDescent="0.25">
      <c r="A40" s="9" t="str">
        <v>OB</v>
      </c>
      <c r="B40" s="9" t="str">
        <f>_xlfn.XLOOKUP(A40,Clubs[Current Club],Clubs[Club - League])</f>
        <v>Superliga</v>
      </c>
      <c r="C40" s="9" t="str">
        <f>_xlfn.XLOOKUP(B40,Club_Leagues[Club - League],Club_Leagues[Football Association])</f>
        <v>Denmark</v>
      </c>
      <c r="D40" s="42">
        <f>COUNTIF(Squads[Current Club],'Club Representation info'!A40)</f>
        <v>2</v>
      </c>
    </row>
    <row r="41" spans="1:10" x14ac:dyDescent="0.25">
      <c r="A41" s="9" t="str">
        <v>St Mirren</v>
      </c>
      <c r="B41" s="9" t="str">
        <f>_xlfn.XLOOKUP(A41,Clubs[Current Club],Clubs[Club - League])</f>
        <v>Premiership</v>
      </c>
      <c r="C41" s="9" t="str">
        <f>_xlfn.XLOOKUP(B41,Club_Leagues[Club - League],Club_Leagues[Football Association])</f>
        <v>Scotland</v>
      </c>
      <c r="D41" s="42">
        <f>COUNTIF(Squads[Current Club],'Club Representation info'!A41)</f>
        <v>1</v>
      </c>
    </row>
    <row r="42" spans="1:10" x14ac:dyDescent="0.25">
      <c r="A42" s="9" t="str">
        <v>Real Madrid</v>
      </c>
      <c r="B42" s="9" t="str">
        <f>_xlfn.XLOOKUP(A42,Clubs[Current Club],Clubs[Club - League])</f>
        <v>La Liga</v>
      </c>
      <c r="C42" s="9" t="str">
        <f>_xlfn.XLOOKUP(B42,Club_Leagues[Club - League],Club_Leagues[Football Association])</f>
        <v>Spain</v>
      </c>
      <c r="D42" s="42">
        <f>COUNTIF(Squads[Current Club],'Club Representation info'!A42)</f>
        <v>13</v>
      </c>
    </row>
    <row r="43" spans="1:10" x14ac:dyDescent="0.25">
      <c r="A43" s="9" t="str">
        <v>Antwerp</v>
      </c>
      <c r="B43" s="9" t="str">
        <f>_xlfn.XLOOKUP(A43,Clubs[Current Club],Clubs[Club - League])</f>
        <v>First Division A</v>
      </c>
      <c r="C43" s="9" t="str">
        <f>_xlfn.XLOOKUP(B43,Club_Leagues[Club - League],Club_Leagues[Football Association])</f>
        <v>Belgium</v>
      </c>
      <c r="D43" s="42">
        <f>COUNTIF(Squads[Current Club],'Club Representation info'!A43)</f>
        <v>3</v>
      </c>
    </row>
    <row r="44" spans="1:10" x14ac:dyDescent="0.25">
      <c r="A44" s="9" t="str">
        <v>Rennes</v>
      </c>
      <c r="B44" s="9" t="str">
        <f>_xlfn.XLOOKUP(A44,Clubs[Current Club],Clubs[Club - League])</f>
        <v>Ligue 1</v>
      </c>
      <c r="C44" s="9" t="str">
        <f>_xlfn.XLOOKUP(B44,Club_Leagues[Club - League],Club_Leagues[Football Association])</f>
        <v>France</v>
      </c>
      <c r="D44" s="42">
        <f>COUNTIF(Squads[Current Club],'Club Representation info'!A44)</f>
        <v>8</v>
      </c>
    </row>
    <row r="45" spans="1:10" x14ac:dyDescent="0.25">
      <c r="A45" s="9" t="str">
        <v>Leicester City</v>
      </c>
      <c r="B45" s="9" t="str">
        <f>_xlfn.XLOOKUP(A45,Clubs[Current Club],Clubs[Club - League])</f>
        <v>Premier League</v>
      </c>
      <c r="C45" s="9" t="str">
        <f>_xlfn.XLOOKUP(B45,Club_Leagues[Club - League],Club_Leagues[Football Association])</f>
        <v>England</v>
      </c>
      <c r="D45" s="42">
        <f>COUNTIF(Squads[Current Club],'Club Representation info'!A45)</f>
        <v>7</v>
      </c>
    </row>
    <row r="46" spans="1:10" x14ac:dyDescent="0.25">
      <c r="A46" s="9" t="str">
        <v>Anderlecht</v>
      </c>
      <c r="B46" s="9" t="str">
        <f>_xlfn.XLOOKUP(A46,Clubs[Current Club],Clubs[Club - League])</f>
        <v>First Division A</v>
      </c>
      <c r="C46" s="9" t="str">
        <f>_xlfn.XLOOKUP(B46,Club_Leagues[Club - League],Club_Leagues[Football Association])</f>
        <v>Belgium</v>
      </c>
      <c r="D46" s="42">
        <f>COUNTIF(Squads[Current Club],'Club Representation info'!A46)</f>
        <v>2</v>
      </c>
    </row>
    <row r="47" spans="1:10" x14ac:dyDescent="0.25">
      <c r="A47" s="9" t="str">
        <v>Club Brugge</v>
      </c>
      <c r="B47" s="9" t="str">
        <f>_xlfn.XLOOKUP(A47,Clubs[Current Club],Clubs[Club - League])</f>
        <v>First Division A</v>
      </c>
      <c r="C47" s="9" t="str">
        <f>_xlfn.XLOOKUP(B47,Club_Leagues[Club - League],Club_Leagues[Football Association])</f>
        <v>Belgium</v>
      </c>
      <c r="D47" s="42">
        <f>COUNTIF(Squads[Current Club],'Club Representation info'!A47)</f>
        <v>8</v>
      </c>
    </row>
    <row r="48" spans="1:10" x14ac:dyDescent="0.25">
      <c r="A48" s="9" t="str">
        <v>VfL Wolfsburg</v>
      </c>
      <c r="B48" s="9" t="str">
        <f>_xlfn.XLOOKUP(A48,Clubs[Current Club],Clubs[Club - League])</f>
        <v>Bundesliga</v>
      </c>
      <c r="C48" s="9" t="str">
        <f>_xlfn.XLOOKUP(B48,Club_Leagues[Club - League],Club_Leagues[Football Association])</f>
        <v>Germany</v>
      </c>
      <c r="D48" s="42">
        <f>COUNTIF(Squads[Current Club],'Club Representation info'!A48)</f>
        <v>3</v>
      </c>
    </row>
    <row r="49" spans="1:4" x14ac:dyDescent="0.25">
      <c r="A49" s="9" t="str">
        <v>Galatasaray</v>
      </c>
      <c r="B49" s="9" t="str">
        <f>_xlfn.XLOOKUP(A49,Clubs[Current Club],Clubs[Club - League])</f>
        <v>Super Lig</v>
      </c>
      <c r="C49" s="9" t="str">
        <f>_xlfn.XLOOKUP(B49,Club_Leagues[Club - League],Club_Leagues[Football Association])</f>
        <v>Turkey</v>
      </c>
      <c r="D49" s="42">
        <f>COUNTIF(Squads[Current Club],'Club Representation info'!A49)</f>
        <v>5</v>
      </c>
    </row>
    <row r="50" spans="1:4" x14ac:dyDescent="0.25">
      <c r="A50" s="9" t="str">
        <v>Borussia Dortmund</v>
      </c>
      <c r="B50" s="9" t="str">
        <f>_xlfn.XLOOKUP(A50,Clubs[Current Club],Clubs[Club - League])</f>
        <v>Bundesliga</v>
      </c>
      <c r="C50" s="9" t="str">
        <f>_xlfn.XLOOKUP(B50,Club_Leagues[Club - League],Club_Leagues[Football Association])</f>
        <v>Germany</v>
      </c>
      <c r="D50" s="42">
        <f>COUNTIF(Squads[Current Club],'Club Representation info'!A50)</f>
        <v>11</v>
      </c>
    </row>
    <row r="51" spans="1:4" x14ac:dyDescent="0.25">
      <c r="A51" s="9" t="str">
        <v>Everton</v>
      </c>
      <c r="B51" s="9" t="str">
        <f>_xlfn.XLOOKUP(A51,Clubs[Current Club],Clubs[Club - League])</f>
        <v>Premier League</v>
      </c>
      <c r="C51" s="9" t="str">
        <f>_xlfn.XLOOKUP(B51,Club_Leagues[Club - League],Club_Leagues[Football Association])</f>
        <v>England</v>
      </c>
      <c r="D51" s="42">
        <f>COUNTIF(Squads[Current Club],'Club Representation info'!A51)</f>
        <v>4</v>
      </c>
    </row>
    <row r="52" spans="1:4" x14ac:dyDescent="0.25">
      <c r="A52" s="9" t="str">
        <v>Milan</v>
      </c>
      <c r="B52" s="9" t="str">
        <f>_xlfn.XLOOKUP(A52,Clubs[Current Club],Clubs[Club - League])</f>
        <v>Serie A</v>
      </c>
      <c r="C52" s="9" t="str">
        <f>_xlfn.XLOOKUP(B52,Club_Leagues[Club - League],Club_Leagues[Football Association])</f>
        <v>Italy</v>
      </c>
      <c r="D52" s="42">
        <f>COUNTIF(Squads[Current Club],'Club Representation info'!A52)</f>
        <v>7</v>
      </c>
    </row>
    <row r="53" spans="1:4" x14ac:dyDescent="0.25">
      <c r="A53" s="9" t="str">
        <v>Fenerbahçe</v>
      </c>
      <c r="B53" s="9" t="str">
        <f>_xlfn.XLOOKUP(A53,Clubs[Current Club],Clubs[Club - League])</f>
        <v>Super Lig</v>
      </c>
      <c r="C53" s="9" t="str">
        <f>_xlfn.XLOOKUP(B53,Club_Leagues[Club - League],Club_Leagues[Football Association])</f>
        <v>Turkey</v>
      </c>
      <c r="D53" s="42">
        <f>COUNTIF(Squads[Current Club],'Club Representation info'!A53)</f>
        <v>2</v>
      </c>
    </row>
    <row r="54" spans="1:4" x14ac:dyDescent="0.25">
      <c r="A54" s="9" t="str">
        <v>Lens</v>
      </c>
      <c r="B54" s="9" t="str">
        <f>_xlfn.XLOOKUP(A54,Clubs[Current Club],Clubs[Club - League])</f>
        <v>Ligue 1</v>
      </c>
      <c r="C54" s="9" t="str">
        <f>_xlfn.XLOOKUP(B54,Club_Leagues[Club - League],Club_Leagues[Football Association])</f>
        <v>France</v>
      </c>
      <c r="D54" s="42">
        <f>COUNTIF(Squads[Current Club],'Club Representation info'!A54)</f>
        <v>3</v>
      </c>
    </row>
    <row r="55" spans="1:4" x14ac:dyDescent="0.25">
      <c r="A55" s="9" t="str">
        <v>Liverpool</v>
      </c>
      <c r="B55" s="9" t="str">
        <f>_xlfn.XLOOKUP(A55,Clubs[Current Club],Clubs[Club - League])</f>
        <v>Premier League</v>
      </c>
      <c r="C55" s="9" t="str">
        <f>_xlfn.XLOOKUP(B55,Club_Leagues[Club - League],Club_Leagues[Football Association])</f>
        <v>England</v>
      </c>
      <c r="D55" s="42">
        <f>COUNTIF(Squads[Current Club],'Club Representation info'!A55)</f>
        <v>7</v>
      </c>
    </row>
    <row r="56" spans="1:4" x14ac:dyDescent="0.25">
      <c r="A56" s="9" t="str">
        <v>Chelsea</v>
      </c>
      <c r="B56" s="9" t="str">
        <f>_xlfn.XLOOKUP(A56,Clubs[Current Club],Clubs[Club - League])</f>
        <v>Premier League</v>
      </c>
      <c r="C56" s="9" t="str">
        <f>_xlfn.XLOOKUP(B56,Club_Leagues[Club - League],Club_Leagues[Football Association])</f>
        <v>England</v>
      </c>
      <c r="D56" s="42">
        <f>COUNTIF(Squads[Current Club],'Club Representation info'!A56)</f>
        <v>12</v>
      </c>
    </row>
    <row r="57" spans="1:4" x14ac:dyDescent="0.25">
      <c r="A57" s="9" t="str">
        <v>West Ham United</v>
      </c>
      <c r="B57" s="9" t="str">
        <f>_xlfn.XLOOKUP(A57,Clubs[Current Club],Clubs[Club - League])</f>
        <v>Premier League</v>
      </c>
      <c r="C57" s="9" t="str">
        <f>_xlfn.XLOOKUP(B57,Club_Leagues[Club - League],Club_Leagues[Football Association])</f>
        <v>England</v>
      </c>
      <c r="D57" s="42">
        <f>COUNTIF(Squads[Current Club],'Club Representation info'!A57)</f>
        <v>5</v>
      </c>
    </row>
    <row r="58" spans="1:4" x14ac:dyDescent="0.25">
      <c r="A58" s="9" t="str">
        <v>Barcelona</v>
      </c>
      <c r="B58" s="9" t="str">
        <f>_xlfn.XLOOKUP(A58,Clubs[Current Club],Clubs[Club - League])</f>
        <v>La Liga</v>
      </c>
      <c r="C58" s="9" t="str">
        <f>_xlfn.XLOOKUP(B58,Club_Leagues[Club - League],Club_Leagues[Football Association])</f>
        <v>Spain</v>
      </c>
      <c r="D58" s="42">
        <f>COUNTIF(Squads[Current Club],'Club Representation info'!A58)</f>
        <v>17</v>
      </c>
    </row>
    <row r="59" spans="1:4" x14ac:dyDescent="0.25">
      <c r="A59" s="9" t="str">
        <v>Palmeiras</v>
      </c>
      <c r="B59" s="9" t="str">
        <f>_xlfn.XLOOKUP(A59,Clubs[Current Club],Clubs[Club - League])</f>
        <v>Brasilian Serie A</v>
      </c>
      <c r="C59" s="9" t="str">
        <f>_xlfn.XLOOKUP(B59,Club_Leagues[Club - League],Club_Leagues[Football Association])</f>
        <v>Brasil</v>
      </c>
      <c r="D59" s="42">
        <f>COUNTIF(Squads[Current Club],'Club Representation info'!A59)</f>
        <v>1</v>
      </c>
    </row>
    <row r="60" spans="1:4" x14ac:dyDescent="0.25">
      <c r="A60" s="9" t="str">
        <v>UNAM</v>
      </c>
      <c r="B60" s="9" t="str">
        <f>_xlfn.XLOOKUP(A60,Clubs[Current Club],Clubs[Club - League])</f>
        <v>Liga MX</v>
      </c>
      <c r="C60" s="9" t="str">
        <f>_xlfn.XLOOKUP(B60,Club_Leagues[Club - League],Club_Leagues[Football Association])</f>
        <v>Mexico</v>
      </c>
      <c r="D60" s="42">
        <f>COUNTIF(Squads[Current Club],'Club Representation info'!A60)</f>
        <v>1</v>
      </c>
    </row>
    <row r="61" spans="1:4" x14ac:dyDescent="0.25">
      <c r="A61" s="9" t="str">
        <v>Newcastle United</v>
      </c>
      <c r="B61" s="9" t="str">
        <f>_xlfn.XLOOKUP(A61,Clubs[Current Club],Clubs[Club - League])</f>
        <v>Premier League</v>
      </c>
      <c r="C61" s="9" t="str">
        <f>_xlfn.XLOOKUP(B61,Club_Leagues[Club - League],Club_Leagues[Football Association])</f>
        <v>England</v>
      </c>
      <c r="D61" s="42">
        <f>COUNTIF(Squads[Current Club],'Club Representation info'!A61)</f>
        <v>5</v>
      </c>
    </row>
    <row r="62" spans="1:4" x14ac:dyDescent="0.25">
      <c r="A62" s="9" t="str">
        <v>Arsenal</v>
      </c>
      <c r="B62" s="9" t="str">
        <f>_xlfn.XLOOKUP(A62,Clubs[Current Club],Clubs[Club - League])</f>
        <v>Premier League</v>
      </c>
      <c r="C62" s="9" t="str">
        <f>_xlfn.XLOOKUP(B62,Club_Leagues[Club - League],Club_Leagues[Football Association])</f>
        <v>England</v>
      </c>
      <c r="D62" s="42">
        <f>COUNTIF(Squads[Current Club],'Club Representation info'!A62)</f>
        <v>10</v>
      </c>
    </row>
    <row r="63" spans="1:4" x14ac:dyDescent="0.25">
      <c r="A63" s="9" t="str">
        <v>Flamengo</v>
      </c>
      <c r="B63" s="9" t="str">
        <f>_xlfn.XLOOKUP(A63,Clubs[Current Club],Clubs[Club - League])</f>
        <v>Brasilian Serie A</v>
      </c>
      <c r="C63" s="9" t="str">
        <f>_xlfn.XLOOKUP(B63,Club_Leagues[Club - League],Club_Leagues[Football Association])</f>
        <v>Brasil</v>
      </c>
      <c r="D63" s="42">
        <f>COUNTIF(Squads[Current Club],'Club Representation info'!A63)</f>
        <v>4</v>
      </c>
    </row>
    <row r="64" spans="1:4" x14ac:dyDescent="0.25">
      <c r="A64" s="9" t="str">
        <v>Marseille</v>
      </c>
      <c r="B64" s="9" t="str">
        <f>_xlfn.XLOOKUP(A64,Clubs[Current Club],Clubs[Club - League])</f>
        <v>Ligue 1</v>
      </c>
      <c r="C64" s="9" t="str">
        <f>_xlfn.XLOOKUP(B64,Club_Leagues[Club - League],Club_Leagues[Football Association])</f>
        <v>France</v>
      </c>
      <c r="D64" s="42">
        <f>COUNTIF(Squads[Current Club],'Club Representation info'!A64)</f>
        <v>5</v>
      </c>
    </row>
    <row r="65" spans="1:4" x14ac:dyDescent="0.25">
      <c r="A65" s="9" t="str">
        <v>Colombe Sportive</v>
      </c>
      <c r="B65" s="9" t="str">
        <f>_xlfn.XLOOKUP(A65,Clubs[Current Club],Clubs[Club - League])</f>
        <v>Elite One</v>
      </c>
      <c r="C65" s="9" t="str">
        <f>_xlfn.XLOOKUP(B65,Club_Leagues[Club - League],Club_Leagues[Football Association])</f>
        <v>Cameroon</v>
      </c>
      <c r="D65" s="42">
        <f>COUNTIF(Squads[Current Club],'Club Representation info'!A65)</f>
        <v>1</v>
      </c>
    </row>
    <row r="66" spans="1:4" x14ac:dyDescent="0.25">
      <c r="A66" s="9" t="str">
        <v>Aris</v>
      </c>
      <c r="B66" s="9" t="str">
        <f>_xlfn.XLOOKUP(A66,Clubs[Current Club],Clubs[Club - League])</f>
        <v>Super League 1</v>
      </c>
      <c r="C66" s="9" t="str">
        <f>_xlfn.XLOOKUP(B66,Club_Leagues[Club - League],Club_Leagues[Football Association])</f>
        <v>Greece</v>
      </c>
      <c r="D66" s="42">
        <f>COUNTIF(Squads[Current Club],'Club Representation info'!A66)</f>
        <v>1</v>
      </c>
    </row>
    <row r="67" spans="1:4" x14ac:dyDescent="0.25">
      <c r="A67" s="9" t="str">
        <v>Hannover 96</v>
      </c>
      <c r="B67" s="9" t="str">
        <f>_xlfn.XLOOKUP(A67,Clubs[Current Club],Clubs[Club - League])</f>
        <v>2. Bundesliga</v>
      </c>
      <c r="C67" s="9" t="str">
        <f>_xlfn.XLOOKUP(B67,Club_Leagues[Club - League],Club_Leagues[Football Association])</f>
        <v>Germany</v>
      </c>
      <c r="D67" s="42">
        <f>COUNTIF(Squads[Current Club],'Club Representation info'!A67)</f>
        <v>1</v>
      </c>
    </row>
    <row r="68" spans="1:4" x14ac:dyDescent="0.25">
      <c r="A68" s="9" t="str">
        <v>Dynamo Moscow</v>
      </c>
      <c r="B68" s="9" t="str">
        <f>_xlfn.XLOOKUP(A68,Clubs[Current Club],Clubs[Club - League])</f>
        <v>Premier League - Russia</v>
      </c>
      <c r="C68" s="9" t="str">
        <f>_xlfn.XLOOKUP(B68,Club_Leagues[Club - League],Club_Leagues[Football Association])</f>
        <v>Russia</v>
      </c>
      <c r="D68" s="42">
        <f>COUNTIF(Squads[Current Club],'Club Representation info'!A68)</f>
        <v>1</v>
      </c>
    </row>
    <row r="69" spans="1:4" x14ac:dyDescent="0.25">
      <c r="A69" s="9" t="str">
        <v>Beşiktaş</v>
      </c>
      <c r="B69" s="9" t="str">
        <f>_xlfn.XLOOKUP(A69,Clubs[Current Club],Clubs[Club - League])</f>
        <v>Super Lig</v>
      </c>
      <c r="C69" s="9" t="str">
        <f>_xlfn.XLOOKUP(B69,Club_Leagues[Club - League],Club_Leagues[Football Association])</f>
        <v>Turkey</v>
      </c>
      <c r="D69" s="42">
        <f>COUNTIF(Squads[Current Club],'Club Representation info'!A69)</f>
        <v>4</v>
      </c>
    </row>
    <row r="70" spans="1:4" x14ac:dyDescent="0.25">
      <c r="A70" s="9" t="str">
        <v>Napoli</v>
      </c>
      <c r="B70" s="9" t="str">
        <f>_xlfn.XLOOKUP(A70,Clubs[Current Club],Clubs[Club - League])</f>
        <v>Serie A</v>
      </c>
      <c r="C70" s="9" t="str">
        <f>_xlfn.XLOOKUP(B70,Club_Leagues[Club - League],Club_Leagues[Football Association])</f>
        <v>Italy</v>
      </c>
      <c r="D70" s="42">
        <f>COUNTIF(Squads[Current Club],'Club Representation info'!A70)</f>
        <v>5</v>
      </c>
    </row>
    <row r="71" spans="1:4" x14ac:dyDescent="0.25">
      <c r="A71" s="9" t="str">
        <v>Young Boys</v>
      </c>
      <c r="B71" s="9" t="str">
        <f>_xlfn.XLOOKUP(A71,Clubs[Current Club],Clubs[Club - League])</f>
        <v>Super League</v>
      </c>
      <c r="C71" s="9" t="str">
        <f>_xlfn.XLOOKUP(B71,Club_Leagues[Club - League],Club_Leagues[Football Association])</f>
        <v>Switzerland</v>
      </c>
      <c r="D71" s="42">
        <f>COUNTIF(Squads[Current Club],'Club Representation info'!A71)</f>
        <v>3</v>
      </c>
    </row>
    <row r="72" spans="1:4" x14ac:dyDescent="0.25">
      <c r="A72" s="9" t="str">
        <v>Al-Nassr</v>
      </c>
      <c r="B72" s="9" t="str">
        <f>_xlfn.XLOOKUP(A72,Clubs[Current Club],Clubs[Club - League])</f>
        <v>Saudi Division 1</v>
      </c>
      <c r="C72" s="9" t="str">
        <f>_xlfn.XLOOKUP(B72,Club_Leagues[Club - League],Club_Leagues[Football Association])</f>
        <v>Saudi Arabia</v>
      </c>
      <c r="D72" s="42">
        <f>COUNTIF(Squads[Current Club],'Club Representation info'!A72)</f>
        <v>7</v>
      </c>
    </row>
    <row r="73" spans="1:4" x14ac:dyDescent="0.25">
      <c r="A73" s="9" t="str">
        <v>Shanghai Shenhua</v>
      </c>
      <c r="B73" s="9" t="str">
        <f>_xlfn.XLOOKUP(A73,Clubs[Current Club],Clubs[Club - League])</f>
        <v>CSL</v>
      </c>
      <c r="C73" s="9" t="str">
        <f>_xlfn.XLOOKUP(B73,Club_Leagues[Club - League],Club_Leagues[Football Association])</f>
        <v>China</v>
      </c>
      <c r="D73" s="42">
        <f>COUNTIF(Squads[Current Club],'Club Representation info'!A73)</f>
        <v>1</v>
      </c>
    </row>
    <row r="74" spans="1:4" x14ac:dyDescent="0.25">
      <c r="A74" s="9" t="str">
        <v>Bayern Munich</v>
      </c>
      <c r="B74" s="9" t="str">
        <f>_xlfn.XLOOKUP(A74,Clubs[Current Club],Clubs[Club - League])</f>
        <v>Bundesliga</v>
      </c>
      <c r="C74" s="9" t="str">
        <f>_xlfn.XLOOKUP(B74,Club_Leagues[Club - League],Club_Leagues[Football Association])</f>
        <v>Germany</v>
      </c>
      <c r="D74" s="42">
        <f>COUNTIF(Squads[Current Club],'Club Representation info'!A74)</f>
        <v>16</v>
      </c>
    </row>
    <row r="75" spans="1:4" x14ac:dyDescent="0.25">
      <c r="A75" s="9" t="str">
        <v>Mechelen</v>
      </c>
      <c r="B75" s="9" t="str">
        <f>_xlfn.XLOOKUP(A75,Clubs[Current Club],Clubs[Club - League])</f>
        <v>First Division A</v>
      </c>
      <c r="C75" s="9" t="str">
        <f>_xlfn.XLOOKUP(B75,Club_Leagues[Club - League],Club_Leagues[Football Association])</f>
        <v>Belgium</v>
      </c>
      <c r="D75" s="42">
        <f>COUNTIF(Squads[Current Club],'Club Representation info'!A75)</f>
        <v>1</v>
      </c>
    </row>
    <row r="76" spans="1:4" x14ac:dyDescent="0.25">
      <c r="A76" s="9" t="str">
        <v>Olympiacos</v>
      </c>
      <c r="B76" s="9" t="str">
        <f>_xlfn.XLOOKUP(A76,Clubs[Current Club],Clubs[Club - League])</f>
        <v>Super League 1</v>
      </c>
      <c r="C76" s="9" t="str">
        <f>_xlfn.XLOOKUP(B76,Club_Leagues[Club - League],Club_Leagues[Football Association])</f>
        <v>Greece</v>
      </c>
      <c r="D76" s="42">
        <f>COUNTIF(Squads[Current Club],'Club Representation info'!A76)</f>
        <v>4</v>
      </c>
    </row>
    <row r="77" spans="1:4" x14ac:dyDescent="0.25">
      <c r="A77" s="9" t="str">
        <v>Abha</v>
      </c>
      <c r="B77" s="9" t="str">
        <f>_xlfn.XLOOKUP(A77,Clubs[Current Club],Clubs[Club - League])</f>
        <v>Saudi Division 1</v>
      </c>
      <c r="C77" s="9" t="str">
        <f>_xlfn.XLOOKUP(B77,Club_Leagues[Club - League],Club_Leagues[Football Association])</f>
        <v>Saudi Arabia</v>
      </c>
      <c r="D77" s="42">
        <f>COUNTIF(Squads[Current Club],'Club Representation info'!A77)</f>
        <v>2</v>
      </c>
    </row>
    <row r="78" spans="1:4" x14ac:dyDescent="0.25">
      <c r="A78" s="9" t="str">
        <v>Philadelphia Union</v>
      </c>
      <c r="B78" s="9" t="str">
        <f>_xlfn.XLOOKUP(A78,Clubs[Current Club],Clubs[Club - League])</f>
        <v>MLS</v>
      </c>
      <c r="C78" s="9" t="str">
        <f>_xlfn.XLOOKUP(B78,Club_Leagues[Club - League],Club_Leagues[Football Association])</f>
        <v>USA</v>
      </c>
      <c r="D78" s="42">
        <f>COUNTIF(Squads[Current Club],'Club Representation info'!A78)</f>
        <v>1</v>
      </c>
    </row>
    <row r="79" spans="1:4" x14ac:dyDescent="0.25">
      <c r="A79" s="9" t="str">
        <v>Al-Tai</v>
      </c>
      <c r="B79" s="9" t="str">
        <f>_xlfn.XLOOKUP(A79,Clubs[Current Club],Clubs[Club - League])</f>
        <v>Saudi Division 1</v>
      </c>
      <c r="C79" s="9" t="str">
        <f>_xlfn.XLOOKUP(B79,Club_Leagues[Club - League],Club_Leagues[Football Association])</f>
        <v>Saudi Arabia</v>
      </c>
      <c r="D79" s="42">
        <f>COUNTIF(Squads[Current Club],'Club Representation info'!A79)</f>
        <v>1</v>
      </c>
    </row>
    <row r="80" spans="1:4" x14ac:dyDescent="0.25">
      <c r="A80" s="9" t="str">
        <v>Brentford</v>
      </c>
      <c r="B80" s="9" t="str">
        <f>_xlfn.XLOOKUP(A80,Clubs[Current Club],Clubs[Club - League])</f>
        <v>Premier League</v>
      </c>
      <c r="C80" s="9" t="str">
        <f>_xlfn.XLOOKUP(B80,Club_Leagues[Club - League],Club_Leagues[Football Association])</f>
        <v>England</v>
      </c>
      <c r="D80" s="42">
        <f>COUNTIF(Squads[Current Club],'Club Representation info'!A80)</f>
        <v>6</v>
      </c>
    </row>
    <row r="81" spans="1:4" x14ac:dyDescent="0.25">
      <c r="A81" s="9" t="str">
        <v>Nantes</v>
      </c>
      <c r="B81" s="9" t="str">
        <f>_xlfn.XLOOKUP(A81,Clubs[Current Club],Clubs[Club - League])</f>
        <v>Ligue 1</v>
      </c>
      <c r="C81" s="9" t="str">
        <f>_xlfn.XLOOKUP(B81,Club_Leagues[Club - League],Club_Leagues[Football Association])</f>
        <v>France</v>
      </c>
      <c r="D81" s="42">
        <f>COUNTIF(Squads[Current Club],'Club Representation info'!A81)</f>
        <v>1</v>
      </c>
    </row>
    <row r="82" spans="1:4" x14ac:dyDescent="0.25">
      <c r="A82" s="9" t="str">
        <v>Swansea City</v>
      </c>
      <c r="B82" s="9" t="str">
        <f>_xlfn.XLOOKUP(A82,Clubs[Current Club],Clubs[Club - League])</f>
        <v>Championship</v>
      </c>
      <c r="C82" s="9" t="str">
        <f>_xlfn.XLOOKUP(B82,Club_Leagues[Club - League],Club_Leagues[Football Association])</f>
        <v>England</v>
      </c>
      <c r="D82" s="42">
        <f>COUNTIF(Squads[Current Club],'Club Representation info'!A82)</f>
        <v>3</v>
      </c>
    </row>
    <row r="83" spans="1:4" x14ac:dyDescent="0.25">
      <c r="A83" s="9" t="str">
        <v>Udinese</v>
      </c>
      <c r="B83" s="9" t="str">
        <f>_xlfn.XLOOKUP(A83,Clubs[Current Club],Clubs[Club - League])</f>
        <v>Serie A</v>
      </c>
      <c r="C83" s="9" t="str">
        <f>_xlfn.XLOOKUP(B83,Club_Leagues[Club - League],Club_Leagues[Football Association])</f>
        <v>Italy</v>
      </c>
      <c r="D83" s="42">
        <f>COUNTIF(Squads[Current Club],'Club Representation info'!A83)</f>
        <v>1</v>
      </c>
    </row>
    <row r="84" spans="1:4" x14ac:dyDescent="0.25">
      <c r="A84" s="9" t="str">
        <v>Seattle Sounders FC</v>
      </c>
      <c r="B84" s="9" t="str">
        <f>_xlfn.XLOOKUP(A84,Clubs[Current Club],Clubs[Club - League])</f>
        <v>MLS</v>
      </c>
      <c r="C84" s="9" t="str">
        <f>_xlfn.XLOOKUP(B84,Club_Leagues[Club - League],Club_Leagues[Football Association])</f>
        <v>USA</v>
      </c>
      <c r="D84" s="42">
        <f>COUNTIF(Squads[Current Club],'Club Representation info'!A84)</f>
        <v>4</v>
      </c>
    </row>
    <row r="85" spans="1:4" x14ac:dyDescent="0.25">
      <c r="A85" s="9" t="str">
        <v>Coton Sport</v>
      </c>
      <c r="B85" s="9" t="str">
        <f>_xlfn.XLOOKUP(A85,Clubs[Current Club],Clubs[Club - League])</f>
        <v>Elite One</v>
      </c>
      <c r="C85" s="9" t="str">
        <f>_xlfn.XLOOKUP(B85,Club_Leagues[Club - League],Club_Leagues[Football Association])</f>
        <v>Cameroon</v>
      </c>
      <c r="D85" s="42">
        <f>COUNTIF(Squads[Current Club],'Club Representation info'!A85)</f>
        <v>1</v>
      </c>
    </row>
    <row r="86" spans="1:4" x14ac:dyDescent="0.25">
      <c r="A86" s="9" t="str">
        <v>Minnesota United FC</v>
      </c>
      <c r="B86" s="9" t="str">
        <f>_xlfn.XLOOKUP(A86,Clubs[Current Club],Clubs[Club - League])</f>
        <v>MLS</v>
      </c>
      <c r="C86" s="9" t="str">
        <f>_xlfn.XLOOKUP(B86,Club_Leagues[Club - League],Club_Leagues[Football Association])</f>
        <v>USA</v>
      </c>
      <c r="D86" s="42">
        <f>COUNTIF(Squads[Current Club],'Club Representation info'!A86)</f>
        <v>1</v>
      </c>
    </row>
    <row r="87" spans="1:4" x14ac:dyDescent="0.25">
      <c r="A87" s="9" t="str">
        <v>CF Montréal</v>
      </c>
      <c r="B87" s="9" t="str">
        <f>_xlfn.XLOOKUP(A87,Clubs[Current Club],Clubs[Club - League])</f>
        <v>MLS</v>
      </c>
      <c r="C87" s="9" t="str">
        <f>_xlfn.XLOOKUP(B87,Club_Leagues[Club - League],Club_Leagues[Football Association])</f>
        <v>USA</v>
      </c>
      <c r="D87" s="42">
        <f>COUNTIF(Squads[Current Club],'Club Representation info'!A87)</f>
        <v>6</v>
      </c>
    </row>
    <row r="88" spans="1:4" x14ac:dyDescent="0.25">
      <c r="A88" s="9" t="str">
        <v>Hatayspor</v>
      </c>
      <c r="B88" s="9" t="str">
        <f>_xlfn.XLOOKUP(A88,Clubs[Current Club],Clubs[Club - League])</f>
        <v>Super Lig</v>
      </c>
      <c r="C88" s="9" t="str">
        <f>_xlfn.XLOOKUP(B88,Club_Leagues[Club - League],Club_Leagues[Football Association])</f>
        <v>Turkey</v>
      </c>
      <c r="D88" s="42">
        <f>COUNTIF(Squads[Current Club],'Club Representation info'!A88)</f>
        <v>1</v>
      </c>
    </row>
    <row r="89" spans="1:4" x14ac:dyDescent="0.25">
      <c r="A89" s="9" t="str">
        <v>Chaves</v>
      </c>
      <c r="B89" s="9" t="str">
        <f>_xlfn.XLOOKUP(A89,Clubs[Current Club],Clubs[Club - League])</f>
        <v>Primeira Liga</v>
      </c>
      <c r="C89" s="9" t="str">
        <f>_xlfn.XLOOKUP(B89,Club_Leagues[Club - League],Club_Leagues[Football Association])</f>
        <v>Portugal</v>
      </c>
      <c r="D89" s="42">
        <f>COUNTIF(Squads[Current Club],'Club Representation info'!A89)</f>
        <v>1</v>
      </c>
    </row>
    <row r="90" spans="1:4" x14ac:dyDescent="0.25">
      <c r="A90" s="9" t="str">
        <v>Porto</v>
      </c>
      <c r="B90" s="9" t="str">
        <f>_xlfn.XLOOKUP(A90,Clubs[Current Club],Clubs[Club - League])</f>
        <v>Primeira Liga</v>
      </c>
      <c r="C90" s="9" t="str">
        <f>_xlfn.XLOOKUP(B90,Club_Leagues[Club - League],Club_Leagues[Football Association])</f>
        <v>Portugal</v>
      </c>
      <c r="D90" s="42">
        <f>COUNTIF(Squads[Current Club],'Club Representation info'!A90)</f>
        <v>6</v>
      </c>
    </row>
    <row r="91" spans="1:4" x14ac:dyDescent="0.25">
      <c r="A91" s="9" t="str">
        <v>Deinze</v>
      </c>
      <c r="B91" s="9" t="str">
        <f>_xlfn.XLOOKUP(A91,Clubs[Current Club],Clubs[Club - League])</f>
        <v>Challenger Pro League</v>
      </c>
      <c r="C91" s="9" t="str">
        <f>_xlfn.XLOOKUP(B91,Club_Leagues[Club - League],Club_Leagues[Football Association])</f>
        <v>Belgium</v>
      </c>
      <c r="D91" s="42">
        <f>COUNTIF(Squads[Current Club],'Club Representation info'!A91)</f>
        <v>1</v>
      </c>
    </row>
    <row r="92" spans="1:4" x14ac:dyDescent="0.25">
      <c r="A92" s="9" t="str">
        <v>Vancouver Whitecaps FC</v>
      </c>
      <c r="B92" s="9" t="str">
        <f>_xlfn.XLOOKUP(A92,Clubs[Current Club],Clubs[Club - League])</f>
        <v>MLS</v>
      </c>
      <c r="C92" s="9" t="str">
        <f>_xlfn.XLOOKUP(B92,Club_Leagues[Club - League],Club_Leagues[Football Association])</f>
        <v>USA</v>
      </c>
      <c r="D92" s="42">
        <f>COUNTIF(Squads[Current Club],'Club Representation info'!A92)</f>
        <v>1</v>
      </c>
    </row>
    <row r="93" spans="1:4" x14ac:dyDescent="0.25">
      <c r="A93" s="9" t="str">
        <v>Reading</v>
      </c>
      <c r="B93" s="9" t="str">
        <f>_xlfn.XLOOKUP(A93,Clubs[Current Club],Clubs[Club - League])</f>
        <v>Championship</v>
      </c>
      <c r="C93" s="9" t="str">
        <f>_xlfn.XLOOKUP(B93,Club_Leagues[Club - League],Club_Leagues[Football Association])</f>
        <v>England</v>
      </c>
      <c r="D93" s="42">
        <f>COUNTIF(Squads[Current Club],'Club Representation info'!A93)</f>
        <v>3</v>
      </c>
    </row>
    <row r="94" spans="1:4" x14ac:dyDescent="0.25">
      <c r="A94" s="9" t="str">
        <v>Troyes</v>
      </c>
      <c r="B94" s="9" t="str">
        <f>_xlfn.XLOOKUP(A94,Clubs[Current Club],Clubs[Club - League])</f>
        <v>Ligue 1</v>
      </c>
      <c r="C94" s="9" t="str">
        <f>_xlfn.XLOOKUP(B94,Club_Leagues[Club - League],Club_Leagues[Football Association])</f>
        <v>France</v>
      </c>
      <c r="D94" s="42">
        <f>COUNTIF(Squads[Current Club],'Club Representation info'!A94)</f>
        <v>2</v>
      </c>
    </row>
    <row r="95" spans="1:4" x14ac:dyDescent="0.25">
      <c r="A95" s="9" t="str">
        <v>Toronto FC</v>
      </c>
      <c r="B95" s="9" t="str">
        <f>_xlfn.XLOOKUP(A95,Clubs[Current Club],Clubs[Club - League])</f>
        <v>MLS</v>
      </c>
      <c r="C95" s="9" t="str">
        <f>_xlfn.XLOOKUP(B95,Club_Leagues[Club - League],Club_Leagues[Football Association])</f>
        <v>USA</v>
      </c>
      <c r="D95" s="42">
        <f>COUNTIF(Squads[Current Club],'Club Representation info'!A95)</f>
        <v>3</v>
      </c>
    </row>
    <row r="96" spans="1:4" x14ac:dyDescent="0.25">
      <c r="A96" s="9" t="str">
        <v>Red Star Belgrade</v>
      </c>
      <c r="B96" s="9" t="str">
        <f>_xlfn.XLOOKUP(A96,Clubs[Current Club],Clubs[Club - League])</f>
        <v>Super Liga - Serbia</v>
      </c>
      <c r="C96" s="9" t="str">
        <f>_xlfn.XLOOKUP(B96,Club_Leagues[Club - League],Club_Leagues[Football Association])</f>
        <v>Serbia</v>
      </c>
      <c r="D96" s="42">
        <f>COUNTIF(Squads[Current Club],'Club Representation info'!A96)</f>
        <v>3</v>
      </c>
    </row>
    <row r="97" spans="1:4" x14ac:dyDescent="0.25">
      <c r="A97" s="9" t="str">
        <v>Lille</v>
      </c>
      <c r="B97" s="9" t="str">
        <f>_xlfn.XLOOKUP(A97,Clubs[Current Club],Clubs[Club - League])</f>
        <v>Ligue 1</v>
      </c>
      <c r="C97" s="9" t="str">
        <f>_xlfn.XLOOKUP(B97,Club_Leagues[Club - League],Club_Leagues[Football Association])</f>
        <v>France</v>
      </c>
      <c r="D97" s="42">
        <f>COUNTIF(Squads[Current Club],'Club Representation info'!A97)</f>
        <v>2</v>
      </c>
    </row>
    <row r="98" spans="1:4" x14ac:dyDescent="0.25">
      <c r="A98" s="9" t="str">
        <v>Basel</v>
      </c>
      <c r="B98" s="9" t="str">
        <f>_xlfn.XLOOKUP(A98,Clubs[Current Club],Clubs[Club - League])</f>
        <v>Super League</v>
      </c>
      <c r="C98" s="9" t="str">
        <f>_xlfn.XLOOKUP(B98,Club_Leagues[Club - League],Club_Leagues[Football Association])</f>
        <v>Switzerland</v>
      </c>
      <c r="D98" s="42">
        <f>COUNTIF(Squads[Current Club],'Club Representation info'!A98)</f>
        <v>2</v>
      </c>
    </row>
    <row r="99" spans="1:4" x14ac:dyDescent="0.25">
      <c r="A99" s="9" t="str">
        <v>St Johnstone</v>
      </c>
      <c r="B99" s="9" t="str">
        <f>_xlfn.XLOOKUP(A99,Clubs[Current Club],Clubs[Club - League])</f>
        <v>Premiership</v>
      </c>
      <c r="C99" s="9" t="str">
        <f>_xlfn.XLOOKUP(B99,Club_Leagues[Club - League],Club_Leagues[Football Association])</f>
        <v>Scotland</v>
      </c>
      <c r="D99" s="42">
        <f>COUNTIF(Squads[Current Club],'Club Representation info'!A99)</f>
        <v>1</v>
      </c>
    </row>
    <row r="100" spans="1:4" x14ac:dyDescent="0.25">
      <c r="A100" s="9" t="str">
        <v>Panetolikos</v>
      </c>
      <c r="B100" s="9" t="str">
        <f>_xlfn.XLOOKUP(A100,Clubs[Current Club],Clubs[Club - League])</f>
        <v>Super League 1</v>
      </c>
      <c r="C100" s="9" t="str">
        <f>_xlfn.XLOOKUP(B100,Club_Leagues[Club - League],Club_Leagues[Football Association])</f>
        <v>Greece</v>
      </c>
      <c r="D100" s="42">
        <f>COUNTIF(Squads[Current Club],'Club Representation info'!A100)</f>
        <v>1</v>
      </c>
    </row>
    <row r="101" spans="1:4" x14ac:dyDescent="0.25">
      <c r="A101" s="9" t="str">
        <v>Cartaginés</v>
      </c>
      <c r="B101" s="9" t="str">
        <f>_xlfn.XLOOKUP(A101,Clubs[Current Club],Clubs[Club - League])</f>
        <v xml:space="preserve">Primera Division </v>
      </c>
      <c r="C101" s="9" t="str">
        <f>_xlfn.XLOOKUP(B101,Club_Leagues[Club - League],Club_Leagues[Football Association])</f>
        <v>Costa Rica</v>
      </c>
      <c r="D101" s="42">
        <f>COUNTIF(Squads[Current Club],'Club Representation info'!A101)</f>
        <v>1</v>
      </c>
    </row>
    <row r="102" spans="1:4" x14ac:dyDescent="0.25">
      <c r="A102" s="9" t="str">
        <v>Millonarios</v>
      </c>
      <c r="B102" s="9" t="str">
        <f>_xlfn.XLOOKUP(A102,Clubs[Current Club],Clubs[Club - League])</f>
        <v>Primera A</v>
      </c>
      <c r="C102" s="9" t="str">
        <f>_xlfn.XLOOKUP(B102,Club_Leagues[Club - League],Club_Leagues[Football Association])</f>
        <v>Colombia</v>
      </c>
      <c r="D102" s="42">
        <f>COUNTIF(Squads[Current Club],'Club Representation info'!A102)</f>
        <v>1</v>
      </c>
    </row>
    <row r="103" spans="1:4" x14ac:dyDescent="0.25">
      <c r="A103" s="9" t="str">
        <v>Herediano</v>
      </c>
      <c r="B103" s="9" t="str">
        <f>_xlfn.XLOOKUP(A103,Clubs[Current Club],Clubs[Club - League])</f>
        <v xml:space="preserve">Primera Division </v>
      </c>
      <c r="C103" s="9" t="str">
        <f>_xlfn.XLOOKUP(B103,Club_Leagues[Club - League],Club_Leagues[Football Association])</f>
        <v>Costa Rica</v>
      </c>
      <c r="D103" s="42">
        <f>COUNTIF(Squads[Current Club],'Club Representation info'!A103)</f>
        <v>6</v>
      </c>
    </row>
    <row r="104" spans="1:4" x14ac:dyDescent="0.25">
      <c r="A104" s="9" t="str">
        <v>Alajuelense</v>
      </c>
      <c r="B104" s="9" t="str">
        <f>_xlfn.XLOOKUP(A104,Clubs[Current Club],Clubs[Club - League])</f>
        <v xml:space="preserve">Primera Division </v>
      </c>
      <c r="C104" s="9" t="str">
        <f>_xlfn.XLOOKUP(B104,Club_Leagues[Club - League],Club_Leagues[Football Association])</f>
        <v>Costa Rica</v>
      </c>
      <c r="D104" s="42">
        <f>COUNTIF(Squads[Current Club],'Club Representation info'!A104)</f>
        <v>3</v>
      </c>
    </row>
    <row r="105" spans="1:4" x14ac:dyDescent="0.25">
      <c r="A105" s="9" t="str">
        <v>Al-Wehda</v>
      </c>
      <c r="B105" s="9" t="str">
        <f>_xlfn.XLOOKUP(A105,Clubs[Current Club],Clubs[Club - League])</f>
        <v>Saudi Division 1</v>
      </c>
      <c r="C105" s="9" t="str">
        <f>_xlfn.XLOOKUP(B105,Club_Leagues[Club - League],Club_Leagues[Football Association])</f>
        <v>Saudi Arabia</v>
      </c>
      <c r="D105" s="42">
        <f>COUNTIF(Squads[Current Club],'Club Representation info'!A105)</f>
        <v>2</v>
      </c>
    </row>
    <row r="106" spans="1:4" x14ac:dyDescent="0.25">
      <c r="A106" s="9" t="str">
        <v>Real Salt Lake</v>
      </c>
      <c r="B106" s="9" t="str">
        <f>_xlfn.XLOOKUP(A106,Clubs[Current Club],Clubs[Club - League])</f>
        <v>MLS</v>
      </c>
      <c r="C106" s="9" t="str">
        <f>_xlfn.XLOOKUP(B106,Club_Leagues[Club - League],Club_Leagues[Football Association])</f>
        <v>USA</v>
      </c>
      <c r="D106" s="42">
        <f>COUNTIF(Squads[Current Club],'Club Representation info'!A106)</f>
        <v>1</v>
      </c>
    </row>
    <row r="107" spans="1:4" x14ac:dyDescent="0.25">
      <c r="A107" s="9" t="str">
        <v>León</v>
      </c>
      <c r="B107" s="9" t="str">
        <f>_xlfn.XLOOKUP(A107,Clubs[Current Club],Clubs[Club - League])</f>
        <v>Liga MX</v>
      </c>
      <c r="C107" s="9" t="str">
        <f>_xlfn.XLOOKUP(B107,Club_Leagues[Club - League],Club_Leagues[Football Association])</f>
        <v>Mexico</v>
      </c>
      <c r="D107" s="42">
        <f>COUNTIF(Squads[Current Club],'Club Representation info'!A107)</f>
        <v>3</v>
      </c>
    </row>
    <row r="108" spans="1:4" x14ac:dyDescent="0.25">
      <c r="A108" s="9" t="str">
        <v>Saprissa</v>
      </c>
      <c r="B108" s="9" t="str">
        <f>_xlfn.XLOOKUP(A108,Clubs[Current Club],Clubs[Club - League])</f>
        <v xml:space="preserve">Primera Division </v>
      </c>
      <c r="C108" s="9" t="str">
        <f>_xlfn.XLOOKUP(B108,Club_Leagues[Club - League],Club_Leagues[Football Association])</f>
        <v>Costa Rica</v>
      </c>
      <c r="D108" s="42">
        <f>COUNTIF(Squads[Current Club],'Club Representation info'!A108)</f>
        <v>3</v>
      </c>
    </row>
    <row r="109" spans="1:4" x14ac:dyDescent="0.25">
      <c r="A109" s="9" t="str">
        <v>Konyaspor</v>
      </c>
      <c r="B109" s="9" t="str">
        <f>_xlfn.XLOOKUP(A109,Clubs[Current Club],Clubs[Club - League])</f>
        <v>Super Lig</v>
      </c>
      <c r="C109" s="9" t="str">
        <f>_xlfn.XLOOKUP(B109,Club_Leagues[Club - League],Club_Leagues[Football Association])</f>
        <v>Turkey</v>
      </c>
      <c r="D109" s="42">
        <f>COUNTIF(Squads[Current Club],'Club Representation info'!A109)</f>
        <v>1</v>
      </c>
    </row>
    <row r="110" spans="1:4" x14ac:dyDescent="0.25">
      <c r="A110" s="9" t="str">
        <v>San Carlos</v>
      </c>
      <c r="B110" s="9" t="str">
        <f>_xlfn.XLOOKUP(A110,Clubs[Current Club],Clubs[Club - League])</f>
        <v xml:space="preserve">Primera Division </v>
      </c>
      <c r="C110" s="9" t="str">
        <f>_xlfn.XLOOKUP(B110,Club_Leagues[Club - League],Club_Leagues[Football Association])</f>
        <v>Costa Rica</v>
      </c>
      <c r="D110" s="42">
        <f>COUNTIF(Squads[Current Club],'Club Representation info'!A110)</f>
        <v>1</v>
      </c>
    </row>
    <row r="111" spans="1:4" x14ac:dyDescent="0.25">
      <c r="A111" s="9" t="str">
        <v>Guanacasteca</v>
      </c>
      <c r="B111" s="9" t="str">
        <f>_xlfn.XLOOKUP(A111,Clubs[Current Club],Clubs[Club - League])</f>
        <v xml:space="preserve">Primera Division </v>
      </c>
      <c r="C111" s="9" t="str">
        <f>_xlfn.XLOOKUP(B111,Club_Leagues[Club - League],Club_Leagues[Football Association])</f>
        <v>Costa Rica</v>
      </c>
      <c r="D111" s="42">
        <f>COUNTIF(Squads[Current Club],'Club Representation info'!A111)</f>
        <v>1</v>
      </c>
    </row>
    <row r="112" spans="1:4" x14ac:dyDescent="0.25">
      <c r="A112" s="9" t="str">
        <v>FC Cincinnati</v>
      </c>
      <c r="B112" s="9" t="str">
        <f>_xlfn.XLOOKUP(A112,Clubs[Current Club],Clubs[Club - League])</f>
        <v>MLS</v>
      </c>
      <c r="C112" s="9" t="str">
        <f>_xlfn.XLOOKUP(B112,Club_Leagues[Club - League],Club_Leagues[Football Association])</f>
        <v>USA</v>
      </c>
      <c r="D112" s="42">
        <f>COUNTIF(Squads[Current Club],'Club Representation info'!A112)</f>
        <v>1</v>
      </c>
    </row>
    <row r="113" spans="1:4" x14ac:dyDescent="0.25">
      <c r="A113" s="9" t="str">
        <v>Lugo</v>
      </c>
      <c r="B113" s="9" t="str">
        <f>_xlfn.XLOOKUP(A113,Clubs[Current Club],Clubs[Club - League])</f>
        <v>Liga MX</v>
      </c>
      <c r="C113" s="9" t="str">
        <f>_xlfn.XLOOKUP(B113,Club_Leagues[Club - League],Club_Leagues[Football Association])</f>
        <v>Mexico</v>
      </c>
      <c r="D113" s="42">
        <f>COUNTIF(Squads[Current Club],'Club Representation info'!A113)</f>
        <v>1</v>
      </c>
    </row>
    <row r="114" spans="1:4" x14ac:dyDescent="0.25">
      <c r="A114" s="9" t="str">
        <v>Municipal Grecia</v>
      </c>
      <c r="B114" s="9" t="str">
        <f>_xlfn.XLOOKUP(A114,Clubs[Current Club],Clubs[Club - League])</f>
        <v xml:space="preserve">Primera Division </v>
      </c>
      <c r="C114" s="9" t="str">
        <f>_xlfn.XLOOKUP(B114,Club_Leagues[Club - League],Club_Leagues[Football Association])</f>
        <v>Costa Rica</v>
      </c>
      <c r="D114" s="42">
        <f>COUNTIF(Squads[Current Club],'Club Representation info'!A114)</f>
        <v>1</v>
      </c>
    </row>
    <row r="115" spans="1:4" x14ac:dyDescent="0.25">
      <c r="A115" s="9" t="str">
        <v>Puntarenas</v>
      </c>
      <c r="B115" s="9" t="str">
        <f>_xlfn.XLOOKUP(A115,Clubs[Current Club],Clubs[Club - League])</f>
        <v xml:space="preserve">Primera Division </v>
      </c>
      <c r="C115" s="9" t="str">
        <f>_xlfn.XLOOKUP(B115,Club_Leagues[Club - League],Club_Leagues[Football Association])</f>
        <v>Costa Rica</v>
      </c>
      <c r="D115" s="42">
        <f>COUNTIF(Squads[Current Club],'Club Representation info'!A115)</f>
        <v>1</v>
      </c>
    </row>
    <row r="116" spans="1:4" x14ac:dyDescent="0.25">
      <c r="A116" s="9" t="str">
        <v>Dinamo Zagreb</v>
      </c>
      <c r="B116" s="9" t="str">
        <f>_xlfn.XLOOKUP(A116,Clubs[Current Club],Clubs[Club - League])</f>
        <v>HNL</v>
      </c>
      <c r="C116" s="9" t="str">
        <f>_xlfn.XLOOKUP(B116,Club_Leagues[Club - League],Club_Leagues[Football Association])</f>
        <v>Croatia</v>
      </c>
      <c r="D116" s="42">
        <f>COUNTIF(Squads[Current Club],'Club Representation info'!A116)</f>
        <v>5</v>
      </c>
    </row>
    <row r="117" spans="1:4" x14ac:dyDescent="0.25">
      <c r="A117" s="9" t="str">
        <v>Rangers</v>
      </c>
      <c r="B117" s="9" t="str">
        <f>_xlfn.XLOOKUP(A117,Clubs[Current Club],Clubs[Club - League])</f>
        <v>Premiership</v>
      </c>
      <c r="C117" s="9" t="str">
        <f>_xlfn.XLOOKUP(B117,Club_Leagues[Club - League],Club_Leagues[Football Association])</f>
        <v>Scotland</v>
      </c>
      <c r="D117" s="42">
        <f>COUNTIF(Squads[Current Club],'Club Representation info'!A117)</f>
        <v>1</v>
      </c>
    </row>
    <row r="118" spans="1:4" x14ac:dyDescent="0.25">
      <c r="A118" s="9" t="str">
        <v>Sassuolo</v>
      </c>
      <c r="B118" s="9" t="str">
        <f>_xlfn.XLOOKUP(A118,Clubs[Current Club],Clubs[Club - League])</f>
        <v>Serie A</v>
      </c>
      <c r="C118" s="9" t="str">
        <f>_xlfn.XLOOKUP(B118,Club_Leagues[Club - League],Club_Leagues[Football Association])</f>
        <v>Italy</v>
      </c>
      <c r="D118" s="42">
        <f>COUNTIF(Squads[Current Club],'Club Representation info'!A118)</f>
        <v>1</v>
      </c>
    </row>
    <row r="119" spans="1:4" x14ac:dyDescent="0.25">
      <c r="A119" s="9" t="str">
        <v>Zenit Saint Petersburg</v>
      </c>
      <c r="B119" s="9" t="str">
        <f>_xlfn.XLOOKUP(A119,Clubs[Current Club],Clubs[Club - League])</f>
        <v>Premier League - Russia</v>
      </c>
      <c r="C119" s="9" t="str">
        <f>_xlfn.XLOOKUP(B119,Club_Leagues[Club - League],Club_Leagues[Football Association])</f>
        <v>Russia</v>
      </c>
      <c r="D119" s="42">
        <f>COUNTIF(Squads[Current Club],'Club Representation info'!A119)</f>
        <v>1</v>
      </c>
    </row>
    <row r="120" spans="1:4" x14ac:dyDescent="0.25">
      <c r="A120" s="9" t="str">
        <v>1899 Hoffenheim</v>
      </c>
      <c r="B120" s="9" t="str">
        <f>_xlfn.XLOOKUP(A120,Clubs[Current Club],Clubs[Club - League])</f>
        <v>Bundesliga</v>
      </c>
      <c r="C120" s="9" t="str">
        <f>_xlfn.XLOOKUP(B120,Club_Leagues[Club - League],Club_Leagues[Football Association])</f>
        <v>Germany</v>
      </c>
      <c r="D120" s="42">
        <f>COUNTIF(Squads[Current Club],'Club Representation info'!A120)</f>
        <v>2</v>
      </c>
    </row>
    <row r="121" spans="1:4" x14ac:dyDescent="0.25">
      <c r="A121" s="9" t="str">
        <v>Torino</v>
      </c>
      <c r="B121" s="9" t="str">
        <f>_xlfn.XLOOKUP(A121,Clubs[Current Club],Clubs[Club - League])</f>
        <v>Serie A</v>
      </c>
      <c r="C121" s="9" t="str">
        <f>_xlfn.XLOOKUP(B121,Club_Leagues[Club - League],Club_Leagues[Football Association])</f>
        <v>Italy</v>
      </c>
      <c r="D121" s="42">
        <f>COUNTIF(Squads[Current Club],'Club Representation info'!A121)</f>
        <v>5</v>
      </c>
    </row>
    <row r="122" spans="1:4" x14ac:dyDescent="0.25">
      <c r="A122" s="9" t="str">
        <v>Hajduk Split</v>
      </c>
      <c r="B122" s="9" t="str">
        <f>_xlfn.XLOOKUP(A122,Clubs[Current Club],Clubs[Club - League])</f>
        <v>HNL</v>
      </c>
      <c r="C122" s="9" t="str">
        <f>_xlfn.XLOOKUP(B122,Club_Leagues[Club - League],Club_Leagues[Football Association])</f>
        <v>Croatia</v>
      </c>
      <c r="D122" s="42">
        <f>COUNTIF(Squads[Current Club],'Club Representation info'!A122)</f>
        <v>1</v>
      </c>
    </row>
    <row r="123" spans="1:4" x14ac:dyDescent="0.25">
      <c r="A123" s="9" t="str">
        <v>Atalanta</v>
      </c>
      <c r="B123" s="9" t="str">
        <f>_xlfn.XLOOKUP(A123,Clubs[Current Club],Clubs[Club - League])</f>
        <v>Serie A</v>
      </c>
      <c r="C123" s="9" t="str">
        <f>_xlfn.XLOOKUP(B123,Club_Leagues[Club - League],Club_Leagues[Football Association])</f>
        <v>Italy</v>
      </c>
      <c r="D123" s="42">
        <f>COUNTIF(Squads[Current Club],'Club Representation info'!A123)</f>
        <v>4</v>
      </c>
    </row>
    <row r="124" spans="1:4" x14ac:dyDescent="0.25">
      <c r="A124" s="9" t="str">
        <v>Osasuna</v>
      </c>
      <c r="B124" s="9" t="str">
        <f>_xlfn.XLOOKUP(A124,Clubs[Current Club],Clubs[Club - League])</f>
        <v>La Liga</v>
      </c>
      <c r="C124" s="9" t="str">
        <f>_xlfn.XLOOKUP(B124,Club_Leagues[Club - League],Club_Leagues[Football Association])</f>
        <v>Spain</v>
      </c>
      <c r="D124" s="42">
        <f>COUNTIF(Squads[Current Club],'Club Representation info'!A124)</f>
        <v>2</v>
      </c>
    </row>
    <row r="125" spans="1:4" x14ac:dyDescent="0.25">
      <c r="A125" s="9" t="str">
        <v>VfB Stuttgart</v>
      </c>
      <c r="B125" s="9" t="str">
        <f>_xlfn.XLOOKUP(A125,Clubs[Current Club],Clubs[Club - League])</f>
        <v>Bundesliga</v>
      </c>
      <c r="C125" s="9" t="str">
        <f>_xlfn.XLOOKUP(B125,Club_Leagues[Club - League],Club_Leagues[Football Association])</f>
        <v>Germany</v>
      </c>
      <c r="D125" s="42">
        <f>COUNTIF(Squads[Current Club],'Club Representation info'!A125)</f>
        <v>3</v>
      </c>
    </row>
    <row r="126" spans="1:4" x14ac:dyDescent="0.25">
      <c r="A126" s="9" t="str">
        <v>RB Leipzig</v>
      </c>
      <c r="B126" s="9" t="str">
        <f>_xlfn.XLOOKUP(A126,Clubs[Current Club],Clubs[Club - League])</f>
        <v>Bundesliga</v>
      </c>
      <c r="C126" s="9" t="str">
        <f>_xlfn.XLOOKUP(B126,Club_Leagues[Club - League],Club_Leagues[Football Association])</f>
        <v>Germany</v>
      </c>
      <c r="D126" s="42">
        <f>COUNTIF(Squads[Current Club],'Club Representation info'!A126)</f>
        <v>7</v>
      </c>
    </row>
    <row r="127" spans="1:4" x14ac:dyDescent="0.25">
      <c r="A127" s="9" t="str">
        <v>AEK Athens</v>
      </c>
      <c r="B127" s="9" t="str">
        <f>_xlfn.XLOOKUP(A127,Clubs[Current Club],Clubs[Club - League])</f>
        <v>Super League 1</v>
      </c>
      <c r="C127" s="9" t="str">
        <f>_xlfn.XLOOKUP(B127,Club_Leagues[Club - League],Club_Leagues[Football Association])</f>
        <v>Greece</v>
      </c>
      <c r="D127" s="42">
        <f>COUNTIF(Squads[Current Club],'Club Representation info'!A127)</f>
        <v>5</v>
      </c>
    </row>
    <row r="128" spans="1:4" x14ac:dyDescent="0.25">
      <c r="A128" s="9" t="str">
        <v>Osijek</v>
      </c>
      <c r="B128" s="9" t="str">
        <f>_xlfn.XLOOKUP(A128,Clubs[Current Club],Clubs[Club - League])</f>
        <v>HNL</v>
      </c>
      <c r="C128" s="9" t="str">
        <f>_xlfn.XLOOKUP(B128,Club_Leagues[Club - League],Club_Leagues[Football Association])</f>
        <v>Croatia</v>
      </c>
      <c r="D128" s="42">
        <f>COUNTIF(Squads[Current Club],'Club Representation info'!A128)</f>
        <v>1</v>
      </c>
    </row>
    <row r="129" spans="1:4" x14ac:dyDescent="0.25">
      <c r="A129" s="9" t="str">
        <v>Red Bull Salzburg</v>
      </c>
      <c r="B129" s="9" t="str">
        <f>_xlfn.XLOOKUP(A129,Clubs[Current Club],Clubs[Club - League])</f>
        <v>Bundesliga - Austria</v>
      </c>
      <c r="C129" s="9" t="str">
        <f>_xlfn.XLOOKUP(B129,Club_Leagues[Club - League],Club_Leagues[Football Association])</f>
        <v>Austria</v>
      </c>
      <c r="D129" s="42">
        <f>COUNTIF(Squads[Current Club],'Club Representation info'!A129)</f>
        <v>4</v>
      </c>
    </row>
    <row r="130" spans="1:4" x14ac:dyDescent="0.25">
      <c r="A130" s="9" t="str">
        <v>Eintracht Frankfurt</v>
      </c>
      <c r="B130" s="9" t="str">
        <f>_xlfn.XLOOKUP(A130,Clubs[Current Club],Clubs[Club - League])</f>
        <v>Bundesliga</v>
      </c>
      <c r="C130" s="9" t="str">
        <f>_xlfn.XLOOKUP(B130,Club_Leagues[Club - League],Club_Leagues[Football Association])</f>
        <v>Germany</v>
      </c>
      <c r="D130" s="42">
        <f>COUNTIF(Squads[Current Club],'Club Representation info'!A130)</f>
        <v>7</v>
      </c>
    </row>
    <row r="131" spans="1:4" x14ac:dyDescent="0.25">
      <c r="A131" s="9" t="str">
        <v>Nice</v>
      </c>
      <c r="B131" s="9" t="str">
        <f>_xlfn.XLOOKUP(A131,Clubs[Current Club],Clubs[Club - League])</f>
        <v>Ligue 1</v>
      </c>
      <c r="C131" s="9" t="str">
        <f>_xlfn.XLOOKUP(B131,Club_Leagues[Club - League],Club_Leagues[Football Association])</f>
        <v>France</v>
      </c>
      <c r="D131" s="42">
        <f>COUNTIF(Squads[Current Club],'Club Representation info'!A131)</f>
        <v>2</v>
      </c>
    </row>
    <row r="132" spans="1:4" x14ac:dyDescent="0.25">
      <c r="A132" s="9" t="str">
        <v>Crystal Palace</v>
      </c>
      <c r="B132" s="9" t="str">
        <f>_xlfn.XLOOKUP(A132,Clubs[Current Club],Clubs[Club - League])</f>
        <v>Premier League</v>
      </c>
      <c r="C132" s="9" t="str">
        <f>_xlfn.XLOOKUP(B132,Club_Leagues[Club - League],Club_Leagues[Football Association])</f>
        <v>England</v>
      </c>
      <c r="D132" s="42">
        <f>COUNTIF(Squads[Current Club],'Club Representation info'!A132)</f>
        <v>2</v>
      </c>
    </row>
    <row r="133" spans="1:4" x14ac:dyDescent="0.25">
      <c r="A133" s="9" t="str">
        <v>Espanyol</v>
      </c>
      <c r="B133" s="9" t="str">
        <f>_xlfn.XLOOKUP(A133,Clubs[Current Club],Clubs[Club - League])</f>
        <v>La Liga</v>
      </c>
      <c r="C133" s="9" t="str">
        <f>_xlfn.XLOOKUP(B133,Club_Leagues[Club - League],Club_Leagues[Football Association])</f>
        <v>Spain</v>
      </c>
      <c r="D133" s="42">
        <f>COUNTIF(Squads[Current Club],'Club Representation info'!A133)</f>
        <v>1</v>
      </c>
    </row>
    <row r="134" spans="1:4" x14ac:dyDescent="0.25">
      <c r="A134" s="9" t="str">
        <v>Leeds United</v>
      </c>
      <c r="B134" s="9" t="str">
        <f>_xlfn.XLOOKUP(A134,Clubs[Current Club],Clubs[Club - League])</f>
        <v>Premier League</v>
      </c>
      <c r="C134" s="9" t="str">
        <f>_xlfn.XLOOKUP(B134,Club_Leagues[Club - League],Club_Leagues[Football Association])</f>
        <v>England</v>
      </c>
      <c r="D134" s="42">
        <f>COUNTIF(Squads[Current Club],'Club Representation info'!A134)</f>
        <v>3</v>
      </c>
    </row>
    <row r="135" spans="1:4" x14ac:dyDescent="0.25">
      <c r="A135" s="9" t="str">
        <v>Hertha BSC</v>
      </c>
      <c r="B135" s="9" t="str">
        <f>_xlfn.XLOOKUP(A135,Clubs[Current Club],Clubs[Club - League])</f>
        <v>Bundesliga</v>
      </c>
      <c r="C135" s="9" t="str">
        <f>_xlfn.XLOOKUP(B135,Club_Leagues[Club - League],Club_Leagues[Football Association])</f>
        <v>Germany</v>
      </c>
      <c r="D135" s="42">
        <f>COUNTIF(Squads[Current Club],'Club Representation info'!A135)</f>
        <v>1</v>
      </c>
    </row>
    <row r="136" spans="1:4" x14ac:dyDescent="0.25">
      <c r="A136" s="9" t="str">
        <v>Trabzonspor</v>
      </c>
      <c r="B136" s="9" t="str">
        <f>_xlfn.XLOOKUP(A136,Clubs[Current Club],Clubs[Club - League])</f>
        <v>Super Lig</v>
      </c>
      <c r="C136" s="9" t="str">
        <f>_xlfn.XLOOKUP(B136,Club_Leagues[Club - League],Club_Leagues[Football Association])</f>
        <v>Turkey</v>
      </c>
      <c r="D136" s="42">
        <f>COUNTIF(Squads[Current Club],'Club Representation info'!A136)</f>
        <v>2</v>
      </c>
    </row>
    <row r="137" spans="1:4" x14ac:dyDescent="0.25">
      <c r="A137" s="9" t="str">
        <v>Brøndby</v>
      </c>
      <c r="B137" s="9" t="str">
        <f>_xlfn.XLOOKUP(A137,Clubs[Current Club],Clubs[Club - League])</f>
        <v>Superliga</v>
      </c>
      <c r="C137" s="9" t="str">
        <f>_xlfn.XLOOKUP(B137,Club_Leagues[Club - League],Club_Leagues[Football Association])</f>
        <v>Denmark</v>
      </c>
      <c r="D137" s="42">
        <f>COUNTIF(Squads[Current Club],'Club Representation info'!A137)</f>
        <v>2</v>
      </c>
    </row>
    <row r="138" spans="1:4" x14ac:dyDescent="0.25">
      <c r="A138" s="9" t="str">
        <v>Union Berlin</v>
      </c>
      <c r="B138" s="9" t="str">
        <f>_xlfn.XLOOKUP(A138,Clubs[Current Club],Clubs[Club - League])</f>
        <v>Bundesliga</v>
      </c>
      <c r="C138" s="9" t="str">
        <f>_xlfn.XLOOKUP(B138,Club_Leagues[Club - League],Club_Leagues[Football Association])</f>
        <v>Germany</v>
      </c>
      <c r="D138" s="42">
        <f>COUNTIF(Squads[Current Club],'Club Representation info'!A138)</f>
        <v>1</v>
      </c>
    </row>
    <row r="139" spans="1:4" x14ac:dyDescent="0.25">
      <c r="A139" s="9" t="str">
        <v>Aucas</v>
      </c>
      <c r="B139" s="9" t="str">
        <f>_xlfn.XLOOKUP(A139,Clubs[Current Club],Clubs[Club - League])</f>
        <v xml:space="preserve">Liga Pro </v>
      </c>
      <c r="C139" s="9" t="str">
        <f>_xlfn.XLOOKUP(B139,Club_Leagues[Club - League],Club_Leagues[Football Association])</f>
        <v>Ecuador</v>
      </c>
      <c r="D139" s="42">
        <f>COUNTIF(Squads[Current Club],'Club Representation info'!A139)</f>
        <v>1</v>
      </c>
    </row>
    <row r="140" spans="1:4" x14ac:dyDescent="0.25">
      <c r="A140" s="9" t="str">
        <v>Santos Laguna</v>
      </c>
      <c r="B140" s="9" t="str">
        <f>_xlfn.XLOOKUP(A140,Clubs[Current Club],Clubs[Club - League])</f>
        <v>Liga MX</v>
      </c>
      <c r="C140" s="9" t="str">
        <f>_xlfn.XLOOKUP(B140,Club_Leagues[Club - League],Club_Leagues[Football Association])</f>
        <v>Mexico</v>
      </c>
      <c r="D140" s="42">
        <f>COUNTIF(Squads[Current Club],'Club Representation info'!A140)</f>
        <v>2</v>
      </c>
    </row>
    <row r="141" spans="1:4" x14ac:dyDescent="0.25">
      <c r="A141" s="9" t="str">
        <v>São Paulo</v>
      </c>
      <c r="B141" s="9" t="str">
        <f>_xlfn.XLOOKUP(A141,Clubs[Current Club],Clubs[Club - League])</f>
        <v>Brasilian Serie A</v>
      </c>
      <c r="C141" s="9" t="str">
        <f>_xlfn.XLOOKUP(B141,Club_Leagues[Club - League],Club_Leagues[Football Association])</f>
        <v>Brasil</v>
      </c>
      <c r="D141" s="42">
        <f>COUNTIF(Squads[Current Club],'Club Representation info'!A141)</f>
        <v>1</v>
      </c>
    </row>
    <row r="142" spans="1:4" x14ac:dyDescent="0.25">
      <c r="A142" s="9" t="str">
        <v>Los Angeles FC</v>
      </c>
      <c r="B142" s="9" t="str">
        <f>_xlfn.XLOOKUP(A142,Clubs[Current Club],Clubs[Club - League])</f>
        <v>MLS</v>
      </c>
      <c r="C142" s="9" t="str">
        <f>_xlfn.XLOOKUP(B142,Club_Leagues[Club - League],Club_Leagues[Football Association])</f>
        <v>USA</v>
      </c>
      <c r="D142" s="42">
        <f>COUNTIF(Squads[Current Club],'Club Representation info'!A142)</f>
        <v>5</v>
      </c>
    </row>
    <row r="143" spans="1:4" x14ac:dyDescent="0.25">
      <c r="A143" s="9" t="str">
        <v>FC Augsburg</v>
      </c>
      <c r="B143" s="9" t="str">
        <f>_xlfn.XLOOKUP(A143,Clubs[Current Club],Clubs[Club - League])</f>
        <v>Bundesliga</v>
      </c>
      <c r="C143" s="9" t="str">
        <f>_xlfn.XLOOKUP(B143,Club_Leagues[Club - League],Club_Leagues[Football Association])</f>
        <v>Germany</v>
      </c>
      <c r="D143" s="42">
        <f>COUNTIF(Squads[Current Club],'Club Representation info'!A143)</f>
        <v>3</v>
      </c>
    </row>
    <row r="144" spans="1:4" x14ac:dyDescent="0.25">
      <c r="A144" s="9" t="str">
        <v>Pachuca</v>
      </c>
      <c r="B144" s="9" t="str">
        <f>_xlfn.XLOOKUP(A144,Clubs[Current Club],Clubs[Club - League])</f>
        <v>Liga MX</v>
      </c>
      <c r="C144" s="9" t="str">
        <f>_xlfn.XLOOKUP(B144,Club_Leagues[Club - League],Club_Leagues[Football Association])</f>
        <v>Mexico</v>
      </c>
      <c r="D144" s="42">
        <f>COUNTIF(Squads[Current Club],'Club Representation info'!A144)</f>
        <v>3</v>
      </c>
    </row>
    <row r="145" spans="1:4" x14ac:dyDescent="0.25">
      <c r="A145" s="9" t="str">
        <v>Cruz Azul</v>
      </c>
      <c r="B145" s="9" t="str">
        <f>_xlfn.XLOOKUP(A145,Clubs[Current Club],Clubs[Club - League])</f>
        <v>Liga MX</v>
      </c>
      <c r="C145" s="9" t="str">
        <f>_xlfn.XLOOKUP(B145,Club_Leagues[Club - League],Club_Leagues[Football Association])</f>
        <v>Mexico</v>
      </c>
      <c r="D145" s="42">
        <f>COUNTIF(Squads[Current Club],'Club Representation info'!A145)</f>
        <v>3</v>
      </c>
    </row>
    <row r="146" spans="1:4" x14ac:dyDescent="0.25">
      <c r="A146" s="9" t="str">
        <v>Independiente del Valle</v>
      </c>
      <c r="B146" s="9" t="str">
        <f>_xlfn.XLOOKUP(A146,Clubs[Current Club],Clubs[Club - League])</f>
        <v xml:space="preserve">Liga Pro </v>
      </c>
      <c r="C146" s="9" t="str">
        <f>_xlfn.XLOOKUP(B146,Club_Leagues[Club - League],Club_Leagues[Football Association])</f>
        <v>Ecuador</v>
      </c>
      <c r="D146" s="42">
        <f>COUNTIF(Squads[Current Club],'Club Representation info'!A146)</f>
        <v>1</v>
      </c>
    </row>
    <row r="147" spans="1:4" x14ac:dyDescent="0.25">
      <c r="A147" s="9" t="str">
        <v>Genk</v>
      </c>
      <c r="B147" s="9" t="str">
        <f>_xlfn.XLOOKUP(A147,Clubs[Current Club],Clubs[Club - League])</f>
        <v>First Division A</v>
      </c>
      <c r="C147" s="9" t="str">
        <f>_xlfn.XLOOKUP(B147,Club_Leagues[Club - League],Club_Leagues[Football Association])</f>
        <v>Belgium</v>
      </c>
      <c r="D147" s="42">
        <f>COUNTIF(Squads[Current Club],'Club Representation info'!A147)</f>
        <v>3</v>
      </c>
    </row>
    <row r="148" spans="1:4" x14ac:dyDescent="0.25">
      <c r="A148" s="9" t="str">
        <v>Valladolid</v>
      </c>
      <c r="B148" s="9" t="str">
        <f>_xlfn.XLOOKUP(A148,Clubs[Current Club],Clubs[Club - League])</f>
        <v>La Liga</v>
      </c>
      <c r="C148" s="9" t="str">
        <f>_xlfn.XLOOKUP(B148,Club_Leagues[Club - League],Club_Leagues[Football Association])</f>
        <v>Spain</v>
      </c>
      <c r="D148" s="42">
        <f>COUNTIF(Squads[Current Club],'Club Representation info'!A148)</f>
        <v>2</v>
      </c>
    </row>
    <row r="149" spans="1:4" x14ac:dyDescent="0.25">
      <c r="A149" s="9" t="str">
        <v>Talleres</v>
      </c>
      <c r="B149" s="9" t="str">
        <f>_xlfn.XLOOKUP(A149,Clubs[Current Club],Clubs[Club - League])</f>
        <v>Liga Professional Argentina</v>
      </c>
      <c r="C149" s="9" t="str">
        <f>_xlfn.XLOOKUP(B149,Club_Leagues[Club - League],Club_Leagues[Football Association])</f>
        <v>Argentina</v>
      </c>
      <c r="D149" s="42">
        <f>COUNTIF(Squads[Current Club],'Club Representation info'!A149)</f>
        <v>1</v>
      </c>
    </row>
    <row r="150" spans="1:4" x14ac:dyDescent="0.25">
      <c r="A150" s="9" t="str">
        <v>LDU Quito</v>
      </c>
      <c r="B150" s="9" t="str">
        <f>_xlfn.XLOOKUP(A150,Clubs[Current Club],Clubs[Club - League])</f>
        <v xml:space="preserve">Liga Pro </v>
      </c>
      <c r="C150" s="9" t="str">
        <f>_xlfn.XLOOKUP(B150,Club_Leagues[Club - League],Club_Leagues[Football Association])</f>
        <v>Ecuador</v>
      </c>
      <c r="D150" s="42">
        <f>COUNTIF(Squads[Current Club],'Club Representation info'!A150)</f>
        <v>1</v>
      </c>
    </row>
    <row r="151" spans="1:4" x14ac:dyDescent="0.25">
      <c r="A151" s="9" t="str">
        <v>Newell's Old Boys</v>
      </c>
      <c r="B151" s="9" t="str">
        <f>_xlfn.XLOOKUP(A151,Clubs[Current Club],Clubs[Club - League])</f>
        <v>Liga Professional Argentina</v>
      </c>
      <c r="C151" s="9" t="str">
        <f>_xlfn.XLOOKUP(B151,Club_Leagues[Club - League],Club_Leagues[Football Association])</f>
        <v>Argentina</v>
      </c>
      <c r="D151" s="42">
        <f>COUNTIF(Squads[Current Club],'Club Representation info'!A151)</f>
        <v>1</v>
      </c>
    </row>
    <row r="152" spans="1:4" x14ac:dyDescent="0.25">
      <c r="A152" s="9" t="str">
        <v>Imbabura</v>
      </c>
      <c r="B152" s="9" t="str">
        <f>_xlfn.XLOOKUP(A152,Clubs[Current Club],Clubs[Club - League])</f>
        <v>Liga Pro Serie B</v>
      </c>
      <c r="C152" s="9" t="str">
        <f>_xlfn.XLOOKUP(B152,Club_Leagues[Club - League],Club_Leagues[Football Association])</f>
        <v>Ecuador</v>
      </c>
      <c r="D152" s="42">
        <f>COUNTIF(Squads[Current Club],'Club Representation info'!A152)</f>
        <v>1</v>
      </c>
    </row>
    <row r="153" spans="1:4" x14ac:dyDescent="0.25">
      <c r="A153" s="9" t="str">
        <v>Monaco</v>
      </c>
      <c r="B153" s="9" t="str">
        <f>_xlfn.XLOOKUP(A153,Clubs[Current Club],Clubs[Club - League])</f>
        <v>Ligue 1</v>
      </c>
      <c r="C153" s="9" t="str">
        <f>_xlfn.XLOOKUP(B153,Club_Leagues[Club - League],Club_Leagues[Football Association])</f>
        <v>France</v>
      </c>
      <c r="D153" s="42">
        <f>COUNTIF(Squads[Current Club],'Club Representation info'!A153)</f>
        <v>6</v>
      </c>
    </row>
    <row r="154" spans="1:4" x14ac:dyDescent="0.25">
      <c r="A154" s="9" t="str">
        <v>Borussia Mönchengladbach</v>
      </c>
      <c r="B154" s="9" t="str">
        <f>_xlfn.XLOOKUP(A154,Clubs[Current Club],Clubs[Club - League])</f>
        <v>Bundesliga</v>
      </c>
      <c r="C154" s="9" t="str">
        <f>_xlfn.XLOOKUP(B154,Club_Leagues[Club - League],Club_Leagues[Football Association])</f>
        <v>Germany</v>
      </c>
      <c r="D154" s="42">
        <f>COUNTIF(Squads[Current Club],'Club Representation info'!A154)</f>
        <v>6</v>
      </c>
    </row>
    <row r="155" spans="1:4" x14ac:dyDescent="0.25">
      <c r="A155" s="9" t="str">
        <v>SC Freiburg</v>
      </c>
      <c r="B155" s="9" t="str">
        <f>_xlfn.XLOOKUP(A155,Clubs[Current Club],Clubs[Club - League])</f>
        <v>Bundesliga</v>
      </c>
      <c r="C155" s="9" t="str">
        <f>_xlfn.XLOOKUP(B155,Club_Leagues[Club - League],Club_Leagues[Football Association])</f>
        <v>Germany</v>
      </c>
      <c r="D155" s="42">
        <f>COUNTIF(Squads[Current Club],'Club Representation info'!A155)</f>
        <v>5</v>
      </c>
    </row>
    <row r="156" spans="1:4" x14ac:dyDescent="0.25">
      <c r="A156" s="9" t="str">
        <v>Werder Bremen</v>
      </c>
      <c r="B156" s="9" t="str">
        <f>_xlfn.XLOOKUP(A156,Clubs[Current Club],Clubs[Club - League])</f>
        <v>Bundesliga</v>
      </c>
      <c r="C156" s="9" t="str">
        <f>_xlfn.XLOOKUP(B156,Club_Leagues[Club - League],Club_Leagues[Football Association])</f>
        <v>Germany</v>
      </c>
      <c r="D156" s="42">
        <f>COUNTIF(Squads[Current Club],'Club Representation info'!A156)</f>
        <v>2</v>
      </c>
    </row>
    <row r="157" spans="1:4" x14ac:dyDescent="0.25">
      <c r="A157" s="9" t="str">
        <v>Southampton</v>
      </c>
      <c r="B157" s="9" t="str">
        <f>_xlfn.XLOOKUP(A157,Clubs[Current Club],Clubs[Club - League])</f>
        <v>Premier League</v>
      </c>
      <c r="C157" s="9" t="str">
        <f>_xlfn.XLOOKUP(B157,Club_Leagues[Club - League],Club_Leagues[Football Association])</f>
        <v>England</v>
      </c>
      <c r="D157" s="42">
        <f>COUNTIF(Squads[Current Club],'Club Representation info'!A157)</f>
        <v>2</v>
      </c>
    </row>
    <row r="158" spans="1:4" x14ac:dyDescent="0.25">
      <c r="A158" s="9" t="str">
        <v>St. Gallen</v>
      </c>
      <c r="B158" s="9" t="str">
        <f>_xlfn.XLOOKUP(A158,Clubs[Current Club],Clubs[Club - League])</f>
        <v>Super League</v>
      </c>
      <c r="C158" s="9" t="str">
        <f>_xlfn.XLOOKUP(B158,Club_Leagues[Club - League],Club_Leagues[Football Association])</f>
        <v>Switzerland</v>
      </c>
      <c r="D158" s="42">
        <f>COUNTIF(Squads[Current Club],'Club Representation info'!A158)</f>
        <v>1</v>
      </c>
    </row>
    <row r="159" spans="1:4" x14ac:dyDescent="0.25">
      <c r="A159" s="9" t="str">
        <v>Gent</v>
      </c>
      <c r="B159" s="9" t="str">
        <f>_xlfn.XLOOKUP(A159,Clubs[Current Club],Clubs[Club - League])</f>
        <v>First Division A</v>
      </c>
      <c r="C159" s="9" t="str">
        <f>_xlfn.XLOOKUP(B159,Club_Leagues[Club - League],Club_Leagues[Football Association])</f>
        <v>Belgium</v>
      </c>
      <c r="D159" s="42">
        <f>COUNTIF(Squads[Current Club],'Club Representation info'!A159)</f>
        <v>1</v>
      </c>
    </row>
    <row r="160" spans="1:4" x14ac:dyDescent="0.25">
      <c r="A160" s="9" t="str">
        <v>Sporting CP</v>
      </c>
      <c r="B160" s="9" t="str">
        <f>_xlfn.XLOOKUP(A160,Clubs[Current Club],Clubs[Club - League])</f>
        <v>Primeira Liga</v>
      </c>
      <c r="C160" s="9" t="str">
        <f>_xlfn.XLOOKUP(B160,Club_Leagues[Club - League],Club_Leagues[Football Association])</f>
        <v>Portugal</v>
      </c>
      <c r="D160" s="42">
        <f>COUNTIF(Squads[Current Club],'Club Representation info'!A160)</f>
        <v>4</v>
      </c>
    </row>
    <row r="161" spans="1:4" x14ac:dyDescent="0.25">
      <c r="A161" s="9" t="str">
        <v>Al-Sadd</v>
      </c>
      <c r="B161" s="9" t="str">
        <f>_xlfn.XLOOKUP(A161,Clubs[Current Club],Clubs[Club - League])</f>
        <v>Stars League</v>
      </c>
      <c r="C161" s="9" t="str">
        <f>_xlfn.XLOOKUP(B161,Club_Leagues[Club - League],Club_Leagues[Football Association])</f>
        <v>Qatar</v>
      </c>
      <c r="D161" s="42">
        <f>COUNTIF(Squads[Current Club],'Club Representation info'!A161)</f>
        <v>15</v>
      </c>
    </row>
    <row r="162" spans="1:4" x14ac:dyDescent="0.25">
      <c r="A162" s="9" t="str">
        <v>Asante Kotoko</v>
      </c>
      <c r="B162" s="9" t="str">
        <f>_xlfn.XLOOKUP(A162,Clubs[Current Club],Clubs[Club - League])</f>
        <v>Ghana Premier League</v>
      </c>
      <c r="C162" s="9" t="str">
        <f>_xlfn.XLOOKUP(B162,Club_Leagues[Club - League],Club_Leagues[Football Association])</f>
        <v>Ghana</v>
      </c>
      <c r="D162" s="42">
        <f>COUNTIF(Squads[Current Club],'Club Representation info'!A162)</f>
        <v>1</v>
      </c>
    </row>
    <row r="163" spans="1:4" x14ac:dyDescent="0.25">
      <c r="A163" s="9" t="str">
        <v>Hearts of Oak</v>
      </c>
      <c r="B163" s="9" t="str">
        <f>_xlfn.XLOOKUP(A163,Clubs[Current Club],Clubs[Club - League])</f>
        <v>Ghana Premier League</v>
      </c>
      <c r="C163" s="9" t="str">
        <f>_xlfn.XLOOKUP(B163,Club_Leagues[Club - League],Club_Leagues[Football Association])</f>
        <v>Ghana</v>
      </c>
      <c r="D163" s="42">
        <f>COUNTIF(Squads[Current Club],'Club Representation info'!A163)</f>
        <v>1</v>
      </c>
    </row>
    <row r="164" spans="1:4" x14ac:dyDescent="0.25">
      <c r="A164" s="9" t="str">
        <v>Auxerre</v>
      </c>
      <c r="B164" s="9" t="str">
        <f>_xlfn.XLOOKUP(A164,Clubs[Current Club],Clubs[Club - League])</f>
        <v>Ligue 1</v>
      </c>
      <c r="C164" s="9" t="str">
        <f>_xlfn.XLOOKUP(B164,Club_Leagues[Club - League],Club_Leagues[Football Association])</f>
        <v>France</v>
      </c>
      <c r="D164" s="42">
        <f>COUNTIF(Squads[Current Club],'Club Representation info'!A164)</f>
        <v>1</v>
      </c>
    </row>
    <row r="165" spans="1:4" x14ac:dyDescent="0.25">
      <c r="A165" s="9" t="str">
        <v>Celta Vigo</v>
      </c>
      <c r="B165" s="9" t="str">
        <f>_xlfn.XLOOKUP(A165,Clubs[Current Club],Clubs[Club - League])</f>
        <v>La Liga</v>
      </c>
      <c r="C165" s="9" t="str">
        <f>_xlfn.XLOOKUP(B165,Club_Leagues[Club - League],Club_Leagues[Football Association])</f>
        <v>Spain</v>
      </c>
      <c r="D165" s="42">
        <f>COUNTIF(Squads[Current Club],'Club Representation info'!A165)</f>
        <v>2</v>
      </c>
    </row>
    <row r="166" spans="1:4" x14ac:dyDescent="0.25">
      <c r="A166" s="9" t="str">
        <v>Eupen</v>
      </c>
      <c r="B166" s="9" t="str">
        <f>_xlfn.XLOOKUP(A166,Clubs[Current Club],Clubs[Club - League])</f>
        <v>Challenger Pro League</v>
      </c>
      <c r="C166" s="9" t="str">
        <f>_xlfn.XLOOKUP(B166,Club_Leagues[Club - League],Club_Leagues[Football Association])</f>
        <v>Belgium</v>
      </c>
      <c r="D166" s="42">
        <f>COUNTIF(Squads[Current Club],'Club Representation info'!A166)</f>
        <v>1</v>
      </c>
    </row>
    <row r="167" spans="1:4" x14ac:dyDescent="0.25">
      <c r="A167" s="9" t="str">
        <v>Athletic Bilbao</v>
      </c>
      <c r="B167" s="9" t="str">
        <f>_xlfn.XLOOKUP(A167,Clubs[Current Club],Clubs[Club - League])</f>
        <v>La Liga</v>
      </c>
      <c r="C167" s="9" t="str">
        <f>_xlfn.XLOOKUP(B167,Club_Leagues[Club - League],Club_Leagues[Football Association])</f>
        <v>Spain</v>
      </c>
      <c r="D167" s="42">
        <f>COUNTIF(Squads[Current Club],'Club Representation info'!A167)</f>
        <v>3</v>
      </c>
    </row>
    <row r="168" spans="1:4" x14ac:dyDescent="0.25">
      <c r="A168" s="9" t="str">
        <v>Ajax</v>
      </c>
      <c r="B168" s="9" t="str">
        <f>_xlfn.XLOOKUP(A168,Clubs[Current Club],Clubs[Club - League])</f>
        <v>Eredivisie</v>
      </c>
      <c r="C168" s="9" t="str">
        <f>_xlfn.XLOOKUP(B168,Club_Leagues[Club - League],Club_Leagues[Football Association])</f>
        <v>Netherlands</v>
      </c>
      <c r="D168" s="42">
        <f>COUNTIF(Squads[Current Club],'Club Representation info'!A168)</f>
        <v>11</v>
      </c>
    </row>
    <row r="169" spans="1:4" x14ac:dyDescent="0.25">
      <c r="A169" s="9" t="str">
        <v>Strasbourg</v>
      </c>
      <c r="B169" s="9" t="str">
        <f>_xlfn.XLOOKUP(A169,Clubs[Current Club],Clubs[Club - League])</f>
        <v>Ligue 1</v>
      </c>
      <c r="C169" s="9" t="str">
        <f>_xlfn.XLOOKUP(B169,Club_Leagues[Club - League],Club_Leagues[Football Association])</f>
        <v>France</v>
      </c>
      <c r="D169" s="42">
        <f>COUNTIF(Squads[Current Club],'Club Representation info'!A169)</f>
        <v>2</v>
      </c>
    </row>
    <row r="170" spans="1:4" x14ac:dyDescent="0.25">
      <c r="A170" s="9" t="str">
        <v>Bristol City</v>
      </c>
      <c r="B170" s="9" t="str">
        <f>_xlfn.XLOOKUP(A170,Clubs[Current Club],Clubs[Club - League])</f>
        <v>Championship</v>
      </c>
      <c r="C170" s="9" t="str">
        <f>_xlfn.XLOOKUP(B170,Club_Leagues[Club - League],Club_Leagues[Football Association])</f>
        <v>England</v>
      </c>
      <c r="D170" s="42">
        <f>COUNTIF(Squads[Current Club],'Club Representation info'!A170)</f>
        <v>1</v>
      </c>
    </row>
    <row r="171" spans="1:4" x14ac:dyDescent="0.25">
      <c r="A171" s="9" t="str">
        <v>Clermont</v>
      </c>
      <c r="B171" s="9" t="str">
        <f>_xlfn.XLOOKUP(A171,Clubs[Current Club],Clubs[Club - League])</f>
        <v>Ligue 1</v>
      </c>
      <c r="C171" s="9" t="str">
        <f>_xlfn.XLOOKUP(B171,Club_Leagues[Club - League],Club_Leagues[Football Association])</f>
        <v>France</v>
      </c>
      <c r="D171" s="42">
        <f>COUNTIF(Squads[Current Club],'Club Representation info'!A171)</f>
        <v>2</v>
      </c>
    </row>
    <row r="172" spans="1:4" x14ac:dyDescent="0.25">
      <c r="A172" s="9" t="str">
        <v>Persepolis</v>
      </c>
      <c r="B172" s="9" t="str">
        <f>_xlfn.XLOOKUP(A172,Clubs[Current Club],Clubs[Club - League])</f>
        <v>Persian Golf Pro League</v>
      </c>
      <c r="C172" s="9" t="str">
        <f>_xlfn.XLOOKUP(B172,Club_Leagues[Club - League],Club_Leagues[Football Association])</f>
        <v>Iran</v>
      </c>
      <c r="D172" s="42">
        <f>COUNTIF(Squads[Current Club],'Club Representation info'!A172)</f>
        <v>4</v>
      </c>
    </row>
    <row r="173" spans="1:4" x14ac:dyDescent="0.25">
      <c r="A173" s="9" t="str">
        <v>Al-Ahli Doha</v>
      </c>
      <c r="B173" s="9" t="str">
        <f>_xlfn.XLOOKUP(A173,Clubs[Current Club],Clubs[Club - League])</f>
        <v>Stars League</v>
      </c>
      <c r="C173" s="9" t="str">
        <f>_xlfn.XLOOKUP(B173,Club_Leagues[Club - League],Club_Leagues[Football Association])</f>
        <v>Qatar</v>
      </c>
      <c r="D173" s="42">
        <f>COUNTIF(Squads[Current Club],'Club Representation info'!A173)</f>
        <v>2</v>
      </c>
    </row>
    <row r="174" spans="1:4" x14ac:dyDescent="0.25">
      <c r="A174" s="9" t="str">
        <v>Vejle</v>
      </c>
      <c r="B174" s="9" t="str">
        <f>_xlfn.XLOOKUP(A174,Clubs[Current Club],Clubs[Club - League])</f>
        <v>1. Division Denmark</v>
      </c>
      <c r="C174" s="9" t="str">
        <f>_xlfn.XLOOKUP(B174,Club_Leagues[Club - League],Club_Leagues[Football Association])</f>
        <v>Denmark</v>
      </c>
      <c r="D174" s="42">
        <f>COUNTIF(Squads[Current Club],'Club Representation info'!A174)</f>
        <v>1</v>
      </c>
    </row>
    <row r="175" spans="1:4" x14ac:dyDescent="0.25">
      <c r="A175" s="9" t="str">
        <v>Feyenoord</v>
      </c>
      <c r="B175" s="9" t="str">
        <f>_xlfn.XLOOKUP(A175,Clubs[Current Club],Clubs[Club - League])</f>
        <v>Eredivisie</v>
      </c>
      <c r="C175" s="9" t="str">
        <f>_xlfn.XLOOKUP(B175,Club_Leagues[Club - League],Club_Leagues[Football Association])</f>
        <v>Netherlands</v>
      </c>
      <c r="D175" s="42">
        <f>COUNTIF(Squads[Current Club],'Club Representation info'!A175)</f>
        <v>3</v>
      </c>
    </row>
    <row r="176" spans="1:4" x14ac:dyDescent="0.25">
      <c r="A176" s="9" t="str">
        <v>Omonia</v>
      </c>
      <c r="B176" s="9" t="str">
        <f>_xlfn.XLOOKUP(A176,Clubs[Current Club],Clubs[Club - League])</f>
        <v>1. Division - Crypus</v>
      </c>
      <c r="C176" s="9" t="str">
        <f>_xlfn.XLOOKUP(B176,Club_Leagues[Club - League],Club_Leagues[Football Association])</f>
        <v>Cyprus</v>
      </c>
      <c r="D176" s="42">
        <f>COUNTIF(Squads[Current Club],'Club Representation info'!A176)</f>
        <v>1</v>
      </c>
    </row>
    <row r="177" spans="1:4" x14ac:dyDescent="0.25">
      <c r="A177" s="9" t="str">
        <v>Sepahan</v>
      </c>
      <c r="B177" s="9" t="str">
        <f>_xlfn.XLOOKUP(A177,Clubs[Current Club],Clubs[Club - League])</f>
        <v>Persian Golf Pro League</v>
      </c>
      <c r="C177" s="9" t="str">
        <f>_xlfn.XLOOKUP(B177,Club_Leagues[Club - League],Club_Leagues[Football Association])</f>
        <v>Iran</v>
      </c>
      <c r="D177" s="42">
        <f>COUNTIF(Squads[Current Club],'Club Representation info'!A177)</f>
        <v>2</v>
      </c>
    </row>
    <row r="178" spans="1:4" x14ac:dyDescent="0.25">
      <c r="A178" s="9" t="str">
        <v>Esteghlal</v>
      </c>
      <c r="B178" s="9" t="str">
        <f>_xlfn.XLOOKUP(A178,Clubs[Current Club],Clubs[Club - League])</f>
        <v>Persian Golf Pro League</v>
      </c>
      <c r="C178" s="9" t="str">
        <f>_xlfn.XLOOKUP(B178,Club_Leagues[Club - League],Club_Leagues[Football Association])</f>
        <v>Iran</v>
      </c>
      <c r="D178" s="42">
        <f>COUNTIF(Squads[Current Club],'Club Representation info'!A178)</f>
        <v>3</v>
      </c>
    </row>
    <row r="179" spans="1:4" x14ac:dyDescent="0.25">
      <c r="A179" s="9" t="str">
        <v>Charleroi</v>
      </c>
      <c r="B179" s="9" t="str">
        <f>_xlfn.XLOOKUP(A179,Clubs[Current Club],Clubs[Club - League])</f>
        <v>First Division A</v>
      </c>
      <c r="C179" s="9" t="str">
        <f>_xlfn.XLOOKUP(B179,Club_Leagues[Club - League],Club_Leagues[Football Association])</f>
        <v>Belgium</v>
      </c>
      <c r="D179" s="42">
        <f>COUNTIF(Squads[Current Club],'Club Representation info'!A179)</f>
        <v>1</v>
      </c>
    </row>
    <row r="180" spans="1:4" x14ac:dyDescent="0.25">
      <c r="A180" s="9" t="str">
        <v>Kayserispor</v>
      </c>
      <c r="B180" s="9" t="str">
        <f>_xlfn.XLOOKUP(A180,Clubs[Current Club],Clubs[Club - League])</f>
        <v>Super Lig</v>
      </c>
      <c r="C180" s="9" t="str">
        <f>_xlfn.XLOOKUP(B180,Club_Leagues[Club - League],Club_Leagues[Football Association])</f>
        <v>Turkey</v>
      </c>
      <c r="D180" s="42">
        <f>COUNTIF(Squads[Current Club],'Club Representation info'!A180)</f>
        <v>2</v>
      </c>
    </row>
    <row r="181" spans="1:4" x14ac:dyDescent="0.25">
      <c r="A181" s="9" t="str">
        <v>Shabab Al-Ahli</v>
      </c>
      <c r="B181" s="9" t="str">
        <f>_xlfn.XLOOKUP(A181,Clubs[Current Club],Clubs[Club - League])</f>
        <v>Pro League UAE</v>
      </c>
      <c r="C181" s="9" t="str">
        <f>_xlfn.XLOOKUP(B181,Club_Leagues[Club - League],Club_Leagues[Football Association])</f>
        <v>United Arab Emirates</v>
      </c>
      <c r="D181" s="42">
        <f>COUNTIF(Squads[Current Club],'Club Representation info'!A181)</f>
        <v>1</v>
      </c>
    </row>
    <row r="182" spans="1:4" x14ac:dyDescent="0.25">
      <c r="A182" s="9" t="str">
        <v>Ponferradina</v>
      </c>
      <c r="B182" s="9" t="str">
        <f>_xlfn.XLOOKUP(A182,Clubs[Current Club],Clubs[Club - League])</f>
        <v>Segunda Division</v>
      </c>
      <c r="C182" s="9" t="str">
        <f>_xlfn.XLOOKUP(B182,Club_Leagues[Club - League],Club_Leagues[Football Association])</f>
        <v>Spain</v>
      </c>
      <c r="D182" s="42">
        <f>COUNTIF(Squads[Current Club],'Club Representation info'!A182)</f>
        <v>1</v>
      </c>
    </row>
    <row r="183" spans="1:4" x14ac:dyDescent="0.25">
      <c r="A183" s="9" t="str">
        <v>Kawasaki Frontale</v>
      </c>
      <c r="B183" s="9" t="str">
        <f>_xlfn.XLOOKUP(A183,Clubs[Current Club],Clubs[Club - League])</f>
        <v>J1 League</v>
      </c>
      <c r="C183" s="9" t="str">
        <f>_xlfn.XLOOKUP(B183,Club_Leagues[Club - League],Club_Leagues[Football Association])</f>
        <v>Japan</v>
      </c>
      <c r="D183" s="42">
        <f>COUNTIF(Squads[Current Club],'Club Representation info'!A183)</f>
        <v>2</v>
      </c>
    </row>
    <row r="184" spans="1:4" x14ac:dyDescent="0.25">
      <c r="A184" s="9" t="str">
        <v>FC Tokyo</v>
      </c>
      <c r="B184" s="9" t="str">
        <f>_xlfn.XLOOKUP(A184,Clubs[Current Club],Clubs[Club - League])</f>
        <v>J1 League</v>
      </c>
      <c r="C184" s="9" t="str">
        <f>_xlfn.XLOOKUP(B184,Club_Leagues[Club - League],Club_Leagues[Football Association])</f>
        <v>Japan</v>
      </c>
      <c r="D184" s="42">
        <f>COUNTIF(Squads[Current Club],'Club Representation info'!A184)</f>
        <v>1</v>
      </c>
    </row>
    <row r="185" spans="1:4" x14ac:dyDescent="0.25">
      <c r="A185" s="9" t="str">
        <v>Leganés</v>
      </c>
      <c r="B185" s="9" t="str">
        <f>_xlfn.XLOOKUP(A185,Clubs[Current Club],Clubs[Club - League])</f>
        <v>Segunda Division</v>
      </c>
      <c r="C185" s="9" t="str">
        <f>_xlfn.XLOOKUP(B185,Club_Leagues[Club - League],Club_Leagues[Football Association])</f>
        <v>Spain</v>
      </c>
      <c r="D185" s="42">
        <f>COUNTIF(Squads[Current Club],'Club Representation info'!A185)</f>
        <v>1</v>
      </c>
    </row>
    <row r="186" spans="1:4" x14ac:dyDescent="0.25">
      <c r="A186" s="9" t="str">
        <v>Real Sociedad</v>
      </c>
      <c r="B186" s="9" t="str">
        <f>_xlfn.XLOOKUP(A186,Clubs[Current Club],Clubs[Club - League])</f>
        <v>La Liga</v>
      </c>
      <c r="C186" s="9" t="str">
        <f>_xlfn.XLOOKUP(B186,Club_Leagues[Club - League],Club_Leagues[Football Association])</f>
        <v>Spain</v>
      </c>
      <c r="D186" s="42">
        <f>COUNTIF(Squads[Current Club],'Club Representation info'!A186)</f>
        <v>1</v>
      </c>
    </row>
    <row r="187" spans="1:4" x14ac:dyDescent="0.25">
      <c r="A187" s="9" t="str">
        <v>Shimizu S-Pulse</v>
      </c>
      <c r="B187" s="9" t="str">
        <f>_xlfn.XLOOKUP(A187,Clubs[Current Club],Clubs[Club - League])</f>
        <v>J1 League</v>
      </c>
      <c r="C187" s="9" t="str">
        <f>_xlfn.XLOOKUP(B187,Club_Leagues[Club - League],Club_Leagues[Football Association])</f>
        <v>Japan</v>
      </c>
      <c r="D187" s="42">
        <f>COUNTIF(Squads[Current Club],'Club Representation info'!A187)</f>
        <v>1</v>
      </c>
    </row>
    <row r="188" spans="1:4" x14ac:dyDescent="0.25">
      <c r="A188" s="9" t="str">
        <v>Reims</v>
      </c>
      <c r="B188" s="9" t="str">
        <f>_xlfn.XLOOKUP(A188,Clubs[Current Club],Clubs[Club - League])</f>
        <v>Ligue 1</v>
      </c>
      <c r="C188" s="9" t="str">
        <f>_xlfn.XLOOKUP(B188,Club_Leagues[Club - League],Club_Leagues[Football Association])</f>
        <v>France</v>
      </c>
      <c r="D188" s="42">
        <f>COUNTIF(Squads[Current Club],'Club Representation info'!A188)</f>
        <v>1</v>
      </c>
    </row>
    <row r="189" spans="1:4" x14ac:dyDescent="0.25">
      <c r="A189" s="9" t="str">
        <v>Fortuna Düsseldorf</v>
      </c>
      <c r="B189" s="9" t="str">
        <f>_xlfn.XLOOKUP(A189,Clubs[Current Club],Clubs[Club - League])</f>
        <v>2. Bundesliga</v>
      </c>
      <c r="C189" s="9" t="str">
        <f>_xlfn.XLOOKUP(B189,Club_Leagues[Club - League],Club_Leagues[Football Association])</f>
        <v>Germany</v>
      </c>
      <c r="D189" s="42">
        <f>COUNTIF(Squads[Current Club],'Club Representation info'!A189)</f>
        <v>1</v>
      </c>
    </row>
    <row r="190" spans="1:4" x14ac:dyDescent="0.25">
      <c r="A190" s="9" t="str">
        <v>VfL Bochum</v>
      </c>
      <c r="B190" s="9" t="str">
        <f>_xlfn.XLOOKUP(A190,Clubs[Current Club],Clubs[Club - League])</f>
        <v>Bundesliga</v>
      </c>
      <c r="C190" s="9" t="str">
        <f>_xlfn.XLOOKUP(B190,Club_Leagues[Club - League],Club_Leagues[Football Association])</f>
        <v>Germany</v>
      </c>
      <c r="D190" s="42">
        <f>COUNTIF(Squads[Current Club],'Club Representation info'!A190)</f>
        <v>1</v>
      </c>
    </row>
    <row r="191" spans="1:4" x14ac:dyDescent="0.25">
      <c r="A191" s="9" t="str">
        <v>Urawa Red Diamonds</v>
      </c>
      <c r="B191" s="9" t="str">
        <f>_xlfn.XLOOKUP(A191,Clubs[Current Club],Clubs[Club - League])</f>
        <v>J1 League</v>
      </c>
      <c r="C191" s="9" t="str">
        <f>_xlfn.XLOOKUP(B191,Club_Leagues[Club - League],Club_Leagues[Football Association])</f>
        <v>Japan</v>
      </c>
      <c r="D191" s="42">
        <f>COUNTIF(Squads[Current Club],'Club Representation info'!A191)</f>
        <v>1</v>
      </c>
    </row>
    <row r="192" spans="1:4" x14ac:dyDescent="0.25">
      <c r="A192" s="9" t="str">
        <v>Shonan Bellmare</v>
      </c>
      <c r="B192" s="9" t="str">
        <f>_xlfn.XLOOKUP(A192,Clubs[Current Club],Clubs[Club - League])</f>
        <v>J1 League</v>
      </c>
      <c r="C192" s="9" t="str">
        <f>_xlfn.XLOOKUP(B192,Club_Leagues[Club - League],Club_Leagues[Football Association])</f>
        <v>Japan</v>
      </c>
      <c r="D192" s="42">
        <f>COUNTIF(Squads[Current Club],'Club Representation info'!A192)</f>
        <v>1</v>
      </c>
    </row>
    <row r="193" spans="1:4" x14ac:dyDescent="0.25">
      <c r="A193" s="9" t="str">
        <v>Cercle Brugge</v>
      </c>
      <c r="B193" s="9" t="str">
        <f>_xlfn.XLOOKUP(A193,Clubs[Current Club],Clubs[Club - League])</f>
        <v>First Division A</v>
      </c>
      <c r="C193" s="9" t="str">
        <f>_xlfn.XLOOKUP(B193,Club_Leagues[Club - League],Club_Leagues[Football Association])</f>
        <v>Belgium</v>
      </c>
      <c r="D193" s="42">
        <f>COUNTIF(Squads[Current Club],'Club Representation info'!A193)</f>
        <v>1</v>
      </c>
    </row>
    <row r="194" spans="1:4" x14ac:dyDescent="0.25">
      <c r="A194" s="9" t="str">
        <v>Schalke 04</v>
      </c>
      <c r="B194" s="9" t="str">
        <f>_xlfn.XLOOKUP(A194,Clubs[Current Club],Clubs[Club - League])</f>
        <v>Bundesliga</v>
      </c>
      <c r="C194" s="9" t="str">
        <f>_xlfn.XLOOKUP(B194,Club_Leagues[Club - League],Club_Leagues[Football Association])</f>
        <v>Germany</v>
      </c>
      <c r="D194" s="42">
        <f>COUNTIF(Squads[Current Club],'Club Representation info'!A194)</f>
        <v>1</v>
      </c>
    </row>
    <row r="195" spans="1:4" x14ac:dyDescent="0.25">
      <c r="A195" s="9" t="str">
        <v>Sint-Truiden</v>
      </c>
      <c r="B195" s="9" t="str">
        <f>_xlfn.XLOOKUP(A195,Clubs[Current Club],Clubs[Club - League])</f>
        <v>First Division A</v>
      </c>
      <c r="C195" s="9" t="str">
        <f>_xlfn.XLOOKUP(B195,Club_Leagues[Club - League],Club_Leagues[Football Association])</f>
        <v>Belgium</v>
      </c>
      <c r="D195" s="42">
        <f>COUNTIF(Squads[Current Club],'Club Representation info'!A195)</f>
        <v>1</v>
      </c>
    </row>
    <row r="196" spans="1:4" x14ac:dyDescent="0.25">
      <c r="A196" s="9" t="str">
        <v>Nagoya Grampus</v>
      </c>
      <c r="B196" s="9" t="str">
        <f>_xlfn.XLOOKUP(A196,Clubs[Current Club],Clubs[Club - League])</f>
        <v>J1 League</v>
      </c>
      <c r="C196" s="9" t="str">
        <f>_xlfn.XLOOKUP(B196,Club_Leagues[Club - League],Club_Leagues[Football Association])</f>
        <v>Japan</v>
      </c>
      <c r="D196" s="42">
        <f>COUNTIF(Squads[Current Club],'Club Representation info'!A196)</f>
        <v>1</v>
      </c>
    </row>
    <row r="197" spans="1:4" x14ac:dyDescent="0.25">
      <c r="A197" s="9" t="str">
        <v>Al-Shabab</v>
      </c>
      <c r="B197" s="9" t="str">
        <f>_xlfn.XLOOKUP(A197,Clubs[Current Club],Clubs[Club - League])</f>
        <v>Saudi Division 1</v>
      </c>
      <c r="C197" s="9" t="str">
        <f>_xlfn.XLOOKUP(B197,Club_Leagues[Club - League],Club_Leagues[Football Association])</f>
        <v>Saudi Arabia</v>
      </c>
      <c r="D197" s="42">
        <f>COUNTIF(Squads[Current Club],'Club Representation info'!A197)</f>
        <v>5</v>
      </c>
    </row>
    <row r="198" spans="1:4" x14ac:dyDescent="0.25">
      <c r="A198" s="9" t="str">
        <v>FC Seoul</v>
      </c>
      <c r="B198" s="9" t="str">
        <f>_xlfn.XLOOKUP(A198,Clubs[Current Club],Clubs[Club - League])</f>
        <v>K League 1</v>
      </c>
      <c r="C198" s="9" t="str">
        <f>_xlfn.XLOOKUP(B198,Club_Leagues[Club - League],Club_Leagues[Football Association])</f>
        <v>Korea Rep</v>
      </c>
      <c r="D198" s="42">
        <f>COUNTIF(Squads[Current Club],'Club Representation info'!A198)</f>
        <v>2</v>
      </c>
    </row>
    <row r="199" spans="1:4" x14ac:dyDescent="0.25">
      <c r="A199" s="9" t="str">
        <v>Jeonbuk Hyundai Motors</v>
      </c>
      <c r="B199" s="9" t="str">
        <f>_xlfn.XLOOKUP(A199,Clubs[Current Club],Clubs[Club - League])</f>
        <v>K League 1</v>
      </c>
      <c r="C199" s="9" t="str">
        <f>_xlfn.XLOOKUP(B199,Club_Leagues[Club - League],Club_Leagues[Football Association])</f>
        <v>Korea Rep</v>
      </c>
      <c r="D199" s="42">
        <f>COUNTIF(Squads[Current Club],'Club Representation info'!A199)</f>
        <v>6</v>
      </c>
    </row>
    <row r="200" spans="1:4" x14ac:dyDescent="0.25">
      <c r="A200" s="9" t="str">
        <v>Mainz 05</v>
      </c>
      <c r="B200" s="9" t="str">
        <f>_xlfn.XLOOKUP(A200,Clubs[Current Club],Clubs[Club - League])</f>
        <v>Bundesliga</v>
      </c>
      <c r="C200" s="9" t="str">
        <f>_xlfn.XLOOKUP(B200,Club_Leagues[Club - League],Club_Leagues[Football Association])</f>
        <v>Germany</v>
      </c>
      <c r="D200" s="42">
        <f>COUNTIF(Squads[Current Club],'Club Representation info'!A200)</f>
        <v>3</v>
      </c>
    </row>
    <row r="201" spans="1:4" x14ac:dyDescent="0.25">
      <c r="A201" s="9" t="str">
        <v>Wolverhampton Wanderers</v>
      </c>
      <c r="B201" s="9" t="str">
        <f>_xlfn.XLOOKUP(A201,Clubs[Current Club],Clubs[Club - League])</f>
        <v>Premier League</v>
      </c>
      <c r="C201" s="9" t="str">
        <f>_xlfn.XLOOKUP(B201,Club_Leagues[Club - League],Club_Leagues[Football Association])</f>
        <v>England</v>
      </c>
      <c r="D201" s="42">
        <f>COUNTIF(Squads[Current Club],'Club Representation info'!A201)</f>
        <v>5</v>
      </c>
    </row>
    <row r="202" spans="1:4" x14ac:dyDescent="0.25">
      <c r="A202" s="9" t="str">
        <v>Shandong Taishan</v>
      </c>
      <c r="B202" s="9" t="str">
        <f>_xlfn.XLOOKUP(A202,Clubs[Current Club],Clubs[Club - League])</f>
        <v>CSL</v>
      </c>
      <c r="C202" s="9" t="str">
        <f>_xlfn.XLOOKUP(B202,Club_Leagues[Club - League],Club_Leagues[Football Association])</f>
        <v>China</v>
      </c>
      <c r="D202" s="42">
        <f>COUNTIF(Squads[Current Club],'Club Representation info'!A202)</f>
        <v>1</v>
      </c>
    </row>
    <row r="203" spans="1:4" x14ac:dyDescent="0.25">
      <c r="A203" s="9" t="str">
        <v>Daegu FC</v>
      </c>
      <c r="B203" s="9" t="str">
        <f>_xlfn.XLOOKUP(A203,Clubs[Current Club],Clubs[Club - League])</f>
        <v>K League 1</v>
      </c>
      <c r="C203" s="9" t="str">
        <f>_xlfn.XLOOKUP(B203,Club_Leagues[Club - League],Club_Leagues[Football Association])</f>
        <v>Korea Rep</v>
      </c>
      <c r="D203" s="42">
        <f>COUNTIF(Squads[Current Club],'Club Representation info'!A203)</f>
        <v>1</v>
      </c>
    </row>
    <row r="204" spans="1:4" x14ac:dyDescent="0.25">
      <c r="A204" s="9" t="str">
        <v>Mallorca</v>
      </c>
      <c r="B204" s="9" t="str">
        <f>_xlfn.XLOOKUP(A204,Clubs[Current Club],Clubs[Club - League])</f>
        <v>La Liga</v>
      </c>
      <c r="C204" s="9" t="str">
        <f>_xlfn.XLOOKUP(B204,Club_Leagues[Club - League],Club_Leagues[Football Association])</f>
        <v>Spain</v>
      </c>
      <c r="D204" s="42">
        <f>COUNTIF(Squads[Current Club],'Club Representation info'!A204)</f>
        <v>2</v>
      </c>
    </row>
    <row r="205" spans="1:4" x14ac:dyDescent="0.25">
      <c r="A205" s="9" t="str">
        <v>Ulsan Hyundai</v>
      </c>
      <c r="B205" s="9" t="str">
        <f>_xlfn.XLOOKUP(A205,Clubs[Current Club],Clubs[Club - League])</f>
        <v>K League 1</v>
      </c>
      <c r="C205" s="9" t="str">
        <f>_xlfn.XLOOKUP(B205,Club_Leagues[Club - League],Club_Leagues[Football Association])</f>
        <v>Korea Rep</v>
      </c>
      <c r="D205" s="42">
        <f>COUNTIF(Squads[Current Club],'Club Representation info'!A205)</f>
        <v>3</v>
      </c>
    </row>
    <row r="206" spans="1:4" x14ac:dyDescent="0.25">
      <c r="A206" s="9" t="str">
        <v>Gamba Osaka</v>
      </c>
      <c r="B206" s="9" t="str">
        <f>_xlfn.XLOOKUP(A206,Clubs[Current Club],Clubs[Club - League])</f>
        <v>J1 League</v>
      </c>
      <c r="C206" s="9" t="str">
        <f>_xlfn.XLOOKUP(B206,Club_Leagues[Club - League],Club_Leagues[Football Association])</f>
        <v>Japan</v>
      </c>
      <c r="D206" s="42">
        <f>COUNTIF(Squads[Current Club],'Club Representation info'!A206)</f>
        <v>1</v>
      </c>
    </row>
    <row r="207" spans="1:4" x14ac:dyDescent="0.25">
      <c r="A207" s="9" t="str">
        <v>Gimcheon Sangmu</v>
      </c>
      <c r="B207" s="9" t="str">
        <f>_xlfn.XLOOKUP(A207,Clubs[Current Club],Clubs[Club - League])</f>
        <v>K League 1</v>
      </c>
      <c r="C207" s="9" t="str">
        <f>_xlfn.XLOOKUP(B207,Club_Leagues[Club - League],Club_Leagues[Football Association])</f>
        <v>Korea Rep</v>
      </c>
      <c r="D207" s="42">
        <f>COUNTIF(Squads[Current Club],'Club Representation info'!A207)</f>
        <v>1</v>
      </c>
    </row>
    <row r="208" spans="1:4" x14ac:dyDescent="0.25">
      <c r="A208" s="9" t="str">
        <v>Daejeon Hana Citizen</v>
      </c>
      <c r="B208" s="9" t="str">
        <f>_xlfn.XLOOKUP(A208,Clubs[Current Club],Clubs[Club - League])</f>
        <v>K League 2</v>
      </c>
      <c r="C208" s="9" t="str">
        <f>_xlfn.XLOOKUP(B208,Club_Leagues[Club - League],Club_Leagues[Football Association])</f>
        <v>Korea Rep</v>
      </c>
      <c r="D208" s="42">
        <f>COUNTIF(Squads[Current Club],'Club Representation info'!A208)</f>
        <v>1</v>
      </c>
    </row>
    <row r="209" spans="1:4" x14ac:dyDescent="0.25">
      <c r="A209" s="9" t="str">
        <v>Juárez</v>
      </c>
      <c r="B209" s="9" t="str">
        <f>_xlfn.XLOOKUP(A209,Clubs[Current Club],Clubs[Club - League])</f>
        <v>Liga MX</v>
      </c>
      <c r="C209" s="9" t="str">
        <f>_xlfn.XLOOKUP(B209,Club_Leagues[Club - League],Club_Leagues[Football Association])</f>
        <v>Mexico</v>
      </c>
      <c r="D209" s="42">
        <f>COUNTIF(Squads[Current Club],'Club Representation info'!A209)</f>
        <v>1</v>
      </c>
    </row>
    <row r="210" spans="1:4" x14ac:dyDescent="0.25">
      <c r="A210" s="9" t="str">
        <v>América</v>
      </c>
      <c r="B210" s="9" t="str">
        <f>_xlfn.XLOOKUP(A210,Clubs[Current Club],Clubs[Club - League])</f>
        <v>Liga MX</v>
      </c>
      <c r="C210" s="9" t="str">
        <f>_xlfn.XLOOKUP(B210,Club_Leagues[Club - League],Club_Leagues[Football Association])</f>
        <v>Mexico</v>
      </c>
      <c r="D210" s="42">
        <f>COUNTIF(Squads[Current Club],'Club Representation info'!A210)</f>
        <v>3</v>
      </c>
    </row>
    <row r="211" spans="1:4" x14ac:dyDescent="0.25">
      <c r="A211" s="9" t="str">
        <v>Monterrey</v>
      </c>
      <c r="B211" s="9" t="str">
        <f>_xlfn.XLOOKUP(A211,Clubs[Current Club],Clubs[Club - League])</f>
        <v>Liga MX</v>
      </c>
      <c r="C211" s="9" t="str">
        <f>_xlfn.XLOOKUP(B211,Club_Leagues[Club - League],Club_Leagues[Football Association])</f>
        <v>Mexico</v>
      </c>
      <c r="D211" s="42">
        <f>COUNTIF(Squads[Current Club],'Club Representation info'!A211)</f>
        <v>5</v>
      </c>
    </row>
    <row r="212" spans="1:4" x14ac:dyDescent="0.25">
      <c r="A212" s="9" t="str">
        <v>Cremonese</v>
      </c>
      <c r="B212" s="9" t="str">
        <f>_xlfn.XLOOKUP(A212,Clubs[Current Club],Clubs[Club - League])</f>
        <v>Serie A</v>
      </c>
      <c r="C212" s="9" t="str">
        <f>_xlfn.XLOOKUP(B212,Club_Leagues[Club - League],Club_Leagues[Football Association])</f>
        <v>Italy</v>
      </c>
      <c r="D212" s="42">
        <f>COUNTIF(Squads[Current Club],'Club Representation info'!A212)</f>
        <v>1</v>
      </c>
    </row>
    <row r="213" spans="1:4" x14ac:dyDescent="0.25">
      <c r="A213" s="9" t="str">
        <v>Guadalajara</v>
      </c>
      <c r="B213" s="9" t="str">
        <f>_xlfn.XLOOKUP(A213,Clubs[Current Club],Clubs[Club - League])</f>
        <v>Liga MX</v>
      </c>
      <c r="C213" s="9" t="str">
        <f>_xlfn.XLOOKUP(B213,Club_Leagues[Club - League],Club_Leagues[Football Association])</f>
        <v>Mexico</v>
      </c>
      <c r="D213" s="42">
        <f>COUNTIF(Squads[Current Club],'Club Representation info'!A213)</f>
        <v>2</v>
      </c>
    </row>
    <row r="214" spans="1:4" x14ac:dyDescent="0.25">
      <c r="A214" s="9" t="str">
        <v>PSV Eindhoven</v>
      </c>
      <c r="B214" s="9" t="str">
        <f>_xlfn.XLOOKUP(A214,Clubs[Current Club],Clubs[Club - League])</f>
        <v>Eredivisie</v>
      </c>
      <c r="C214" s="9" t="str">
        <f>_xlfn.XLOOKUP(B214,Club_Leagues[Club - League],Club_Leagues[Football Association])</f>
        <v>Netherlands</v>
      </c>
      <c r="D214" s="42">
        <f>COUNTIF(Squads[Current Club],'Club Representation info'!A214)</f>
        <v>4</v>
      </c>
    </row>
    <row r="215" spans="1:4" x14ac:dyDescent="0.25">
      <c r="A215" s="9" t="str">
        <v>Houston Dynamo FC</v>
      </c>
      <c r="B215" s="9" t="str">
        <f>_xlfn.XLOOKUP(A215,Clubs[Current Club],Clubs[Club - League])</f>
        <v>MLS</v>
      </c>
      <c r="C215" s="9" t="str">
        <f>_xlfn.XLOOKUP(B215,Club_Leagues[Club - League],Club_Leagues[Football Association])</f>
        <v>USA</v>
      </c>
      <c r="D215" s="42">
        <f>COUNTIF(Squads[Current Club],'Club Representation info'!A215)</f>
        <v>1</v>
      </c>
    </row>
    <row r="216" spans="1:4" x14ac:dyDescent="0.25">
      <c r="A216" s="9" t="str">
        <v>Fiorentina</v>
      </c>
      <c r="B216" s="9" t="str">
        <f>_xlfn.XLOOKUP(A216,Clubs[Current Club],Clubs[Club - League])</f>
        <v>Serie A</v>
      </c>
      <c r="C216" s="9" t="str">
        <f>_xlfn.XLOOKUP(B216,Club_Leagues[Club - League],Club_Leagues[Football Association])</f>
        <v>Italy</v>
      </c>
      <c r="D216" s="42">
        <f>COUNTIF(Squads[Current Club],'Club Representation info'!A216)</f>
        <v>4</v>
      </c>
    </row>
    <row r="217" spans="1:4" x14ac:dyDescent="0.25">
      <c r="A217" s="9" t="str">
        <v>Angers</v>
      </c>
      <c r="B217" s="9" t="str">
        <f>_xlfn.XLOOKUP(A217,Clubs[Current Club],Clubs[Club - League])</f>
        <v>Ligue 1</v>
      </c>
      <c r="C217" s="9" t="str">
        <f>_xlfn.XLOOKUP(B217,Club_Leagues[Club - League],Club_Leagues[Football Association])</f>
        <v>France</v>
      </c>
      <c r="D217" s="42">
        <f>COUNTIF(Squads[Current Club],'Club Representation info'!A217)</f>
        <v>2</v>
      </c>
    </row>
    <row r="218" spans="1:4" x14ac:dyDescent="0.25">
      <c r="A218" s="9" t="str">
        <v>Al-Ittihad</v>
      </c>
      <c r="B218" s="9" t="str">
        <f>_xlfn.XLOOKUP(A218,Clubs[Current Club],Clubs[Club - League])</f>
        <v>Saudi Division 1</v>
      </c>
      <c r="C218" s="9" t="str">
        <f>_xlfn.XLOOKUP(B218,Club_Leagues[Club - League],Club_Leagues[Football Association])</f>
        <v>Saudi Arabia</v>
      </c>
      <c r="D218" s="42">
        <f>COUNTIF(Squads[Current Club],'Club Representation info'!A218)</f>
        <v>2</v>
      </c>
    </row>
    <row r="219" spans="1:4" x14ac:dyDescent="0.25">
      <c r="A219" s="9" t="str">
        <v>Burnley</v>
      </c>
      <c r="B219" s="9" t="str">
        <f>_xlfn.XLOOKUP(A219,Clubs[Current Club],Clubs[Club - League])</f>
        <v>Championship</v>
      </c>
      <c r="C219" s="9" t="str">
        <f>_xlfn.XLOOKUP(B219,Club_Leagues[Club - League],Club_Leagues[Football Association])</f>
        <v>England</v>
      </c>
      <c r="D219" s="42">
        <f>COUNTIF(Squads[Current Club],'Club Representation info'!A219)</f>
        <v>2</v>
      </c>
    </row>
    <row r="220" spans="1:4" x14ac:dyDescent="0.25">
      <c r="A220" s="9" t="str">
        <v>Sampdoria</v>
      </c>
      <c r="B220" s="9" t="str">
        <f>_xlfn.XLOOKUP(A220,Clubs[Current Club],Clubs[Club - League])</f>
        <v>Serie A</v>
      </c>
      <c r="C220" s="9" t="str">
        <f>_xlfn.XLOOKUP(B220,Club_Leagues[Club - League],Club_Leagues[Football Association])</f>
        <v>Italy</v>
      </c>
      <c r="D220" s="42">
        <f>COUNTIF(Squads[Current Club],'Club Representation info'!A220)</f>
        <v>3</v>
      </c>
    </row>
    <row r="221" spans="1:4" x14ac:dyDescent="0.25">
      <c r="A221" s="9" t="str">
        <v>Queens Park Rangers</v>
      </c>
      <c r="B221" s="9" t="str">
        <f>_xlfn.XLOOKUP(A221,Clubs[Current Club],Clubs[Club - League])</f>
        <v>Championship</v>
      </c>
      <c r="C221" s="9" t="str">
        <f>_xlfn.XLOOKUP(B221,Club_Leagues[Club - League],Club_Leagues[Football Association])</f>
        <v>England</v>
      </c>
      <c r="D221" s="42">
        <f>COUNTIF(Squads[Current Club],'Club Representation info'!A221)</f>
        <v>2</v>
      </c>
    </row>
    <row r="222" spans="1:4" x14ac:dyDescent="0.25">
      <c r="A222" s="9" t="str">
        <v>Toulouse</v>
      </c>
      <c r="B222" s="9" t="str">
        <f>_xlfn.XLOOKUP(A222,Clubs[Current Club],Clubs[Club - League])</f>
        <v>Ligue 1</v>
      </c>
      <c r="C222" s="9" t="str">
        <f>_xlfn.XLOOKUP(B222,Club_Leagues[Club - League],Club_Leagues[Football Association])</f>
        <v>France</v>
      </c>
      <c r="D222" s="42">
        <f>COUNTIF(Squads[Current Club],'Club Representation info'!A222)</f>
        <v>1</v>
      </c>
    </row>
    <row r="223" spans="1:4" x14ac:dyDescent="0.25">
      <c r="A223" s="9" t="str">
        <v>Standard Liège</v>
      </c>
      <c r="B223" s="9" t="str">
        <f>_xlfn.XLOOKUP(A223,Clubs[Current Club],Clubs[Club - League])</f>
        <v>First Division A</v>
      </c>
      <c r="C223" s="9" t="str">
        <f>_xlfn.XLOOKUP(B223,Club_Leagues[Club - League],Club_Leagues[Football Association])</f>
        <v>Belgium</v>
      </c>
      <c r="D223" s="42">
        <f>COUNTIF(Squads[Current Club],'Club Representation info'!A223)</f>
        <v>1</v>
      </c>
    </row>
    <row r="224" spans="1:4" x14ac:dyDescent="0.25">
      <c r="A224" s="9" t="str">
        <v>Brest</v>
      </c>
      <c r="B224" s="9" t="str">
        <f>_xlfn.XLOOKUP(A224,Clubs[Current Club],Clubs[Club - League])</f>
        <v>Ligue 1</v>
      </c>
      <c r="C224" s="9" t="str">
        <f>_xlfn.XLOOKUP(B224,Club_Leagues[Club - League],Club_Leagues[Football Association])</f>
        <v>France</v>
      </c>
      <c r="D224" s="42">
        <f>COUNTIF(Squads[Current Club],'Club Representation info'!A224)</f>
        <v>1</v>
      </c>
    </row>
    <row r="225" spans="1:4" x14ac:dyDescent="0.25">
      <c r="A225" s="9" t="str">
        <v>Bari</v>
      </c>
      <c r="B225" s="9" t="str">
        <f>_xlfn.XLOOKUP(A225,Clubs[Current Club],Clubs[Club - League])</f>
        <v>Serie B</v>
      </c>
      <c r="C225" s="9" t="str">
        <f>_xlfn.XLOOKUP(B225,Club_Leagues[Club - League],Club_Leagues[Football Association])</f>
        <v>Italy</v>
      </c>
      <c r="D225" s="42">
        <f>COUNTIF(Squads[Current Club],'Club Representation info'!A225)</f>
        <v>1</v>
      </c>
    </row>
    <row r="226" spans="1:4" x14ac:dyDescent="0.25">
      <c r="A226" s="9" t="str">
        <v>Wydad AC</v>
      </c>
      <c r="B226" s="9" t="str">
        <f>_xlfn.XLOOKUP(A226,Clubs[Current Club],Clubs[Club - League])</f>
        <v>Botola Pro</v>
      </c>
      <c r="C226" s="9" t="str">
        <f>_xlfn.XLOOKUP(B226,Club_Leagues[Club - League],Club_Leagues[Football Association])</f>
        <v>Morocco</v>
      </c>
      <c r="D226" s="42">
        <f>COUNTIF(Squads[Current Club],'Club Representation info'!A226)</f>
        <v>3</v>
      </c>
    </row>
    <row r="227" spans="1:4" x14ac:dyDescent="0.25">
      <c r="A227" s="9" t="str">
        <v>Qatar SC</v>
      </c>
      <c r="B227" s="9" t="str">
        <f>_xlfn.XLOOKUP(A227,Clubs[Current Club],Clubs[Club - League])</f>
        <v>Stars League</v>
      </c>
      <c r="C227" s="9" t="str">
        <f>_xlfn.XLOOKUP(B227,Club_Leagues[Club - League],Club_Leagues[Football Association])</f>
        <v>Qatar</v>
      </c>
      <c r="D227" s="42">
        <f>COUNTIF(Squads[Current Club],'Club Representation info'!A227)</f>
        <v>1</v>
      </c>
    </row>
    <row r="228" spans="1:4" x14ac:dyDescent="0.25">
      <c r="A228" s="9" t="str">
        <v>Heerenveen</v>
      </c>
      <c r="B228" s="9" t="str">
        <f>_xlfn.XLOOKUP(A228,Clubs[Current Club],Clubs[Club - League])</f>
        <v>Eredivisie</v>
      </c>
      <c r="C228" s="9" t="str">
        <f>_xlfn.XLOOKUP(B228,Club_Leagues[Club - League],Club_Leagues[Football Association])</f>
        <v>Netherlands</v>
      </c>
      <c r="D228" s="42">
        <f>COUNTIF(Squads[Current Club],'Club Representation info'!A228)</f>
        <v>1</v>
      </c>
    </row>
    <row r="229" spans="1:4" x14ac:dyDescent="0.25">
      <c r="A229" s="9" t="str">
        <v>Legia Warsaw</v>
      </c>
      <c r="B229" s="9" t="str">
        <f>_xlfn.XLOOKUP(A229,Clubs[Current Club],Clubs[Club - League])</f>
        <v>Ekstraklasa</v>
      </c>
      <c r="C229" s="9" t="str">
        <f>_xlfn.XLOOKUP(B229,Club_Leagues[Club - League],Club_Leagues[Football Association])</f>
        <v>Poland</v>
      </c>
      <c r="D229" s="42">
        <f>COUNTIF(Squads[Current Club],'Club Representation info'!A229)</f>
        <v>2</v>
      </c>
    </row>
    <row r="230" spans="1:4" x14ac:dyDescent="0.25">
      <c r="A230" s="9" t="str">
        <v>Birmingham City</v>
      </c>
      <c r="B230" s="9" t="str">
        <f>_xlfn.XLOOKUP(A230,Clubs[Current Club],Clubs[Club - League])</f>
        <v>Championship</v>
      </c>
      <c r="C230" s="9" t="str">
        <f>_xlfn.XLOOKUP(B230,Club_Leagues[Club - League],Club_Leagues[Football Association])</f>
        <v>England</v>
      </c>
      <c r="D230" s="42">
        <f>COUNTIF(Squads[Current Club],'Club Representation info'!A230)</f>
        <v>2</v>
      </c>
    </row>
    <row r="231" spans="1:4" x14ac:dyDescent="0.25">
      <c r="A231" s="9" t="str">
        <v>Pogoń Szczecin</v>
      </c>
      <c r="B231" s="9" t="str">
        <f>_xlfn.XLOOKUP(A231,Clubs[Current Club],Clubs[Club - League])</f>
        <v>Ekstraklasa</v>
      </c>
      <c r="C231" s="9" t="str">
        <f>_xlfn.XLOOKUP(B231,Club_Leagues[Club - League],Club_Leagues[Football Association])</f>
        <v>Poland</v>
      </c>
      <c r="D231" s="42">
        <f>COUNTIF(Squads[Current Club],'Club Representation info'!A231)</f>
        <v>1</v>
      </c>
    </row>
    <row r="232" spans="1:4" x14ac:dyDescent="0.25">
      <c r="A232" s="9" t="str">
        <v>Bologna</v>
      </c>
      <c r="B232" s="9" t="str">
        <f>_xlfn.XLOOKUP(A232,Clubs[Current Club],Clubs[Club - League])</f>
        <v>Serie A</v>
      </c>
      <c r="C232" s="9" t="str">
        <f>_xlfn.XLOOKUP(B232,Club_Leagues[Club - League],Club_Leagues[Football Association])</f>
        <v>Italy</v>
      </c>
      <c r="D232" s="42">
        <f>COUNTIF(Squads[Current Club],'Club Representation info'!A232)</f>
        <v>2</v>
      </c>
    </row>
    <row r="233" spans="1:4" x14ac:dyDescent="0.25">
      <c r="A233" s="9" t="str">
        <v>Spezia</v>
      </c>
      <c r="B233" s="9" t="str">
        <f>_xlfn.XLOOKUP(A233,Clubs[Current Club],Clubs[Club - League])</f>
        <v>Serie A</v>
      </c>
      <c r="C233" s="9" t="str">
        <f>_xlfn.XLOOKUP(B233,Club_Leagues[Club - League],Club_Leagues[Football Association])</f>
        <v>Italy</v>
      </c>
      <c r="D233" s="42">
        <f>COUNTIF(Squads[Current Club],'Club Representation info'!A233)</f>
        <v>2</v>
      </c>
    </row>
    <row r="234" spans="1:4" x14ac:dyDescent="0.25">
      <c r="A234" s="9" t="str">
        <v>Benevento</v>
      </c>
      <c r="B234" s="9" t="str">
        <f>_xlfn.XLOOKUP(A234,Clubs[Current Club],Clubs[Club - League])</f>
        <v>Serie B</v>
      </c>
      <c r="C234" s="9" t="str">
        <f>_xlfn.XLOOKUP(B234,Club_Leagues[Club - League],Club_Leagues[Football Association])</f>
        <v>Italy</v>
      </c>
      <c r="D234" s="42">
        <f>COUNTIF(Squads[Current Club],'Club Representation info'!A234)</f>
        <v>1</v>
      </c>
    </row>
    <row r="235" spans="1:4" x14ac:dyDescent="0.25">
      <c r="A235" s="9" t="str">
        <v>Charlotte FC</v>
      </c>
      <c r="B235" s="9" t="str">
        <f>_xlfn.XLOOKUP(A235,Clubs[Current Club],Clubs[Club - League])</f>
        <v>MLS</v>
      </c>
      <c r="C235" s="9" t="str">
        <f>_xlfn.XLOOKUP(B235,Club_Leagues[Club - League],Club_Leagues[Football Association])</f>
        <v>USA</v>
      </c>
      <c r="D235" s="42">
        <f>COUNTIF(Squads[Current Club],'Club Representation info'!A235)</f>
        <v>1</v>
      </c>
    </row>
    <row r="236" spans="1:4" x14ac:dyDescent="0.25">
      <c r="A236" s="9" t="str">
        <v>Salernitana</v>
      </c>
      <c r="B236" s="9" t="str">
        <f>_xlfn.XLOOKUP(A236,Clubs[Current Club],Clubs[Club - League])</f>
        <v>Serie A</v>
      </c>
      <c r="C236" s="9" t="str">
        <f>_xlfn.XLOOKUP(B236,Club_Leagues[Club - League],Club_Leagues[Football Association])</f>
        <v>Italy</v>
      </c>
      <c r="D236" s="42">
        <f>COUNTIF(Squads[Current Club],'Club Representation info'!A236)</f>
        <v>3</v>
      </c>
    </row>
    <row r="237" spans="1:4" x14ac:dyDescent="0.25">
      <c r="A237" s="9" t="str">
        <v>Lech Poznań</v>
      </c>
      <c r="B237" s="9" t="str">
        <f>_xlfn.XLOOKUP(A237,Clubs[Current Club],Clubs[Club - League])</f>
        <v>Ekstraklasa</v>
      </c>
      <c r="C237" s="9" t="str">
        <f>_xlfn.XLOOKUP(B237,Club_Leagues[Club - League],Club_Leagues[Football Association])</f>
        <v>Poland</v>
      </c>
      <c r="D237" s="42">
        <f>COUNTIF(Squads[Current Club],'Club Representation info'!A237)</f>
        <v>1</v>
      </c>
    </row>
    <row r="238" spans="1:4" x14ac:dyDescent="0.25">
      <c r="A238" s="9" t="str">
        <v>Fulham</v>
      </c>
      <c r="B238" s="9" t="str">
        <f>_xlfn.XLOOKUP(A238,Clubs[Current Club],Clubs[Club - League])</f>
        <v>Premier League</v>
      </c>
      <c r="C238" s="9" t="str">
        <f>_xlfn.XLOOKUP(B238,Club_Leagues[Club - League],Club_Leagues[Football Association])</f>
        <v>England</v>
      </c>
      <c r="D238" s="42">
        <f>COUNTIF(Squads[Current Club],'Club Representation info'!A238)</f>
        <v>6</v>
      </c>
    </row>
    <row r="239" spans="1:4" x14ac:dyDescent="0.25">
      <c r="A239" s="9" t="str">
        <v>Braga</v>
      </c>
      <c r="B239" s="9" t="str">
        <f>_xlfn.XLOOKUP(A239,Clubs[Current Club],Clubs[Club - League])</f>
        <v>Primeira Liga</v>
      </c>
      <c r="C239" s="9" t="str">
        <f>_xlfn.XLOOKUP(B239,Club_Leagues[Club - League],Club_Leagues[Football Association])</f>
        <v>Portugal</v>
      </c>
      <c r="D239" s="42">
        <f>COUNTIF(Squads[Current Club],'Club Representation info'!A239)</f>
        <v>2</v>
      </c>
    </row>
    <row r="240" spans="1:4" x14ac:dyDescent="0.25">
      <c r="A240" s="9" t="str">
        <v>Al-Rayyan</v>
      </c>
      <c r="B240" s="9" t="str">
        <f>_xlfn.XLOOKUP(A240,Clubs[Current Club],Clubs[Club - League])</f>
        <v>Stars League</v>
      </c>
      <c r="C240" s="9" t="str">
        <f>_xlfn.XLOOKUP(B240,Club_Leagues[Club - League],Club_Leagues[Football Association])</f>
        <v>Qatar</v>
      </c>
      <c r="D240" s="42">
        <f>COUNTIF(Squads[Current Club],'Club Representation info'!A240)</f>
        <v>2</v>
      </c>
    </row>
    <row r="241" spans="1:4" x14ac:dyDescent="0.25">
      <c r="A241" s="9" t="str">
        <v>Al-Gharafa</v>
      </c>
      <c r="B241" s="9" t="str">
        <f>_xlfn.XLOOKUP(A241,Clubs[Current Club],Clubs[Club - League])</f>
        <v>Stars League</v>
      </c>
      <c r="C241" s="9" t="str">
        <f>_xlfn.XLOOKUP(B241,Club_Leagues[Club - League],Club_Leagues[Football Association])</f>
        <v>Qatar</v>
      </c>
      <c r="D241" s="42">
        <f>COUNTIF(Squads[Current Club],'Club Representation info'!A241)</f>
        <v>3</v>
      </c>
    </row>
    <row r="242" spans="1:4" x14ac:dyDescent="0.25">
      <c r="A242" s="9" t="str">
        <v>Al-Duhail</v>
      </c>
      <c r="B242" s="9" t="str">
        <f>_xlfn.XLOOKUP(A242,Clubs[Current Club],Clubs[Club - League])</f>
        <v>Stars League</v>
      </c>
      <c r="C242" s="9" t="str">
        <f>_xlfn.XLOOKUP(B242,Club_Leagues[Club - League],Club_Leagues[Football Association])</f>
        <v>Qatar</v>
      </c>
      <c r="D242" s="42">
        <f>COUNTIF(Squads[Current Club],'Club Representation info'!A242)</f>
        <v>7</v>
      </c>
    </row>
    <row r="243" spans="1:4" x14ac:dyDescent="0.25">
      <c r="A243" s="9" t="str">
        <v>Al-Wakrah</v>
      </c>
      <c r="B243" s="9" t="str">
        <f>_xlfn.XLOOKUP(A243,Clubs[Current Club],Clubs[Club - League])</f>
        <v>Stars League</v>
      </c>
      <c r="C243" s="9" t="str">
        <f>_xlfn.XLOOKUP(B243,Club_Leagues[Club - League],Club_Leagues[Football Association])</f>
        <v>Qatar</v>
      </c>
      <c r="D243" s="42">
        <f>COUNTIF(Squads[Current Club],'Club Representation info'!A243)</f>
        <v>1</v>
      </c>
    </row>
    <row r="244" spans="1:4" x14ac:dyDescent="0.25">
      <c r="A244" s="9" t="str">
        <v>Al-Arabi</v>
      </c>
      <c r="B244" s="9" t="str">
        <f>_xlfn.XLOOKUP(A244,Clubs[Current Club],Clubs[Club - League])</f>
        <v>Stars League</v>
      </c>
      <c r="C244" s="9" t="str">
        <f>_xlfn.XLOOKUP(B244,Club_Leagues[Club - League],Club_Leagues[Football Association])</f>
        <v>Qatar</v>
      </c>
      <c r="D244" s="42">
        <f>COUNTIF(Squads[Current Club],'Club Representation info'!A244)</f>
        <v>2</v>
      </c>
    </row>
    <row r="245" spans="1:4" x14ac:dyDescent="0.25">
      <c r="A245" s="9" t="str">
        <v>Al-Ahli</v>
      </c>
      <c r="B245" s="9" t="str">
        <f>_xlfn.XLOOKUP(A245,Clubs[Current Club],Clubs[Club - League])</f>
        <v>Saudi Division 1</v>
      </c>
      <c r="C245" s="9" t="str">
        <f>_xlfn.XLOOKUP(B245,Club_Leagues[Club - League],Club_Leagues[Football Association])</f>
        <v>Saudi Arabia</v>
      </c>
      <c r="D245" s="42">
        <f>COUNTIF(Squads[Current Club],'Club Representation info'!A245)</f>
        <v>2</v>
      </c>
    </row>
    <row r="246" spans="1:4" x14ac:dyDescent="0.25">
      <c r="A246" s="9" t="str">
        <v>Al-Hilal</v>
      </c>
      <c r="B246" s="9" t="str">
        <f>_xlfn.XLOOKUP(A246,Clubs[Current Club],Clubs[Club - League])</f>
        <v>Saudi Division 1</v>
      </c>
      <c r="C246" s="9" t="str">
        <f>_xlfn.XLOOKUP(B246,Club_Leagues[Club - League],Club_Leagues[Football Association])</f>
        <v>Saudi Arabia</v>
      </c>
      <c r="D246" s="42">
        <f>COUNTIF(Squads[Current Club],'Club Representation info'!A246)</f>
        <v>12</v>
      </c>
    </row>
    <row r="247" spans="1:4" x14ac:dyDescent="0.25">
      <c r="A247" s="9" t="str">
        <v>Al-Fateh</v>
      </c>
      <c r="B247" s="9" t="str">
        <f>_xlfn.XLOOKUP(A247,Clubs[Current Club],Clubs[Club - League])</f>
        <v>Saudi Division 1</v>
      </c>
      <c r="C247" s="9" t="str">
        <f>_xlfn.XLOOKUP(B247,Club_Leagues[Club - League],Club_Leagues[Football Association])</f>
        <v>Saudi Arabia</v>
      </c>
      <c r="D247" s="42">
        <f>COUNTIF(Squads[Current Club],'Club Representation info'!A247)</f>
        <v>1</v>
      </c>
    </row>
    <row r="248" spans="1:4" x14ac:dyDescent="0.25">
      <c r="A248" s="9" t="str">
        <v>Amiens</v>
      </c>
      <c r="B248" s="9" t="str">
        <f>_xlfn.XLOOKUP(A248,Clubs[Current Club],Clubs[Club - League])</f>
        <v>Ligue 2</v>
      </c>
      <c r="C248" s="9" t="str">
        <f>_xlfn.XLOOKUP(B248,Club_Leagues[Club - League],Club_Leagues[Football Association])</f>
        <v>France</v>
      </c>
      <c r="D248" s="42">
        <f>COUNTIF(Squads[Current Club],'Club Representation info'!A248)</f>
        <v>1</v>
      </c>
    </row>
    <row r="249" spans="1:4" x14ac:dyDescent="0.25">
      <c r="A249" s="9" t="str">
        <v>Nottingham Forest</v>
      </c>
      <c r="B249" s="9" t="str">
        <f>_xlfn.XLOOKUP(A249,Clubs[Current Club],Clubs[Club - League])</f>
        <v>Premier League</v>
      </c>
      <c r="C249" s="9" t="str">
        <f>_xlfn.XLOOKUP(B249,Club_Leagues[Club - League],Club_Leagues[Football Association])</f>
        <v>England</v>
      </c>
      <c r="D249" s="42">
        <f>COUNTIF(Squads[Current Club],'Club Representation info'!A249)</f>
        <v>5</v>
      </c>
    </row>
    <row r="250" spans="1:4" x14ac:dyDescent="0.25">
      <c r="A250" s="9" t="str">
        <v>Rayo Vallecano</v>
      </c>
      <c r="B250" s="9" t="str">
        <f>_xlfn.XLOOKUP(A250,Clubs[Current Club],Clubs[Club - League])</f>
        <v>La Liga</v>
      </c>
      <c r="C250" s="9" t="str">
        <f>_xlfn.XLOOKUP(B250,Club_Leagues[Club - League],Club_Leagues[Football Association])</f>
        <v>Spain</v>
      </c>
      <c r="D250" s="42">
        <f>COUNTIF(Squads[Current Club],'Club Representation info'!A250)</f>
        <v>1</v>
      </c>
    </row>
    <row r="251" spans="1:4" x14ac:dyDescent="0.25">
      <c r="A251" s="9" t="str">
        <v>Sheffield United</v>
      </c>
      <c r="B251" s="9" t="str">
        <f>_xlfn.XLOOKUP(A251,Clubs[Current Club],Clubs[Club - League])</f>
        <v>Championship</v>
      </c>
      <c r="C251" s="9" t="str">
        <f>_xlfn.XLOOKUP(B251,Club_Leagues[Club - League],Club_Leagues[Football Association])</f>
        <v>England</v>
      </c>
      <c r="D251" s="42">
        <f>COUNTIF(Squads[Current Club],'Club Representation info'!A251)</f>
        <v>2</v>
      </c>
    </row>
    <row r="252" spans="1:4" x14ac:dyDescent="0.25">
      <c r="A252" s="9" t="str">
        <v>Watford</v>
      </c>
      <c r="B252" s="9" t="str">
        <f>_xlfn.XLOOKUP(A252,Clubs[Current Club],Clubs[Club - League])</f>
        <v>Championship</v>
      </c>
      <c r="C252" s="9" t="str">
        <f>_xlfn.XLOOKUP(B252,Club_Leagues[Club - League],Club_Leagues[Football Association])</f>
        <v>England</v>
      </c>
      <c r="D252" s="42">
        <f>COUNTIF(Squads[Current Club],'Club Representation info'!A252)</f>
        <v>1</v>
      </c>
    </row>
    <row r="253" spans="1:4" x14ac:dyDescent="0.25">
      <c r="A253" s="9" t="str">
        <v>Alanyaspor</v>
      </c>
      <c r="B253" s="9" t="str">
        <f>_xlfn.XLOOKUP(A253,Clubs[Current Club],Clubs[Club - League])</f>
        <v>Super Lig</v>
      </c>
      <c r="C253" s="9" t="str">
        <f>_xlfn.XLOOKUP(B253,Club_Leagues[Club - League],Club_Leagues[Football Association])</f>
        <v>Turkey</v>
      </c>
      <c r="D253" s="42">
        <f>COUNTIF(Squads[Current Club],'Club Representation info'!A253)</f>
        <v>1</v>
      </c>
    </row>
    <row r="254" spans="1:4" x14ac:dyDescent="0.25">
      <c r="A254" s="9" t="str">
        <v>Pafos</v>
      </c>
      <c r="B254" s="9" t="str">
        <f>_xlfn.XLOOKUP(A254,Clubs[Current Club],Clubs[Club - League])</f>
        <v>1. Division - Crypus</v>
      </c>
      <c r="C254" s="9" t="str">
        <f>_xlfn.XLOOKUP(B254,Club_Leagues[Club - League],Club_Leagues[Football Association])</f>
        <v>Cyprus</v>
      </c>
      <c r="D254" s="42">
        <f>COUNTIF(Squads[Current Club],'Club Representation info'!A254)</f>
        <v>1</v>
      </c>
    </row>
    <row r="255" spans="1:4" x14ac:dyDescent="0.25">
      <c r="A255" s="9" t="str">
        <v>Getafe</v>
      </c>
      <c r="B255" s="9" t="str">
        <f>_xlfn.XLOOKUP(A255,Clubs[Current Club],Clubs[Club - League])</f>
        <v>La Liga</v>
      </c>
      <c r="C255" s="9" t="str">
        <f>_xlfn.XLOOKUP(B255,Club_Leagues[Club - League],Club_Leagues[Football Association])</f>
        <v>Spain</v>
      </c>
      <c r="D255" s="42">
        <f>COUNTIF(Squads[Current Club],'Club Representation info'!A255)</f>
        <v>2</v>
      </c>
    </row>
    <row r="256" spans="1:4" x14ac:dyDescent="0.25">
      <c r="A256" s="9" t="str">
        <v>PAOK</v>
      </c>
      <c r="B256" s="9" t="str">
        <f>_xlfn.XLOOKUP(A256,Clubs[Current Club],Clubs[Club - League])</f>
        <v>Super League 1</v>
      </c>
      <c r="C256" s="9" t="str">
        <f>_xlfn.XLOOKUP(B256,Club_Leagues[Club - League],Club_Leagues[Football Association])</f>
        <v>Greece</v>
      </c>
      <c r="D256" s="42">
        <f>COUNTIF(Squads[Current Club],'Club Representation info'!A256)</f>
        <v>1</v>
      </c>
    </row>
    <row r="257" spans="1:4" x14ac:dyDescent="0.25">
      <c r="A257" s="9" t="str">
        <v>Almería</v>
      </c>
      <c r="B257" s="9" t="str">
        <f>_xlfn.XLOOKUP(A257,Clubs[Current Club],Clubs[Club - League])</f>
        <v>La Liga</v>
      </c>
      <c r="C257" s="9" t="str">
        <f>_xlfn.XLOOKUP(B257,Club_Leagues[Club - League],Club_Leagues[Football Association])</f>
        <v>Spain</v>
      </c>
      <c r="D257" s="42">
        <f>COUNTIF(Squads[Current Club],'Club Representation info'!A257)</f>
        <v>1</v>
      </c>
    </row>
    <row r="258" spans="1:4" x14ac:dyDescent="0.25">
      <c r="A258" s="9" t="str">
        <v>Lazio</v>
      </c>
      <c r="B258" s="9" t="str">
        <f>_xlfn.XLOOKUP(A258,Clubs[Current Club],Clubs[Club - League])</f>
        <v>Serie A</v>
      </c>
      <c r="C258" s="9" t="str">
        <f>_xlfn.XLOOKUP(B258,Club_Leagues[Club - League],Club_Leagues[Football Association])</f>
        <v>Italy</v>
      </c>
      <c r="D258" s="42">
        <f>COUNTIF(Squads[Current Club],'Club Representation info'!A258)</f>
        <v>2</v>
      </c>
    </row>
    <row r="259" spans="1:4" x14ac:dyDescent="0.25">
      <c r="A259" s="9" t="str">
        <v>Valencia</v>
      </c>
      <c r="B259" s="9" t="str">
        <f>_xlfn.XLOOKUP(A259,Clubs[Current Club],Clubs[Club - League])</f>
        <v>La Liga</v>
      </c>
      <c r="C259" s="9" t="str">
        <f>_xlfn.XLOOKUP(B259,Club_Leagues[Club - League],Club_Leagues[Football Association])</f>
        <v>Spain</v>
      </c>
      <c r="D259" s="42">
        <f>COUNTIF(Squads[Current Club],'Club Representation info'!A259)</f>
        <v>4</v>
      </c>
    </row>
    <row r="260" spans="1:4" x14ac:dyDescent="0.25">
      <c r="A260" s="9" t="str">
        <v>Lugano</v>
      </c>
      <c r="B260" s="9" t="str">
        <f>_xlfn.XLOOKUP(A260,Clubs[Current Club],Clubs[Club - League])</f>
        <v>Super League</v>
      </c>
      <c r="C260" s="9" t="str">
        <f>_xlfn.XLOOKUP(B260,Club_Leagues[Club - League],Club_Leagues[Football Association])</f>
        <v>Switzerland</v>
      </c>
      <c r="D260" s="42">
        <f>COUNTIF(Squads[Current Club],'Club Representation info'!A260)</f>
        <v>1</v>
      </c>
    </row>
    <row r="261" spans="1:4" x14ac:dyDescent="0.25">
      <c r="A261" s="9" t="str">
        <v>Montpellier</v>
      </c>
      <c r="B261" s="9" t="str">
        <f>_xlfn.XLOOKUP(A261,Clubs[Current Club],Clubs[Club - League])</f>
        <v>Ligue 1</v>
      </c>
      <c r="C261" s="9" t="str">
        <f>_xlfn.XLOOKUP(B261,Club_Leagues[Club - League],Club_Leagues[Football Association])</f>
        <v>France</v>
      </c>
      <c r="D261" s="42">
        <f>COUNTIF(Squads[Current Club],'Club Representation info'!A261)</f>
        <v>2</v>
      </c>
    </row>
    <row r="262" spans="1:4" x14ac:dyDescent="0.25">
      <c r="A262" s="9" t="str">
        <v>Chicago Fire FC</v>
      </c>
      <c r="B262" s="9" t="str">
        <f>_xlfn.XLOOKUP(A262,Clubs[Current Club],Clubs[Club - League])</f>
        <v>MLS</v>
      </c>
      <c r="C262" s="9" t="str">
        <f>_xlfn.XLOOKUP(B262,Club_Leagues[Club - League],Club_Leagues[Football Association])</f>
        <v>USA</v>
      </c>
      <c r="D262" s="42">
        <f>COUNTIF(Squads[Current Club],'Club Representation info'!A262)</f>
        <v>1</v>
      </c>
    </row>
    <row r="263" spans="1:4" x14ac:dyDescent="0.25">
      <c r="A263" s="9" t="str">
        <v>Luzern</v>
      </c>
      <c r="B263" s="9" t="str">
        <f>_xlfn.XLOOKUP(A263,Clubs[Current Club],Clubs[Club - League])</f>
        <v>Super League</v>
      </c>
      <c r="C263" s="9" t="str">
        <f>_xlfn.XLOOKUP(B263,Club_Leagues[Club - League],Club_Leagues[Football Association])</f>
        <v>Switzerland</v>
      </c>
      <c r="D263" s="42">
        <f>COUNTIF(Squads[Current Club],'Club Representation info'!A263)</f>
        <v>2</v>
      </c>
    </row>
    <row r="264" spans="1:4" x14ac:dyDescent="0.25">
      <c r="A264" s="9" t="str">
        <v>Étoile du Sahel</v>
      </c>
      <c r="B264" s="9" t="str">
        <f>_xlfn.XLOOKUP(A264,Clubs[Current Club],Clubs[Club - League])</f>
        <v>Ligue 1 - Tunisia</v>
      </c>
      <c r="C264" s="9" t="str">
        <f>_xlfn.XLOOKUP(B264,Club_Leagues[Club - League],Club_Leagues[Football Association])</f>
        <v>Tunisia</v>
      </c>
      <c r="D264" s="42">
        <f>COUNTIF(Squads[Current Club],'Club Representation info'!A264)</f>
        <v>1</v>
      </c>
    </row>
    <row r="265" spans="1:4" x14ac:dyDescent="0.25">
      <c r="A265" s="9" t="str">
        <v>Kuwait SC</v>
      </c>
      <c r="B265" s="9" t="str">
        <f>_xlfn.XLOOKUP(A265,Clubs[Current Club],Clubs[Club - League])</f>
        <v>Kuwait Premier League</v>
      </c>
      <c r="C265" s="9" t="str">
        <f>_xlfn.XLOOKUP(B265,Club_Leagues[Club - League],Club_Leagues[Football Association])</f>
        <v>Kuwait</v>
      </c>
      <c r="D265" s="42">
        <f>COUNTIF(Squads[Current Club],'Club Representation info'!A265)</f>
        <v>2</v>
      </c>
    </row>
    <row r="266" spans="1:4" x14ac:dyDescent="0.25">
      <c r="A266" s="9" t="str">
        <v>Lorient</v>
      </c>
      <c r="B266" s="9" t="str">
        <f>_xlfn.XLOOKUP(A266,Clubs[Current Club],Clubs[Club - League])</f>
        <v>Ligue 1</v>
      </c>
      <c r="C266" s="9" t="str">
        <f>_xlfn.XLOOKUP(B266,Club_Leagues[Club - League],Club_Leagues[Football Association])</f>
        <v>France</v>
      </c>
      <c r="D266" s="42">
        <f>COUNTIF(Squads[Current Club],'Club Representation info'!A266)</f>
        <v>1</v>
      </c>
    </row>
    <row r="267" spans="1:4" x14ac:dyDescent="0.25">
      <c r="A267" s="9" t="str">
        <v>Espérance de Tunis</v>
      </c>
      <c r="B267" s="9" t="str">
        <f>_xlfn.XLOOKUP(A267,Clubs[Current Club],Clubs[Club - League])</f>
        <v>Ligue 1 - Tunisia</v>
      </c>
      <c r="C267" s="9" t="str">
        <f>_xlfn.XLOOKUP(B267,Club_Leagues[Club - League],Club_Leagues[Football Association])</f>
        <v>Tunisia</v>
      </c>
      <c r="D267" s="42">
        <f>COUNTIF(Squads[Current Club],'Club Representation info'!A267)</f>
        <v>3</v>
      </c>
    </row>
    <row r="268" spans="1:4" x14ac:dyDescent="0.25">
      <c r="A268" s="9" t="str">
        <v>Club Africain</v>
      </c>
      <c r="B268" s="9" t="str">
        <f>_xlfn.XLOOKUP(A268,Clubs[Current Club],Clubs[Club - League])</f>
        <v>Ligue 1 - Tunisia</v>
      </c>
      <c r="C268" s="9" t="str">
        <f>_xlfn.XLOOKUP(B268,Club_Leagues[Club - League],Club_Leagues[Football Association])</f>
        <v>Tunisia</v>
      </c>
      <c r="D268" s="42">
        <f>COUNTIF(Squads[Current Club],'Club Representation info'!A268)</f>
        <v>2</v>
      </c>
    </row>
    <row r="269" spans="1:4" x14ac:dyDescent="0.25">
      <c r="A269" s="9" t="str">
        <v>Al Ahly</v>
      </c>
      <c r="B269" s="9" t="str">
        <f>_xlfn.XLOOKUP(A269,Clubs[Current Club],Clubs[Club - League])</f>
        <v>Egyptian Premier League</v>
      </c>
      <c r="C269" s="9" t="str">
        <f>_xlfn.XLOOKUP(B269,Club_Leagues[Club - League],Club_Leagues[Football Association])</f>
        <v>Egypt </v>
      </c>
      <c r="D269" s="42">
        <f>COUNTIF(Squads[Current Club],'Club Representation info'!A269)</f>
        <v>1</v>
      </c>
    </row>
    <row r="270" spans="1:4" x14ac:dyDescent="0.25">
      <c r="A270" s="9" t="str">
        <v>Ferencváros</v>
      </c>
      <c r="B270" s="9" t="str">
        <f>_xlfn.XLOOKUP(A270,Clubs[Current Club],Clubs[Club - League])</f>
        <v>Super Lig</v>
      </c>
      <c r="C270" s="9" t="str">
        <f>_xlfn.XLOOKUP(B270,Club_Leagues[Club - League],Club_Leagues[Football Association])</f>
        <v>Turkey</v>
      </c>
      <c r="D270" s="42">
        <f>COUNTIF(Squads[Current Club],'Club Representation info'!A270)</f>
        <v>1</v>
      </c>
    </row>
    <row r="271" spans="1:4" x14ac:dyDescent="0.25">
      <c r="A271" s="9" t="str">
        <v>CS Sfaxien</v>
      </c>
      <c r="B271" s="9" t="str">
        <f>_xlfn.XLOOKUP(A271,Clubs[Current Club],Clubs[Club - League])</f>
        <v>Ligue 1 - Tunisia</v>
      </c>
      <c r="C271" s="9" t="str">
        <f>_xlfn.XLOOKUP(B271,Club_Leagues[Club - League],Club_Leagues[Football Association])</f>
        <v>Tunisia</v>
      </c>
      <c r="D271" s="42">
        <f>COUNTIF(Squads[Current Club],'Club Representation info'!A271)</f>
        <v>1</v>
      </c>
    </row>
    <row r="272" spans="1:4" x14ac:dyDescent="0.25">
      <c r="A272" s="9" t="str">
        <v>1. FC Köln</v>
      </c>
      <c r="B272" s="9" t="str">
        <f>_xlfn.XLOOKUP(A272,Clubs[Current Club],Clubs[Club - League])</f>
        <v>Bundesliga</v>
      </c>
      <c r="C272" s="9" t="str">
        <f>_xlfn.XLOOKUP(B272,Club_Leagues[Club - League],Club_Leagues[Football Association])</f>
        <v>Germany</v>
      </c>
      <c r="D272" s="42">
        <f>COUNTIF(Squads[Current Club],'Club Representation info'!A272)</f>
        <v>1</v>
      </c>
    </row>
    <row r="273" spans="1:4" x14ac:dyDescent="0.25">
      <c r="A273" s="9" t="str">
        <v>Zamalek</v>
      </c>
      <c r="B273" s="9" t="str">
        <f>_xlfn.XLOOKUP(A273,Clubs[Current Club],Clubs[Club - League])</f>
        <v>Egyptian Premier League</v>
      </c>
      <c r="C273" s="9" t="str">
        <f>_xlfn.XLOOKUP(B273,Club_Leagues[Club - League],Club_Leagues[Football Association])</f>
        <v>Egypt </v>
      </c>
      <c r="D273" s="42">
        <f>COUNTIF(Squads[Current Club],'Club Representation info'!A273)</f>
        <v>1</v>
      </c>
    </row>
    <row r="274" spans="1:4" x14ac:dyDescent="0.25">
      <c r="A274" s="9" t="str">
        <v>Atromitos</v>
      </c>
      <c r="B274" s="9" t="str">
        <f>_xlfn.XLOOKUP(A274,Clubs[Current Club],Clubs[Club - League])</f>
        <v>Super League 1</v>
      </c>
      <c r="C274" s="9" t="str">
        <f>_xlfn.XLOOKUP(B274,Club_Leagues[Club - League],Club_Leagues[Football Association])</f>
        <v>Greece</v>
      </c>
      <c r="D274" s="42">
        <f>COUNTIF(Squads[Current Club],'Club Representation info'!A274)</f>
        <v>1</v>
      </c>
    </row>
    <row r="275" spans="1:4" x14ac:dyDescent="0.25">
      <c r="A275" s="9" t="str">
        <v>US Monastir</v>
      </c>
      <c r="B275" s="9" t="str">
        <f>_xlfn.XLOOKUP(A275,Clubs[Current Club],Clubs[Club - League])</f>
        <v>Ligue 1 - Tunisia</v>
      </c>
      <c r="C275" s="9" t="str">
        <f>_xlfn.XLOOKUP(B275,Club_Leagues[Club - League],Club_Leagues[Football Association])</f>
        <v>Tunisia</v>
      </c>
      <c r="D275" s="42">
        <f>COUNTIF(Squads[Current Club],'Club Representation info'!A275)</f>
        <v>1</v>
      </c>
    </row>
    <row r="276" spans="1:4" x14ac:dyDescent="0.25">
      <c r="A276" s="9" t="str">
        <v>Al-Ettifaq</v>
      </c>
      <c r="B276" s="9" t="str">
        <f>_xlfn.XLOOKUP(A276,Clubs[Current Club],Clubs[Club - League])</f>
        <v>Saudi Division 1</v>
      </c>
      <c r="C276" s="9" t="str">
        <f>_xlfn.XLOOKUP(B276,Club_Leagues[Club - League],Club_Leagues[Football Association])</f>
        <v>Saudi Arabia</v>
      </c>
      <c r="D276" s="42">
        <f>COUNTIF(Squads[Current Club],'Club Representation info'!A276)</f>
        <v>1</v>
      </c>
    </row>
    <row r="277" spans="1:4" x14ac:dyDescent="0.25">
      <c r="A277" s="9" t="str">
        <v>Caen</v>
      </c>
      <c r="B277" s="9" t="str">
        <f>_xlfn.XLOOKUP(A277,Clubs[Current Club],Clubs[Club - League])</f>
        <v>Ligue 2</v>
      </c>
      <c r="C277" s="9" t="str">
        <f>_xlfn.XLOOKUP(B277,Club_Leagues[Club - League],Club_Leagues[Football Association])</f>
        <v>France</v>
      </c>
      <c r="D277" s="42">
        <f>COUNTIF(Squads[Current Club],'Club Representation info'!A277)</f>
        <v>1</v>
      </c>
    </row>
    <row r="278" spans="1:4" x14ac:dyDescent="0.25">
      <c r="A278" s="9" t="str">
        <v>Vélez Sarsfield</v>
      </c>
      <c r="B278" s="9" t="str">
        <f>_xlfn.XLOOKUP(A278,Clubs[Current Club],Clubs[Club - League])</f>
        <v>Liga Professional Argentina</v>
      </c>
      <c r="C278" s="9" t="str">
        <f>_xlfn.XLOOKUP(B278,Club_Leagues[Club - League],Club_Leagues[Football Association])</f>
        <v>Argentina</v>
      </c>
      <c r="D278" s="42">
        <f>COUNTIF(Squads[Current Club],'Club Representation info'!A278)</f>
        <v>1</v>
      </c>
    </row>
    <row r="279" spans="1:4" x14ac:dyDescent="0.25">
      <c r="A279" s="9" t="str">
        <v>Nacional</v>
      </c>
      <c r="B279" s="9" t="str">
        <f>_xlfn.XLOOKUP(A279,Clubs[Current Club],Clubs[Club - League])</f>
        <v>Primera Division - Uruguay</v>
      </c>
      <c r="C279" s="9" t="str">
        <f>_xlfn.XLOOKUP(B279,Club_Leagues[Club - League],Club_Leagues[Football Association])</f>
        <v>Uruguay</v>
      </c>
      <c r="D279" s="42">
        <f>COUNTIF(Squads[Current Club],'Club Representation info'!A279)</f>
        <v>3</v>
      </c>
    </row>
    <row r="280" spans="1:4" x14ac:dyDescent="0.25">
      <c r="A280" s="9" t="str">
        <v>Independiente</v>
      </c>
      <c r="B280" s="9" t="str">
        <f>_xlfn.XLOOKUP(A280,Clubs[Current Club],Clubs[Club - League])</f>
        <v>Liga Professional Argentina</v>
      </c>
      <c r="C280" s="9" t="str">
        <f>_xlfn.XLOOKUP(B280,Club_Leagues[Club - League],Club_Leagues[Football Association])</f>
        <v>Argentina</v>
      </c>
      <c r="D280" s="42">
        <f>COUNTIF(Squads[Current Club],'Club Representation info'!A280)</f>
        <v>1</v>
      </c>
    </row>
    <row r="281" spans="1:4" x14ac:dyDescent="0.25">
      <c r="A281" s="9" t="str">
        <v>Orlando City SC</v>
      </c>
      <c r="B281" s="9" t="str">
        <f>_xlfn.XLOOKUP(A281,Clubs[Current Club],Clubs[Club - League])</f>
        <v>MLS</v>
      </c>
      <c r="C281" s="9" t="str">
        <f>_xlfn.XLOOKUP(B281,Club_Leagues[Club - League],Club_Leagues[Football Association])</f>
        <v>USA</v>
      </c>
      <c r="D281" s="42">
        <f>COUNTIF(Squads[Current Club],'Club Representation info'!A281)</f>
        <v>1</v>
      </c>
    </row>
    <row r="282" spans="1:4" x14ac:dyDescent="0.25">
      <c r="A282" s="9" t="str">
        <v>LA Galaxy</v>
      </c>
      <c r="B282" s="9" t="str">
        <f>_xlfn.XLOOKUP(A282,Clubs[Current Club],Clubs[Club - League])</f>
        <v>MLS</v>
      </c>
      <c r="C282" s="9" t="str">
        <f>_xlfn.XLOOKUP(B282,Club_Leagues[Club - League],Club_Leagues[Football Association])</f>
        <v>USA</v>
      </c>
      <c r="D282" s="42">
        <f>COUNTIF(Squads[Current Club],'Club Representation info'!A282)</f>
        <v>1</v>
      </c>
    </row>
    <row r="283" spans="1:4" x14ac:dyDescent="0.25">
      <c r="A283" s="9" t="str">
        <v>Athletico Paranaense</v>
      </c>
      <c r="B283" s="9" t="str">
        <f>_xlfn.XLOOKUP(A283,Clubs[Current Club],Clubs[Club - League])</f>
        <v>Brasilian Serie A</v>
      </c>
      <c r="C283" s="9" t="str">
        <f>_xlfn.XLOOKUP(B283,Club_Leagues[Club - League],Club_Leagues[Football Association])</f>
        <v>Brasil</v>
      </c>
      <c r="D283" s="42">
        <f>COUNTIF(Squads[Current Club],'Club Representation info'!A283)</f>
        <v>1</v>
      </c>
    </row>
    <row r="284" spans="1:4" x14ac:dyDescent="0.25">
      <c r="A284" s="9" t="str">
        <v>Nashville SC</v>
      </c>
      <c r="B284" s="9" t="str">
        <f>_xlfn.XLOOKUP(A284,Clubs[Current Club],Clubs[Club - League])</f>
        <v>MLS</v>
      </c>
      <c r="C284" s="9" t="str">
        <f>_xlfn.XLOOKUP(B284,Club_Leagues[Club - League],Club_Leagues[Football Association])</f>
        <v>USA</v>
      </c>
      <c r="D284" s="42">
        <f>COUNTIF(Squads[Current Club],'Club Representation info'!A284)</f>
        <v>2</v>
      </c>
    </row>
    <row r="285" spans="1:4" x14ac:dyDescent="0.25">
      <c r="A285" s="9" t="str">
        <v>FC Dallas</v>
      </c>
      <c r="B285" s="9" t="str">
        <f>_xlfn.XLOOKUP(A285,Clubs[Current Club],Clubs[Club - League])</f>
        <v>MLS</v>
      </c>
      <c r="C285" s="9" t="str">
        <f>_xlfn.XLOOKUP(B285,Club_Leagues[Club - League],Club_Leagues[Football Association])</f>
        <v>USA</v>
      </c>
      <c r="D285" s="42">
        <f>COUNTIF(Squads[Current Club],'Club Representation info'!A285)</f>
        <v>1</v>
      </c>
    </row>
    <row r="286" spans="1:4" x14ac:dyDescent="0.25">
      <c r="A286" s="9" t="str">
        <v>Luton Town</v>
      </c>
      <c r="B286" s="9" t="str">
        <f>_xlfn.XLOOKUP(A286,Clubs[Current Club],Clubs[Club - League])</f>
        <v>Championship</v>
      </c>
      <c r="C286" s="9" t="str">
        <f>_xlfn.XLOOKUP(B286,Club_Leagues[Club - League],Club_Leagues[Football Association])</f>
        <v>England</v>
      </c>
      <c r="D286" s="42">
        <f>COUNTIF(Squads[Current Club],'Club Representation info'!A286)</f>
        <v>2</v>
      </c>
    </row>
    <row r="287" spans="1:4" x14ac:dyDescent="0.25">
      <c r="A287" s="9" t="str">
        <v>New York Red Bulls</v>
      </c>
      <c r="B287" s="9" t="str">
        <f>_xlfn.XLOOKUP(A287,Clubs[Current Club],Clubs[Club - League])</f>
        <v>MLS</v>
      </c>
      <c r="C287" s="9" t="str">
        <f>_xlfn.XLOOKUP(B287,Club_Leagues[Club - League],Club_Leagues[Football Association])</f>
        <v>USA</v>
      </c>
      <c r="D287" s="42">
        <f>COUNTIF(Squads[Current Club],'Club Representation info'!A287)</f>
        <v>1</v>
      </c>
    </row>
    <row r="288" spans="1:4" x14ac:dyDescent="0.25">
      <c r="A288" s="9" t="str">
        <v>Antalyaspor</v>
      </c>
      <c r="B288" s="9" t="str">
        <f>_xlfn.XLOOKUP(A288,Clubs[Current Club],Clubs[Club - League])</f>
        <v>Super Lig</v>
      </c>
      <c r="C288" s="9" t="str">
        <f>_xlfn.XLOOKUP(B288,Club_Leagues[Club - League],Club_Leagues[Football Association])</f>
        <v>Turkey</v>
      </c>
      <c r="D288" s="42">
        <f>COUNTIF(Squads[Current Club],'Club Representation info'!A288)</f>
        <v>1</v>
      </c>
    </row>
    <row r="289" spans="1:4" x14ac:dyDescent="0.25">
      <c r="A289" s="9" t="str">
        <v>Inter Miami CF</v>
      </c>
      <c r="B289" s="9" t="str">
        <f>_xlfn.XLOOKUP(A289,Clubs[Current Club],Clubs[Club - League])</f>
        <v>MLS</v>
      </c>
      <c r="C289" s="9" t="str">
        <f>_xlfn.XLOOKUP(B289,Club_Leagues[Club - League],Club_Leagues[Football Association])</f>
        <v>USA</v>
      </c>
      <c r="D289" s="42">
        <f>COUNTIF(Squads[Current Club],'Club Representation info'!A289)</f>
        <v>1</v>
      </c>
    </row>
    <row r="290" spans="1:4" x14ac:dyDescent="0.25">
      <c r="A290" s="9" t="str">
        <v>Norwich City</v>
      </c>
      <c r="B290" s="9" t="str">
        <f>_xlfn.XLOOKUP(A290,Clubs[Current Club],Clubs[Club - League])</f>
        <v>Championship</v>
      </c>
      <c r="C290" s="9" t="str">
        <f>_xlfn.XLOOKUP(B290,Club_Leagues[Club - League],Club_Leagues[Football Association])</f>
        <v>England</v>
      </c>
      <c r="D290" s="42">
        <f>COUNTIF(Squads[Current Club],'Club Representation info'!A290)</f>
        <v>1</v>
      </c>
    </row>
    <row r="291" spans="1:4" x14ac:dyDescent="0.25">
      <c r="A291" s="9" t="str">
        <v>New York City FC</v>
      </c>
      <c r="B291" s="9" t="str">
        <f>_xlfn.XLOOKUP(A291,Clubs[Current Club],Clubs[Club - League])</f>
        <v>MLS</v>
      </c>
      <c r="C291" s="9" t="str">
        <f>_xlfn.XLOOKUP(B291,Club_Leagues[Club - League],Club_Leagues[Football Association])</f>
        <v>USA</v>
      </c>
      <c r="D291" s="42">
        <f>COUNTIF(Squads[Current Club],'Club Representation info'!A291)</f>
        <v>1</v>
      </c>
    </row>
    <row r="292" spans="1:4" x14ac:dyDescent="0.25">
      <c r="A292" s="9" t="str">
        <v>AFC Wimbledon</v>
      </c>
      <c r="B292" s="9" t="str">
        <f>_xlfn.XLOOKUP(A292,Clubs[Current Club],Clubs[Club - League])</f>
        <v>League Two</v>
      </c>
      <c r="C292" s="9" t="str">
        <f>_xlfn.XLOOKUP(B292,Club_Leagues[Club - League],Club_Leagues[Football Association])</f>
        <v>England</v>
      </c>
      <c r="D292" s="42">
        <f>COUNTIF(Squads[Current Club],'Club Representation info'!A292)</f>
        <v>1</v>
      </c>
    </row>
    <row r="293" spans="1:4" x14ac:dyDescent="0.25">
      <c r="A293" s="9" t="str">
        <v>Bournemouth</v>
      </c>
      <c r="B293" s="9" t="str">
        <f>_xlfn.XLOOKUP(A293,Clubs[Current Club],Clubs[Club - League])</f>
        <v>Premier League</v>
      </c>
      <c r="C293" s="9" t="str">
        <f>_xlfn.XLOOKUP(B293,Club_Leagues[Club - League],Club_Leagues[Football Association])</f>
        <v>England</v>
      </c>
      <c r="D293" s="42">
        <f>COUNTIF(Squads[Current Club],'Club Representation info'!A293)</f>
        <v>2</v>
      </c>
    </row>
    <row r="294" spans="1:4" x14ac:dyDescent="0.25">
      <c r="A294" s="9" t="str">
        <v>Portsmouth</v>
      </c>
      <c r="B294" s="9" t="str">
        <f>_xlfn.XLOOKUP(A294,Clubs[Current Club],Clubs[Club - League])</f>
        <v>League One</v>
      </c>
      <c r="C294" s="9" t="str">
        <f>_xlfn.XLOOKUP(B294,Club_Leagues[Club - League],Club_Leagues[Football Association])</f>
        <v>England</v>
      </c>
      <c r="D294" s="42">
        <f>COUNTIF(Squads[Current Club],'Club Representation info'!A294)</f>
        <v>1</v>
      </c>
    </row>
    <row r="295" spans="1:4" x14ac:dyDescent="0.25">
      <c r="A295" s="9" t="str">
        <v>Swindon Town</v>
      </c>
      <c r="B295" s="9" t="str">
        <f>_xlfn.XLOOKUP(A295,Clubs[Current Club],Clubs[Club - League])</f>
        <v>League Two</v>
      </c>
      <c r="C295" s="9" t="str">
        <f>_xlfn.XLOOKUP(B295,Club_Leagues[Club - League],Club_Leagues[Football Association])</f>
        <v>England</v>
      </c>
      <c r="D295" s="42">
        <f>COUNTIF(Squads[Current Club],'Club Representation info'!A295)</f>
        <v>1</v>
      </c>
    </row>
    <row r="296" spans="1:4" x14ac:dyDescent="0.25">
      <c r="A296" s="9" t="str">
        <v>Cardiff City</v>
      </c>
      <c r="B296" s="9" t="str">
        <f>_xlfn.XLOOKUP(A296,Clubs[Current Club],Clubs[Club - League])</f>
        <v>Championship</v>
      </c>
      <c r="C296" s="9" t="str">
        <f>_xlfn.XLOOKUP(B296,Club_Leagues[Club - League],Club_Leagues[Football Association])</f>
        <v>England</v>
      </c>
      <c r="D296" s="42">
        <f>COUNTIF(Squads[Current Club],'Club Representation info'!A296)</f>
        <v>2</v>
      </c>
    </row>
    <row r="297" spans="1:4" x14ac:dyDescent="0.25">
      <c r="A297" s="9" t="str">
        <v>Huddersfield Town</v>
      </c>
      <c r="B297" s="9" t="str">
        <f>_xlfn.XLOOKUP(A297,Clubs[Current Club],Clubs[Club - League])</f>
        <v>Championship</v>
      </c>
      <c r="C297" s="9" t="str">
        <f>_xlfn.XLOOKUP(B297,Club_Leagues[Club - League],Club_Leagues[Football Association])</f>
        <v>England</v>
      </c>
      <c r="D297" s="42">
        <f>COUNTIF(Squads[Current Club],'Club Representation info'!A297)</f>
        <v>1</v>
      </c>
    </row>
    <row r="298" spans="1:4" x14ac:dyDescent="0.25">
      <c r="A298" s="9" t="str">
        <v>Milton Keynes Dons</v>
      </c>
      <c r="B298" s="9" t="str">
        <f>_xlfn.XLOOKUP(A298,Clubs[Current Club],Clubs[Club - League])</f>
        <v>League One</v>
      </c>
      <c r="C298" s="9" t="str">
        <f>_xlfn.XLOOKUP(B298,Club_Leagues[Club - League],Club_Leagues[Football Association])</f>
        <v>England</v>
      </c>
      <c r="D298" s="42">
        <f>COUNTIF(Squads[Current Club],'Club Representation info'!A298)</f>
        <v>1</v>
      </c>
    </row>
    <row r="299" spans="1:4" ht="15.75" thickBot="1" x14ac:dyDescent="0.3">
      <c r="A299" s="47">
        <v>830</v>
      </c>
      <c r="B299" s="47"/>
      <c r="C299" s="47"/>
      <c r="D299" s="47">
        <f>SUM(D3:D298)</f>
        <v>830</v>
      </c>
    </row>
    <row r="300" spans="1:4" ht="15.75" thickTop="1" x14ac:dyDescent="0.25"/>
  </sheetData>
  <autoFilter ref="A2:D299" xr:uid="{88843C70-2192-4E3F-99AF-1B5C3402732D}"/>
  <mergeCells count="5">
    <mergeCell ref="N4:O4"/>
    <mergeCell ref="Q4:R4"/>
    <mergeCell ref="A1:D1"/>
    <mergeCell ref="F1:G1"/>
    <mergeCell ref="I1:J1"/>
  </mergeCells>
  <pageMargins left="0.7" right="0.7" top="0.75" bottom="0.75" header="0.3" footer="0.3"/>
  <pageSetup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6FFA-CFF4-4AF0-AF0B-A95B03170AE5}">
  <sheetPr codeName="Sheet15"/>
  <dimension ref="A1:AD56"/>
  <sheetViews>
    <sheetView topLeftCell="A2" workbookViewId="0">
      <selection activeCell="B18" sqref="B18"/>
    </sheetView>
  </sheetViews>
  <sheetFormatPr defaultRowHeight="15" x14ac:dyDescent="0.25"/>
  <cols>
    <col min="1" max="1" width="39.42578125" style="78" bestFit="1" customWidth="1"/>
    <col min="2" max="2" width="19.28515625" style="78" customWidth="1"/>
    <col min="3" max="3" width="3" style="78" customWidth="1"/>
    <col min="4" max="4" width="3.28515625" style="78" customWidth="1"/>
    <col min="5" max="5" width="13.140625" style="78" bestFit="1" customWidth="1"/>
    <col min="6" max="6" width="28.5703125" style="78" customWidth="1"/>
    <col min="7" max="7" width="11.7109375" style="78" bestFit="1" customWidth="1"/>
    <col min="8" max="8" width="0.28515625" style="78" customWidth="1"/>
    <col min="9" max="9" width="6.7109375" style="78" hidden="1" customWidth="1"/>
    <col min="10" max="10" width="20.140625" style="78" bestFit="1" customWidth="1"/>
    <col min="11" max="12" width="23.28515625" style="78" bestFit="1" customWidth="1"/>
    <col min="13" max="13" width="24.85546875" style="78" customWidth="1"/>
    <col min="14" max="30" width="6.7109375" style="78" customWidth="1"/>
    <col min="31" max="103" width="3" style="78" bestFit="1" customWidth="1"/>
    <col min="104" max="139" width="4" style="78" bestFit="1" customWidth="1"/>
    <col min="140" max="140" width="11.28515625" style="78" bestFit="1" customWidth="1"/>
    <col min="141" max="16384" width="9.140625" style="78"/>
  </cols>
  <sheetData>
    <row r="1" spans="1:30" ht="19.5" thickBot="1" x14ac:dyDescent="0.35">
      <c r="A1" s="123" t="s">
        <v>1552</v>
      </c>
      <c r="B1" s="123"/>
      <c r="C1" s="123"/>
      <c r="D1" s="123"/>
      <c r="E1" s="123"/>
      <c r="F1" s="123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</row>
    <row r="2" spans="1:30" x14ac:dyDescent="0.25">
      <c r="A2" s="115" t="s">
        <v>1543</v>
      </c>
      <c r="B2" s="115"/>
      <c r="E2" s="118" t="s">
        <v>1549</v>
      </c>
      <c r="F2" s="119"/>
    </row>
    <row r="3" spans="1:30" ht="15.75" thickBot="1" x14ac:dyDescent="0.3">
      <c r="A3" s="79" t="s">
        <v>1544</v>
      </c>
      <c r="B3" s="80">
        <f>MAX(Squads[Age])</f>
        <v>40</v>
      </c>
      <c r="E3" s="81" t="s">
        <v>1565</v>
      </c>
      <c r="F3" s="82" t="s">
        <v>1566</v>
      </c>
    </row>
    <row r="4" spans="1:30" x14ac:dyDescent="0.25">
      <c r="A4" s="79" t="s">
        <v>1545</v>
      </c>
      <c r="B4" s="80">
        <f>MIN(Squads[Age])</f>
        <v>18</v>
      </c>
      <c r="E4" s="83" t="s">
        <v>1574</v>
      </c>
      <c r="F4" s="84">
        <v>0</v>
      </c>
    </row>
    <row r="5" spans="1:30" x14ac:dyDescent="0.25">
      <c r="A5" s="79" t="s">
        <v>1109</v>
      </c>
      <c r="B5" s="85">
        <f>B3-B4</f>
        <v>22</v>
      </c>
      <c r="E5" s="83" t="s">
        <v>1575</v>
      </c>
      <c r="F5" s="84">
        <v>80</v>
      </c>
    </row>
    <row r="6" spans="1:30" x14ac:dyDescent="0.25">
      <c r="A6" s="86" t="s">
        <v>1104</v>
      </c>
      <c r="B6" s="87">
        <f>AVERAGE(Squads[Age])</f>
        <v>26.951807228915662</v>
      </c>
      <c r="E6" s="83" t="s">
        <v>1576</v>
      </c>
      <c r="F6" s="84">
        <v>262</v>
      </c>
    </row>
    <row r="7" spans="1:30" x14ac:dyDescent="0.25">
      <c r="A7" s="86" t="s">
        <v>1105</v>
      </c>
      <c r="B7" s="87">
        <f>MEDIAN(Squads[Age])</f>
        <v>27</v>
      </c>
      <c r="E7" s="83" t="s">
        <v>1577</v>
      </c>
      <c r="F7" s="84">
        <v>248</v>
      </c>
    </row>
    <row r="8" spans="1:30" x14ac:dyDescent="0.25">
      <c r="A8" s="86" t="s">
        <v>1106</v>
      </c>
      <c r="B8" s="87">
        <f>_xlfn.MODE.SNGL(Squads[Age])</f>
        <v>25</v>
      </c>
      <c r="E8" s="83" t="s">
        <v>1578</v>
      </c>
      <c r="F8" s="84">
        <v>182</v>
      </c>
    </row>
    <row r="9" spans="1:30" x14ac:dyDescent="0.25">
      <c r="A9" s="86" t="s">
        <v>1110</v>
      </c>
      <c r="B9" s="87">
        <f>SKEW(Squads[Age])</f>
        <v>0.29601504232286024</v>
      </c>
      <c r="E9" s="83" t="s">
        <v>1579</v>
      </c>
      <c r="F9" s="84">
        <v>50</v>
      </c>
    </row>
    <row r="10" spans="1:30" x14ac:dyDescent="0.25">
      <c r="A10" s="86" t="s">
        <v>1112</v>
      </c>
      <c r="B10" s="87">
        <f>_xlfn.QUARTILE.EXC(Squads[Age],1)</f>
        <v>24</v>
      </c>
      <c r="E10" s="83" t="s">
        <v>1580</v>
      </c>
      <c r="F10" s="84">
        <v>8</v>
      </c>
    </row>
    <row r="11" spans="1:30" ht="15.75" thickBot="1" x14ac:dyDescent="0.3">
      <c r="A11" s="86" t="s">
        <v>1113</v>
      </c>
      <c r="B11" s="87">
        <f>_xlfn.QUARTILE.EXC(Squads[Age],3)</f>
        <v>30</v>
      </c>
      <c r="E11" s="88" t="s">
        <v>1581</v>
      </c>
      <c r="F11" s="84">
        <v>0</v>
      </c>
    </row>
    <row r="12" spans="1:30" ht="15.75" thickBot="1" x14ac:dyDescent="0.3">
      <c r="A12" s="86" t="s">
        <v>1114</v>
      </c>
      <c r="B12" s="87">
        <f>B11-B10</f>
        <v>6</v>
      </c>
      <c r="E12" s="88" t="s">
        <v>1102</v>
      </c>
      <c r="F12" s="89">
        <v>830</v>
      </c>
    </row>
    <row r="14" spans="1:30" x14ac:dyDescent="0.25">
      <c r="A14" s="120" t="s">
        <v>1630</v>
      </c>
      <c r="B14" s="120"/>
      <c r="E14" s="90" t="s">
        <v>1651</v>
      </c>
      <c r="F14" s="91" t="s">
        <v>1652</v>
      </c>
    </row>
    <row r="15" spans="1:30" x14ac:dyDescent="0.25">
      <c r="A15" s="79" t="s">
        <v>1629</v>
      </c>
      <c r="B15" s="87">
        <f>B6</f>
        <v>26.951807228915662</v>
      </c>
      <c r="E15" s="92" t="s">
        <v>1649</v>
      </c>
      <c r="F15" s="87">
        <f>B15</f>
        <v>26.951807228915662</v>
      </c>
    </row>
    <row r="16" spans="1:30" x14ac:dyDescent="0.25">
      <c r="A16" s="79" t="s">
        <v>1569</v>
      </c>
      <c r="B16" s="87">
        <f>_xlfn.STDEV.S(Squads[Age])</f>
        <v>4.2709883778760727</v>
      </c>
      <c r="E16" s="92" t="s">
        <v>1650</v>
      </c>
      <c r="F16" s="87">
        <f>AVERAGEIFS(Squads[Age],Squads[Last Four],"&gt;0")</f>
        <v>26.971153846153847</v>
      </c>
    </row>
    <row r="17" spans="1:30" x14ac:dyDescent="0.25">
      <c r="A17" s="101" t="s">
        <v>1633</v>
      </c>
      <c r="B17" s="87"/>
      <c r="E17" s="93"/>
    </row>
    <row r="18" spans="1:30" x14ac:dyDescent="0.25">
      <c r="A18" s="79" t="s">
        <v>1632</v>
      </c>
      <c r="B18" s="102" t="s">
        <v>253</v>
      </c>
      <c r="E18" s="93"/>
    </row>
    <row r="19" spans="1:30" x14ac:dyDescent="0.25">
      <c r="A19" s="86" t="s">
        <v>1635</v>
      </c>
      <c r="B19" s="102">
        <f>_xlfn.XLOOKUP(B18,Squads[Player Name],Squads[Age])</f>
        <v>21</v>
      </c>
      <c r="E19" s="93"/>
    </row>
    <row r="20" spans="1:30" x14ac:dyDescent="0.25">
      <c r="A20" s="79" t="s">
        <v>1634</v>
      </c>
      <c r="B20" s="103">
        <f>STANDARDIZE(B19,B15,B16)</f>
        <v>-1.3935432977870679</v>
      </c>
    </row>
    <row r="21" spans="1:30" x14ac:dyDescent="0.25">
      <c r="A21" s="79" t="s">
        <v>1636</v>
      </c>
      <c r="B21" s="104">
        <f>_xlfn.NORM.DIST(B19,B15,B16,TRUE)</f>
        <v>8.1727780717232218E-2</v>
      </c>
    </row>
    <row r="22" spans="1:30" x14ac:dyDescent="0.25">
      <c r="A22" s="121" t="s">
        <v>1643</v>
      </c>
      <c r="B22" s="121"/>
    </row>
    <row r="23" spans="1:30" x14ac:dyDescent="0.25">
      <c r="A23" s="79" t="s">
        <v>1637</v>
      </c>
      <c r="B23" s="103">
        <f>COUNT(Squads[Age])</f>
        <v>830</v>
      </c>
    </row>
    <row r="24" spans="1:30" x14ac:dyDescent="0.25">
      <c r="A24" s="79" t="s">
        <v>1629</v>
      </c>
      <c r="B24" s="103">
        <f>AVERAGE(Squads[Age])</f>
        <v>26.951807228915662</v>
      </c>
    </row>
    <row r="25" spans="1:30" x14ac:dyDescent="0.25">
      <c r="A25" s="79" t="s">
        <v>1638</v>
      </c>
      <c r="B25" s="105">
        <v>0.8</v>
      </c>
    </row>
    <row r="26" spans="1:30" x14ac:dyDescent="0.25">
      <c r="A26" s="79" t="s">
        <v>1639</v>
      </c>
      <c r="B26" s="105">
        <f>(1-B25)</f>
        <v>0.19999999999999996</v>
      </c>
    </row>
    <row r="27" spans="1:30" x14ac:dyDescent="0.25">
      <c r="A27" s="79" t="s">
        <v>1640</v>
      </c>
      <c r="B27" s="103">
        <f>_xlfn.CONFIDENCE.NORM(B26,B16,B23)</f>
        <v>0.18998767539426384</v>
      </c>
    </row>
    <row r="28" spans="1:30" x14ac:dyDescent="0.25">
      <c r="A28" s="79" t="s">
        <v>1641</v>
      </c>
      <c r="B28" s="103">
        <f>B24-B27</f>
        <v>26.761819553521399</v>
      </c>
    </row>
    <row r="29" spans="1:30" x14ac:dyDescent="0.25">
      <c r="A29" s="79" t="s">
        <v>1642</v>
      </c>
      <c r="B29" s="103">
        <f>B24+B27</f>
        <v>27.141794904309926</v>
      </c>
    </row>
    <row r="30" spans="1:30" ht="11.25" customHeight="1" x14ac:dyDescent="0.25">
      <c r="A30" s="94"/>
      <c r="B30" s="95"/>
    </row>
    <row r="31" spans="1:30" ht="34.5" customHeight="1" thickBot="1" x14ac:dyDescent="0.35">
      <c r="A31" s="122" t="s">
        <v>1567</v>
      </c>
      <c r="B31" s="122"/>
      <c r="C31" s="122"/>
      <c r="D31" s="122"/>
      <c r="E31" s="122"/>
      <c r="F31" s="122"/>
      <c r="G31" s="96"/>
      <c r="H31" s="97"/>
      <c r="I31" s="97"/>
      <c r="J31" s="122" t="s">
        <v>5499</v>
      </c>
      <c r="K31" s="122"/>
      <c r="L31" s="122"/>
      <c r="M31" s="96"/>
      <c r="N31" s="96"/>
      <c r="O31" s="96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</row>
    <row r="32" spans="1:30" x14ac:dyDescent="0.25">
      <c r="A32" s="116" t="s">
        <v>1546</v>
      </c>
      <c r="B32" s="117"/>
      <c r="E32" s="118" t="s">
        <v>1564</v>
      </c>
      <c r="F32" s="119"/>
      <c r="G32" s="98"/>
    </row>
    <row r="33" spans="1:11" ht="30.75" thickBot="1" x14ac:dyDescent="0.3">
      <c r="A33" s="79" t="s">
        <v>1547</v>
      </c>
      <c r="B33" s="80">
        <f>MAX(Squads[Caps])</f>
        <v>191</v>
      </c>
      <c r="E33" s="81" t="s">
        <v>1550</v>
      </c>
      <c r="F33" s="82" t="s">
        <v>1551</v>
      </c>
      <c r="J33" s="85" t="s">
        <v>5501</v>
      </c>
      <c r="K33" s="85" t="s">
        <v>5500</v>
      </c>
    </row>
    <row r="34" spans="1:11" x14ac:dyDescent="0.25">
      <c r="A34" s="79" t="s">
        <v>1548</v>
      </c>
      <c r="B34" s="80">
        <f>MIN(Squads[Caps])</f>
        <v>0</v>
      </c>
      <c r="E34" s="99" t="s">
        <v>1554</v>
      </c>
      <c r="F34" s="84">
        <v>363</v>
      </c>
      <c r="J34" s="79" t="s">
        <v>1004</v>
      </c>
      <c r="K34" s="85">
        <v>117</v>
      </c>
    </row>
    <row r="35" spans="1:11" x14ac:dyDescent="0.25">
      <c r="A35" s="79" t="s">
        <v>1109</v>
      </c>
      <c r="B35" s="85">
        <f>B33-B34</f>
        <v>191</v>
      </c>
      <c r="E35" s="99" t="s">
        <v>1555</v>
      </c>
      <c r="F35" s="84">
        <v>198</v>
      </c>
      <c r="J35" s="79" t="s">
        <v>946</v>
      </c>
      <c r="K35" s="85">
        <v>91</v>
      </c>
    </row>
    <row r="36" spans="1:11" x14ac:dyDescent="0.25">
      <c r="A36" s="86" t="s">
        <v>1104</v>
      </c>
      <c r="B36" s="87">
        <f>AVERAGE(Squads[Caps])</f>
        <v>34.366265060240963</v>
      </c>
      <c r="E36" s="99" t="s">
        <v>1556</v>
      </c>
      <c r="F36" s="84">
        <v>113</v>
      </c>
      <c r="J36" s="79" t="s">
        <v>948</v>
      </c>
      <c r="K36" s="85">
        <v>76</v>
      </c>
    </row>
    <row r="37" spans="1:11" x14ac:dyDescent="0.25">
      <c r="A37" s="86" t="s">
        <v>1105</v>
      </c>
      <c r="B37" s="87">
        <f>MEDIAN(Squads[Caps])</f>
        <v>24</v>
      </c>
      <c r="E37" s="99" t="s">
        <v>1557</v>
      </c>
      <c r="F37" s="84">
        <v>71</v>
      </c>
      <c r="J37" s="79" t="s">
        <v>749</v>
      </c>
      <c r="K37" s="85">
        <v>75</v>
      </c>
    </row>
    <row r="38" spans="1:11" x14ac:dyDescent="0.25">
      <c r="A38" s="86" t="s">
        <v>1106</v>
      </c>
      <c r="B38" s="87">
        <f>_xlfn.MODE.SNGL(Squads[Caps])</f>
        <v>4</v>
      </c>
      <c r="E38" s="99" t="s">
        <v>1558</v>
      </c>
      <c r="F38" s="84">
        <v>30</v>
      </c>
      <c r="J38" s="79" t="s">
        <v>923</v>
      </c>
      <c r="K38" s="85">
        <v>68</v>
      </c>
    </row>
    <row r="39" spans="1:11" x14ac:dyDescent="0.25">
      <c r="A39" s="86" t="s">
        <v>1110</v>
      </c>
      <c r="B39" s="87">
        <f>SKEW(Squads[Caps])</f>
        <v>1.5103711987535302</v>
      </c>
      <c r="E39" s="99" t="s">
        <v>1559</v>
      </c>
      <c r="F39" s="84">
        <v>26</v>
      </c>
      <c r="J39" s="79" t="s">
        <v>648</v>
      </c>
      <c r="K39" s="85">
        <v>68</v>
      </c>
    </row>
    <row r="40" spans="1:11" x14ac:dyDescent="0.25">
      <c r="A40" s="86" t="s">
        <v>1112</v>
      </c>
      <c r="B40" s="87">
        <f>_xlfn.QUARTILE.EXC(Squads[Caps],1)</f>
        <v>8</v>
      </c>
      <c r="E40" s="99" t="s">
        <v>1560</v>
      </c>
      <c r="F40" s="84">
        <v>20</v>
      </c>
      <c r="J40" s="79" t="s">
        <v>935</v>
      </c>
      <c r="K40" s="85">
        <v>58</v>
      </c>
    </row>
    <row r="41" spans="1:11" x14ac:dyDescent="0.25">
      <c r="A41" s="86" t="s">
        <v>1113</v>
      </c>
      <c r="B41" s="87">
        <f>_xlfn.QUARTILE.EXC(Squads[Caps],3)</f>
        <v>48</v>
      </c>
      <c r="E41" s="99" t="s">
        <v>1561</v>
      </c>
      <c r="F41" s="84">
        <v>5</v>
      </c>
      <c r="J41" s="79" t="s">
        <v>970</v>
      </c>
      <c r="K41" s="85">
        <v>51</v>
      </c>
    </row>
    <row r="42" spans="1:11" x14ac:dyDescent="0.25">
      <c r="A42" s="86" t="s">
        <v>1114</v>
      </c>
      <c r="B42" s="87">
        <f>B41-B40</f>
        <v>40</v>
      </c>
      <c r="E42" s="99" t="s">
        <v>1562</v>
      </c>
      <c r="F42" s="84">
        <v>3</v>
      </c>
      <c r="J42" s="79" t="s">
        <v>799</v>
      </c>
      <c r="K42" s="85">
        <v>50</v>
      </c>
    </row>
    <row r="43" spans="1:11" x14ac:dyDescent="0.25">
      <c r="E43" s="99" t="s">
        <v>1563</v>
      </c>
      <c r="F43" s="84">
        <v>1</v>
      </c>
      <c r="J43" s="79" t="s">
        <v>496</v>
      </c>
      <c r="K43" s="85">
        <v>49</v>
      </c>
    </row>
    <row r="44" spans="1:11" ht="15.75" thickBot="1" x14ac:dyDescent="0.3">
      <c r="A44" s="114" t="s">
        <v>1631</v>
      </c>
      <c r="B44" s="114"/>
      <c r="E44" s="100" t="s">
        <v>1553</v>
      </c>
      <c r="F44" s="84">
        <v>0</v>
      </c>
      <c r="J44" s="79" t="s">
        <v>576</v>
      </c>
      <c r="K44" s="85">
        <v>44</v>
      </c>
    </row>
    <row r="45" spans="1:11" ht="15.75" thickBot="1" x14ac:dyDescent="0.3">
      <c r="A45" s="86" t="s">
        <v>1629</v>
      </c>
      <c r="B45" s="87">
        <f>B36</f>
        <v>34.366265060240963</v>
      </c>
      <c r="E45" s="100" t="s">
        <v>1102</v>
      </c>
      <c r="F45" s="89">
        <v>830</v>
      </c>
      <c r="J45" s="79" t="s">
        <v>206</v>
      </c>
      <c r="K45" s="85">
        <v>42</v>
      </c>
    </row>
    <row r="46" spans="1:11" x14ac:dyDescent="0.25">
      <c r="A46" s="86" t="s">
        <v>1569</v>
      </c>
      <c r="B46" s="87">
        <f>_xlfn.STDEV.S(Squads[Caps])</f>
        <v>33.971368335885572</v>
      </c>
      <c r="J46" s="79" t="s">
        <v>494</v>
      </c>
      <c r="K46" s="85">
        <v>42</v>
      </c>
    </row>
    <row r="47" spans="1:11" x14ac:dyDescent="0.25">
      <c r="J47" s="79" t="s">
        <v>172</v>
      </c>
      <c r="K47" s="85">
        <v>42</v>
      </c>
    </row>
    <row r="48" spans="1:11" x14ac:dyDescent="0.25">
      <c r="J48" s="79" t="s">
        <v>282</v>
      </c>
      <c r="K48" s="85">
        <v>41</v>
      </c>
    </row>
    <row r="49" spans="5:11" x14ac:dyDescent="0.25">
      <c r="E49" s="85" t="s">
        <v>1625</v>
      </c>
      <c r="F49" s="85" t="s">
        <v>1626</v>
      </c>
      <c r="J49" s="79" t="s">
        <v>977</v>
      </c>
      <c r="K49" s="85">
        <v>40</v>
      </c>
    </row>
    <row r="50" spans="5:11" x14ac:dyDescent="0.25">
      <c r="E50" s="79" t="s">
        <v>1620</v>
      </c>
      <c r="F50" s="85">
        <v>53</v>
      </c>
      <c r="J50" s="79" t="s">
        <v>472</v>
      </c>
      <c r="K50" s="85">
        <v>39</v>
      </c>
    </row>
    <row r="51" spans="5:11" x14ac:dyDescent="0.25">
      <c r="E51" s="79" t="s">
        <v>1621</v>
      </c>
      <c r="F51" s="85">
        <v>32</v>
      </c>
      <c r="J51" s="79" t="s">
        <v>506</v>
      </c>
      <c r="K51" s="85">
        <v>37</v>
      </c>
    </row>
    <row r="52" spans="5:11" x14ac:dyDescent="0.25">
      <c r="E52" s="79" t="s">
        <v>1622</v>
      </c>
      <c r="F52" s="85">
        <v>377</v>
      </c>
      <c r="J52" s="79" t="s">
        <v>945</v>
      </c>
      <c r="K52" s="85">
        <v>36</v>
      </c>
    </row>
    <row r="53" spans="5:11" x14ac:dyDescent="0.25">
      <c r="E53" s="79" t="s">
        <v>1623</v>
      </c>
      <c r="F53" s="85">
        <v>184</v>
      </c>
      <c r="J53" s="79" t="s">
        <v>944</v>
      </c>
      <c r="K53" s="85">
        <v>35</v>
      </c>
    </row>
    <row r="54" spans="5:11" x14ac:dyDescent="0.25">
      <c r="E54" s="79" t="s">
        <v>1624</v>
      </c>
      <c r="F54" s="85">
        <v>184</v>
      </c>
      <c r="J54" s="79" t="s">
        <v>1005</v>
      </c>
      <c r="K54" s="85">
        <v>35</v>
      </c>
    </row>
    <row r="55" spans="5:11" x14ac:dyDescent="0.25">
      <c r="E55" s="79" t="s">
        <v>1102</v>
      </c>
      <c r="F55" s="85">
        <v>830</v>
      </c>
      <c r="J55" s="79" t="s">
        <v>1102</v>
      </c>
      <c r="K55" s="85">
        <v>1136</v>
      </c>
    </row>
    <row r="56" spans="5:11" ht="15.75" thickBot="1" x14ac:dyDescent="0.3"/>
  </sheetData>
  <mergeCells count="10">
    <mergeCell ref="J31:L31"/>
    <mergeCell ref="A1:F1"/>
    <mergeCell ref="A44:B44"/>
    <mergeCell ref="A2:B2"/>
    <mergeCell ref="A32:B32"/>
    <mergeCell ref="E32:F32"/>
    <mergeCell ref="E2:F2"/>
    <mergeCell ref="A14:B14"/>
    <mergeCell ref="A22:B22"/>
    <mergeCell ref="A31:F31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29B2EC8-DDA7-49B1-858F-FFFA34551B83}">
          <x14:formula1>
            <xm:f>Squads!$F$2:$F$831</xm:f>
          </x14:formula1>
          <xm:sqref>B18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BF8A5-2F97-46F5-8734-6037D4B48507}">
  <sheetPr codeName="Sheet16"/>
  <dimension ref="A1:P34"/>
  <sheetViews>
    <sheetView workbookViewId="0">
      <selection activeCell="O2" sqref="O2"/>
    </sheetView>
  </sheetViews>
  <sheetFormatPr defaultRowHeight="15" x14ac:dyDescent="0.25"/>
  <cols>
    <col min="1" max="2" width="17.7109375" bestFit="1" customWidth="1"/>
    <col min="3" max="3" width="8.85546875" bestFit="1" customWidth="1"/>
    <col min="4" max="4" width="8.28515625" bestFit="1" customWidth="1"/>
    <col min="5" max="5" width="18.5703125" bestFit="1" customWidth="1"/>
    <col min="6" max="6" width="17.85546875" bestFit="1" customWidth="1"/>
    <col min="7" max="7" width="7.42578125" bestFit="1" customWidth="1"/>
    <col min="8" max="8" width="9.85546875" bestFit="1" customWidth="1"/>
    <col min="9" max="9" width="7.28515625" bestFit="1" customWidth="1"/>
    <col min="10" max="10" width="20.28515625" bestFit="1" customWidth="1"/>
    <col min="11" max="11" width="8" bestFit="1" customWidth="1"/>
    <col min="12" max="12" width="13.140625" bestFit="1" customWidth="1"/>
    <col min="13" max="13" width="21.42578125" bestFit="1" customWidth="1"/>
    <col min="15" max="15" width="13.140625" bestFit="1" customWidth="1"/>
    <col min="16" max="16" width="27" bestFit="1" customWidth="1"/>
    <col min="17" max="17" width="6" bestFit="1" customWidth="1"/>
    <col min="18" max="18" width="10" bestFit="1" customWidth="1"/>
    <col min="19" max="19" width="7.5703125" bestFit="1" customWidth="1"/>
    <col min="20" max="20" width="8.7109375" bestFit="1" customWidth="1"/>
    <col min="21" max="21" width="12" bestFit="1" customWidth="1"/>
    <col min="22" max="22" width="7.140625" bestFit="1" customWidth="1"/>
    <col min="23" max="23" width="8.42578125" bestFit="1" customWidth="1"/>
    <col min="24" max="24" width="5.85546875" bestFit="1" customWidth="1"/>
    <col min="25" max="25" width="12" bestFit="1" customWidth="1"/>
    <col min="26" max="26" width="8" bestFit="1" customWidth="1"/>
    <col min="27" max="27" width="6.5703125" bestFit="1" customWidth="1"/>
    <col min="28" max="28" width="5.85546875" bestFit="1" customWidth="1"/>
    <col min="29" max="29" width="11.42578125" bestFit="1" customWidth="1"/>
    <col min="30" max="30" width="7.28515625" bestFit="1" customWidth="1"/>
    <col min="31" max="31" width="8.42578125" bestFit="1" customWidth="1"/>
    <col min="32" max="32" width="4.7109375" bestFit="1" customWidth="1"/>
    <col min="33" max="33" width="6.5703125" bestFit="1" customWidth="1"/>
    <col min="34" max="34" width="11.28515625" bestFit="1" customWidth="1"/>
  </cols>
  <sheetData>
    <row r="1" spans="1:16" x14ac:dyDescent="0.25">
      <c r="A1" s="124" t="s">
        <v>5504</v>
      </c>
      <c r="B1" s="124"/>
      <c r="C1" s="124"/>
      <c r="D1" s="124"/>
      <c r="E1" s="124"/>
      <c r="F1" s="124"/>
      <c r="I1" s="124" t="s">
        <v>5505</v>
      </c>
      <c r="J1" s="124"/>
      <c r="K1" s="124"/>
      <c r="L1" s="124"/>
      <c r="M1" s="124"/>
      <c r="N1" s="124"/>
    </row>
    <row r="2" spans="1:16" x14ac:dyDescent="0.25">
      <c r="A2" s="44" t="s">
        <v>1075</v>
      </c>
      <c r="B2" s="9" t="s">
        <v>1078</v>
      </c>
      <c r="E2" s="44" t="s">
        <v>1075</v>
      </c>
      <c r="F2" s="9" t="s">
        <v>5509</v>
      </c>
      <c r="I2" s="44" t="s">
        <v>1075</v>
      </c>
      <c r="J2" s="9" t="s">
        <v>1078</v>
      </c>
      <c r="L2" s="44" t="s">
        <v>1075</v>
      </c>
      <c r="M2" s="9" t="s">
        <v>5509</v>
      </c>
      <c r="O2" s="44" t="s">
        <v>1075</v>
      </c>
      <c r="P2" s="9" t="s">
        <v>5509</v>
      </c>
    </row>
    <row r="4" spans="1:16" x14ac:dyDescent="0.25">
      <c r="A4" s="44" t="s">
        <v>1540</v>
      </c>
      <c r="B4" s="9" t="s">
        <v>5502</v>
      </c>
      <c r="E4" s="44" t="s">
        <v>1540</v>
      </c>
      <c r="F4" s="9" t="s">
        <v>5503</v>
      </c>
      <c r="I4" s="44" t="s">
        <v>1540</v>
      </c>
      <c r="J4" s="9" t="s">
        <v>5506</v>
      </c>
      <c r="L4" s="44" t="s">
        <v>1540</v>
      </c>
      <c r="M4" s="9" t="s">
        <v>5507</v>
      </c>
      <c r="O4" s="44" t="s">
        <v>1540</v>
      </c>
      <c r="P4" s="9" t="s">
        <v>5508</v>
      </c>
    </row>
    <row r="5" spans="1:16" x14ac:dyDescent="0.25">
      <c r="A5" s="42" t="s">
        <v>497</v>
      </c>
      <c r="B5" s="9">
        <v>8</v>
      </c>
      <c r="E5" s="42" t="s">
        <v>497</v>
      </c>
      <c r="F5" s="125">
        <v>10</v>
      </c>
      <c r="I5" s="42" t="s">
        <v>20</v>
      </c>
      <c r="J5" s="9">
        <v>16</v>
      </c>
      <c r="L5" s="42" t="s">
        <v>20</v>
      </c>
      <c r="M5" s="125">
        <v>28</v>
      </c>
      <c r="O5" s="42" t="s">
        <v>13</v>
      </c>
      <c r="P5" s="9">
        <v>17</v>
      </c>
    </row>
    <row r="6" spans="1:16" x14ac:dyDescent="0.25">
      <c r="A6" s="42" t="s">
        <v>946</v>
      </c>
      <c r="B6" s="9">
        <v>7</v>
      </c>
      <c r="E6" s="42" t="s">
        <v>946</v>
      </c>
      <c r="F6" s="125">
        <v>10</v>
      </c>
      <c r="I6" s="42" t="s">
        <v>13</v>
      </c>
      <c r="J6" s="9">
        <v>15</v>
      </c>
      <c r="L6" s="42" t="s">
        <v>6</v>
      </c>
      <c r="M6" s="125">
        <v>24</v>
      </c>
      <c r="O6" s="42" t="s">
        <v>14</v>
      </c>
      <c r="P6" s="9">
        <v>14</v>
      </c>
    </row>
    <row r="7" spans="1:16" x14ac:dyDescent="0.25">
      <c r="A7" s="42" t="s">
        <v>496</v>
      </c>
      <c r="B7" s="9">
        <v>4</v>
      </c>
      <c r="E7" s="42" t="s">
        <v>872</v>
      </c>
      <c r="F7" s="125">
        <v>5</v>
      </c>
      <c r="I7" s="42" t="s">
        <v>6</v>
      </c>
      <c r="J7" s="9">
        <v>13</v>
      </c>
      <c r="L7" s="42" t="s">
        <v>13</v>
      </c>
      <c r="M7" s="125">
        <v>23</v>
      </c>
      <c r="O7" s="42" t="s">
        <v>40</v>
      </c>
      <c r="P7" s="9">
        <v>12</v>
      </c>
    </row>
    <row r="8" spans="1:16" x14ac:dyDescent="0.25">
      <c r="A8" s="42" t="s">
        <v>347</v>
      </c>
      <c r="B8" s="9">
        <v>4</v>
      </c>
      <c r="E8" s="42" t="s">
        <v>970</v>
      </c>
      <c r="F8" s="125">
        <v>5</v>
      </c>
      <c r="I8" s="42" t="s">
        <v>38</v>
      </c>
      <c r="J8" s="9">
        <v>12</v>
      </c>
      <c r="L8" s="42" t="s">
        <v>38</v>
      </c>
      <c r="M8" s="125">
        <v>21</v>
      </c>
      <c r="O8" s="42" t="s">
        <v>4</v>
      </c>
      <c r="P8" s="9">
        <v>11</v>
      </c>
    </row>
    <row r="9" spans="1:16" x14ac:dyDescent="0.25">
      <c r="A9" s="42" t="s">
        <v>247</v>
      </c>
      <c r="B9" s="9">
        <v>3</v>
      </c>
      <c r="E9" s="42" t="s">
        <v>347</v>
      </c>
      <c r="F9" s="125">
        <v>4</v>
      </c>
      <c r="I9" s="42" t="s">
        <v>4</v>
      </c>
      <c r="J9" s="9">
        <v>10</v>
      </c>
      <c r="L9" s="42" t="s">
        <v>4</v>
      </c>
      <c r="M9" s="125">
        <v>18</v>
      </c>
      <c r="O9" s="42" t="s">
        <v>33</v>
      </c>
      <c r="P9" s="9">
        <v>9</v>
      </c>
    </row>
    <row r="10" spans="1:16" x14ac:dyDescent="0.25">
      <c r="A10" s="42" t="s">
        <v>748</v>
      </c>
      <c r="B10" s="9">
        <v>3</v>
      </c>
      <c r="E10" s="42" t="s">
        <v>890</v>
      </c>
      <c r="F10" s="125">
        <v>4</v>
      </c>
      <c r="I10" s="42" t="s">
        <v>28</v>
      </c>
      <c r="J10" s="9">
        <v>9</v>
      </c>
      <c r="L10" s="42" t="s">
        <v>24</v>
      </c>
      <c r="M10" s="125">
        <v>16</v>
      </c>
      <c r="O10" s="42" t="s">
        <v>23</v>
      </c>
      <c r="P10" s="9">
        <v>9</v>
      </c>
    </row>
    <row r="11" spans="1:16" x14ac:dyDescent="0.25">
      <c r="A11" s="42" t="s">
        <v>944</v>
      </c>
      <c r="B11" s="9">
        <v>3</v>
      </c>
      <c r="E11" s="42" t="s">
        <v>496</v>
      </c>
      <c r="F11" s="125">
        <v>4</v>
      </c>
      <c r="I11" s="42" t="s">
        <v>24</v>
      </c>
      <c r="J11" s="9">
        <v>8</v>
      </c>
      <c r="L11" s="42" t="s">
        <v>28</v>
      </c>
      <c r="M11" s="125">
        <v>14</v>
      </c>
      <c r="O11" s="42" t="s">
        <v>34</v>
      </c>
      <c r="P11" s="9">
        <v>8</v>
      </c>
    </row>
    <row r="12" spans="1:16" x14ac:dyDescent="0.25">
      <c r="A12" s="42" t="s">
        <v>890</v>
      </c>
      <c r="B12" s="9">
        <v>3</v>
      </c>
      <c r="E12" s="42" t="s">
        <v>694</v>
      </c>
      <c r="F12" s="125">
        <v>4</v>
      </c>
      <c r="I12" s="42" t="s">
        <v>1059</v>
      </c>
      <c r="J12" s="9">
        <v>8</v>
      </c>
      <c r="L12" s="42" t="s">
        <v>1059</v>
      </c>
      <c r="M12" s="125">
        <v>14</v>
      </c>
      <c r="O12" s="42" t="s">
        <v>31</v>
      </c>
      <c r="P12" s="9">
        <v>8</v>
      </c>
    </row>
    <row r="13" spans="1:16" x14ac:dyDescent="0.25">
      <c r="A13" s="42" t="s">
        <v>170</v>
      </c>
      <c r="B13" s="9">
        <v>3</v>
      </c>
      <c r="E13" s="42" t="s">
        <v>620</v>
      </c>
      <c r="F13" s="125">
        <v>4</v>
      </c>
      <c r="I13" s="42" t="s">
        <v>23</v>
      </c>
      <c r="J13" s="9">
        <v>6</v>
      </c>
      <c r="L13" s="42" t="s">
        <v>26</v>
      </c>
      <c r="M13" s="125">
        <v>11</v>
      </c>
      <c r="O13" s="42" t="s">
        <v>36</v>
      </c>
      <c r="P13" s="9">
        <v>8</v>
      </c>
    </row>
    <row r="14" spans="1:16" x14ac:dyDescent="0.25">
      <c r="A14" s="42" t="s">
        <v>253</v>
      </c>
      <c r="B14" s="9">
        <v>3</v>
      </c>
      <c r="E14" s="42" t="s">
        <v>1001</v>
      </c>
      <c r="F14" s="125">
        <v>3</v>
      </c>
      <c r="I14" s="42" t="s">
        <v>26</v>
      </c>
      <c r="J14" s="9">
        <v>6</v>
      </c>
      <c r="L14" s="42" t="s">
        <v>23</v>
      </c>
      <c r="M14" s="125">
        <v>10</v>
      </c>
      <c r="O14" s="42" t="s">
        <v>20</v>
      </c>
      <c r="P14" s="9">
        <v>8</v>
      </c>
    </row>
    <row r="15" spans="1:16" x14ac:dyDescent="0.25">
      <c r="A15" s="42" t="s">
        <v>620</v>
      </c>
      <c r="B15" s="9">
        <v>3</v>
      </c>
      <c r="E15" s="42" t="s">
        <v>256</v>
      </c>
      <c r="F15" s="125">
        <v>3</v>
      </c>
      <c r="I15" s="42" t="s">
        <v>1102</v>
      </c>
      <c r="J15" s="9">
        <v>103</v>
      </c>
      <c r="L15" s="42" t="s">
        <v>1102</v>
      </c>
      <c r="M15" s="125">
        <v>179</v>
      </c>
      <c r="O15" s="42" t="s">
        <v>39</v>
      </c>
      <c r="P15" s="9">
        <v>8</v>
      </c>
    </row>
    <row r="16" spans="1:16" x14ac:dyDescent="0.25">
      <c r="A16" s="42" t="s">
        <v>1102</v>
      </c>
      <c r="B16" s="9">
        <v>44</v>
      </c>
      <c r="E16" s="42" t="s">
        <v>253</v>
      </c>
      <c r="F16" s="125">
        <v>3</v>
      </c>
      <c r="O16" s="42" t="s">
        <v>1102</v>
      </c>
      <c r="P16" s="9">
        <v>112</v>
      </c>
    </row>
    <row r="17" spans="5:6" x14ac:dyDescent="0.25">
      <c r="E17" s="42" t="s">
        <v>297</v>
      </c>
      <c r="F17" s="125">
        <v>3</v>
      </c>
    </row>
    <row r="18" spans="5:6" x14ac:dyDescent="0.25">
      <c r="E18" s="42" t="s">
        <v>748</v>
      </c>
      <c r="F18" s="125">
        <v>3</v>
      </c>
    </row>
    <row r="19" spans="5:6" x14ac:dyDescent="0.25">
      <c r="E19" s="42" t="s">
        <v>875</v>
      </c>
      <c r="F19" s="125">
        <v>3</v>
      </c>
    </row>
    <row r="20" spans="5:6" x14ac:dyDescent="0.25">
      <c r="E20" s="42" t="s">
        <v>184</v>
      </c>
      <c r="F20" s="125">
        <v>3</v>
      </c>
    </row>
    <row r="21" spans="5:6" x14ac:dyDescent="0.25">
      <c r="E21" s="42" t="s">
        <v>170</v>
      </c>
      <c r="F21" s="125">
        <v>3</v>
      </c>
    </row>
    <row r="22" spans="5:6" x14ac:dyDescent="0.25">
      <c r="E22" s="42" t="s">
        <v>624</v>
      </c>
      <c r="F22" s="125">
        <v>3</v>
      </c>
    </row>
    <row r="23" spans="5:6" x14ac:dyDescent="0.25">
      <c r="E23" s="42" t="s">
        <v>494</v>
      </c>
      <c r="F23" s="125">
        <v>3</v>
      </c>
    </row>
    <row r="24" spans="5:6" x14ac:dyDescent="0.25">
      <c r="E24" s="42" t="s">
        <v>870</v>
      </c>
      <c r="F24" s="125">
        <v>3</v>
      </c>
    </row>
    <row r="25" spans="5:6" x14ac:dyDescent="0.25">
      <c r="E25" s="42" t="s">
        <v>176</v>
      </c>
      <c r="F25" s="125">
        <v>3</v>
      </c>
    </row>
    <row r="26" spans="5:6" x14ac:dyDescent="0.25">
      <c r="E26" s="42" t="s">
        <v>509</v>
      </c>
      <c r="F26" s="125">
        <v>3</v>
      </c>
    </row>
    <row r="27" spans="5:6" x14ac:dyDescent="0.25">
      <c r="E27" s="42" t="s">
        <v>944</v>
      </c>
      <c r="F27" s="125">
        <v>3</v>
      </c>
    </row>
    <row r="28" spans="5:6" x14ac:dyDescent="0.25">
      <c r="E28" s="42" t="s">
        <v>759</v>
      </c>
      <c r="F28" s="125">
        <v>3</v>
      </c>
    </row>
    <row r="29" spans="5:6" x14ac:dyDescent="0.25">
      <c r="E29" s="42" t="s">
        <v>271</v>
      </c>
      <c r="F29" s="125">
        <v>3</v>
      </c>
    </row>
    <row r="30" spans="5:6" x14ac:dyDescent="0.25">
      <c r="E30" s="42" t="s">
        <v>749</v>
      </c>
      <c r="F30" s="125">
        <v>3</v>
      </c>
    </row>
    <row r="31" spans="5:6" x14ac:dyDescent="0.25">
      <c r="E31" s="42" t="s">
        <v>707</v>
      </c>
      <c r="F31" s="125">
        <v>3</v>
      </c>
    </row>
    <row r="32" spans="5:6" x14ac:dyDescent="0.25">
      <c r="E32" s="42" t="s">
        <v>572</v>
      </c>
      <c r="F32" s="125">
        <v>3</v>
      </c>
    </row>
    <row r="33" spans="5:6" x14ac:dyDescent="0.25">
      <c r="E33" s="42" t="s">
        <v>247</v>
      </c>
      <c r="F33" s="125">
        <v>3</v>
      </c>
    </row>
    <row r="34" spans="5:6" x14ac:dyDescent="0.25">
      <c r="E34" s="42" t="s">
        <v>1102</v>
      </c>
      <c r="F34" s="125">
        <v>110</v>
      </c>
    </row>
  </sheetData>
  <mergeCells count="2">
    <mergeCell ref="A1:F1"/>
    <mergeCell ref="I1:N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1E372-36D5-40DF-90BC-154FCA72B8AD}">
  <dimension ref="A1"/>
  <sheetViews>
    <sheetView workbookViewId="0">
      <selection activeCell="AF21" sqref="AF21"/>
    </sheetView>
  </sheetViews>
  <sheetFormatPr defaultRowHeight="15" x14ac:dyDescent="0.25"/>
  <cols>
    <col min="1" max="16384" width="9.140625" style="78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37351-6FDE-40ED-A88C-2C9A27392D65}">
  <dimension ref="A1"/>
  <sheetViews>
    <sheetView workbookViewId="0">
      <selection activeCell="N8" sqref="N8"/>
    </sheetView>
  </sheetViews>
  <sheetFormatPr defaultRowHeight="15" x14ac:dyDescent="0.25"/>
  <cols>
    <col min="1" max="16384" width="9.140625" style="78"/>
  </cols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1FD6A-337B-460B-9769-137365BAD91A}">
  <dimension ref="A1"/>
  <sheetViews>
    <sheetView tabSelected="1" workbookViewId="0">
      <selection activeCell="AD25" sqref="AD25"/>
    </sheetView>
  </sheetViews>
  <sheetFormatPr defaultRowHeight="15" x14ac:dyDescent="0.25"/>
  <cols>
    <col min="1" max="16384" width="9.140625" style="78"/>
  </cols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4FC2E-C184-4744-ABB3-E1AAFBA781DA}">
  <sheetPr codeName="Sheet17"/>
  <dimension ref="A1:B36"/>
  <sheetViews>
    <sheetView workbookViewId="0">
      <selection activeCell="D9" sqref="D9"/>
    </sheetView>
  </sheetViews>
  <sheetFormatPr defaultRowHeight="15" x14ac:dyDescent="0.25"/>
  <cols>
    <col min="1" max="1" width="13.140625" bestFit="1" customWidth="1"/>
    <col min="2" max="2" width="14.85546875" bestFit="1" customWidth="1"/>
  </cols>
  <sheetData>
    <row r="1" spans="1:2" x14ac:dyDescent="0.25">
      <c r="A1" s="44" t="s">
        <v>1075</v>
      </c>
      <c r="B1" s="9" t="s">
        <v>1078</v>
      </c>
    </row>
    <row r="3" spans="1:2" x14ac:dyDescent="0.25">
      <c r="A3" s="44" t="s">
        <v>1540</v>
      </c>
      <c r="B3" s="9" t="s">
        <v>1541</v>
      </c>
    </row>
    <row r="4" spans="1:2" x14ac:dyDescent="0.25">
      <c r="A4" s="42" t="s">
        <v>20</v>
      </c>
      <c r="B4" s="9">
        <v>16</v>
      </c>
    </row>
    <row r="5" spans="1:2" x14ac:dyDescent="0.25">
      <c r="A5" s="42" t="s">
        <v>13</v>
      </c>
      <c r="B5" s="9">
        <v>15</v>
      </c>
    </row>
    <row r="6" spans="1:2" x14ac:dyDescent="0.25">
      <c r="A6" s="42" t="s">
        <v>6</v>
      </c>
      <c r="B6" s="9">
        <v>13</v>
      </c>
    </row>
    <row r="7" spans="1:2" x14ac:dyDescent="0.25">
      <c r="A7" s="42" t="s">
        <v>38</v>
      </c>
      <c r="B7" s="9">
        <v>12</v>
      </c>
    </row>
    <row r="8" spans="1:2" x14ac:dyDescent="0.25">
      <c r="A8" s="42" t="s">
        <v>4</v>
      </c>
      <c r="B8" s="9">
        <v>10</v>
      </c>
    </row>
    <row r="9" spans="1:2" x14ac:dyDescent="0.25">
      <c r="A9" s="42" t="s">
        <v>28</v>
      </c>
      <c r="B9" s="9">
        <v>9</v>
      </c>
    </row>
    <row r="10" spans="1:2" x14ac:dyDescent="0.25">
      <c r="A10" s="42" t="s">
        <v>24</v>
      </c>
      <c r="B10" s="9">
        <v>8</v>
      </c>
    </row>
    <row r="11" spans="1:2" x14ac:dyDescent="0.25">
      <c r="A11" s="42" t="s">
        <v>1059</v>
      </c>
      <c r="B11" s="9">
        <v>8</v>
      </c>
    </row>
    <row r="12" spans="1:2" x14ac:dyDescent="0.25">
      <c r="A12" s="42" t="s">
        <v>26</v>
      </c>
      <c r="B12" s="9">
        <v>6</v>
      </c>
    </row>
    <row r="13" spans="1:2" x14ac:dyDescent="0.25">
      <c r="A13" s="42" t="s">
        <v>23</v>
      </c>
      <c r="B13" s="9">
        <v>6</v>
      </c>
    </row>
    <row r="14" spans="1:2" x14ac:dyDescent="0.25">
      <c r="A14" s="42" t="s">
        <v>37</v>
      </c>
      <c r="B14" s="9">
        <v>5</v>
      </c>
    </row>
    <row r="15" spans="1:2" x14ac:dyDescent="0.25">
      <c r="A15" s="42" t="s">
        <v>40</v>
      </c>
      <c r="B15" s="9">
        <v>5</v>
      </c>
    </row>
    <row r="16" spans="1:2" x14ac:dyDescent="0.25">
      <c r="A16" s="42" t="s">
        <v>3</v>
      </c>
      <c r="B16" s="9">
        <v>5</v>
      </c>
    </row>
    <row r="17" spans="1:2" x14ac:dyDescent="0.25">
      <c r="A17" s="42" t="s">
        <v>27</v>
      </c>
      <c r="B17" s="9">
        <v>5</v>
      </c>
    </row>
    <row r="18" spans="1:2" x14ac:dyDescent="0.25">
      <c r="A18" s="42" t="s">
        <v>39</v>
      </c>
      <c r="B18" s="9">
        <v>5</v>
      </c>
    </row>
    <row r="19" spans="1:2" x14ac:dyDescent="0.25">
      <c r="A19" s="42" t="s">
        <v>33</v>
      </c>
      <c r="B19" s="9">
        <v>5</v>
      </c>
    </row>
    <row r="20" spans="1:2" x14ac:dyDescent="0.25">
      <c r="A20" s="42" t="s">
        <v>34</v>
      </c>
      <c r="B20" s="9">
        <v>4</v>
      </c>
    </row>
    <row r="21" spans="1:2" x14ac:dyDescent="0.25">
      <c r="A21" s="42" t="s">
        <v>9</v>
      </c>
      <c r="B21" s="9">
        <v>4</v>
      </c>
    </row>
    <row r="22" spans="1:2" x14ac:dyDescent="0.25">
      <c r="A22" s="42" t="s">
        <v>7</v>
      </c>
      <c r="B22" s="9">
        <v>4</v>
      </c>
    </row>
    <row r="23" spans="1:2" x14ac:dyDescent="0.25">
      <c r="A23" s="42" t="s">
        <v>10</v>
      </c>
      <c r="B23" s="9">
        <v>3</v>
      </c>
    </row>
    <row r="24" spans="1:2" x14ac:dyDescent="0.25">
      <c r="A24" s="42" t="s">
        <v>21</v>
      </c>
      <c r="B24" s="9">
        <v>3</v>
      </c>
    </row>
    <row r="25" spans="1:2" x14ac:dyDescent="0.25">
      <c r="A25" s="42" t="s">
        <v>14</v>
      </c>
      <c r="B25" s="9">
        <v>3</v>
      </c>
    </row>
    <row r="26" spans="1:2" x14ac:dyDescent="0.25">
      <c r="A26" s="42" t="s">
        <v>36</v>
      </c>
      <c r="B26" s="9">
        <v>2</v>
      </c>
    </row>
    <row r="27" spans="1:2" x14ac:dyDescent="0.25">
      <c r="A27" s="42" t="s">
        <v>19</v>
      </c>
      <c r="B27" s="9">
        <v>2</v>
      </c>
    </row>
    <row r="28" spans="1:2" x14ac:dyDescent="0.25">
      <c r="A28" s="42" t="s">
        <v>29</v>
      </c>
      <c r="B28" s="9">
        <v>2</v>
      </c>
    </row>
    <row r="29" spans="1:2" x14ac:dyDescent="0.25">
      <c r="A29" s="42" t="s">
        <v>18</v>
      </c>
      <c r="B29" s="9">
        <v>2</v>
      </c>
    </row>
    <row r="30" spans="1:2" x14ac:dyDescent="0.25">
      <c r="A30" s="42" t="s">
        <v>11</v>
      </c>
      <c r="B30" s="9">
        <v>1</v>
      </c>
    </row>
    <row r="31" spans="1:2" x14ac:dyDescent="0.25">
      <c r="A31" s="42" t="s">
        <v>30</v>
      </c>
      <c r="B31" s="9">
        <v>1</v>
      </c>
    </row>
    <row r="32" spans="1:2" x14ac:dyDescent="0.25">
      <c r="A32" s="42" t="s">
        <v>8</v>
      </c>
      <c r="B32" s="9">
        <v>1</v>
      </c>
    </row>
    <row r="33" spans="1:2" x14ac:dyDescent="0.25">
      <c r="A33" s="42" t="s">
        <v>31</v>
      </c>
      <c r="B33" s="9">
        <v>1</v>
      </c>
    </row>
    <row r="34" spans="1:2" x14ac:dyDescent="0.25">
      <c r="A34" s="42" t="s">
        <v>17</v>
      </c>
      <c r="B34" s="9">
        <v>1</v>
      </c>
    </row>
    <row r="35" spans="1:2" x14ac:dyDescent="0.25">
      <c r="A35" s="42" t="s">
        <v>16</v>
      </c>
      <c r="B35" s="9">
        <v>1</v>
      </c>
    </row>
    <row r="36" spans="1:2" x14ac:dyDescent="0.25">
      <c r="A36" s="42" t="s">
        <v>1102</v>
      </c>
      <c r="B36" s="9">
        <v>168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A7CBA-377A-48FB-ABCE-1FF283AB27D8}">
  <sheetPr codeName="Sheet18"/>
  <dimension ref="A1:R831"/>
  <sheetViews>
    <sheetView topLeftCell="B1" workbookViewId="0">
      <selection activeCell="G35" sqref="G35"/>
    </sheetView>
  </sheetViews>
  <sheetFormatPr defaultRowHeight="15" x14ac:dyDescent="0.25"/>
  <cols>
    <col min="1" max="1" width="16.5703125" bestFit="1" customWidth="1"/>
    <col min="2" max="2" width="17.85546875" bestFit="1" customWidth="1"/>
    <col min="3" max="3" width="14.7109375" bestFit="1" customWidth="1"/>
    <col min="4" max="4" width="14.140625" bestFit="1" customWidth="1"/>
    <col min="5" max="5" width="14" bestFit="1" customWidth="1"/>
    <col min="6" max="6" width="12.85546875" bestFit="1" customWidth="1"/>
    <col min="7" max="7" width="28.7109375" bestFit="1" customWidth="1"/>
    <col min="8" max="8" width="12.28515625" style="68" bestFit="1" customWidth="1"/>
    <col min="9" max="9" width="9" style="68" bestFit="1" customWidth="1"/>
    <col min="10" max="10" width="9.7109375" style="68" bestFit="1" customWidth="1"/>
    <col min="11" max="11" width="22.85546875" bestFit="1" customWidth="1"/>
    <col min="12" max="12" width="0.28515625" hidden="1" customWidth="1"/>
    <col min="13" max="13" width="11.140625" hidden="1" customWidth="1"/>
    <col min="14" max="14" width="18.85546875" bestFit="1" customWidth="1"/>
    <col min="15" max="15" width="11.140625" bestFit="1" customWidth="1"/>
    <col min="16" max="16" width="23.140625" bestFit="1" customWidth="1"/>
    <col min="17" max="17" width="29.28515625" customWidth="1"/>
    <col min="18" max="18" width="75.42578125" bestFit="1" customWidth="1"/>
  </cols>
  <sheetData>
    <row r="1" spans="1:18" ht="165" x14ac:dyDescent="0.25">
      <c r="A1" s="3" t="s">
        <v>1177</v>
      </c>
      <c r="B1" s="3" t="s">
        <v>1583</v>
      </c>
      <c r="C1" t="s">
        <v>2539</v>
      </c>
      <c r="D1" s="3" t="s">
        <v>1076</v>
      </c>
      <c r="E1" s="3" t="s">
        <v>263</v>
      </c>
      <c r="F1" s="3" t="s">
        <v>690</v>
      </c>
      <c r="G1" s="3" t="s">
        <v>1077</v>
      </c>
      <c r="H1" s="3" t="s">
        <v>161</v>
      </c>
      <c r="I1" s="3" t="s">
        <v>1542</v>
      </c>
      <c r="J1" s="3" t="s">
        <v>162</v>
      </c>
      <c r="K1" s="3" t="s">
        <v>1022</v>
      </c>
      <c r="L1" s="3" t="s">
        <v>951</v>
      </c>
      <c r="M1" t="s">
        <v>2538</v>
      </c>
      <c r="N1" t="s">
        <v>1645</v>
      </c>
      <c r="O1" t="s">
        <v>1650</v>
      </c>
      <c r="P1" s="3" t="s">
        <v>1618</v>
      </c>
      <c r="Q1" s="3" t="s">
        <v>1619</v>
      </c>
      <c r="R1" t="s">
        <v>2540</v>
      </c>
    </row>
    <row r="2" spans="1:18" x14ac:dyDescent="0.25">
      <c r="A2" t="s">
        <v>1157</v>
      </c>
      <c r="B2" t="s">
        <v>1604</v>
      </c>
      <c r="C2" t="s">
        <v>3391</v>
      </c>
      <c r="D2" t="s">
        <v>4766</v>
      </c>
      <c r="E2" t="s">
        <v>2610</v>
      </c>
      <c r="F2" t="s">
        <v>2544</v>
      </c>
      <c r="G2" t="s">
        <v>4767</v>
      </c>
      <c r="H2" s="74">
        <v>32176</v>
      </c>
      <c r="I2" s="68" t="s">
        <v>2568</v>
      </c>
      <c r="J2" s="68" t="s">
        <v>4768</v>
      </c>
      <c r="K2" s="68" t="s">
        <v>2592</v>
      </c>
      <c r="L2" t="s">
        <v>1831</v>
      </c>
      <c r="M2" t="s">
        <v>4769</v>
      </c>
      <c r="N2" t="s">
        <v>1647</v>
      </c>
      <c r="O2" t="s">
        <v>1949</v>
      </c>
      <c r="R2" t="s">
        <v>4770</v>
      </c>
    </row>
    <row r="3" spans="1:18" x14ac:dyDescent="0.25">
      <c r="A3" t="s">
        <v>1291</v>
      </c>
      <c r="B3" t="s">
        <v>1589</v>
      </c>
      <c r="C3" t="s">
        <v>2590</v>
      </c>
      <c r="D3" t="s">
        <v>4992</v>
      </c>
      <c r="E3" t="s">
        <v>2559</v>
      </c>
      <c r="F3" t="s">
        <v>2584</v>
      </c>
      <c r="G3" t="s">
        <v>4993</v>
      </c>
      <c r="H3" s="74">
        <v>30355</v>
      </c>
      <c r="I3" s="68" t="s">
        <v>3333</v>
      </c>
      <c r="J3" s="68" t="s">
        <v>4994</v>
      </c>
      <c r="K3" s="68" t="s">
        <v>2646</v>
      </c>
      <c r="L3" t="s">
        <v>1708</v>
      </c>
      <c r="M3" t="s">
        <v>2659</v>
      </c>
      <c r="N3" t="s">
        <v>1648</v>
      </c>
      <c r="O3" t="s">
        <v>1949</v>
      </c>
      <c r="R3" t="s">
        <v>4995</v>
      </c>
    </row>
    <row r="4" spans="1:18" x14ac:dyDescent="0.25">
      <c r="A4" t="s">
        <v>1124</v>
      </c>
      <c r="B4" t="s">
        <v>1586</v>
      </c>
      <c r="C4" t="s">
        <v>2541</v>
      </c>
      <c r="D4" t="s">
        <v>2572</v>
      </c>
      <c r="E4" t="s">
        <v>2547</v>
      </c>
      <c r="F4" t="s">
        <v>2560</v>
      </c>
      <c r="G4" t="s">
        <v>2573</v>
      </c>
      <c r="H4" s="74">
        <v>33735</v>
      </c>
      <c r="I4" s="68" t="s">
        <v>2562</v>
      </c>
      <c r="J4" s="68" t="s">
        <v>2574</v>
      </c>
      <c r="K4" s="68" t="s">
        <v>2548</v>
      </c>
      <c r="L4" t="s">
        <v>1658</v>
      </c>
      <c r="M4" t="s">
        <v>2575</v>
      </c>
      <c r="N4" t="s">
        <v>1648</v>
      </c>
      <c r="O4" t="s">
        <v>1949</v>
      </c>
      <c r="R4" t="s">
        <v>2576</v>
      </c>
    </row>
    <row r="5" spans="1:18" x14ac:dyDescent="0.25">
      <c r="A5" t="s">
        <v>1135</v>
      </c>
      <c r="B5" t="s">
        <v>1595</v>
      </c>
      <c r="C5" t="s">
        <v>3694</v>
      </c>
      <c r="D5" t="s">
        <v>4426</v>
      </c>
      <c r="E5" t="s">
        <v>2554</v>
      </c>
      <c r="F5" t="s">
        <v>2636</v>
      </c>
      <c r="G5" t="s">
        <v>4427</v>
      </c>
      <c r="H5" s="74">
        <v>32130</v>
      </c>
      <c r="I5" s="68" t="s">
        <v>2568</v>
      </c>
      <c r="J5" s="68" t="s">
        <v>2574</v>
      </c>
      <c r="K5" s="68" t="s">
        <v>2999</v>
      </c>
      <c r="L5" t="s">
        <v>1658</v>
      </c>
      <c r="M5" t="s">
        <v>2575</v>
      </c>
      <c r="N5" t="s">
        <v>1617</v>
      </c>
      <c r="O5" t="s">
        <v>1950</v>
      </c>
      <c r="R5" t="s">
        <v>4428</v>
      </c>
    </row>
    <row r="6" spans="1:18" x14ac:dyDescent="0.25">
      <c r="A6" t="s">
        <v>1212</v>
      </c>
      <c r="B6" t="s">
        <v>1600</v>
      </c>
      <c r="C6" t="s">
        <v>3357</v>
      </c>
      <c r="D6" t="s">
        <v>4708</v>
      </c>
      <c r="E6" t="s">
        <v>2554</v>
      </c>
      <c r="F6" t="s">
        <v>2544</v>
      </c>
      <c r="G6" t="s">
        <v>4709</v>
      </c>
      <c r="H6" s="74">
        <v>32931</v>
      </c>
      <c r="I6" s="68" t="s">
        <v>2831</v>
      </c>
      <c r="J6" s="68" t="s">
        <v>4710</v>
      </c>
      <c r="K6" s="68" t="s">
        <v>2592</v>
      </c>
      <c r="L6" t="s">
        <v>1749</v>
      </c>
      <c r="M6" t="s">
        <v>3375</v>
      </c>
      <c r="N6" t="s">
        <v>1647</v>
      </c>
      <c r="O6" t="s">
        <v>1949</v>
      </c>
      <c r="R6" t="s">
        <v>4711</v>
      </c>
    </row>
    <row r="7" spans="1:18" x14ac:dyDescent="0.25">
      <c r="A7" t="s">
        <v>1253</v>
      </c>
      <c r="B7" t="s">
        <v>1608</v>
      </c>
      <c r="C7" t="s">
        <v>3431</v>
      </c>
      <c r="D7" t="s">
        <v>4806</v>
      </c>
      <c r="E7" t="s">
        <v>2651</v>
      </c>
      <c r="F7" t="s">
        <v>2584</v>
      </c>
      <c r="G7" t="s">
        <v>4807</v>
      </c>
      <c r="H7" s="74">
        <v>32777</v>
      </c>
      <c r="I7" s="68" t="s">
        <v>2703</v>
      </c>
      <c r="J7" s="68" t="s">
        <v>4710</v>
      </c>
      <c r="K7" s="68" t="s">
        <v>2657</v>
      </c>
      <c r="L7" t="s">
        <v>1710</v>
      </c>
      <c r="M7" t="s">
        <v>2588</v>
      </c>
      <c r="N7" t="s">
        <v>1647</v>
      </c>
      <c r="O7" t="s">
        <v>1949</v>
      </c>
      <c r="R7" t="s">
        <v>4808</v>
      </c>
    </row>
    <row r="8" spans="1:18" x14ac:dyDescent="0.25">
      <c r="A8" t="s">
        <v>1211</v>
      </c>
      <c r="B8" t="s">
        <v>1599</v>
      </c>
      <c r="C8" t="s">
        <v>3330</v>
      </c>
      <c r="D8" t="s">
        <v>3331</v>
      </c>
      <c r="E8" t="s">
        <v>2547</v>
      </c>
      <c r="F8" t="s">
        <v>2560</v>
      </c>
      <c r="G8" t="s">
        <v>3332</v>
      </c>
      <c r="H8" s="74">
        <v>30395</v>
      </c>
      <c r="I8" s="68" t="s">
        <v>3333</v>
      </c>
      <c r="J8" s="68" t="s">
        <v>3334</v>
      </c>
      <c r="K8" s="68" t="s">
        <v>2548</v>
      </c>
      <c r="L8" t="s">
        <v>1804</v>
      </c>
      <c r="M8" t="s">
        <v>3335</v>
      </c>
      <c r="N8" t="s">
        <v>1647</v>
      </c>
      <c r="O8" t="s">
        <v>1949</v>
      </c>
      <c r="R8" t="s">
        <v>3336</v>
      </c>
    </row>
    <row r="9" spans="1:18" x14ac:dyDescent="0.25">
      <c r="A9" t="s">
        <v>1292</v>
      </c>
      <c r="B9" t="s">
        <v>1601</v>
      </c>
      <c r="C9" t="s">
        <v>3005</v>
      </c>
      <c r="D9" t="s">
        <v>5304</v>
      </c>
      <c r="E9" t="s">
        <v>2646</v>
      </c>
      <c r="F9" t="s">
        <v>2636</v>
      </c>
      <c r="G9" t="s">
        <v>5305</v>
      </c>
      <c r="H9" s="74">
        <v>33363</v>
      </c>
      <c r="I9" s="68" t="s">
        <v>2970</v>
      </c>
      <c r="J9" s="68" t="s">
        <v>3334</v>
      </c>
      <c r="K9" s="68" t="s">
        <v>2633</v>
      </c>
      <c r="L9" t="s">
        <v>1704</v>
      </c>
      <c r="M9" t="s">
        <v>3815</v>
      </c>
      <c r="N9" t="s">
        <v>1648</v>
      </c>
      <c r="O9" t="s">
        <v>1949</v>
      </c>
      <c r="R9" t="s">
        <v>5306</v>
      </c>
    </row>
    <row r="10" spans="1:18" x14ac:dyDescent="0.25">
      <c r="A10" t="s">
        <v>1153</v>
      </c>
      <c r="B10" t="s">
        <v>1603</v>
      </c>
      <c r="C10" t="s">
        <v>3776</v>
      </c>
      <c r="D10" t="s">
        <v>4491</v>
      </c>
      <c r="E10" t="s">
        <v>2679</v>
      </c>
      <c r="F10" t="s">
        <v>2544</v>
      </c>
      <c r="G10" t="s">
        <v>4492</v>
      </c>
      <c r="H10" s="74">
        <v>32941</v>
      </c>
      <c r="I10" s="68" t="s">
        <v>2831</v>
      </c>
      <c r="J10" s="68" t="s">
        <v>4493</v>
      </c>
      <c r="K10" s="68" t="s">
        <v>2587</v>
      </c>
      <c r="L10" t="s">
        <v>1662</v>
      </c>
      <c r="M10" t="s">
        <v>3786</v>
      </c>
      <c r="N10" t="s">
        <v>43</v>
      </c>
      <c r="O10" t="s">
        <v>1949</v>
      </c>
      <c r="R10" t="s">
        <v>4494</v>
      </c>
    </row>
    <row r="11" spans="1:18" x14ac:dyDescent="0.25">
      <c r="A11" t="s">
        <v>1157</v>
      </c>
      <c r="B11" t="s">
        <v>1604</v>
      </c>
      <c r="C11" t="s">
        <v>3391</v>
      </c>
      <c r="D11" t="s">
        <v>4774</v>
      </c>
      <c r="E11" t="s">
        <v>2776</v>
      </c>
      <c r="F11" t="s">
        <v>2584</v>
      </c>
      <c r="G11" t="s">
        <v>4775</v>
      </c>
      <c r="H11" s="74">
        <v>32902</v>
      </c>
      <c r="I11" s="68" t="s">
        <v>2831</v>
      </c>
      <c r="J11" s="68" t="s">
        <v>4493</v>
      </c>
      <c r="K11" s="68" t="s">
        <v>2651</v>
      </c>
      <c r="L11" t="s">
        <v>1690</v>
      </c>
      <c r="M11" t="s">
        <v>2976</v>
      </c>
      <c r="N11" t="s">
        <v>1647</v>
      </c>
      <c r="O11" t="s">
        <v>1949</v>
      </c>
      <c r="R11" t="s">
        <v>4776</v>
      </c>
    </row>
    <row r="12" spans="1:18" x14ac:dyDescent="0.25">
      <c r="A12" t="s">
        <v>1124</v>
      </c>
      <c r="B12" t="s">
        <v>1586</v>
      </c>
      <c r="C12" t="s">
        <v>2541</v>
      </c>
      <c r="D12" t="s">
        <v>4923</v>
      </c>
      <c r="E12" t="s">
        <v>2657</v>
      </c>
      <c r="F12" t="s">
        <v>2584</v>
      </c>
      <c r="G12" t="s">
        <v>4924</v>
      </c>
      <c r="H12" s="74">
        <v>33417</v>
      </c>
      <c r="I12" s="68" t="s">
        <v>2970</v>
      </c>
      <c r="J12" s="68" t="s">
        <v>4493</v>
      </c>
      <c r="K12" s="68" t="s">
        <v>2599</v>
      </c>
      <c r="L12" t="s">
        <v>1655</v>
      </c>
      <c r="M12" t="s">
        <v>3607</v>
      </c>
      <c r="N12" t="s">
        <v>1648</v>
      </c>
      <c r="O12" t="s">
        <v>1949</v>
      </c>
      <c r="R12" t="s">
        <v>4925</v>
      </c>
    </row>
    <row r="13" spans="1:18" x14ac:dyDescent="0.25">
      <c r="A13" t="s">
        <v>1201</v>
      </c>
      <c r="B13" t="s">
        <v>1598</v>
      </c>
      <c r="C13" t="s">
        <v>2932</v>
      </c>
      <c r="D13" t="s">
        <v>5226</v>
      </c>
      <c r="E13" t="s">
        <v>2776</v>
      </c>
      <c r="F13" t="s">
        <v>2636</v>
      </c>
      <c r="G13" t="s">
        <v>5227</v>
      </c>
      <c r="H13" s="74">
        <v>32966</v>
      </c>
      <c r="I13" s="68" t="s">
        <v>2831</v>
      </c>
      <c r="J13" s="68" t="s">
        <v>4493</v>
      </c>
      <c r="K13" s="68" t="s">
        <v>2633</v>
      </c>
      <c r="L13" t="s">
        <v>1900</v>
      </c>
      <c r="M13" t="s">
        <v>5228</v>
      </c>
      <c r="N13" t="s">
        <v>1648</v>
      </c>
      <c r="O13" t="s">
        <v>1949</v>
      </c>
      <c r="R13" t="s">
        <v>5229</v>
      </c>
    </row>
    <row r="14" spans="1:18" x14ac:dyDescent="0.25">
      <c r="A14" t="s">
        <v>1178</v>
      </c>
      <c r="B14" t="s">
        <v>1584</v>
      </c>
      <c r="C14" t="s">
        <v>3558</v>
      </c>
      <c r="D14" t="s">
        <v>4284</v>
      </c>
      <c r="E14" t="s">
        <v>2554</v>
      </c>
      <c r="F14" t="s">
        <v>2544</v>
      </c>
      <c r="G14" t="s">
        <v>4285</v>
      </c>
      <c r="H14" s="74">
        <v>32185</v>
      </c>
      <c r="I14" s="68" t="s">
        <v>2568</v>
      </c>
      <c r="J14" s="68" t="s">
        <v>4286</v>
      </c>
      <c r="K14" s="68" t="s">
        <v>2543</v>
      </c>
      <c r="L14" t="s">
        <v>1679</v>
      </c>
      <c r="M14" t="s">
        <v>3583</v>
      </c>
      <c r="N14" t="s">
        <v>1646</v>
      </c>
      <c r="O14" t="s">
        <v>1950</v>
      </c>
      <c r="R14" t="s">
        <v>4287</v>
      </c>
    </row>
    <row r="15" spans="1:18" x14ac:dyDescent="0.25">
      <c r="A15" t="s">
        <v>1256</v>
      </c>
      <c r="B15" t="s">
        <v>1588</v>
      </c>
      <c r="C15" t="s">
        <v>2640</v>
      </c>
      <c r="D15" t="s">
        <v>5018</v>
      </c>
      <c r="E15" t="s">
        <v>2776</v>
      </c>
      <c r="F15" t="s">
        <v>2636</v>
      </c>
      <c r="G15" t="s">
        <v>5019</v>
      </c>
      <c r="H15" s="74">
        <v>33625</v>
      </c>
      <c r="I15" s="68" t="s">
        <v>2562</v>
      </c>
      <c r="J15" s="68" t="s">
        <v>4270</v>
      </c>
      <c r="K15" s="68" t="s">
        <v>2703</v>
      </c>
      <c r="L15" t="s">
        <v>1673</v>
      </c>
      <c r="M15" t="s">
        <v>2983</v>
      </c>
      <c r="N15" t="s">
        <v>1648</v>
      </c>
      <c r="O15" t="s">
        <v>1949</v>
      </c>
      <c r="R15" t="s">
        <v>5020</v>
      </c>
    </row>
    <row r="16" spans="1:18" x14ac:dyDescent="0.25">
      <c r="A16" t="s">
        <v>1164</v>
      </c>
      <c r="B16" t="s">
        <v>1609</v>
      </c>
      <c r="C16" t="s">
        <v>3081</v>
      </c>
      <c r="D16" t="s">
        <v>5362</v>
      </c>
      <c r="E16" t="s">
        <v>2776</v>
      </c>
      <c r="F16" t="s">
        <v>2636</v>
      </c>
      <c r="G16" t="s">
        <v>5363</v>
      </c>
      <c r="H16" s="74">
        <v>32467</v>
      </c>
      <c r="I16" s="68" t="s">
        <v>2568</v>
      </c>
      <c r="J16" s="68" t="s">
        <v>4270</v>
      </c>
      <c r="K16" s="68" t="s">
        <v>2670</v>
      </c>
      <c r="L16" t="s">
        <v>1662</v>
      </c>
      <c r="M16" t="s">
        <v>3786</v>
      </c>
      <c r="N16" t="s">
        <v>1648</v>
      </c>
      <c r="O16" t="s">
        <v>1949</v>
      </c>
      <c r="R16" t="s">
        <v>5364</v>
      </c>
    </row>
    <row r="17" spans="1:18" x14ac:dyDescent="0.25">
      <c r="A17" t="s">
        <v>1183</v>
      </c>
      <c r="B17" t="s">
        <v>1593</v>
      </c>
      <c r="C17" t="s">
        <v>2789</v>
      </c>
      <c r="D17" t="s">
        <v>2821</v>
      </c>
      <c r="E17" t="s">
        <v>2614</v>
      </c>
      <c r="F17" t="s">
        <v>2584</v>
      </c>
      <c r="G17" t="s">
        <v>2822</v>
      </c>
      <c r="H17" s="74">
        <v>37423</v>
      </c>
      <c r="I17" s="68" t="s">
        <v>2670</v>
      </c>
      <c r="J17" s="68" t="s">
        <v>2646</v>
      </c>
      <c r="K17" s="68" t="s">
        <v>2548</v>
      </c>
      <c r="L17" t="s">
        <v>1669</v>
      </c>
      <c r="M17" t="s">
        <v>2823</v>
      </c>
      <c r="N17" t="s">
        <v>1648</v>
      </c>
      <c r="O17" t="s">
        <v>1949</v>
      </c>
      <c r="R17" t="s">
        <v>2824</v>
      </c>
    </row>
    <row r="18" spans="1:18" x14ac:dyDescent="0.25">
      <c r="A18" t="s">
        <v>1292</v>
      </c>
      <c r="B18" t="s">
        <v>1601</v>
      </c>
      <c r="C18" t="s">
        <v>3005</v>
      </c>
      <c r="D18" t="s">
        <v>3015</v>
      </c>
      <c r="E18" t="s">
        <v>2546</v>
      </c>
      <c r="F18" t="s">
        <v>2584</v>
      </c>
      <c r="G18" t="s">
        <v>3016</v>
      </c>
      <c r="H18" s="74">
        <v>35079</v>
      </c>
      <c r="I18" s="68" t="s">
        <v>2552</v>
      </c>
      <c r="J18" s="68" t="s">
        <v>2646</v>
      </c>
      <c r="K18" s="68" t="s">
        <v>2548</v>
      </c>
      <c r="L18" t="s">
        <v>1741</v>
      </c>
      <c r="M18" t="s">
        <v>3013</v>
      </c>
      <c r="N18" t="s">
        <v>1648</v>
      </c>
      <c r="O18" t="s">
        <v>1949</v>
      </c>
      <c r="R18" t="s">
        <v>3017</v>
      </c>
    </row>
    <row r="19" spans="1:18" x14ac:dyDescent="0.25">
      <c r="A19" t="s">
        <v>1164</v>
      </c>
      <c r="B19" t="s">
        <v>1609</v>
      </c>
      <c r="C19" t="s">
        <v>3081</v>
      </c>
      <c r="D19" t="s">
        <v>3119</v>
      </c>
      <c r="E19" t="s">
        <v>2554</v>
      </c>
      <c r="F19" t="s">
        <v>2584</v>
      </c>
      <c r="G19" t="s">
        <v>3120</v>
      </c>
      <c r="H19" s="74">
        <v>35871</v>
      </c>
      <c r="I19" s="68" t="s">
        <v>2546</v>
      </c>
      <c r="J19" s="68" t="s">
        <v>2646</v>
      </c>
      <c r="K19" s="68" t="s">
        <v>2548</v>
      </c>
      <c r="L19" t="s">
        <v>1768</v>
      </c>
      <c r="M19" t="s">
        <v>3121</v>
      </c>
      <c r="N19" t="s">
        <v>1648</v>
      </c>
      <c r="O19" t="s">
        <v>1949</v>
      </c>
      <c r="R19" t="s">
        <v>3122</v>
      </c>
    </row>
    <row r="20" spans="1:18" x14ac:dyDescent="0.25">
      <c r="A20" t="s">
        <v>1186</v>
      </c>
      <c r="B20" t="s">
        <v>1613</v>
      </c>
      <c r="C20" t="s">
        <v>3156</v>
      </c>
      <c r="D20" t="s">
        <v>3198</v>
      </c>
      <c r="E20" t="s">
        <v>2559</v>
      </c>
      <c r="F20" t="s">
        <v>2544</v>
      </c>
      <c r="G20" t="s">
        <v>3199</v>
      </c>
      <c r="H20" s="74">
        <v>34052</v>
      </c>
      <c r="I20" s="68" t="s">
        <v>2633</v>
      </c>
      <c r="J20" s="68" t="s">
        <v>2646</v>
      </c>
      <c r="K20" s="68" t="s">
        <v>2548</v>
      </c>
      <c r="L20" t="s">
        <v>1712</v>
      </c>
      <c r="M20" t="s">
        <v>3200</v>
      </c>
      <c r="N20" t="s">
        <v>1648</v>
      </c>
      <c r="O20" t="s">
        <v>1949</v>
      </c>
      <c r="R20" t="s">
        <v>3201</v>
      </c>
    </row>
    <row r="21" spans="1:18" x14ac:dyDescent="0.25">
      <c r="A21" t="s">
        <v>1157</v>
      </c>
      <c r="B21" t="s">
        <v>1604</v>
      </c>
      <c r="C21" t="s">
        <v>3391</v>
      </c>
      <c r="D21" t="s">
        <v>4163</v>
      </c>
      <c r="E21" t="s">
        <v>2608</v>
      </c>
      <c r="F21" t="s">
        <v>2584</v>
      </c>
      <c r="G21" t="s">
        <v>4164</v>
      </c>
      <c r="H21" s="74">
        <v>34866</v>
      </c>
      <c r="I21" s="68" t="s">
        <v>2653</v>
      </c>
      <c r="J21" s="68" t="s">
        <v>2646</v>
      </c>
      <c r="K21" s="68" t="s">
        <v>2547</v>
      </c>
      <c r="L21" t="s">
        <v>1689</v>
      </c>
      <c r="M21" t="s">
        <v>4063</v>
      </c>
      <c r="N21" t="s">
        <v>1647</v>
      </c>
      <c r="O21" t="s">
        <v>1949</v>
      </c>
      <c r="R21" t="s">
        <v>4165</v>
      </c>
    </row>
    <row r="22" spans="1:18" x14ac:dyDescent="0.25">
      <c r="A22" t="s">
        <v>1158</v>
      </c>
      <c r="B22" t="s">
        <v>1605</v>
      </c>
      <c r="C22" t="s">
        <v>3809</v>
      </c>
      <c r="D22" t="s">
        <v>4175</v>
      </c>
      <c r="E22" t="s">
        <v>2627</v>
      </c>
      <c r="F22" t="s">
        <v>2584</v>
      </c>
      <c r="G22" t="s">
        <v>4176</v>
      </c>
      <c r="H22" s="74">
        <v>36034</v>
      </c>
      <c r="I22" s="68" t="s">
        <v>2546</v>
      </c>
      <c r="J22" s="68" t="s">
        <v>2646</v>
      </c>
      <c r="K22" s="68" t="s">
        <v>2547</v>
      </c>
      <c r="L22" t="s">
        <v>1704</v>
      </c>
      <c r="M22" t="s">
        <v>3815</v>
      </c>
      <c r="N22" t="s">
        <v>43</v>
      </c>
      <c r="O22" t="s">
        <v>1949</v>
      </c>
      <c r="R22" t="s">
        <v>4177</v>
      </c>
    </row>
    <row r="23" spans="1:18" x14ac:dyDescent="0.25">
      <c r="A23" t="s">
        <v>1153</v>
      </c>
      <c r="B23" t="s">
        <v>1603</v>
      </c>
      <c r="C23" t="s">
        <v>3776</v>
      </c>
      <c r="D23" t="s">
        <v>4529</v>
      </c>
      <c r="E23" t="s">
        <v>2608</v>
      </c>
      <c r="F23" t="s">
        <v>2636</v>
      </c>
      <c r="G23" t="s">
        <v>4530</v>
      </c>
      <c r="H23" s="74">
        <v>36287</v>
      </c>
      <c r="I23" s="68" t="s">
        <v>2627</v>
      </c>
      <c r="J23" s="68" t="s">
        <v>2646</v>
      </c>
      <c r="K23" s="68" t="s">
        <v>2555</v>
      </c>
      <c r="L23" t="s">
        <v>1716</v>
      </c>
      <c r="M23" t="s">
        <v>3790</v>
      </c>
      <c r="N23" t="s">
        <v>43</v>
      </c>
      <c r="O23" t="s">
        <v>1949</v>
      </c>
      <c r="R23" t="s">
        <v>4531</v>
      </c>
    </row>
    <row r="24" spans="1:18" x14ac:dyDescent="0.25">
      <c r="A24" t="s">
        <v>1211</v>
      </c>
      <c r="B24" t="s">
        <v>1599</v>
      </c>
      <c r="C24" t="s">
        <v>3330</v>
      </c>
      <c r="D24" t="s">
        <v>4678</v>
      </c>
      <c r="E24" t="s">
        <v>2646</v>
      </c>
      <c r="F24" t="s">
        <v>2584</v>
      </c>
      <c r="G24" t="s">
        <v>4679</v>
      </c>
      <c r="H24" s="74">
        <v>35570</v>
      </c>
      <c r="I24" s="68" t="s">
        <v>2599</v>
      </c>
      <c r="J24" s="68" t="s">
        <v>2646</v>
      </c>
      <c r="K24" s="68" t="s">
        <v>2651</v>
      </c>
      <c r="L24" t="s">
        <v>1669</v>
      </c>
      <c r="M24" t="s">
        <v>2823</v>
      </c>
      <c r="N24" t="s">
        <v>1647</v>
      </c>
      <c r="O24" t="s">
        <v>1949</v>
      </c>
      <c r="R24" t="s">
        <v>4680</v>
      </c>
    </row>
    <row r="25" spans="1:18" x14ac:dyDescent="0.25">
      <c r="A25" t="s">
        <v>1212</v>
      </c>
      <c r="B25" t="s">
        <v>1600</v>
      </c>
      <c r="C25" t="s">
        <v>3357</v>
      </c>
      <c r="D25" t="s">
        <v>4722</v>
      </c>
      <c r="E25" t="s">
        <v>2599</v>
      </c>
      <c r="F25" t="s">
        <v>2584</v>
      </c>
      <c r="G25" t="s">
        <v>4723</v>
      </c>
      <c r="H25" s="74">
        <v>36423</v>
      </c>
      <c r="I25" s="68" t="s">
        <v>2627</v>
      </c>
      <c r="J25" s="68" t="s">
        <v>2646</v>
      </c>
      <c r="K25" s="68" t="s">
        <v>2587</v>
      </c>
      <c r="L25" t="s">
        <v>1700</v>
      </c>
      <c r="M25" t="s">
        <v>2870</v>
      </c>
      <c r="N25" t="s">
        <v>1647</v>
      </c>
      <c r="O25" t="s">
        <v>1949</v>
      </c>
      <c r="R25" t="s">
        <v>4724</v>
      </c>
    </row>
    <row r="26" spans="1:18" x14ac:dyDescent="0.25">
      <c r="A26" t="s">
        <v>1169</v>
      </c>
      <c r="B26" t="s">
        <v>1611</v>
      </c>
      <c r="C26" t="s">
        <v>3492</v>
      </c>
      <c r="D26" t="s">
        <v>4819</v>
      </c>
      <c r="E26" t="s">
        <v>2554</v>
      </c>
      <c r="F26" t="s">
        <v>2636</v>
      </c>
      <c r="G26" t="s">
        <v>4820</v>
      </c>
      <c r="H26" s="74">
        <v>36670</v>
      </c>
      <c r="I26" s="68" t="s">
        <v>2579</v>
      </c>
      <c r="J26" s="68" t="s">
        <v>2646</v>
      </c>
      <c r="K26" s="68" t="s">
        <v>2587</v>
      </c>
      <c r="L26" t="s">
        <v>1717</v>
      </c>
      <c r="M26" t="s">
        <v>3512</v>
      </c>
      <c r="N26" t="s">
        <v>1647</v>
      </c>
      <c r="O26" t="s">
        <v>1949</v>
      </c>
      <c r="R26" t="s">
        <v>4821</v>
      </c>
    </row>
    <row r="27" spans="1:18" x14ac:dyDescent="0.25">
      <c r="A27" t="s">
        <v>1294</v>
      </c>
      <c r="B27" t="s">
        <v>1590</v>
      </c>
      <c r="C27" t="s">
        <v>2717</v>
      </c>
      <c r="D27" t="s">
        <v>5036</v>
      </c>
      <c r="E27" t="s">
        <v>2657</v>
      </c>
      <c r="F27" t="s">
        <v>2636</v>
      </c>
      <c r="G27" t="s">
        <v>5037</v>
      </c>
      <c r="H27" s="74">
        <v>36554</v>
      </c>
      <c r="I27" s="68" t="s">
        <v>2579</v>
      </c>
      <c r="J27" s="68" t="s">
        <v>2646</v>
      </c>
      <c r="K27" s="68" t="s">
        <v>2587</v>
      </c>
      <c r="L27" t="s">
        <v>1684</v>
      </c>
      <c r="M27" t="s">
        <v>2725</v>
      </c>
      <c r="N27" t="s">
        <v>1648</v>
      </c>
      <c r="O27" t="s">
        <v>1949</v>
      </c>
      <c r="R27" t="s">
        <v>5038</v>
      </c>
    </row>
    <row r="28" spans="1:18" x14ac:dyDescent="0.25">
      <c r="A28" t="s">
        <v>1169</v>
      </c>
      <c r="B28" t="s">
        <v>1611</v>
      </c>
      <c r="C28" t="s">
        <v>3492</v>
      </c>
      <c r="D28" t="s">
        <v>4853</v>
      </c>
      <c r="E28" t="s">
        <v>2646</v>
      </c>
      <c r="F28" t="s">
        <v>2636</v>
      </c>
      <c r="G28" t="s">
        <v>4854</v>
      </c>
      <c r="H28" s="74">
        <v>33656</v>
      </c>
      <c r="I28" s="68" t="s">
        <v>2562</v>
      </c>
      <c r="J28" s="68" t="s">
        <v>4855</v>
      </c>
      <c r="K28" s="68" t="s">
        <v>2599</v>
      </c>
      <c r="L28" t="s">
        <v>1692</v>
      </c>
      <c r="M28" t="s">
        <v>2772</v>
      </c>
      <c r="N28" t="s">
        <v>1647</v>
      </c>
      <c r="O28" t="s">
        <v>1949</v>
      </c>
      <c r="R28" t="s">
        <v>4856</v>
      </c>
    </row>
    <row r="29" spans="1:18" x14ac:dyDescent="0.25">
      <c r="A29" t="s">
        <v>1230</v>
      </c>
      <c r="B29" t="s">
        <v>1606</v>
      </c>
      <c r="C29" t="s">
        <v>3035</v>
      </c>
      <c r="D29" t="s">
        <v>5336</v>
      </c>
      <c r="E29" t="s">
        <v>2681</v>
      </c>
      <c r="F29" t="s">
        <v>2636</v>
      </c>
      <c r="G29" t="s">
        <v>5337</v>
      </c>
      <c r="H29" s="74">
        <v>35387</v>
      </c>
      <c r="I29" s="68" t="s">
        <v>2552</v>
      </c>
      <c r="J29" s="68" t="s">
        <v>4855</v>
      </c>
      <c r="K29" s="68" t="s">
        <v>2552</v>
      </c>
      <c r="L29" t="s">
        <v>1656</v>
      </c>
      <c r="M29" t="s">
        <v>3042</v>
      </c>
      <c r="N29" t="s">
        <v>1648</v>
      </c>
      <c r="O29" t="s">
        <v>1949</v>
      </c>
      <c r="R29" t="s">
        <v>5338</v>
      </c>
    </row>
    <row r="30" spans="1:18" x14ac:dyDescent="0.25">
      <c r="A30" t="s">
        <v>1239</v>
      </c>
      <c r="B30" t="s">
        <v>1612</v>
      </c>
      <c r="C30" t="s">
        <v>3123</v>
      </c>
      <c r="D30" t="s">
        <v>5409</v>
      </c>
      <c r="E30" t="s">
        <v>2657</v>
      </c>
      <c r="F30" t="s">
        <v>2636</v>
      </c>
      <c r="G30" t="s">
        <v>5410</v>
      </c>
      <c r="H30" s="74">
        <v>33174</v>
      </c>
      <c r="I30" s="68" t="s">
        <v>2831</v>
      </c>
      <c r="J30" s="68" t="s">
        <v>5411</v>
      </c>
      <c r="K30" s="68" t="s">
        <v>2679</v>
      </c>
      <c r="L30" t="s">
        <v>1758</v>
      </c>
      <c r="M30" t="s">
        <v>3070</v>
      </c>
      <c r="N30" t="s">
        <v>1648</v>
      </c>
      <c r="O30" t="s">
        <v>1949</v>
      </c>
      <c r="R30" t="s">
        <v>5412</v>
      </c>
    </row>
    <row r="31" spans="1:18" x14ac:dyDescent="0.25">
      <c r="A31" t="s">
        <v>1135</v>
      </c>
      <c r="B31" t="s">
        <v>1595</v>
      </c>
      <c r="C31" t="s">
        <v>3694</v>
      </c>
      <c r="D31" t="s">
        <v>4438</v>
      </c>
      <c r="E31" t="s">
        <v>2543</v>
      </c>
      <c r="F31" t="s">
        <v>2544</v>
      </c>
      <c r="G31" t="s">
        <v>4439</v>
      </c>
      <c r="H31" s="74">
        <v>34084</v>
      </c>
      <c r="I31" s="68" t="s">
        <v>2633</v>
      </c>
      <c r="J31" s="68" t="s">
        <v>4440</v>
      </c>
      <c r="K31" s="68" t="s">
        <v>2651</v>
      </c>
      <c r="L31" t="s">
        <v>1657</v>
      </c>
      <c r="M31" t="s">
        <v>3204</v>
      </c>
      <c r="N31" t="s">
        <v>1617</v>
      </c>
      <c r="O31" t="s">
        <v>1950</v>
      </c>
      <c r="R31" t="s">
        <v>4441</v>
      </c>
    </row>
    <row r="32" spans="1:18" x14ac:dyDescent="0.25">
      <c r="A32" t="s">
        <v>1167</v>
      </c>
      <c r="B32" t="s">
        <v>1610</v>
      </c>
      <c r="C32" t="s">
        <v>3301</v>
      </c>
      <c r="D32" t="s">
        <v>4625</v>
      </c>
      <c r="E32" t="s">
        <v>2583</v>
      </c>
      <c r="F32" t="s">
        <v>2544</v>
      </c>
      <c r="G32" t="s">
        <v>4626</v>
      </c>
      <c r="H32" s="74">
        <v>32588</v>
      </c>
      <c r="I32" s="68" t="s">
        <v>2703</v>
      </c>
      <c r="J32" s="68" t="s">
        <v>4440</v>
      </c>
      <c r="K32" s="68" t="s">
        <v>2646</v>
      </c>
      <c r="L32" t="s">
        <v>1653</v>
      </c>
      <c r="M32" t="s">
        <v>2874</v>
      </c>
      <c r="N32" t="s">
        <v>1647</v>
      </c>
      <c r="O32" t="s">
        <v>1949</v>
      </c>
      <c r="R32" t="s">
        <v>4627</v>
      </c>
    </row>
    <row r="33" spans="1:18" x14ac:dyDescent="0.25">
      <c r="A33" t="s">
        <v>1157</v>
      </c>
      <c r="B33" t="s">
        <v>1604</v>
      </c>
      <c r="C33" t="s">
        <v>3391</v>
      </c>
      <c r="D33" t="s">
        <v>4781</v>
      </c>
      <c r="E33" t="s">
        <v>2681</v>
      </c>
      <c r="F33" t="s">
        <v>2584</v>
      </c>
      <c r="G33" t="s">
        <v>4782</v>
      </c>
      <c r="H33" s="74">
        <v>32302</v>
      </c>
      <c r="I33" s="68" t="s">
        <v>2568</v>
      </c>
      <c r="J33" s="68" t="s">
        <v>4440</v>
      </c>
      <c r="K33" s="68" t="s">
        <v>2679</v>
      </c>
      <c r="L33" t="s">
        <v>1908</v>
      </c>
      <c r="M33" t="s">
        <v>4783</v>
      </c>
      <c r="N33" t="s">
        <v>1647</v>
      </c>
      <c r="O33" t="s">
        <v>1949</v>
      </c>
      <c r="R33" t="s">
        <v>4784</v>
      </c>
    </row>
    <row r="34" spans="1:18" x14ac:dyDescent="0.25">
      <c r="A34" t="s">
        <v>1130</v>
      </c>
      <c r="B34" t="s">
        <v>1592</v>
      </c>
      <c r="C34" t="s">
        <v>2761</v>
      </c>
      <c r="D34" t="s">
        <v>2779</v>
      </c>
      <c r="E34" t="s">
        <v>2547</v>
      </c>
      <c r="F34" t="s">
        <v>2560</v>
      </c>
      <c r="G34" t="s">
        <v>2780</v>
      </c>
      <c r="H34" s="74">
        <v>31721</v>
      </c>
      <c r="I34" s="68" t="s">
        <v>2781</v>
      </c>
      <c r="J34" s="68" t="s">
        <v>2782</v>
      </c>
      <c r="K34" s="68" t="s">
        <v>2548</v>
      </c>
      <c r="L34" t="s">
        <v>1794</v>
      </c>
      <c r="M34" t="s">
        <v>2783</v>
      </c>
      <c r="N34" t="s">
        <v>1648</v>
      </c>
      <c r="O34" t="s">
        <v>1949</v>
      </c>
      <c r="R34" t="s">
        <v>2784</v>
      </c>
    </row>
    <row r="35" spans="1:18" x14ac:dyDescent="0.25">
      <c r="A35" t="s">
        <v>1230</v>
      </c>
      <c r="B35" t="s">
        <v>1606</v>
      </c>
      <c r="C35" t="s">
        <v>3035</v>
      </c>
      <c r="D35" t="s">
        <v>5316</v>
      </c>
      <c r="E35" t="s">
        <v>2554</v>
      </c>
      <c r="F35" t="s">
        <v>2636</v>
      </c>
      <c r="G35" t="s">
        <v>5317</v>
      </c>
      <c r="H35" s="74">
        <v>35296</v>
      </c>
      <c r="I35" s="68" t="s">
        <v>2552</v>
      </c>
      <c r="J35" s="68" t="s">
        <v>5318</v>
      </c>
      <c r="K35" s="68" t="s">
        <v>2971</v>
      </c>
      <c r="L35" t="s">
        <v>1672</v>
      </c>
      <c r="M35" t="s">
        <v>3079</v>
      </c>
      <c r="N35" t="s">
        <v>1648</v>
      </c>
      <c r="O35" t="s">
        <v>1949</v>
      </c>
      <c r="R35" t="s">
        <v>5319</v>
      </c>
    </row>
    <row r="36" spans="1:18" x14ac:dyDescent="0.25">
      <c r="A36" t="s">
        <v>1127</v>
      </c>
      <c r="B36" t="s">
        <v>1591</v>
      </c>
      <c r="C36" t="s">
        <v>3633</v>
      </c>
      <c r="D36" t="s">
        <v>4384</v>
      </c>
      <c r="E36" t="s">
        <v>2608</v>
      </c>
      <c r="F36" t="s">
        <v>2584</v>
      </c>
      <c r="G36" t="s">
        <v>4385</v>
      </c>
      <c r="H36" s="74">
        <v>34460</v>
      </c>
      <c r="I36" s="68" t="s">
        <v>2594</v>
      </c>
      <c r="J36" s="68" t="s">
        <v>4386</v>
      </c>
      <c r="K36" s="68" t="s">
        <v>2555</v>
      </c>
      <c r="L36" t="s">
        <v>1661</v>
      </c>
      <c r="M36" t="s">
        <v>3445</v>
      </c>
      <c r="N36" t="s">
        <v>1627</v>
      </c>
      <c r="O36" t="s">
        <v>1950</v>
      </c>
      <c r="R36" t="s">
        <v>4387</v>
      </c>
    </row>
    <row r="37" spans="1:18" x14ac:dyDescent="0.25">
      <c r="A37" t="s">
        <v>1244</v>
      </c>
      <c r="B37" t="s">
        <v>1597</v>
      </c>
      <c r="C37" t="s">
        <v>2876</v>
      </c>
      <c r="D37" t="s">
        <v>5188</v>
      </c>
      <c r="E37" t="s">
        <v>2646</v>
      </c>
      <c r="F37" t="s">
        <v>2636</v>
      </c>
      <c r="G37" t="s">
        <v>5189</v>
      </c>
      <c r="H37" s="74">
        <v>33492</v>
      </c>
      <c r="I37" s="68" t="s">
        <v>2970</v>
      </c>
      <c r="J37" s="68" t="s">
        <v>4386</v>
      </c>
      <c r="K37" s="68" t="s">
        <v>2554</v>
      </c>
      <c r="L37" t="s">
        <v>1775</v>
      </c>
      <c r="M37" t="s">
        <v>2764</v>
      </c>
      <c r="N37" t="s">
        <v>1648</v>
      </c>
      <c r="O37" t="s">
        <v>1949</v>
      </c>
      <c r="R37" t="s">
        <v>5190</v>
      </c>
    </row>
    <row r="38" spans="1:18" x14ac:dyDescent="0.25">
      <c r="A38" t="s">
        <v>1253</v>
      </c>
      <c r="B38" t="s">
        <v>1608</v>
      </c>
      <c r="C38" t="s">
        <v>3431</v>
      </c>
      <c r="D38" t="s">
        <v>4812</v>
      </c>
      <c r="E38" t="s">
        <v>2608</v>
      </c>
      <c r="F38" t="s">
        <v>2544</v>
      </c>
      <c r="G38" t="s">
        <v>4813</v>
      </c>
      <c r="H38" s="74">
        <v>32863</v>
      </c>
      <c r="I38" s="68" t="s">
        <v>2831</v>
      </c>
      <c r="J38" s="68" t="s">
        <v>4814</v>
      </c>
      <c r="K38" s="68" t="s">
        <v>2543</v>
      </c>
      <c r="L38" t="s">
        <v>1698</v>
      </c>
      <c r="M38" t="s">
        <v>3252</v>
      </c>
      <c r="N38" t="s">
        <v>1647</v>
      </c>
      <c r="O38" t="s">
        <v>1949</v>
      </c>
      <c r="R38" t="s">
        <v>4815</v>
      </c>
    </row>
    <row r="39" spans="1:18" x14ac:dyDescent="0.25">
      <c r="A39" t="s">
        <v>1239</v>
      </c>
      <c r="B39" t="s">
        <v>1612</v>
      </c>
      <c r="C39" t="s">
        <v>3123</v>
      </c>
      <c r="D39" t="s">
        <v>5416</v>
      </c>
      <c r="E39" t="s">
        <v>2566</v>
      </c>
      <c r="F39" t="s">
        <v>2544</v>
      </c>
      <c r="G39" t="s">
        <v>5417</v>
      </c>
      <c r="H39" s="74">
        <v>32874</v>
      </c>
      <c r="I39" s="68" t="s">
        <v>2831</v>
      </c>
      <c r="J39" s="68" t="s">
        <v>4814</v>
      </c>
      <c r="K39" s="68" t="s">
        <v>2587</v>
      </c>
      <c r="L39" t="s">
        <v>1813</v>
      </c>
      <c r="M39" t="s">
        <v>5418</v>
      </c>
      <c r="N39" t="s">
        <v>1648</v>
      </c>
      <c r="O39" t="s">
        <v>1949</v>
      </c>
      <c r="R39" t="s">
        <v>5419</v>
      </c>
    </row>
    <row r="40" spans="1:18" x14ac:dyDescent="0.25">
      <c r="A40" t="s">
        <v>1294</v>
      </c>
      <c r="B40" t="s">
        <v>1590</v>
      </c>
      <c r="C40" t="s">
        <v>2717</v>
      </c>
      <c r="D40" t="s">
        <v>5025</v>
      </c>
      <c r="E40" t="s">
        <v>2681</v>
      </c>
      <c r="F40" t="s">
        <v>2636</v>
      </c>
      <c r="G40" t="s">
        <v>5026</v>
      </c>
      <c r="H40" s="74">
        <v>32474</v>
      </c>
      <c r="I40" s="68" t="s">
        <v>2703</v>
      </c>
      <c r="J40" s="68" t="s">
        <v>5027</v>
      </c>
      <c r="K40" s="68" t="s">
        <v>2681</v>
      </c>
      <c r="L40" t="s">
        <v>1722</v>
      </c>
      <c r="M40" t="s">
        <v>5023</v>
      </c>
      <c r="N40" t="s">
        <v>1648</v>
      </c>
      <c r="O40" t="s">
        <v>1949</v>
      </c>
      <c r="R40" t="s">
        <v>5028</v>
      </c>
    </row>
    <row r="41" spans="1:18" x14ac:dyDescent="0.25">
      <c r="A41" t="s">
        <v>1153</v>
      </c>
      <c r="B41" t="s">
        <v>1603</v>
      </c>
      <c r="C41" t="s">
        <v>3776</v>
      </c>
      <c r="D41" t="s">
        <v>4519</v>
      </c>
      <c r="E41" t="s">
        <v>2776</v>
      </c>
      <c r="F41" t="s">
        <v>2636</v>
      </c>
      <c r="G41" t="s">
        <v>4520</v>
      </c>
      <c r="H41" s="74">
        <v>34378</v>
      </c>
      <c r="I41" s="68" t="s">
        <v>2594</v>
      </c>
      <c r="J41" s="68" t="s">
        <v>4521</v>
      </c>
      <c r="K41" s="68" t="s">
        <v>2971</v>
      </c>
      <c r="L41" t="s">
        <v>1653</v>
      </c>
      <c r="M41" t="s">
        <v>2874</v>
      </c>
      <c r="N41" t="s">
        <v>43</v>
      </c>
      <c r="O41" t="s">
        <v>1949</v>
      </c>
      <c r="R41" t="s">
        <v>4522</v>
      </c>
    </row>
    <row r="42" spans="1:18" x14ac:dyDescent="0.25">
      <c r="A42" t="s">
        <v>1230</v>
      </c>
      <c r="B42" t="s">
        <v>1606</v>
      </c>
      <c r="C42" t="s">
        <v>3035</v>
      </c>
      <c r="D42" t="s">
        <v>4184</v>
      </c>
      <c r="E42" t="s">
        <v>2587</v>
      </c>
      <c r="F42" t="s">
        <v>2544</v>
      </c>
      <c r="G42" t="s">
        <v>4185</v>
      </c>
      <c r="H42" s="74">
        <v>33091</v>
      </c>
      <c r="I42" s="68" t="s">
        <v>2831</v>
      </c>
      <c r="J42" s="68" t="s">
        <v>4186</v>
      </c>
      <c r="K42" s="68" t="s">
        <v>2547</v>
      </c>
      <c r="L42" t="s">
        <v>1656</v>
      </c>
      <c r="M42" t="s">
        <v>3042</v>
      </c>
      <c r="N42" t="s">
        <v>1648</v>
      </c>
      <c r="O42" t="s">
        <v>1949</v>
      </c>
      <c r="R42" t="s">
        <v>4187</v>
      </c>
    </row>
    <row r="43" spans="1:18" x14ac:dyDescent="0.25">
      <c r="A43" t="s">
        <v>1291</v>
      </c>
      <c r="B43" t="s">
        <v>1589</v>
      </c>
      <c r="C43" t="s">
        <v>2590</v>
      </c>
      <c r="D43" t="s">
        <v>2635</v>
      </c>
      <c r="E43" t="s">
        <v>2566</v>
      </c>
      <c r="F43" t="s">
        <v>2636</v>
      </c>
      <c r="G43" t="s">
        <v>2637</v>
      </c>
      <c r="H43" s="74">
        <v>36059</v>
      </c>
      <c r="I43" s="68" t="s">
        <v>2546</v>
      </c>
      <c r="J43" s="68" t="s">
        <v>2608</v>
      </c>
      <c r="K43" s="68" t="s">
        <v>2548</v>
      </c>
      <c r="L43" t="s">
        <v>1807</v>
      </c>
      <c r="M43" t="s">
        <v>2638</v>
      </c>
      <c r="N43" t="s">
        <v>1648</v>
      </c>
      <c r="O43" t="s">
        <v>1949</v>
      </c>
      <c r="R43" t="s">
        <v>2639</v>
      </c>
    </row>
    <row r="44" spans="1:18" x14ac:dyDescent="0.25">
      <c r="A44" t="s">
        <v>1294</v>
      </c>
      <c r="B44" t="s">
        <v>1590</v>
      </c>
      <c r="C44" t="s">
        <v>2717</v>
      </c>
      <c r="D44" t="s">
        <v>2718</v>
      </c>
      <c r="E44" t="s">
        <v>2587</v>
      </c>
      <c r="F44" t="s">
        <v>2584</v>
      </c>
      <c r="G44" t="s">
        <v>2719</v>
      </c>
      <c r="H44" s="74">
        <v>36992</v>
      </c>
      <c r="I44" s="68" t="s">
        <v>2586</v>
      </c>
      <c r="J44" s="68" t="s">
        <v>2608</v>
      </c>
      <c r="K44" s="68" t="s">
        <v>2548</v>
      </c>
      <c r="L44" t="s">
        <v>1837</v>
      </c>
      <c r="M44" t="s">
        <v>2720</v>
      </c>
      <c r="N44" t="s">
        <v>1648</v>
      </c>
      <c r="O44" t="s">
        <v>1949</v>
      </c>
      <c r="R44" t="s">
        <v>2721</v>
      </c>
    </row>
    <row r="45" spans="1:18" x14ac:dyDescent="0.25">
      <c r="A45" t="s">
        <v>1130</v>
      </c>
      <c r="B45" t="s">
        <v>1592</v>
      </c>
      <c r="C45" t="s">
        <v>2761</v>
      </c>
      <c r="D45" t="s">
        <v>2785</v>
      </c>
      <c r="E45" t="s">
        <v>2579</v>
      </c>
      <c r="F45" t="s">
        <v>2560</v>
      </c>
      <c r="G45" t="s">
        <v>2786</v>
      </c>
      <c r="H45" s="74">
        <v>33820</v>
      </c>
      <c r="I45" s="68" t="s">
        <v>2562</v>
      </c>
      <c r="J45" s="68" t="s">
        <v>2608</v>
      </c>
      <c r="K45" s="68" t="s">
        <v>2548</v>
      </c>
      <c r="L45" t="s">
        <v>1939</v>
      </c>
      <c r="M45" t="s">
        <v>2787</v>
      </c>
      <c r="N45" t="s">
        <v>1648</v>
      </c>
      <c r="O45" t="s">
        <v>1949</v>
      </c>
      <c r="R45" t="s">
        <v>2788</v>
      </c>
    </row>
    <row r="46" spans="1:18" x14ac:dyDescent="0.25">
      <c r="A46" t="s">
        <v>1292</v>
      </c>
      <c r="B46" t="s">
        <v>1601</v>
      </c>
      <c r="C46" t="s">
        <v>3005</v>
      </c>
      <c r="D46" t="s">
        <v>3011</v>
      </c>
      <c r="E46" t="s">
        <v>2552</v>
      </c>
      <c r="F46" t="s">
        <v>2544</v>
      </c>
      <c r="G46" t="s">
        <v>3012</v>
      </c>
      <c r="H46" s="74">
        <v>36175</v>
      </c>
      <c r="I46" s="68" t="s">
        <v>2627</v>
      </c>
      <c r="J46" s="68" t="s">
        <v>2608</v>
      </c>
      <c r="K46" s="68" t="s">
        <v>2548</v>
      </c>
      <c r="L46" t="s">
        <v>1741</v>
      </c>
      <c r="M46" t="s">
        <v>3013</v>
      </c>
      <c r="N46" t="s">
        <v>1648</v>
      </c>
      <c r="O46" t="s">
        <v>1949</v>
      </c>
      <c r="R46" t="s">
        <v>3014</v>
      </c>
    </row>
    <row r="47" spans="1:18" x14ac:dyDescent="0.25">
      <c r="A47" t="s">
        <v>1292</v>
      </c>
      <c r="B47" t="s">
        <v>1601</v>
      </c>
      <c r="C47" t="s">
        <v>3005</v>
      </c>
      <c r="D47" t="s">
        <v>3026</v>
      </c>
      <c r="E47" t="s">
        <v>2566</v>
      </c>
      <c r="F47" t="s">
        <v>2560</v>
      </c>
      <c r="G47" t="s">
        <v>3027</v>
      </c>
      <c r="H47" s="74">
        <v>31961</v>
      </c>
      <c r="I47" s="68" t="s">
        <v>2569</v>
      </c>
      <c r="J47" s="68" t="s">
        <v>2608</v>
      </c>
      <c r="K47" s="68" t="s">
        <v>2548</v>
      </c>
      <c r="L47" t="s">
        <v>1738</v>
      </c>
      <c r="M47" t="s">
        <v>3028</v>
      </c>
      <c r="N47" t="s">
        <v>1648</v>
      </c>
      <c r="O47" t="s">
        <v>1949</v>
      </c>
      <c r="R47" t="s">
        <v>3029</v>
      </c>
    </row>
    <row r="48" spans="1:18" x14ac:dyDescent="0.25">
      <c r="A48" t="s">
        <v>1239</v>
      </c>
      <c r="B48" t="s">
        <v>1612</v>
      </c>
      <c r="C48" t="s">
        <v>3123</v>
      </c>
      <c r="D48" t="s">
        <v>3140</v>
      </c>
      <c r="E48" t="s">
        <v>2651</v>
      </c>
      <c r="F48" t="s">
        <v>2584</v>
      </c>
      <c r="G48" t="s">
        <v>3141</v>
      </c>
      <c r="H48" s="74">
        <v>34748</v>
      </c>
      <c r="I48" s="68" t="s">
        <v>2653</v>
      </c>
      <c r="J48" s="68" t="s">
        <v>2608</v>
      </c>
      <c r="K48" s="68" t="s">
        <v>2548</v>
      </c>
      <c r="L48" t="s">
        <v>1774</v>
      </c>
      <c r="M48" t="s">
        <v>3130</v>
      </c>
      <c r="N48" t="s">
        <v>1648</v>
      </c>
      <c r="O48" t="s">
        <v>1949</v>
      </c>
      <c r="R48" t="s">
        <v>3142</v>
      </c>
    </row>
    <row r="49" spans="1:18" x14ac:dyDescent="0.25">
      <c r="A49" t="s">
        <v>1186</v>
      </c>
      <c r="B49" t="s">
        <v>1613</v>
      </c>
      <c r="C49" t="s">
        <v>3156</v>
      </c>
      <c r="D49" t="s">
        <v>3161</v>
      </c>
      <c r="E49" t="s">
        <v>2614</v>
      </c>
      <c r="F49" t="s">
        <v>2544</v>
      </c>
      <c r="G49" t="s">
        <v>3162</v>
      </c>
      <c r="H49" s="74">
        <v>35734</v>
      </c>
      <c r="I49" s="68" t="s">
        <v>2599</v>
      </c>
      <c r="J49" s="68" t="s">
        <v>2608</v>
      </c>
      <c r="K49" s="68" t="s">
        <v>2548</v>
      </c>
      <c r="L49" t="s">
        <v>1696</v>
      </c>
      <c r="M49" t="s">
        <v>3163</v>
      </c>
      <c r="N49" t="s">
        <v>1648</v>
      </c>
      <c r="O49" t="s">
        <v>1949</v>
      </c>
      <c r="R49" t="s">
        <v>3164</v>
      </c>
    </row>
    <row r="50" spans="1:18" x14ac:dyDescent="0.25">
      <c r="A50" t="s">
        <v>1186</v>
      </c>
      <c r="B50" t="s">
        <v>1613</v>
      </c>
      <c r="C50" t="s">
        <v>3156</v>
      </c>
      <c r="D50" t="s">
        <v>3177</v>
      </c>
      <c r="E50" t="s">
        <v>2627</v>
      </c>
      <c r="F50" t="s">
        <v>2560</v>
      </c>
      <c r="G50" t="s">
        <v>3178</v>
      </c>
      <c r="H50" s="74">
        <v>34051</v>
      </c>
      <c r="I50" s="68" t="s">
        <v>2633</v>
      </c>
      <c r="J50" s="68" t="s">
        <v>2608</v>
      </c>
      <c r="K50" s="68" t="s">
        <v>2548</v>
      </c>
      <c r="L50" t="s">
        <v>1740</v>
      </c>
      <c r="M50" t="s">
        <v>3175</v>
      </c>
      <c r="N50" t="s">
        <v>1648</v>
      </c>
      <c r="O50" t="s">
        <v>1949</v>
      </c>
      <c r="R50" t="s">
        <v>3179</v>
      </c>
    </row>
    <row r="51" spans="1:18" x14ac:dyDescent="0.25">
      <c r="A51" t="s">
        <v>1157</v>
      </c>
      <c r="B51" t="s">
        <v>1604</v>
      </c>
      <c r="C51" t="s">
        <v>3391</v>
      </c>
      <c r="D51" t="s">
        <v>3407</v>
      </c>
      <c r="E51" t="s">
        <v>2566</v>
      </c>
      <c r="F51" t="s">
        <v>2560</v>
      </c>
      <c r="G51" t="s">
        <v>3408</v>
      </c>
      <c r="H51" s="74">
        <v>33363</v>
      </c>
      <c r="I51" s="68" t="s">
        <v>2970</v>
      </c>
      <c r="J51" s="68" t="s">
        <v>2608</v>
      </c>
      <c r="K51" s="68" t="s">
        <v>2548</v>
      </c>
      <c r="L51" t="s">
        <v>1766</v>
      </c>
      <c r="M51" t="s">
        <v>3409</v>
      </c>
      <c r="N51" t="s">
        <v>1647</v>
      </c>
      <c r="O51" t="s">
        <v>1949</v>
      </c>
      <c r="R51" t="s">
        <v>3410</v>
      </c>
    </row>
    <row r="52" spans="1:18" x14ac:dyDescent="0.25">
      <c r="A52" t="s">
        <v>10</v>
      </c>
      <c r="B52" t="s">
        <v>1614</v>
      </c>
      <c r="C52" t="s">
        <v>3526</v>
      </c>
      <c r="D52" t="s">
        <v>3552</v>
      </c>
      <c r="E52" t="s">
        <v>2566</v>
      </c>
      <c r="F52" t="s">
        <v>2560</v>
      </c>
      <c r="G52" t="s">
        <v>3553</v>
      </c>
      <c r="H52" s="74">
        <v>34859</v>
      </c>
      <c r="I52" s="68" t="s">
        <v>2653</v>
      </c>
      <c r="J52" s="68" t="s">
        <v>2608</v>
      </c>
      <c r="K52" s="68" t="s">
        <v>2548</v>
      </c>
      <c r="L52" t="s">
        <v>1787</v>
      </c>
      <c r="M52" t="s">
        <v>3221</v>
      </c>
      <c r="N52" t="s">
        <v>1647</v>
      </c>
      <c r="O52" t="s">
        <v>1949</v>
      </c>
      <c r="R52" t="s">
        <v>3554</v>
      </c>
    </row>
    <row r="53" spans="1:18" x14ac:dyDescent="0.25">
      <c r="A53" t="s">
        <v>1178</v>
      </c>
      <c r="B53" t="s">
        <v>1584</v>
      </c>
      <c r="C53" t="s">
        <v>3558</v>
      </c>
      <c r="D53" t="s">
        <v>3585</v>
      </c>
      <c r="E53" t="s">
        <v>2670</v>
      </c>
      <c r="F53" t="s">
        <v>2584</v>
      </c>
      <c r="G53" t="s">
        <v>3586</v>
      </c>
      <c r="H53" s="74">
        <v>36153</v>
      </c>
      <c r="I53" s="68" t="s">
        <v>2627</v>
      </c>
      <c r="J53" s="68" t="s">
        <v>2608</v>
      </c>
      <c r="K53" s="68" t="s">
        <v>2548</v>
      </c>
      <c r="L53" t="s">
        <v>1669</v>
      </c>
      <c r="M53" t="s">
        <v>2823</v>
      </c>
      <c r="N53" t="s">
        <v>1646</v>
      </c>
      <c r="O53" t="s">
        <v>1950</v>
      </c>
      <c r="R53" t="s">
        <v>3587</v>
      </c>
    </row>
    <row r="54" spans="1:18" x14ac:dyDescent="0.25">
      <c r="A54" t="s">
        <v>1180</v>
      </c>
      <c r="B54" t="s">
        <v>1587</v>
      </c>
      <c r="C54" t="s">
        <v>3604</v>
      </c>
      <c r="D54" t="s">
        <v>3620</v>
      </c>
      <c r="E54" t="s">
        <v>2566</v>
      </c>
      <c r="F54" t="s">
        <v>2560</v>
      </c>
      <c r="G54" t="s">
        <v>3621</v>
      </c>
      <c r="H54" s="74">
        <v>32124</v>
      </c>
      <c r="I54" s="68" t="s">
        <v>2568</v>
      </c>
      <c r="J54" s="68" t="s">
        <v>2608</v>
      </c>
      <c r="K54" s="68" t="s">
        <v>2548</v>
      </c>
      <c r="L54" t="s">
        <v>1904</v>
      </c>
      <c r="M54" t="s">
        <v>3622</v>
      </c>
      <c r="N54" t="s">
        <v>43</v>
      </c>
      <c r="O54" t="s">
        <v>1949</v>
      </c>
      <c r="R54" t="s">
        <v>3623</v>
      </c>
    </row>
    <row r="55" spans="1:18" x14ac:dyDescent="0.25">
      <c r="A55" t="s">
        <v>1180</v>
      </c>
      <c r="B55" t="s">
        <v>1587</v>
      </c>
      <c r="C55" t="s">
        <v>3604</v>
      </c>
      <c r="D55" t="s">
        <v>3630</v>
      </c>
      <c r="E55" t="s">
        <v>2614</v>
      </c>
      <c r="F55" t="s">
        <v>2544</v>
      </c>
      <c r="G55" t="s">
        <v>3631</v>
      </c>
      <c r="H55" s="74">
        <v>33953</v>
      </c>
      <c r="I55" s="68" t="s">
        <v>2633</v>
      </c>
      <c r="J55" s="68" t="s">
        <v>2608</v>
      </c>
      <c r="K55" s="68" t="s">
        <v>2548</v>
      </c>
      <c r="L55" t="s">
        <v>1668</v>
      </c>
      <c r="M55" t="s">
        <v>3084</v>
      </c>
      <c r="N55" t="s">
        <v>43</v>
      </c>
      <c r="O55" t="s">
        <v>1949</v>
      </c>
      <c r="R55" t="s">
        <v>3632</v>
      </c>
    </row>
    <row r="56" spans="1:18" x14ac:dyDescent="0.25">
      <c r="A56" t="s">
        <v>1180</v>
      </c>
      <c r="B56" t="s">
        <v>1587</v>
      </c>
      <c r="C56" t="s">
        <v>3604</v>
      </c>
      <c r="D56" t="s">
        <v>3882</v>
      </c>
      <c r="E56" t="s">
        <v>2679</v>
      </c>
      <c r="F56" t="s">
        <v>2584</v>
      </c>
      <c r="G56" t="s">
        <v>3883</v>
      </c>
      <c r="H56" s="74">
        <v>35750</v>
      </c>
      <c r="I56" s="68" t="s">
        <v>2599</v>
      </c>
      <c r="J56" s="68" t="s">
        <v>2608</v>
      </c>
      <c r="K56" s="68" t="s">
        <v>2547</v>
      </c>
      <c r="L56" t="s">
        <v>1697</v>
      </c>
      <c r="M56" t="s">
        <v>3685</v>
      </c>
      <c r="N56" t="s">
        <v>43</v>
      </c>
      <c r="O56" t="s">
        <v>1949</v>
      </c>
      <c r="R56" t="s">
        <v>3884</v>
      </c>
    </row>
    <row r="57" spans="1:18" x14ac:dyDescent="0.25">
      <c r="A57" t="s">
        <v>1127</v>
      </c>
      <c r="B57" t="s">
        <v>1591</v>
      </c>
      <c r="C57" t="s">
        <v>3633</v>
      </c>
      <c r="D57" t="s">
        <v>3925</v>
      </c>
      <c r="E57" t="s">
        <v>2554</v>
      </c>
      <c r="F57" t="s">
        <v>2544</v>
      </c>
      <c r="G57" t="s">
        <v>3926</v>
      </c>
      <c r="H57" s="74">
        <v>35816</v>
      </c>
      <c r="I57" s="68" t="s">
        <v>2546</v>
      </c>
      <c r="J57" s="68" t="s">
        <v>2608</v>
      </c>
      <c r="K57" s="68" t="s">
        <v>2547</v>
      </c>
      <c r="L57" t="s">
        <v>1750</v>
      </c>
      <c r="M57" t="s">
        <v>3351</v>
      </c>
      <c r="N57" t="s">
        <v>1627</v>
      </c>
      <c r="O57" t="s">
        <v>1950</v>
      </c>
      <c r="R57" t="s">
        <v>3927</v>
      </c>
    </row>
    <row r="58" spans="1:18" x14ac:dyDescent="0.25">
      <c r="A58" t="s">
        <v>1211</v>
      </c>
      <c r="B58" t="s">
        <v>1599</v>
      </c>
      <c r="C58" t="s">
        <v>3330</v>
      </c>
      <c r="D58" t="s">
        <v>4077</v>
      </c>
      <c r="E58" t="s">
        <v>2599</v>
      </c>
      <c r="F58" t="s">
        <v>2636</v>
      </c>
      <c r="G58" t="s">
        <v>4078</v>
      </c>
      <c r="H58" s="74">
        <v>35723</v>
      </c>
      <c r="I58" s="68" t="s">
        <v>2599</v>
      </c>
      <c r="J58" s="68" t="s">
        <v>2608</v>
      </c>
      <c r="K58" s="68" t="s">
        <v>2547</v>
      </c>
      <c r="L58" t="s">
        <v>1709</v>
      </c>
      <c r="M58" t="s">
        <v>3529</v>
      </c>
      <c r="N58" t="s">
        <v>1647</v>
      </c>
      <c r="O58" t="s">
        <v>1949</v>
      </c>
      <c r="R58" t="s">
        <v>4079</v>
      </c>
    </row>
    <row r="59" spans="1:18" x14ac:dyDescent="0.25">
      <c r="A59" t="s">
        <v>1231</v>
      </c>
      <c r="B59" t="s">
        <v>1607</v>
      </c>
      <c r="C59" t="s">
        <v>2963</v>
      </c>
      <c r="D59" t="s">
        <v>4095</v>
      </c>
      <c r="E59" t="s">
        <v>2599</v>
      </c>
      <c r="F59" t="s">
        <v>2636</v>
      </c>
      <c r="G59" t="s">
        <v>4096</v>
      </c>
      <c r="H59" s="74">
        <v>36975</v>
      </c>
      <c r="I59" s="68" t="s">
        <v>2586</v>
      </c>
      <c r="J59" s="68" t="s">
        <v>2608</v>
      </c>
      <c r="K59" s="68" t="s">
        <v>2547</v>
      </c>
      <c r="L59" t="s">
        <v>1756</v>
      </c>
      <c r="M59" t="s">
        <v>3003</v>
      </c>
      <c r="N59" t="s">
        <v>1648</v>
      </c>
      <c r="O59" t="s">
        <v>1949</v>
      </c>
      <c r="R59" t="s">
        <v>4097</v>
      </c>
    </row>
    <row r="60" spans="1:18" x14ac:dyDescent="0.25">
      <c r="A60" t="s">
        <v>1158</v>
      </c>
      <c r="B60" t="s">
        <v>1605</v>
      </c>
      <c r="C60" t="s">
        <v>3809</v>
      </c>
      <c r="D60" t="s">
        <v>4575</v>
      </c>
      <c r="E60" t="s">
        <v>2599</v>
      </c>
      <c r="F60" t="s">
        <v>2584</v>
      </c>
      <c r="G60" t="s">
        <v>4576</v>
      </c>
      <c r="H60" s="74">
        <v>34739</v>
      </c>
      <c r="I60" s="68" t="s">
        <v>2653</v>
      </c>
      <c r="J60" s="68" t="s">
        <v>2608</v>
      </c>
      <c r="K60" s="68" t="s">
        <v>2587</v>
      </c>
      <c r="L60" t="s">
        <v>1688</v>
      </c>
      <c r="M60" t="s">
        <v>3117</v>
      </c>
      <c r="N60" t="s">
        <v>43</v>
      </c>
      <c r="O60" t="s">
        <v>1949</v>
      </c>
      <c r="R60" t="s">
        <v>4577</v>
      </c>
    </row>
    <row r="61" spans="1:18" x14ac:dyDescent="0.25">
      <c r="A61" t="s">
        <v>1211</v>
      </c>
      <c r="B61" t="s">
        <v>1599</v>
      </c>
      <c r="C61" t="s">
        <v>3330</v>
      </c>
      <c r="D61" t="s">
        <v>4684</v>
      </c>
      <c r="E61" t="s">
        <v>2546</v>
      </c>
      <c r="F61" t="s">
        <v>2584</v>
      </c>
      <c r="G61" t="s">
        <v>4685</v>
      </c>
      <c r="H61" s="74">
        <v>35486</v>
      </c>
      <c r="I61" s="68" t="s">
        <v>2599</v>
      </c>
      <c r="J61" s="68" t="s">
        <v>2608</v>
      </c>
      <c r="K61" s="68" t="s">
        <v>2543</v>
      </c>
      <c r="L61" t="s">
        <v>1894</v>
      </c>
      <c r="M61" t="s">
        <v>4686</v>
      </c>
      <c r="N61" t="s">
        <v>1647</v>
      </c>
      <c r="O61" t="s">
        <v>1949</v>
      </c>
      <c r="R61" t="s">
        <v>4687</v>
      </c>
    </row>
    <row r="62" spans="1:18" x14ac:dyDescent="0.25">
      <c r="A62" t="s">
        <v>1131</v>
      </c>
      <c r="B62" t="s">
        <v>1594</v>
      </c>
      <c r="C62" t="s">
        <v>3663</v>
      </c>
      <c r="D62" t="s">
        <v>4391</v>
      </c>
      <c r="E62" t="s">
        <v>2776</v>
      </c>
      <c r="F62" t="s">
        <v>2636</v>
      </c>
      <c r="G62" t="s">
        <v>4392</v>
      </c>
      <c r="H62" s="74">
        <v>34676</v>
      </c>
      <c r="I62" s="68" t="s">
        <v>2653</v>
      </c>
      <c r="J62" s="68" t="s">
        <v>4393</v>
      </c>
      <c r="K62" s="68" t="s">
        <v>2554</v>
      </c>
      <c r="L62" t="s">
        <v>1661</v>
      </c>
      <c r="M62" t="s">
        <v>3445</v>
      </c>
      <c r="N62" t="s">
        <v>43</v>
      </c>
      <c r="O62" t="s">
        <v>1949</v>
      </c>
      <c r="R62" t="s">
        <v>4394</v>
      </c>
    </row>
    <row r="63" spans="1:18" x14ac:dyDescent="0.25">
      <c r="A63" t="s">
        <v>1292</v>
      </c>
      <c r="B63" t="s">
        <v>1601</v>
      </c>
      <c r="C63" t="s">
        <v>3005</v>
      </c>
      <c r="D63" t="s">
        <v>4135</v>
      </c>
      <c r="E63" t="s">
        <v>2627</v>
      </c>
      <c r="F63" t="s">
        <v>2544</v>
      </c>
      <c r="G63" t="s">
        <v>4136</v>
      </c>
      <c r="H63" s="74">
        <v>34561</v>
      </c>
      <c r="I63" s="68" t="s">
        <v>2594</v>
      </c>
      <c r="J63" s="68" t="s">
        <v>4137</v>
      </c>
      <c r="K63" s="68" t="s">
        <v>2547</v>
      </c>
      <c r="L63" t="s">
        <v>1695</v>
      </c>
      <c r="M63" t="s">
        <v>4130</v>
      </c>
      <c r="N63" t="s">
        <v>1648</v>
      </c>
      <c r="O63" t="s">
        <v>1949</v>
      </c>
      <c r="R63" t="s">
        <v>4138</v>
      </c>
    </row>
    <row r="64" spans="1:18" x14ac:dyDescent="0.25">
      <c r="A64" t="s">
        <v>1256</v>
      </c>
      <c r="B64" t="s">
        <v>1588</v>
      </c>
      <c r="C64" t="s">
        <v>2640</v>
      </c>
      <c r="D64" t="s">
        <v>5011</v>
      </c>
      <c r="E64" t="s">
        <v>2555</v>
      </c>
      <c r="F64" t="s">
        <v>2544</v>
      </c>
      <c r="G64" t="s">
        <v>5012</v>
      </c>
      <c r="H64" s="74">
        <v>32959</v>
      </c>
      <c r="I64" s="68" t="s">
        <v>2831</v>
      </c>
      <c r="J64" s="68" t="s">
        <v>4137</v>
      </c>
      <c r="K64" s="68" t="s">
        <v>2587</v>
      </c>
      <c r="L64" t="s">
        <v>1823</v>
      </c>
      <c r="M64" t="s">
        <v>5013</v>
      </c>
      <c r="N64" t="s">
        <v>1648</v>
      </c>
      <c r="O64" t="s">
        <v>1949</v>
      </c>
      <c r="R64" t="s">
        <v>5014</v>
      </c>
    </row>
    <row r="65" spans="1:18" x14ac:dyDescent="0.25">
      <c r="A65" t="s">
        <v>1239</v>
      </c>
      <c r="B65" t="s">
        <v>1612</v>
      </c>
      <c r="C65" t="s">
        <v>3123</v>
      </c>
      <c r="D65" t="s">
        <v>5420</v>
      </c>
      <c r="E65" t="s">
        <v>2559</v>
      </c>
      <c r="F65" t="s">
        <v>2584</v>
      </c>
      <c r="G65" t="s">
        <v>5421</v>
      </c>
      <c r="H65" s="74">
        <v>33681</v>
      </c>
      <c r="I65" s="68" t="s">
        <v>2562</v>
      </c>
      <c r="J65" s="68" t="s">
        <v>4137</v>
      </c>
      <c r="K65" s="68" t="s">
        <v>2592</v>
      </c>
      <c r="L65" t="s">
        <v>1672</v>
      </c>
      <c r="M65" t="s">
        <v>3079</v>
      </c>
      <c r="N65" t="s">
        <v>1648</v>
      </c>
      <c r="O65" t="s">
        <v>1949</v>
      </c>
      <c r="R65" t="s">
        <v>5422</v>
      </c>
    </row>
    <row r="66" spans="1:18" x14ac:dyDescent="0.25">
      <c r="A66" t="s">
        <v>1186</v>
      </c>
      <c r="B66" t="s">
        <v>1613</v>
      </c>
      <c r="C66" t="s">
        <v>3156</v>
      </c>
      <c r="D66" t="s">
        <v>5445</v>
      </c>
      <c r="E66" t="s">
        <v>2587</v>
      </c>
      <c r="F66" t="s">
        <v>2544</v>
      </c>
      <c r="G66" t="s">
        <v>5446</v>
      </c>
      <c r="H66" s="74">
        <v>34719</v>
      </c>
      <c r="I66" s="68" t="s">
        <v>2653</v>
      </c>
      <c r="J66" s="68" t="s">
        <v>4137</v>
      </c>
      <c r="K66" s="68" t="s">
        <v>2608</v>
      </c>
      <c r="L66" t="s">
        <v>1660</v>
      </c>
      <c r="M66" t="s">
        <v>3319</v>
      </c>
      <c r="N66" t="s">
        <v>1648</v>
      </c>
      <c r="O66" t="s">
        <v>1949</v>
      </c>
      <c r="R66" t="s">
        <v>5447</v>
      </c>
    </row>
    <row r="67" spans="1:18" x14ac:dyDescent="0.25">
      <c r="A67" t="s">
        <v>1169</v>
      </c>
      <c r="B67" t="s">
        <v>1611</v>
      </c>
      <c r="C67" t="s">
        <v>3492</v>
      </c>
      <c r="D67" t="s">
        <v>3514</v>
      </c>
      <c r="E67" t="s">
        <v>2547</v>
      </c>
      <c r="F67" t="s">
        <v>2560</v>
      </c>
      <c r="G67" t="s">
        <v>3515</v>
      </c>
      <c r="H67" s="74">
        <v>32494</v>
      </c>
      <c r="I67" s="68" t="s">
        <v>2703</v>
      </c>
      <c r="J67" s="68" t="s">
        <v>3516</v>
      </c>
      <c r="K67" s="68" t="s">
        <v>2548</v>
      </c>
      <c r="L67" t="s">
        <v>1680</v>
      </c>
      <c r="M67" t="s">
        <v>3517</v>
      </c>
      <c r="N67" t="s">
        <v>1647</v>
      </c>
      <c r="O67" t="s">
        <v>1949</v>
      </c>
      <c r="R67" t="s">
        <v>3518</v>
      </c>
    </row>
    <row r="68" spans="1:18" x14ac:dyDescent="0.25">
      <c r="A68" t="s">
        <v>1127</v>
      </c>
      <c r="B68" t="s">
        <v>1591</v>
      </c>
      <c r="C68" t="s">
        <v>3633</v>
      </c>
      <c r="D68" t="s">
        <v>4360</v>
      </c>
      <c r="E68" t="s">
        <v>2681</v>
      </c>
      <c r="F68" t="s">
        <v>2584</v>
      </c>
      <c r="G68" t="s">
        <v>4361</v>
      </c>
      <c r="H68" s="74">
        <v>33924</v>
      </c>
      <c r="I68" s="68" t="s">
        <v>2562</v>
      </c>
      <c r="J68" s="68" t="s">
        <v>3516</v>
      </c>
      <c r="K68" s="68" t="s">
        <v>2657</v>
      </c>
      <c r="L68" t="s">
        <v>1685</v>
      </c>
      <c r="M68" t="s">
        <v>2704</v>
      </c>
      <c r="N68" t="s">
        <v>1627</v>
      </c>
      <c r="O68" t="s">
        <v>1950</v>
      </c>
      <c r="R68" t="s">
        <v>4362</v>
      </c>
    </row>
    <row r="69" spans="1:18" x14ac:dyDescent="0.25">
      <c r="A69" t="s">
        <v>1230</v>
      </c>
      <c r="B69" t="s">
        <v>1606</v>
      </c>
      <c r="C69" t="s">
        <v>3035</v>
      </c>
      <c r="D69" t="s">
        <v>3051</v>
      </c>
      <c r="E69" t="s">
        <v>2547</v>
      </c>
      <c r="F69" t="s">
        <v>2560</v>
      </c>
      <c r="G69" t="s">
        <v>3052</v>
      </c>
      <c r="H69" s="74">
        <v>32923</v>
      </c>
      <c r="I69" s="68" t="s">
        <v>2831</v>
      </c>
      <c r="J69" s="68" t="s">
        <v>3053</v>
      </c>
      <c r="K69" s="68" t="s">
        <v>2548</v>
      </c>
      <c r="L69" t="s">
        <v>1656</v>
      </c>
      <c r="M69" t="s">
        <v>3042</v>
      </c>
      <c r="N69" t="s">
        <v>1648</v>
      </c>
      <c r="O69" t="s">
        <v>1949</v>
      </c>
      <c r="R69" t="s">
        <v>3054</v>
      </c>
    </row>
    <row r="70" spans="1:18" x14ac:dyDescent="0.25">
      <c r="A70" t="s">
        <v>1158</v>
      </c>
      <c r="B70" t="s">
        <v>1605</v>
      </c>
      <c r="C70" t="s">
        <v>3809</v>
      </c>
      <c r="D70" t="s">
        <v>4544</v>
      </c>
      <c r="E70" t="s">
        <v>2601</v>
      </c>
      <c r="F70" t="s">
        <v>2584</v>
      </c>
      <c r="G70" t="s">
        <v>4545</v>
      </c>
      <c r="H70" s="74">
        <v>33701</v>
      </c>
      <c r="I70" s="68" t="s">
        <v>2562</v>
      </c>
      <c r="J70" s="68" t="s">
        <v>3053</v>
      </c>
      <c r="K70" s="68" t="s">
        <v>2651</v>
      </c>
      <c r="L70" t="s">
        <v>1699</v>
      </c>
      <c r="M70" t="s">
        <v>3467</v>
      </c>
      <c r="N70" t="s">
        <v>43</v>
      </c>
      <c r="O70" t="s">
        <v>1949</v>
      </c>
      <c r="R70" t="s">
        <v>4546</v>
      </c>
    </row>
    <row r="71" spans="1:18" x14ac:dyDescent="0.25">
      <c r="A71" t="s">
        <v>1294</v>
      </c>
      <c r="B71" t="s">
        <v>1590</v>
      </c>
      <c r="C71" t="s">
        <v>2717</v>
      </c>
      <c r="D71" t="s">
        <v>5051</v>
      </c>
      <c r="E71" t="s">
        <v>2608</v>
      </c>
      <c r="F71" t="s">
        <v>2544</v>
      </c>
      <c r="G71" t="s">
        <v>5052</v>
      </c>
      <c r="H71" s="74">
        <v>32922</v>
      </c>
      <c r="I71" s="68" t="s">
        <v>2831</v>
      </c>
      <c r="J71" s="68" t="s">
        <v>3053</v>
      </c>
      <c r="K71" s="68" t="s">
        <v>2587</v>
      </c>
      <c r="L71" t="s">
        <v>1915</v>
      </c>
      <c r="M71" t="s">
        <v>5053</v>
      </c>
      <c r="N71" t="s">
        <v>1648</v>
      </c>
      <c r="O71" t="s">
        <v>1949</v>
      </c>
      <c r="R71" t="s">
        <v>5054</v>
      </c>
    </row>
    <row r="72" spans="1:18" x14ac:dyDescent="0.25">
      <c r="A72" t="s">
        <v>1164</v>
      </c>
      <c r="B72" t="s">
        <v>1609</v>
      </c>
      <c r="C72" t="s">
        <v>3081</v>
      </c>
      <c r="D72" t="s">
        <v>5365</v>
      </c>
      <c r="E72" t="s">
        <v>2646</v>
      </c>
      <c r="F72" t="s">
        <v>2636</v>
      </c>
      <c r="G72" t="s">
        <v>5366</v>
      </c>
      <c r="H72" s="74">
        <v>34593</v>
      </c>
      <c r="I72" s="68" t="s">
        <v>2594</v>
      </c>
      <c r="J72" s="68" t="s">
        <v>3053</v>
      </c>
      <c r="K72" s="68" t="s">
        <v>4489</v>
      </c>
      <c r="L72" t="s">
        <v>1683</v>
      </c>
      <c r="M72" t="s">
        <v>4258</v>
      </c>
      <c r="N72" t="s">
        <v>1648</v>
      </c>
      <c r="O72" t="s">
        <v>1949</v>
      </c>
      <c r="R72" t="s">
        <v>5367</v>
      </c>
    </row>
    <row r="73" spans="1:18" x14ac:dyDescent="0.25">
      <c r="A73" t="s">
        <v>1188</v>
      </c>
      <c r="B73" t="s">
        <v>1585</v>
      </c>
      <c r="C73" t="s">
        <v>3262</v>
      </c>
      <c r="D73" t="s">
        <v>3281</v>
      </c>
      <c r="E73" t="s">
        <v>2547</v>
      </c>
      <c r="F73" t="s">
        <v>2560</v>
      </c>
      <c r="G73" t="s">
        <v>3282</v>
      </c>
      <c r="H73" s="74">
        <v>33702</v>
      </c>
      <c r="I73" s="68" t="s">
        <v>2562</v>
      </c>
      <c r="J73" s="68" t="s">
        <v>3283</v>
      </c>
      <c r="K73" s="68" t="s">
        <v>2548</v>
      </c>
      <c r="L73" t="s">
        <v>1728</v>
      </c>
      <c r="M73" t="s">
        <v>3284</v>
      </c>
      <c r="N73" t="s">
        <v>1647</v>
      </c>
      <c r="O73" t="s">
        <v>1949</v>
      </c>
      <c r="R73" t="s">
        <v>3285</v>
      </c>
    </row>
    <row r="74" spans="1:18" x14ac:dyDescent="0.25">
      <c r="A74" t="s">
        <v>10</v>
      </c>
      <c r="B74" t="s">
        <v>1614</v>
      </c>
      <c r="C74" t="s">
        <v>3526</v>
      </c>
      <c r="D74" t="s">
        <v>3541</v>
      </c>
      <c r="E74" t="s">
        <v>2579</v>
      </c>
      <c r="F74" t="s">
        <v>2544</v>
      </c>
      <c r="G74" t="s">
        <v>3542</v>
      </c>
      <c r="H74" s="74">
        <v>34159</v>
      </c>
      <c r="I74" s="68" t="s">
        <v>2633</v>
      </c>
      <c r="J74" s="68" t="s">
        <v>3283</v>
      </c>
      <c r="K74" s="68" t="s">
        <v>2548</v>
      </c>
      <c r="L74" t="s">
        <v>1878</v>
      </c>
      <c r="M74" t="s">
        <v>3543</v>
      </c>
      <c r="N74" t="s">
        <v>1647</v>
      </c>
      <c r="O74" t="s">
        <v>1949</v>
      </c>
      <c r="R74" t="s">
        <v>3544</v>
      </c>
    </row>
    <row r="75" spans="1:18" x14ac:dyDescent="0.25">
      <c r="A75" t="s">
        <v>1131</v>
      </c>
      <c r="B75" t="s">
        <v>1594</v>
      </c>
      <c r="C75" t="s">
        <v>3663</v>
      </c>
      <c r="D75" t="s">
        <v>4401</v>
      </c>
      <c r="E75" t="s">
        <v>2646</v>
      </c>
      <c r="F75" t="s">
        <v>2636</v>
      </c>
      <c r="G75" t="s">
        <v>4402</v>
      </c>
      <c r="H75" s="74">
        <v>34178</v>
      </c>
      <c r="I75" s="68" t="s">
        <v>2633</v>
      </c>
      <c r="J75" s="68" t="s">
        <v>3283</v>
      </c>
      <c r="K75" s="68" t="s">
        <v>4243</v>
      </c>
      <c r="L75" t="s">
        <v>1666</v>
      </c>
      <c r="M75" t="s">
        <v>3434</v>
      </c>
      <c r="N75" t="s">
        <v>43</v>
      </c>
      <c r="O75" t="s">
        <v>1949</v>
      </c>
      <c r="R75" t="s">
        <v>4403</v>
      </c>
    </row>
    <row r="76" spans="1:18" x14ac:dyDescent="0.25">
      <c r="A76" t="s">
        <v>1294</v>
      </c>
      <c r="B76" t="s">
        <v>1590</v>
      </c>
      <c r="C76" t="s">
        <v>2717</v>
      </c>
      <c r="D76" t="s">
        <v>5043</v>
      </c>
      <c r="E76" t="s">
        <v>2610</v>
      </c>
      <c r="F76" t="s">
        <v>2544</v>
      </c>
      <c r="G76" t="s">
        <v>5044</v>
      </c>
      <c r="H76" s="74">
        <v>33793</v>
      </c>
      <c r="I76" s="68" t="s">
        <v>2562</v>
      </c>
      <c r="J76" s="68" t="s">
        <v>3283</v>
      </c>
      <c r="K76" s="68" t="s">
        <v>2608</v>
      </c>
      <c r="L76" t="s">
        <v>1880</v>
      </c>
      <c r="M76" t="s">
        <v>5045</v>
      </c>
      <c r="N76" t="s">
        <v>1648</v>
      </c>
      <c r="O76" t="s">
        <v>1949</v>
      </c>
      <c r="R76" t="s">
        <v>5046</v>
      </c>
    </row>
    <row r="77" spans="1:18" x14ac:dyDescent="0.25">
      <c r="A77" t="s">
        <v>1172</v>
      </c>
      <c r="B77" t="s">
        <v>1615</v>
      </c>
      <c r="C77" t="s">
        <v>3206</v>
      </c>
      <c r="D77" t="s">
        <v>5490</v>
      </c>
      <c r="E77" t="s">
        <v>2776</v>
      </c>
      <c r="F77" t="s">
        <v>2584</v>
      </c>
      <c r="G77" t="s">
        <v>5491</v>
      </c>
      <c r="H77" s="74">
        <v>33233</v>
      </c>
      <c r="I77" s="68" t="s">
        <v>2970</v>
      </c>
      <c r="J77" s="68" t="s">
        <v>3283</v>
      </c>
      <c r="K77" s="68" t="s">
        <v>2670</v>
      </c>
      <c r="L77" t="s">
        <v>1794</v>
      </c>
      <c r="M77" t="s">
        <v>2783</v>
      </c>
      <c r="N77" t="s">
        <v>1648</v>
      </c>
      <c r="O77" t="s">
        <v>1949</v>
      </c>
      <c r="R77" t="s">
        <v>5492</v>
      </c>
    </row>
    <row r="78" spans="1:18" x14ac:dyDescent="0.25">
      <c r="A78" t="s">
        <v>1172</v>
      </c>
      <c r="B78" t="s">
        <v>1615</v>
      </c>
      <c r="C78" t="s">
        <v>3206</v>
      </c>
      <c r="D78" t="s">
        <v>4263</v>
      </c>
      <c r="E78" t="s">
        <v>2543</v>
      </c>
      <c r="F78" t="s">
        <v>2544</v>
      </c>
      <c r="G78" t="s">
        <v>4264</v>
      </c>
      <c r="H78" s="74">
        <v>34083</v>
      </c>
      <c r="I78" s="68" t="s">
        <v>2633</v>
      </c>
      <c r="J78" s="68" t="s">
        <v>4265</v>
      </c>
      <c r="K78" s="68" t="s">
        <v>2547</v>
      </c>
      <c r="L78" t="s">
        <v>1666</v>
      </c>
      <c r="M78" t="s">
        <v>3434</v>
      </c>
      <c r="N78" t="s">
        <v>1648</v>
      </c>
      <c r="O78" t="s">
        <v>1949</v>
      </c>
      <c r="R78" t="s">
        <v>4266</v>
      </c>
    </row>
    <row r="79" spans="1:18" x14ac:dyDescent="0.25">
      <c r="A79" t="s">
        <v>1127</v>
      </c>
      <c r="B79" t="s">
        <v>1591</v>
      </c>
      <c r="C79" t="s">
        <v>3633</v>
      </c>
      <c r="D79" t="s">
        <v>4363</v>
      </c>
      <c r="E79" t="s">
        <v>2646</v>
      </c>
      <c r="F79" t="s">
        <v>2636</v>
      </c>
      <c r="G79" t="s">
        <v>4364</v>
      </c>
      <c r="H79" s="74">
        <v>33408</v>
      </c>
      <c r="I79" s="68" t="s">
        <v>2970</v>
      </c>
      <c r="J79" s="68" t="s">
        <v>4265</v>
      </c>
      <c r="K79" s="68" t="s">
        <v>2670</v>
      </c>
      <c r="L79" t="s">
        <v>1754</v>
      </c>
      <c r="M79" t="s">
        <v>4365</v>
      </c>
      <c r="N79" t="s">
        <v>1627</v>
      </c>
      <c r="O79" t="s">
        <v>1950</v>
      </c>
      <c r="R79" t="s">
        <v>4366</v>
      </c>
    </row>
    <row r="80" spans="1:18" x14ac:dyDescent="0.25">
      <c r="A80" t="s">
        <v>1157</v>
      </c>
      <c r="B80" t="s">
        <v>1604</v>
      </c>
      <c r="C80" t="s">
        <v>3391</v>
      </c>
      <c r="D80" t="s">
        <v>4785</v>
      </c>
      <c r="E80" t="s">
        <v>2670</v>
      </c>
      <c r="F80" t="s">
        <v>2584</v>
      </c>
      <c r="G80" t="s">
        <v>4786</v>
      </c>
      <c r="H80" s="74">
        <v>34474</v>
      </c>
      <c r="I80" s="68" t="s">
        <v>2594</v>
      </c>
      <c r="J80" s="68" t="s">
        <v>4265</v>
      </c>
      <c r="K80" s="68" t="s">
        <v>2646</v>
      </c>
      <c r="L80" t="s">
        <v>1696</v>
      </c>
      <c r="M80" t="s">
        <v>3163</v>
      </c>
      <c r="N80" t="s">
        <v>1647</v>
      </c>
      <c r="O80" t="s">
        <v>1949</v>
      </c>
      <c r="R80" t="s">
        <v>4787</v>
      </c>
    </row>
    <row r="81" spans="1:18" x14ac:dyDescent="0.25">
      <c r="A81" t="s">
        <v>1183</v>
      </c>
      <c r="B81" t="s">
        <v>1593</v>
      </c>
      <c r="C81" t="s">
        <v>2789</v>
      </c>
      <c r="D81" t="s">
        <v>5125</v>
      </c>
      <c r="E81" t="s">
        <v>2559</v>
      </c>
      <c r="F81" t="s">
        <v>2636</v>
      </c>
      <c r="G81" t="s">
        <v>5126</v>
      </c>
      <c r="H81" s="74">
        <v>32816</v>
      </c>
      <c r="I81" s="68" t="s">
        <v>2703</v>
      </c>
      <c r="J81" s="68" t="s">
        <v>4265</v>
      </c>
      <c r="K81" s="68" t="s">
        <v>2569</v>
      </c>
      <c r="L81" t="s">
        <v>1778</v>
      </c>
      <c r="M81" t="s">
        <v>4938</v>
      </c>
      <c r="N81" t="s">
        <v>1648</v>
      </c>
      <c r="O81" t="s">
        <v>1949</v>
      </c>
      <c r="R81" t="s">
        <v>5127</v>
      </c>
    </row>
    <row r="82" spans="1:18" x14ac:dyDescent="0.25">
      <c r="A82" t="s">
        <v>1294</v>
      </c>
      <c r="B82" t="s">
        <v>1590</v>
      </c>
      <c r="C82" t="s">
        <v>2717</v>
      </c>
      <c r="D82" t="s">
        <v>2722</v>
      </c>
      <c r="E82" t="s">
        <v>2679</v>
      </c>
      <c r="F82" t="s">
        <v>2584</v>
      </c>
      <c r="G82" t="s">
        <v>2723</v>
      </c>
      <c r="H82" s="74">
        <v>33680</v>
      </c>
      <c r="I82" s="68" t="s">
        <v>2562</v>
      </c>
      <c r="J82" s="68" t="s">
        <v>2724</v>
      </c>
      <c r="K82" s="68" t="s">
        <v>2548</v>
      </c>
      <c r="L82" t="s">
        <v>1684</v>
      </c>
      <c r="M82" t="s">
        <v>2725</v>
      </c>
      <c r="N82" t="s">
        <v>1648</v>
      </c>
      <c r="O82" t="s">
        <v>1949</v>
      </c>
      <c r="R82" t="s">
        <v>2726</v>
      </c>
    </row>
    <row r="83" spans="1:18" x14ac:dyDescent="0.25">
      <c r="A83" t="s">
        <v>1239</v>
      </c>
      <c r="B83" t="s">
        <v>1612</v>
      </c>
      <c r="C83" t="s">
        <v>3123</v>
      </c>
      <c r="D83" t="s">
        <v>3143</v>
      </c>
      <c r="E83" t="s">
        <v>2547</v>
      </c>
      <c r="F83" t="s">
        <v>2560</v>
      </c>
      <c r="G83" t="s">
        <v>3144</v>
      </c>
      <c r="H83" s="74">
        <v>30939</v>
      </c>
      <c r="I83" s="68" t="s">
        <v>3145</v>
      </c>
      <c r="J83" s="68" t="s">
        <v>2724</v>
      </c>
      <c r="K83" s="68" t="s">
        <v>2548</v>
      </c>
      <c r="L83" t="s">
        <v>1853</v>
      </c>
      <c r="M83" t="s">
        <v>3146</v>
      </c>
      <c r="N83" t="s">
        <v>1648</v>
      </c>
      <c r="O83" t="s">
        <v>1949</v>
      </c>
      <c r="R83" t="s">
        <v>3147</v>
      </c>
    </row>
    <row r="84" spans="1:18" x14ac:dyDescent="0.25">
      <c r="A84" t="s">
        <v>1158</v>
      </c>
      <c r="B84" t="s">
        <v>1605</v>
      </c>
      <c r="C84" t="s">
        <v>3809</v>
      </c>
      <c r="D84" t="s">
        <v>4538</v>
      </c>
      <c r="E84" t="s">
        <v>2776</v>
      </c>
      <c r="F84" t="s">
        <v>2636</v>
      </c>
      <c r="G84" t="s">
        <v>4539</v>
      </c>
      <c r="H84" s="74">
        <v>34556</v>
      </c>
      <c r="I84" s="68" t="s">
        <v>2594</v>
      </c>
      <c r="J84" s="68" t="s">
        <v>2724</v>
      </c>
      <c r="K84" s="68" t="s">
        <v>2608</v>
      </c>
      <c r="L84" t="s">
        <v>1655</v>
      </c>
      <c r="M84" t="s">
        <v>3607</v>
      </c>
      <c r="N84" t="s">
        <v>43</v>
      </c>
      <c r="O84" t="s">
        <v>1949</v>
      </c>
      <c r="R84" t="s">
        <v>4540</v>
      </c>
    </row>
    <row r="85" spans="1:18" x14ac:dyDescent="0.25">
      <c r="A85" t="s">
        <v>1188</v>
      </c>
      <c r="B85" t="s">
        <v>1585</v>
      </c>
      <c r="C85" t="s">
        <v>3262</v>
      </c>
      <c r="D85" t="s">
        <v>4585</v>
      </c>
      <c r="E85" t="s">
        <v>2657</v>
      </c>
      <c r="F85" t="s">
        <v>2636</v>
      </c>
      <c r="G85" t="s">
        <v>4586</v>
      </c>
      <c r="H85" s="74">
        <v>33273</v>
      </c>
      <c r="I85" s="68" t="s">
        <v>2970</v>
      </c>
      <c r="J85" s="68" t="s">
        <v>2724</v>
      </c>
      <c r="K85" s="68" t="s">
        <v>2559</v>
      </c>
      <c r="L85" t="s">
        <v>1791</v>
      </c>
      <c r="M85" t="s">
        <v>4587</v>
      </c>
      <c r="N85" t="s">
        <v>1647</v>
      </c>
      <c r="O85" t="s">
        <v>1949</v>
      </c>
      <c r="R85" t="s">
        <v>4588</v>
      </c>
    </row>
    <row r="86" spans="1:18" x14ac:dyDescent="0.25">
      <c r="A86" t="s">
        <v>1169</v>
      </c>
      <c r="B86" t="s">
        <v>1611</v>
      </c>
      <c r="C86" t="s">
        <v>3492</v>
      </c>
      <c r="D86" t="s">
        <v>4828</v>
      </c>
      <c r="E86" t="s">
        <v>2579</v>
      </c>
      <c r="F86" t="s">
        <v>2544</v>
      </c>
      <c r="G86" t="s">
        <v>4829</v>
      </c>
      <c r="H86" s="74">
        <v>33592</v>
      </c>
      <c r="I86" s="68" t="s">
        <v>2562</v>
      </c>
      <c r="J86" s="68" t="s">
        <v>2724</v>
      </c>
      <c r="K86" s="68" t="s">
        <v>2608</v>
      </c>
      <c r="L86" t="s">
        <v>1697</v>
      </c>
      <c r="M86" t="s">
        <v>3685</v>
      </c>
      <c r="N86" t="s">
        <v>1647</v>
      </c>
      <c r="O86" t="s">
        <v>1949</v>
      </c>
      <c r="R86" t="s">
        <v>4830</v>
      </c>
    </row>
    <row r="87" spans="1:18" x14ac:dyDescent="0.25">
      <c r="A87" t="s">
        <v>1211</v>
      </c>
      <c r="B87" t="s">
        <v>1599</v>
      </c>
      <c r="C87" t="s">
        <v>3330</v>
      </c>
      <c r="D87" t="s">
        <v>4083</v>
      </c>
      <c r="E87" t="s">
        <v>2554</v>
      </c>
      <c r="F87" t="s">
        <v>2544</v>
      </c>
      <c r="G87" t="s">
        <v>4084</v>
      </c>
      <c r="H87" s="74">
        <v>32975</v>
      </c>
      <c r="I87" s="68" t="s">
        <v>2831</v>
      </c>
      <c r="J87" s="68" t="s">
        <v>4085</v>
      </c>
      <c r="K87" s="68" t="s">
        <v>2547</v>
      </c>
      <c r="L87" t="s">
        <v>1940</v>
      </c>
      <c r="M87" t="s">
        <v>4086</v>
      </c>
      <c r="N87" t="s">
        <v>1647</v>
      </c>
      <c r="O87" t="s">
        <v>1949</v>
      </c>
      <c r="R87" t="s">
        <v>4087</v>
      </c>
    </row>
    <row r="88" spans="1:18" x14ac:dyDescent="0.25">
      <c r="A88" t="s">
        <v>1127</v>
      </c>
      <c r="B88" t="s">
        <v>1591</v>
      </c>
      <c r="C88" t="s">
        <v>3633</v>
      </c>
      <c r="D88" t="s">
        <v>4367</v>
      </c>
      <c r="E88" t="s">
        <v>2592</v>
      </c>
      <c r="F88" t="s">
        <v>2544</v>
      </c>
      <c r="G88" t="s">
        <v>4368</v>
      </c>
      <c r="H88" s="74">
        <v>32694</v>
      </c>
      <c r="I88" s="68" t="s">
        <v>2703</v>
      </c>
      <c r="J88" s="68" t="s">
        <v>4085</v>
      </c>
      <c r="K88" s="68" t="s">
        <v>2651</v>
      </c>
      <c r="L88" t="s">
        <v>1948</v>
      </c>
      <c r="M88" t="s">
        <v>4369</v>
      </c>
      <c r="N88" t="s">
        <v>1627</v>
      </c>
      <c r="O88" t="s">
        <v>1950</v>
      </c>
      <c r="R88" t="s">
        <v>4370</v>
      </c>
    </row>
    <row r="89" spans="1:18" x14ac:dyDescent="0.25">
      <c r="A89" t="s">
        <v>1231</v>
      </c>
      <c r="B89" t="s">
        <v>1607</v>
      </c>
      <c r="C89" t="s">
        <v>2963</v>
      </c>
      <c r="D89" t="s">
        <v>5251</v>
      </c>
      <c r="E89" t="s">
        <v>2559</v>
      </c>
      <c r="F89" t="s">
        <v>2544</v>
      </c>
      <c r="G89" t="s">
        <v>5252</v>
      </c>
      <c r="H89" s="74">
        <v>33749</v>
      </c>
      <c r="I89" s="68" t="s">
        <v>2562</v>
      </c>
      <c r="J89" s="68" t="s">
        <v>4085</v>
      </c>
      <c r="K89" s="68" t="s">
        <v>2587</v>
      </c>
      <c r="L89" t="s">
        <v>1659</v>
      </c>
      <c r="M89" t="s">
        <v>2972</v>
      </c>
      <c r="N89" t="s">
        <v>1648</v>
      </c>
      <c r="O89" t="s">
        <v>1949</v>
      </c>
      <c r="R89" t="s">
        <v>5253</v>
      </c>
    </row>
    <row r="90" spans="1:18" x14ac:dyDescent="0.25">
      <c r="A90" t="s">
        <v>1239</v>
      </c>
      <c r="B90" t="s">
        <v>1612</v>
      </c>
      <c r="C90" t="s">
        <v>3123</v>
      </c>
      <c r="D90" t="s">
        <v>5426</v>
      </c>
      <c r="E90" t="s">
        <v>2776</v>
      </c>
      <c r="F90" t="s">
        <v>2636</v>
      </c>
      <c r="G90" t="s">
        <v>5427</v>
      </c>
      <c r="H90" s="74">
        <v>33277</v>
      </c>
      <c r="I90" s="68" t="s">
        <v>2970</v>
      </c>
      <c r="J90" s="68" t="s">
        <v>4085</v>
      </c>
      <c r="K90" s="68" t="s">
        <v>2546</v>
      </c>
      <c r="L90" t="s">
        <v>1792</v>
      </c>
      <c r="M90" t="s">
        <v>3521</v>
      </c>
      <c r="N90" t="s">
        <v>1648</v>
      </c>
      <c r="O90" t="s">
        <v>1949</v>
      </c>
      <c r="R90" t="s">
        <v>5428</v>
      </c>
    </row>
    <row r="91" spans="1:18" x14ac:dyDescent="0.25">
      <c r="A91" t="s">
        <v>1172</v>
      </c>
      <c r="B91" t="s">
        <v>1615</v>
      </c>
      <c r="C91" t="s">
        <v>3206</v>
      </c>
      <c r="D91" t="s">
        <v>5478</v>
      </c>
      <c r="E91" t="s">
        <v>2657</v>
      </c>
      <c r="F91" t="s">
        <v>2584</v>
      </c>
      <c r="G91" t="s">
        <v>5479</v>
      </c>
      <c r="H91" s="74">
        <v>32946</v>
      </c>
      <c r="I91" s="68" t="s">
        <v>2831</v>
      </c>
      <c r="J91" s="68" t="s">
        <v>4085</v>
      </c>
      <c r="K91" s="68" t="s">
        <v>2587</v>
      </c>
      <c r="L91" t="s">
        <v>1747</v>
      </c>
      <c r="M91" t="s">
        <v>2690</v>
      </c>
      <c r="N91" t="s">
        <v>1648</v>
      </c>
      <c r="O91" t="s">
        <v>1949</v>
      </c>
      <c r="R91" t="s">
        <v>5480</v>
      </c>
    </row>
    <row r="92" spans="1:18" x14ac:dyDescent="0.25">
      <c r="A92" t="s">
        <v>1180</v>
      </c>
      <c r="B92" t="s">
        <v>1587</v>
      </c>
      <c r="C92" t="s">
        <v>3604</v>
      </c>
      <c r="D92" t="s">
        <v>4337</v>
      </c>
      <c r="E92" t="s">
        <v>2543</v>
      </c>
      <c r="F92" t="s">
        <v>2544</v>
      </c>
      <c r="G92" t="s">
        <v>4338</v>
      </c>
      <c r="H92" s="74">
        <v>34468</v>
      </c>
      <c r="I92" s="68" t="s">
        <v>2594</v>
      </c>
      <c r="J92" s="68" t="s">
        <v>4339</v>
      </c>
      <c r="K92" s="68" t="s">
        <v>2651</v>
      </c>
      <c r="L92" t="s">
        <v>1665</v>
      </c>
      <c r="M92" t="s">
        <v>2759</v>
      </c>
      <c r="N92" t="s">
        <v>43</v>
      </c>
      <c r="O92" t="s">
        <v>1949</v>
      </c>
      <c r="R92" t="s">
        <v>4340</v>
      </c>
    </row>
    <row r="93" spans="1:18" x14ac:dyDescent="0.25">
      <c r="A93" t="s">
        <v>1294</v>
      </c>
      <c r="B93" t="s">
        <v>1590</v>
      </c>
      <c r="C93" t="s">
        <v>2717</v>
      </c>
      <c r="D93" t="s">
        <v>5055</v>
      </c>
      <c r="E93" t="s">
        <v>2592</v>
      </c>
      <c r="F93" t="s">
        <v>2544</v>
      </c>
      <c r="G93" t="s">
        <v>5056</v>
      </c>
      <c r="H93" s="74">
        <v>32662</v>
      </c>
      <c r="I93" s="68" t="s">
        <v>2703</v>
      </c>
      <c r="J93" s="68" t="s">
        <v>4339</v>
      </c>
      <c r="K93" s="68" t="s">
        <v>2543</v>
      </c>
      <c r="L93" t="s">
        <v>1761</v>
      </c>
      <c r="M93" t="s">
        <v>3739</v>
      </c>
      <c r="N93" t="s">
        <v>1648</v>
      </c>
      <c r="O93" t="s">
        <v>1949</v>
      </c>
      <c r="R93" t="s">
        <v>5057</v>
      </c>
    </row>
    <row r="94" spans="1:18" x14ac:dyDescent="0.25">
      <c r="A94" t="s">
        <v>1130</v>
      </c>
      <c r="B94" t="s">
        <v>1592</v>
      </c>
      <c r="C94" t="s">
        <v>2761</v>
      </c>
      <c r="D94" t="s">
        <v>5064</v>
      </c>
      <c r="E94" t="s">
        <v>2608</v>
      </c>
      <c r="F94" t="s">
        <v>2584</v>
      </c>
      <c r="G94" t="s">
        <v>5065</v>
      </c>
      <c r="H94" s="74">
        <v>33484</v>
      </c>
      <c r="I94" s="68" t="s">
        <v>2970</v>
      </c>
      <c r="J94" s="68" t="s">
        <v>4339</v>
      </c>
      <c r="K94" s="68" t="s">
        <v>2657</v>
      </c>
      <c r="L94" t="s">
        <v>1668</v>
      </c>
      <c r="M94" t="s">
        <v>3084</v>
      </c>
      <c r="N94" t="s">
        <v>1648</v>
      </c>
      <c r="O94" t="s">
        <v>1949</v>
      </c>
      <c r="R94" t="s">
        <v>5066</v>
      </c>
    </row>
    <row r="95" spans="1:18" x14ac:dyDescent="0.25">
      <c r="A95" t="s">
        <v>1137</v>
      </c>
      <c r="B95" t="s">
        <v>1596</v>
      </c>
      <c r="C95" t="s">
        <v>2836</v>
      </c>
      <c r="D95" t="s">
        <v>5169</v>
      </c>
      <c r="E95" t="s">
        <v>2592</v>
      </c>
      <c r="F95" t="s">
        <v>2584</v>
      </c>
      <c r="G95" t="s">
        <v>5170</v>
      </c>
      <c r="H95" s="74">
        <v>34738</v>
      </c>
      <c r="I95" s="68" t="s">
        <v>2653</v>
      </c>
      <c r="J95" s="68" t="s">
        <v>4339</v>
      </c>
      <c r="K95" s="68" t="s">
        <v>2651</v>
      </c>
      <c r="L95" t="s">
        <v>1654</v>
      </c>
      <c r="M95" t="s">
        <v>2844</v>
      </c>
      <c r="N95" t="s">
        <v>1648</v>
      </c>
      <c r="O95" t="s">
        <v>1949</v>
      </c>
      <c r="R95" t="s">
        <v>5171</v>
      </c>
    </row>
    <row r="96" spans="1:18" x14ac:dyDescent="0.25">
      <c r="A96" t="s">
        <v>1231</v>
      </c>
      <c r="B96" t="s">
        <v>1607</v>
      </c>
      <c r="C96" t="s">
        <v>2963</v>
      </c>
      <c r="D96" t="s">
        <v>5258</v>
      </c>
      <c r="E96" t="s">
        <v>2776</v>
      </c>
      <c r="F96" t="s">
        <v>2636</v>
      </c>
      <c r="G96" t="s">
        <v>5259</v>
      </c>
      <c r="H96" s="74">
        <v>33469</v>
      </c>
      <c r="I96" s="68" t="s">
        <v>2970</v>
      </c>
      <c r="J96" s="68" t="s">
        <v>4339</v>
      </c>
      <c r="K96" s="68" t="s">
        <v>2679</v>
      </c>
      <c r="L96" t="s">
        <v>1659</v>
      </c>
      <c r="M96" t="s">
        <v>2972</v>
      </c>
      <c r="N96" t="s">
        <v>1648</v>
      </c>
      <c r="O96" t="s">
        <v>1949</v>
      </c>
      <c r="R96" t="s">
        <v>5260</v>
      </c>
    </row>
    <row r="97" spans="1:18" x14ac:dyDescent="0.25">
      <c r="A97" t="s">
        <v>1131</v>
      </c>
      <c r="B97" t="s">
        <v>1594</v>
      </c>
      <c r="C97" t="s">
        <v>3663</v>
      </c>
      <c r="D97" t="s">
        <v>3690</v>
      </c>
      <c r="E97" t="s">
        <v>2587</v>
      </c>
      <c r="F97" t="s">
        <v>2544</v>
      </c>
      <c r="G97" t="s">
        <v>3691</v>
      </c>
      <c r="H97" s="74">
        <v>33021</v>
      </c>
      <c r="I97" s="68" t="s">
        <v>2831</v>
      </c>
      <c r="J97" s="68" t="s">
        <v>3692</v>
      </c>
      <c r="K97" s="68" t="s">
        <v>2548</v>
      </c>
      <c r="L97" t="s">
        <v>1655</v>
      </c>
      <c r="M97" t="s">
        <v>3607</v>
      </c>
      <c r="N97" t="s">
        <v>43</v>
      </c>
      <c r="O97" t="s">
        <v>1949</v>
      </c>
      <c r="R97" t="s">
        <v>3693</v>
      </c>
    </row>
    <row r="98" spans="1:18" x14ac:dyDescent="0.25">
      <c r="A98" t="s">
        <v>1131</v>
      </c>
      <c r="B98" t="s">
        <v>1594</v>
      </c>
      <c r="C98" t="s">
        <v>3663</v>
      </c>
      <c r="D98" t="s">
        <v>4388</v>
      </c>
      <c r="E98" t="s">
        <v>2608</v>
      </c>
      <c r="F98" t="s">
        <v>2584</v>
      </c>
      <c r="G98" t="s">
        <v>4389</v>
      </c>
      <c r="H98" s="74">
        <v>33041</v>
      </c>
      <c r="I98" s="68" t="s">
        <v>2831</v>
      </c>
      <c r="J98" s="68" t="s">
        <v>3692</v>
      </c>
      <c r="K98" s="68" t="s">
        <v>2587</v>
      </c>
      <c r="L98" t="s">
        <v>1676</v>
      </c>
      <c r="M98" t="s">
        <v>3615</v>
      </c>
      <c r="N98" t="s">
        <v>43</v>
      </c>
      <c r="O98" t="s">
        <v>1949</v>
      </c>
      <c r="R98" t="s">
        <v>4390</v>
      </c>
    </row>
    <row r="99" spans="1:18" x14ac:dyDescent="0.25">
      <c r="A99" t="s">
        <v>1231</v>
      </c>
      <c r="B99" t="s">
        <v>1607</v>
      </c>
      <c r="C99" t="s">
        <v>2963</v>
      </c>
      <c r="D99" t="s">
        <v>5248</v>
      </c>
      <c r="E99" t="s">
        <v>2657</v>
      </c>
      <c r="F99" t="s">
        <v>2584</v>
      </c>
      <c r="G99" t="s">
        <v>5249</v>
      </c>
      <c r="H99" s="74">
        <v>32721</v>
      </c>
      <c r="I99" s="68" t="s">
        <v>2703</v>
      </c>
      <c r="J99" s="68" t="s">
        <v>3692</v>
      </c>
      <c r="K99" s="68" t="s">
        <v>2608</v>
      </c>
      <c r="L99" t="s">
        <v>1659</v>
      </c>
      <c r="M99" t="s">
        <v>2972</v>
      </c>
      <c r="N99" t="s">
        <v>1648</v>
      </c>
      <c r="O99" t="s">
        <v>1949</v>
      </c>
      <c r="R99" t="s">
        <v>5250</v>
      </c>
    </row>
    <row r="100" spans="1:18" x14ac:dyDescent="0.25">
      <c r="A100" t="s">
        <v>1230</v>
      </c>
      <c r="B100" t="s">
        <v>1606</v>
      </c>
      <c r="C100" t="s">
        <v>3035</v>
      </c>
      <c r="D100" t="s">
        <v>5320</v>
      </c>
      <c r="E100" t="s">
        <v>2679</v>
      </c>
      <c r="F100" t="s">
        <v>2544</v>
      </c>
      <c r="G100" t="s">
        <v>5321</v>
      </c>
      <c r="H100" s="74">
        <v>32968</v>
      </c>
      <c r="I100" s="68" t="s">
        <v>2831</v>
      </c>
      <c r="J100" s="68" t="s">
        <v>3692</v>
      </c>
      <c r="K100" s="68" t="s">
        <v>2543</v>
      </c>
      <c r="L100" t="s">
        <v>1672</v>
      </c>
      <c r="M100" t="s">
        <v>3079</v>
      </c>
      <c r="N100" t="s">
        <v>1648</v>
      </c>
      <c r="O100" t="s">
        <v>1949</v>
      </c>
      <c r="R100" t="s">
        <v>5322</v>
      </c>
    </row>
    <row r="101" spans="1:18" x14ac:dyDescent="0.25">
      <c r="A101" t="s">
        <v>1294</v>
      </c>
      <c r="B101" t="s">
        <v>1590</v>
      </c>
      <c r="C101" t="s">
        <v>2717</v>
      </c>
      <c r="D101" t="s">
        <v>2737</v>
      </c>
      <c r="E101" t="s">
        <v>2614</v>
      </c>
      <c r="F101" t="s">
        <v>2544</v>
      </c>
      <c r="G101" t="s">
        <v>2738</v>
      </c>
      <c r="H101" s="74">
        <v>36249</v>
      </c>
      <c r="I101" s="68" t="s">
        <v>2627</v>
      </c>
      <c r="J101" s="68" t="s">
        <v>2657</v>
      </c>
      <c r="K101" s="68" t="s">
        <v>2548</v>
      </c>
      <c r="L101" t="s">
        <v>1918</v>
      </c>
      <c r="M101" t="s">
        <v>2739</v>
      </c>
      <c r="N101" t="s">
        <v>1648</v>
      </c>
      <c r="O101" t="s">
        <v>1949</v>
      </c>
      <c r="R101" t="s">
        <v>2740</v>
      </c>
    </row>
    <row r="102" spans="1:18" x14ac:dyDescent="0.25">
      <c r="A102" t="s">
        <v>1130</v>
      </c>
      <c r="B102" t="s">
        <v>1592</v>
      </c>
      <c r="C102" t="s">
        <v>2761</v>
      </c>
      <c r="D102" t="s">
        <v>2770</v>
      </c>
      <c r="E102" t="s">
        <v>2555</v>
      </c>
      <c r="F102" t="s">
        <v>2544</v>
      </c>
      <c r="G102" t="s">
        <v>2771</v>
      </c>
      <c r="H102" s="74">
        <v>36082</v>
      </c>
      <c r="I102" s="68" t="s">
        <v>2546</v>
      </c>
      <c r="J102" s="68" t="s">
        <v>2657</v>
      </c>
      <c r="K102" s="68" t="s">
        <v>2548</v>
      </c>
      <c r="L102" t="s">
        <v>1692</v>
      </c>
      <c r="M102" t="s">
        <v>2772</v>
      </c>
      <c r="N102" t="s">
        <v>1648</v>
      </c>
      <c r="O102" t="s">
        <v>1949</v>
      </c>
      <c r="R102" t="s">
        <v>2773</v>
      </c>
    </row>
    <row r="103" spans="1:18" x14ac:dyDescent="0.25">
      <c r="A103" t="s">
        <v>1137</v>
      </c>
      <c r="B103" t="s">
        <v>1596</v>
      </c>
      <c r="C103" t="s">
        <v>2836</v>
      </c>
      <c r="D103" t="s">
        <v>2868</v>
      </c>
      <c r="E103" t="s">
        <v>2670</v>
      </c>
      <c r="F103" t="s">
        <v>2544</v>
      </c>
      <c r="G103" t="s">
        <v>2869</v>
      </c>
      <c r="H103" s="74">
        <v>34028</v>
      </c>
      <c r="I103" s="68" t="s">
        <v>2633</v>
      </c>
      <c r="J103" s="68" t="s">
        <v>2657</v>
      </c>
      <c r="K103" s="68" t="s">
        <v>2548</v>
      </c>
      <c r="L103" t="s">
        <v>1700</v>
      </c>
      <c r="M103" t="s">
        <v>2870</v>
      </c>
      <c r="N103" t="s">
        <v>1648</v>
      </c>
      <c r="O103" t="s">
        <v>1949</v>
      </c>
      <c r="R103" t="s">
        <v>2871</v>
      </c>
    </row>
    <row r="104" spans="1:18" x14ac:dyDescent="0.25">
      <c r="A104" t="s">
        <v>1231</v>
      </c>
      <c r="B104" t="s">
        <v>1607</v>
      </c>
      <c r="C104" t="s">
        <v>2963</v>
      </c>
      <c r="D104" t="s">
        <v>3001</v>
      </c>
      <c r="E104" t="s">
        <v>2547</v>
      </c>
      <c r="F104" t="s">
        <v>2560</v>
      </c>
      <c r="G104" t="s">
        <v>3002</v>
      </c>
      <c r="H104" s="74">
        <v>35656</v>
      </c>
      <c r="I104" s="68" t="s">
        <v>2599</v>
      </c>
      <c r="J104" s="68" t="s">
        <v>2657</v>
      </c>
      <c r="K104" s="68" t="s">
        <v>2548</v>
      </c>
      <c r="L104" t="s">
        <v>1756</v>
      </c>
      <c r="M104" t="s">
        <v>3003</v>
      </c>
      <c r="N104" t="s">
        <v>1648</v>
      </c>
      <c r="O104" t="s">
        <v>1949</v>
      </c>
      <c r="R104" t="s">
        <v>3004</v>
      </c>
    </row>
    <row r="105" spans="1:18" x14ac:dyDescent="0.25">
      <c r="A105" t="s">
        <v>1292</v>
      </c>
      <c r="B105" t="s">
        <v>1601</v>
      </c>
      <c r="C105" t="s">
        <v>3005</v>
      </c>
      <c r="D105" t="s">
        <v>3022</v>
      </c>
      <c r="E105" t="s">
        <v>2651</v>
      </c>
      <c r="F105" t="s">
        <v>2544</v>
      </c>
      <c r="G105" t="s">
        <v>3023</v>
      </c>
      <c r="H105" s="74">
        <v>36090</v>
      </c>
      <c r="I105" s="68" t="s">
        <v>2546</v>
      </c>
      <c r="J105" s="68" t="s">
        <v>2657</v>
      </c>
      <c r="K105" s="68" t="s">
        <v>2548</v>
      </c>
      <c r="L105" t="s">
        <v>1846</v>
      </c>
      <c r="M105" t="s">
        <v>3024</v>
      </c>
      <c r="N105" t="s">
        <v>1648</v>
      </c>
      <c r="O105" t="s">
        <v>1949</v>
      </c>
      <c r="R105" t="s">
        <v>3025</v>
      </c>
    </row>
    <row r="106" spans="1:18" x14ac:dyDescent="0.25">
      <c r="A106" t="s">
        <v>1230</v>
      </c>
      <c r="B106" t="s">
        <v>1606</v>
      </c>
      <c r="C106" t="s">
        <v>3035</v>
      </c>
      <c r="D106" t="s">
        <v>3061</v>
      </c>
      <c r="E106" t="s">
        <v>2586</v>
      </c>
      <c r="F106" t="s">
        <v>2560</v>
      </c>
      <c r="G106" t="s">
        <v>3062</v>
      </c>
      <c r="H106" s="74">
        <v>35209</v>
      </c>
      <c r="I106" s="68" t="s">
        <v>2552</v>
      </c>
      <c r="J106" s="68" t="s">
        <v>2657</v>
      </c>
      <c r="K106" s="68" t="s">
        <v>2548</v>
      </c>
      <c r="L106" t="s">
        <v>1723</v>
      </c>
      <c r="M106" t="s">
        <v>3063</v>
      </c>
      <c r="N106" t="s">
        <v>1648</v>
      </c>
      <c r="O106" t="s">
        <v>1949</v>
      </c>
      <c r="R106" t="s">
        <v>3064</v>
      </c>
    </row>
    <row r="107" spans="1:18" x14ac:dyDescent="0.25">
      <c r="A107" t="s">
        <v>1164</v>
      </c>
      <c r="B107" t="s">
        <v>1609</v>
      </c>
      <c r="C107" t="s">
        <v>3081</v>
      </c>
      <c r="D107" t="s">
        <v>3108</v>
      </c>
      <c r="E107" t="s">
        <v>2627</v>
      </c>
      <c r="F107" t="s">
        <v>2560</v>
      </c>
      <c r="G107" t="s">
        <v>3109</v>
      </c>
      <c r="H107" s="74">
        <v>35481</v>
      </c>
      <c r="I107" s="68" t="s">
        <v>2599</v>
      </c>
      <c r="J107" s="68" t="s">
        <v>2657</v>
      </c>
      <c r="K107" s="68" t="s">
        <v>2548</v>
      </c>
      <c r="L107" t="s">
        <v>1701</v>
      </c>
      <c r="M107" t="s">
        <v>3110</v>
      </c>
      <c r="N107" t="s">
        <v>1648</v>
      </c>
      <c r="O107" t="s">
        <v>1949</v>
      </c>
      <c r="R107" t="s">
        <v>3111</v>
      </c>
    </row>
    <row r="108" spans="1:18" x14ac:dyDescent="0.25">
      <c r="A108" t="s">
        <v>1186</v>
      </c>
      <c r="B108" t="s">
        <v>1613</v>
      </c>
      <c r="C108" t="s">
        <v>3156</v>
      </c>
      <c r="D108" t="s">
        <v>3202</v>
      </c>
      <c r="E108" t="s">
        <v>2608</v>
      </c>
      <c r="F108" t="s">
        <v>2636</v>
      </c>
      <c r="G108" t="s">
        <v>3203</v>
      </c>
      <c r="H108" s="74">
        <v>37245</v>
      </c>
      <c r="I108" s="68" t="s">
        <v>2670</v>
      </c>
      <c r="J108" s="68" t="s">
        <v>2657</v>
      </c>
      <c r="K108" s="68" t="s">
        <v>2548</v>
      </c>
      <c r="L108" t="s">
        <v>1657</v>
      </c>
      <c r="M108" t="s">
        <v>3204</v>
      </c>
      <c r="N108" t="s">
        <v>1648</v>
      </c>
      <c r="O108" t="s">
        <v>1949</v>
      </c>
      <c r="R108" t="s">
        <v>3205</v>
      </c>
    </row>
    <row r="109" spans="1:18" x14ac:dyDescent="0.25">
      <c r="A109" t="s">
        <v>1157</v>
      </c>
      <c r="B109" t="s">
        <v>1604</v>
      </c>
      <c r="C109" t="s">
        <v>3391</v>
      </c>
      <c r="D109" t="s">
        <v>3399</v>
      </c>
      <c r="E109" t="s">
        <v>2679</v>
      </c>
      <c r="F109" t="s">
        <v>2584</v>
      </c>
      <c r="G109" t="s">
        <v>3400</v>
      </c>
      <c r="H109" s="74">
        <v>35698</v>
      </c>
      <c r="I109" s="68" t="s">
        <v>2599</v>
      </c>
      <c r="J109" s="68" t="s">
        <v>2657</v>
      </c>
      <c r="K109" s="68" t="s">
        <v>2548</v>
      </c>
      <c r="L109" t="s">
        <v>1711</v>
      </c>
      <c r="M109" t="s">
        <v>3401</v>
      </c>
      <c r="N109" t="s">
        <v>1647</v>
      </c>
      <c r="O109" t="s">
        <v>1949</v>
      </c>
      <c r="R109" t="s">
        <v>3402</v>
      </c>
    </row>
    <row r="110" spans="1:18" x14ac:dyDescent="0.25">
      <c r="A110" t="s">
        <v>1157</v>
      </c>
      <c r="B110" t="s">
        <v>1604</v>
      </c>
      <c r="C110" t="s">
        <v>3391</v>
      </c>
      <c r="D110" t="s">
        <v>3425</v>
      </c>
      <c r="E110" t="s">
        <v>2586</v>
      </c>
      <c r="F110" t="s">
        <v>2584</v>
      </c>
      <c r="G110" t="s">
        <v>3426</v>
      </c>
      <c r="H110" s="74">
        <v>37279</v>
      </c>
      <c r="I110" s="68" t="s">
        <v>2670</v>
      </c>
      <c r="J110" s="68" t="s">
        <v>2657</v>
      </c>
      <c r="K110" s="68" t="s">
        <v>2548</v>
      </c>
      <c r="L110" t="s">
        <v>1718</v>
      </c>
      <c r="M110" t="s">
        <v>3167</v>
      </c>
      <c r="N110" t="s">
        <v>1647</v>
      </c>
      <c r="O110" t="s">
        <v>1949</v>
      </c>
      <c r="R110" t="s">
        <v>3427</v>
      </c>
    </row>
    <row r="111" spans="1:18" x14ac:dyDescent="0.25">
      <c r="A111" t="s">
        <v>1127</v>
      </c>
      <c r="B111" t="s">
        <v>1591</v>
      </c>
      <c r="C111" t="s">
        <v>3633</v>
      </c>
      <c r="D111" t="s">
        <v>3660</v>
      </c>
      <c r="E111" t="s">
        <v>2587</v>
      </c>
      <c r="F111" t="s">
        <v>2544</v>
      </c>
      <c r="G111" t="s">
        <v>3661</v>
      </c>
      <c r="H111" s="74">
        <v>36618</v>
      </c>
      <c r="I111" s="68" t="s">
        <v>2579</v>
      </c>
      <c r="J111" s="68" t="s">
        <v>2657</v>
      </c>
      <c r="K111" s="68" t="s">
        <v>2548</v>
      </c>
      <c r="L111" t="s">
        <v>1654</v>
      </c>
      <c r="M111" t="s">
        <v>2844</v>
      </c>
      <c r="N111" t="s">
        <v>1627</v>
      </c>
      <c r="O111" t="s">
        <v>1950</v>
      </c>
      <c r="R111" t="s">
        <v>3662</v>
      </c>
    </row>
    <row r="112" spans="1:18" x14ac:dyDescent="0.25">
      <c r="A112" t="s">
        <v>1135</v>
      </c>
      <c r="B112" t="s">
        <v>1595</v>
      </c>
      <c r="C112" t="s">
        <v>3694</v>
      </c>
      <c r="D112" t="s">
        <v>3701</v>
      </c>
      <c r="E112" t="s">
        <v>2679</v>
      </c>
      <c r="F112" t="s">
        <v>2544</v>
      </c>
      <c r="G112" t="s">
        <v>3702</v>
      </c>
      <c r="H112" s="74">
        <v>36974</v>
      </c>
      <c r="I112" s="68" t="s">
        <v>2586</v>
      </c>
      <c r="J112" s="68" t="s">
        <v>2657</v>
      </c>
      <c r="K112" s="68" t="s">
        <v>2548</v>
      </c>
      <c r="L112" t="s">
        <v>1667</v>
      </c>
      <c r="M112" t="s">
        <v>3550</v>
      </c>
      <c r="N112" t="s">
        <v>1617</v>
      </c>
      <c r="O112" t="s">
        <v>1950</v>
      </c>
      <c r="R112" t="s">
        <v>3703</v>
      </c>
    </row>
    <row r="113" spans="1:18" x14ac:dyDescent="0.25">
      <c r="A113" t="s">
        <v>1158</v>
      </c>
      <c r="B113" t="s">
        <v>1605</v>
      </c>
      <c r="C113" t="s">
        <v>3809</v>
      </c>
      <c r="D113" t="s">
        <v>3827</v>
      </c>
      <c r="E113" t="s">
        <v>2579</v>
      </c>
      <c r="F113" t="s">
        <v>2560</v>
      </c>
      <c r="G113" t="s">
        <v>3828</v>
      </c>
      <c r="H113" s="74">
        <v>36422</v>
      </c>
      <c r="I113" s="68" t="s">
        <v>2627</v>
      </c>
      <c r="J113" s="68" t="s">
        <v>2657</v>
      </c>
      <c r="K113" s="68" t="s">
        <v>2548</v>
      </c>
      <c r="L113" t="s">
        <v>1688</v>
      </c>
      <c r="M113" t="s">
        <v>3117</v>
      </c>
      <c r="N113" t="s">
        <v>43</v>
      </c>
      <c r="O113" t="s">
        <v>1949</v>
      </c>
      <c r="R113" t="s">
        <v>3829</v>
      </c>
    </row>
    <row r="114" spans="1:18" x14ac:dyDescent="0.25">
      <c r="A114" t="s">
        <v>1180</v>
      </c>
      <c r="B114" t="s">
        <v>1587</v>
      </c>
      <c r="C114" t="s">
        <v>3604</v>
      </c>
      <c r="D114" t="s">
        <v>3870</v>
      </c>
      <c r="E114" t="s">
        <v>2586</v>
      </c>
      <c r="F114" t="s">
        <v>2636</v>
      </c>
      <c r="G114" t="s">
        <v>3871</v>
      </c>
      <c r="H114" s="74">
        <v>36900</v>
      </c>
      <c r="I114" s="68" t="s">
        <v>2586</v>
      </c>
      <c r="J114" s="68" t="s">
        <v>2657</v>
      </c>
      <c r="K114" s="68" t="s">
        <v>2547</v>
      </c>
      <c r="L114" t="s">
        <v>1658</v>
      </c>
      <c r="M114" t="s">
        <v>2575</v>
      </c>
      <c r="N114" t="s">
        <v>43</v>
      </c>
      <c r="O114" t="s">
        <v>1949</v>
      </c>
      <c r="R114" t="s">
        <v>3872</v>
      </c>
    </row>
    <row r="115" spans="1:18" x14ac:dyDescent="0.25">
      <c r="A115" t="s">
        <v>1167</v>
      </c>
      <c r="B115" t="s">
        <v>1610</v>
      </c>
      <c r="C115" t="s">
        <v>3301</v>
      </c>
      <c r="D115" t="s">
        <v>3989</v>
      </c>
      <c r="E115" t="s">
        <v>2679</v>
      </c>
      <c r="F115" t="s">
        <v>2636</v>
      </c>
      <c r="G115" t="s">
        <v>3990</v>
      </c>
      <c r="H115" s="74">
        <v>37549</v>
      </c>
      <c r="I115" s="68" t="s">
        <v>2670</v>
      </c>
      <c r="J115" s="68" t="s">
        <v>2657</v>
      </c>
      <c r="K115" s="68" t="s">
        <v>2547</v>
      </c>
      <c r="L115" t="s">
        <v>1702</v>
      </c>
      <c r="M115" t="s">
        <v>3490</v>
      </c>
      <c r="N115" t="s">
        <v>1647</v>
      </c>
      <c r="O115" t="s">
        <v>1949</v>
      </c>
      <c r="R115" t="s">
        <v>3991</v>
      </c>
    </row>
    <row r="116" spans="1:18" x14ac:dyDescent="0.25">
      <c r="A116" t="s">
        <v>1135</v>
      </c>
      <c r="B116" t="s">
        <v>1595</v>
      </c>
      <c r="C116" t="s">
        <v>3694</v>
      </c>
      <c r="D116" t="s">
        <v>4010</v>
      </c>
      <c r="E116" t="s">
        <v>2583</v>
      </c>
      <c r="F116" t="s">
        <v>2544</v>
      </c>
      <c r="G116" t="s">
        <v>4011</v>
      </c>
      <c r="H116" s="74">
        <v>36095</v>
      </c>
      <c r="I116" s="68" t="s">
        <v>2546</v>
      </c>
      <c r="J116" s="68" t="s">
        <v>2657</v>
      </c>
      <c r="K116" s="68" t="s">
        <v>2547</v>
      </c>
      <c r="L116" t="s">
        <v>1654</v>
      </c>
      <c r="M116" t="s">
        <v>2844</v>
      </c>
      <c r="N116" t="s">
        <v>1617</v>
      </c>
      <c r="O116" t="s">
        <v>1950</v>
      </c>
      <c r="R116" t="s">
        <v>4012</v>
      </c>
    </row>
    <row r="117" spans="1:18" x14ac:dyDescent="0.25">
      <c r="A117" t="s">
        <v>1135</v>
      </c>
      <c r="B117" t="s">
        <v>1595</v>
      </c>
      <c r="C117" t="s">
        <v>3694</v>
      </c>
      <c r="D117" t="s">
        <v>4016</v>
      </c>
      <c r="E117" t="s">
        <v>2579</v>
      </c>
      <c r="F117" t="s">
        <v>2544</v>
      </c>
      <c r="G117" t="s">
        <v>4017</v>
      </c>
      <c r="H117" s="74">
        <v>35709</v>
      </c>
      <c r="I117" s="68" t="s">
        <v>2599</v>
      </c>
      <c r="J117" s="68" t="s">
        <v>2657</v>
      </c>
      <c r="K117" s="68" t="s">
        <v>2547</v>
      </c>
      <c r="L117" t="s">
        <v>1677</v>
      </c>
      <c r="M117" t="s">
        <v>3483</v>
      </c>
      <c r="N117" t="s">
        <v>1617</v>
      </c>
      <c r="O117" t="s">
        <v>1950</v>
      </c>
      <c r="R117" t="s">
        <v>4018</v>
      </c>
    </row>
    <row r="118" spans="1:18" x14ac:dyDescent="0.25">
      <c r="A118" t="s">
        <v>1244</v>
      </c>
      <c r="B118" t="s">
        <v>1597</v>
      </c>
      <c r="C118" t="s">
        <v>2876</v>
      </c>
      <c r="D118" t="s">
        <v>4037</v>
      </c>
      <c r="E118" t="s">
        <v>2681</v>
      </c>
      <c r="F118" t="s">
        <v>2584</v>
      </c>
      <c r="G118" t="s">
        <v>4038</v>
      </c>
      <c r="H118" s="74">
        <v>36142</v>
      </c>
      <c r="I118" s="68" t="s">
        <v>2627</v>
      </c>
      <c r="J118" s="68" t="s">
        <v>2657</v>
      </c>
      <c r="K118" s="68" t="s">
        <v>2547</v>
      </c>
      <c r="L118" t="s">
        <v>1743</v>
      </c>
      <c r="M118" t="s">
        <v>2624</v>
      </c>
      <c r="N118" t="s">
        <v>1648</v>
      </c>
      <c r="O118" t="s">
        <v>1949</v>
      </c>
      <c r="R118" t="s">
        <v>4039</v>
      </c>
    </row>
    <row r="119" spans="1:18" x14ac:dyDescent="0.25">
      <c r="A119" t="s">
        <v>1157</v>
      </c>
      <c r="B119" t="s">
        <v>1604</v>
      </c>
      <c r="C119" t="s">
        <v>3391</v>
      </c>
      <c r="D119" t="s">
        <v>4157</v>
      </c>
      <c r="E119" t="s">
        <v>2587</v>
      </c>
      <c r="F119" t="s">
        <v>2544</v>
      </c>
      <c r="G119" t="s">
        <v>4158</v>
      </c>
      <c r="H119" s="74">
        <v>35649</v>
      </c>
      <c r="I119" s="68" t="s">
        <v>2599</v>
      </c>
      <c r="J119" s="68" t="s">
        <v>2657</v>
      </c>
      <c r="K119" s="68" t="s">
        <v>2547</v>
      </c>
      <c r="L119" t="s">
        <v>1705</v>
      </c>
      <c r="M119" t="s">
        <v>3572</v>
      </c>
      <c r="N119" t="s">
        <v>1647</v>
      </c>
      <c r="O119" t="s">
        <v>1949</v>
      </c>
      <c r="R119" t="s">
        <v>4159</v>
      </c>
    </row>
    <row r="120" spans="1:18" x14ac:dyDescent="0.25">
      <c r="A120" t="s">
        <v>1172</v>
      </c>
      <c r="B120" t="s">
        <v>1615</v>
      </c>
      <c r="C120" t="s">
        <v>3206</v>
      </c>
      <c r="D120" t="s">
        <v>4260</v>
      </c>
      <c r="E120" t="s">
        <v>2599</v>
      </c>
      <c r="F120" t="s">
        <v>2584</v>
      </c>
      <c r="G120" t="s">
        <v>4261</v>
      </c>
      <c r="H120" s="74">
        <v>37373</v>
      </c>
      <c r="I120" s="68" t="s">
        <v>2670</v>
      </c>
      <c r="J120" s="68" t="s">
        <v>2657</v>
      </c>
      <c r="K120" s="68" t="s">
        <v>2547</v>
      </c>
      <c r="L120" t="s">
        <v>1771</v>
      </c>
      <c r="M120" t="s">
        <v>3209</v>
      </c>
      <c r="N120" t="s">
        <v>1648</v>
      </c>
      <c r="O120" t="s">
        <v>1949</v>
      </c>
      <c r="R120" t="s">
        <v>4262</v>
      </c>
    </row>
    <row r="121" spans="1:18" x14ac:dyDescent="0.25">
      <c r="A121" t="s">
        <v>1158</v>
      </c>
      <c r="B121" t="s">
        <v>1605</v>
      </c>
      <c r="C121" t="s">
        <v>3809</v>
      </c>
      <c r="D121" t="s">
        <v>4554</v>
      </c>
      <c r="E121" t="s">
        <v>2587</v>
      </c>
      <c r="F121" t="s">
        <v>2544</v>
      </c>
      <c r="G121" t="s">
        <v>4555</v>
      </c>
      <c r="H121" s="74">
        <v>36237</v>
      </c>
      <c r="I121" s="68" t="s">
        <v>2627</v>
      </c>
      <c r="J121" s="68" t="s">
        <v>2657</v>
      </c>
      <c r="K121" s="68" t="s">
        <v>2587</v>
      </c>
      <c r="L121" t="s">
        <v>1657</v>
      </c>
      <c r="M121" t="s">
        <v>3204</v>
      </c>
      <c r="N121" t="s">
        <v>43</v>
      </c>
      <c r="O121" t="s">
        <v>1949</v>
      </c>
      <c r="R121" t="s">
        <v>4556</v>
      </c>
    </row>
    <row r="122" spans="1:18" x14ac:dyDescent="0.25">
      <c r="A122" t="s">
        <v>1294</v>
      </c>
      <c r="B122" t="s">
        <v>1590</v>
      </c>
      <c r="C122" t="s">
        <v>2717</v>
      </c>
      <c r="D122" t="s">
        <v>5061</v>
      </c>
      <c r="E122" t="s">
        <v>2646</v>
      </c>
      <c r="F122" t="s">
        <v>2584</v>
      </c>
      <c r="G122" t="s">
        <v>5062</v>
      </c>
      <c r="H122" s="74">
        <v>38153</v>
      </c>
      <c r="I122" s="68" t="s">
        <v>2583</v>
      </c>
      <c r="J122" s="68" t="s">
        <v>2657</v>
      </c>
      <c r="K122" s="68" t="s">
        <v>2587</v>
      </c>
      <c r="L122" t="s">
        <v>1805</v>
      </c>
      <c r="M122" t="s">
        <v>4616</v>
      </c>
      <c r="N122" t="s">
        <v>1648</v>
      </c>
      <c r="O122" t="s">
        <v>1949</v>
      </c>
      <c r="R122" t="s">
        <v>5063</v>
      </c>
    </row>
    <row r="123" spans="1:18" x14ac:dyDescent="0.25">
      <c r="A123" t="s">
        <v>1244</v>
      </c>
      <c r="B123" t="s">
        <v>1597</v>
      </c>
      <c r="C123" t="s">
        <v>2876</v>
      </c>
      <c r="D123" t="s">
        <v>5181</v>
      </c>
      <c r="E123" t="s">
        <v>2559</v>
      </c>
      <c r="F123" t="s">
        <v>2584</v>
      </c>
      <c r="G123" t="s">
        <v>5182</v>
      </c>
      <c r="H123" s="74">
        <v>37068</v>
      </c>
      <c r="I123" s="68" t="s">
        <v>2586</v>
      </c>
      <c r="J123" s="68" t="s">
        <v>2657</v>
      </c>
      <c r="K123" s="68" t="s">
        <v>2555</v>
      </c>
      <c r="L123" t="s">
        <v>1869</v>
      </c>
      <c r="M123" t="s">
        <v>5183</v>
      </c>
      <c r="N123" t="s">
        <v>1648</v>
      </c>
      <c r="O123" t="s">
        <v>1949</v>
      </c>
      <c r="R123" t="s">
        <v>5184</v>
      </c>
    </row>
    <row r="124" spans="1:18" x14ac:dyDescent="0.25">
      <c r="A124" t="s">
        <v>1256</v>
      </c>
      <c r="B124" t="s">
        <v>1588</v>
      </c>
      <c r="C124" t="s">
        <v>2640</v>
      </c>
      <c r="D124" t="s">
        <v>5003</v>
      </c>
      <c r="E124" t="s">
        <v>2559</v>
      </c>
      <c r="F124" t="s">
        <v>2636</v>
      </c>
      <c r="G124" t="s">
        <v>5004</v>
      </c>
      <c r="H124" s="74">
        <v>32590</v>
      </c>
      <c r="I124" s="68" t="s">
        <v>2703</v>
      </c>
      <c r="J124" s="68" t="s">
        <v>5005</v>
      </c>
      <c r="K124" s="68" t="s">
        <v>2554</v>
      </c>
      <c r="L124" t="s">
        <v>1654</v>
      </c>
      <c r="M124" t="s">
        <v>2844</v>
      </c>
      <c r="N124" t="s">
        <v>1648</v>
      </c>
      <c r="O124" t="s">
        <v>1949</v>
      </c>
      <c r="R124" t="s">
        <v>5006</v>
      </c>
    </row>
    <row r="125" spans="1:18" x14ac:dyDescent="0.25">
      <c r="A125" t="s">
        <v>1239</v>
      </c>
      <c r="B125" t="s">
        <v>1612</v>
      </c>
      <c r="C125" t="s">
        <v>3123</v>
      </c>
      <c r="D125" t="s">
        <v>5399</v>
      </c>
      <c r="E125" t="s">
        <v>2627</v>
      </c>
      <c r="F125" t="s">
        <v>2636</v>
      </c>
      <c r="G125" t="s">
        <v>5400</v>
      </c>
      <c r="H125" s="74">
        <v>33812</v>
      </c>
      <c r="I125" s="68" t="s">
        <v>2562</v>
      </c>
      <c r="J125" s="68" t="s">
        <v>5005</v>
      </c>
      <c r="K125" s="68" t="s">
        <v>2601</v>
      </c>
      <c r="L125" t="s">
        <v>1816</v>
      </c>
      <c r="M125" t="s">
        <v>5401</v>
      </c>
      <c r="N125" t="s">
        <v>1648</v>
      </c>
      <c r="O125" t="s">
        <v>1949</v>
      </c>
      <c r="R125" t="s">
        <v>5402</v>
      </c>
    </row>
    <row r="126" spans="1:18" x14ac:dyDescent="0.25">
      <c r="A126" t="s">
        <v>1291</v>
      </c>
      <c r="B126" t="s">
        <v>1589</v>
      </c>
      <c r="C126" t="s">
        <v>2590</v>
      </c>
      <c r="D126" t="s">
        <v>2621</v>
      </c>
      <c r="E126" t="s">
        <v>2583</v>
      </c>
      <c r="F126" t="s">
        <v>2560</v>
      </c>
      <c r="G126" t="s">
        <v>2622</v>
      </c>
      <c r="H126" s="74">
        <v>32073</v>
      </c>
      <c r="I126" s="68" t="s">
        <v>2569</v>
      </c>
      <c r="J126" s="68" t="s">
        <v>2623</v>
      </c>
      <c r="K126" s="68" t="s">
        <v>2548</v>
      </c>
      <c r="L126" t="s">
        <v>1743</v>
      </c>
      <c r="M126" t="s">
        <v>2624</v>
      </c>
      <c r="N126" t="s">
        <v>1648</v>
      </c>
      <c r="O126" t="s">
        <v>1949</v>
      </c>
      <c r="R126" t="s">
        <v>2625</v>
      </c>
    </row>
    <row r="127" spans="1:18" x14ac:dyDescent="0.25">
      <c r="A127" t="s">
        <v>1183</v>
      </c>
      <c r="B127" t="s">
        <v>1593</v>
      </c>
      <c r="C127" t="s">
        <v>2789</v>
      </c>
      <c r="D127" t="s">
        <v>2798</v>
      </c>
      <c r="E127" t="s">
        <v>2579</v>
      </c>
      <c r="F127" t="s">
        <v>2560</v>
      </c>
      <c r="G127" t="s">
        <v>2799</v>
      </c>
      <c r="H127" s="74">
        <v>31933</v>
      </c>
      <c r="I127" s="68" t="s">
        <v>2569</v>
      </c>
      <c r="J127" s="68" t="s">
        <v>2623</v>
      </c>
      <c r="K127" s="68" t="s">
        <v>2548</v>
      </c>
      <c r="L127" t="s">
        <v>1882</v>
      </c>
      <c r="M127" t="s">
        <v>2800</v>
      </c>
      <c r="N127" t="s">
        <v>1648</v>
      </c>
      <c r="O127" t="s">
        <v>1949</v>
      </c>
      <c r="R127" t="s">
        <v>2801</v>
      </c>
    </row>
    <row r="128" spans="1:18" x14ac:dyDescent="0.25">
      <c r="A128" t="s">
        <v>1167</v>
      </c>
      <c r="B128" t="s">
        <v>1610</v>
      </c>
      <c r="C128" t="s">
        <v>3301</v>
      </c>
      <c r="D128" t="s">
        <v>3321</v>
      </c>
      <c r="E128" t="s">
        <v>2608</v>
      </c>
      <c r="F128" t="s">
        <v>2584</v>
      </c>
      <c r="G128" t="s">
        <v>3322</v>
      </c>
      <c r="H128" s="74">
        <v>33611</v>
      </c>
      <c r="I128" s="68" t="s">
        <v>2562</v>
      </c>
      <c r="J128" s="68" t="s">
        <v>2623</v>
      </c>
      <c r="K128" s="68" t="s">
        <v>2548</v>
      </c>
      <c r="L128" t="s">
        <v>1660</v>
      </c>
      <c r="M128" t="s">
        <v>3319</v>
      </c>
      <c r="N128" t="s">
        <v>1647</v>
      </c>
      <c r="O128" t="s">
        <v>1949</v>
      </c>
      <c r="R128" t="s">
        <v>3323</v>
      </c>
    </row>
    <row r="129" spans="1:18" x14ac:dyDescent="0.25">
      <c r="A129" t="s">
        <v>1130</v>
      </c>
      <c r="B129" t="s">
        <v>1592</v>
      </c>
      <c r="C129" t="s">
        <v>2761</v>
      </c>
      <c r="D129" t="s">
        <v>5072</v>
      </c>
      <c r="E129" t="s">
        <v>2670</v>
      </c>
      <c r="F129" t="s">
        <v>2636</v>
      </c>
      <c r="G129" t="s">
        <v>5073</v>
      </c>
      <c r="H129" s="74">
        <v>34500</v>
      </c>
      <c r="I129" s="68" t="s">
        <v>2594</v>
      </c>
      <c r="J129" s="68" t="s">
        <v>2623</v>
      </c>
      <c r="K129" s="68" t="s">
        <v>2681</v>
      </c>
      <c r="L129" t="s">
        <v>1678</v>
      </c>
      <c r="M129" t="s">
        <v>2839</v>
      </c>
      <c r="N129" t="s">
        <v>1648</v>
      </c>
      <c r="O129" t="s">
        <v>1949</v>
      </c>
      <c r="R129" t="s">
        <v>5074</v>
      </c>
    </row>
    <row r="130" spans="1:18" x14ac:dyDescent="0.25">
      <c r="A130" t="s">
        <v>1201</v>
      </c>
      <c r="B130" t="s">
        <v>1598</v>
      </c>
      <c r="C130" t="s">
        <v>2932</v>
      </c>
      <c r="D130" t="s">
        <v>5230</v>
      </c>
      <c r="E130" t="s">
        <v>2681</v>
      </c>
      <c r="F130" t="s">
        <v>2584</v>
      </c>
      <c r="G130" t="s">
        <v>5231</v>
      </c>
      <c r="H130" s="74">
        <v>32235</v>
      </c>
      <c r="I130" s="68" t="s">
        <v>2568</v>
      </c>
      <c r="J130" s="68" t="s">
        <v>2623</v>
      </c>
      <c r="K130" s="68" t="s">
        <v>2587</v>
      </c>
      <c r="L130" t="s">
        <v>1715</v>
      </c>
      <c r="M130" t="s">
        <v>2957</v>
      </c>
      <c r="N130" t="s">
        <v>1648</v>
      </c>
      <c r="O130" t="s">
        <v>1949</v>
      </c>
      <c r="R130" t="s">
        <v>5232</v>
      </c>
    </row>
    <row r="131" spans="1:18" x14ac:dyDescent="0.25">
      <c r="A131" t="s">
        <v>1212</v>
      </c>
      <c r="B131" t="s">
        <v>1600</v>
      </c>
      <c r="C131" t="s">
        <v>3357</v>
      </c>
      <c r="D131" t="s">
        <v>3358</v>
      </c>
      <c r="E131" t="s">
        <v>2547</v>
      </c>
      <c r="F131" t="s">
        <v>2560</v>
      </c>
      <c r="G131" t="s">
        <v>3359</v>
      </c>
      <c r="H131" s="74">
        <v>33146</v>
      </c>
      <c r="I131" s="68" t="s">
        <v>2831</v>
      </c>
      <c r="J131" s="68" t="s">
        <v>3360</v>
      </c>
      <c r="K131" s="68" t="s">
        <v>2548</v>
      </c>
      <c r="L131" t="s">
        <v>1690</v>
      </c>
      <c r="M131" t="s">
        <v>2976</v>
      </c>
      <c r="N131" t="s">
        <v>1647</v>
      </c>
      <c r="O131" t="s">
        <v>1949</v>
      </c>
      <c r="R131" t="s">
        <v>3361</v>
      </c>
    </row>
    <row r="132" spans="1:18" x14ac:dyDescent="0.25">
      <c r="A132" t="s">
        <v>1291</v>
      </c>
      <c r="B132" t="s">
        <v>1589</v>
      </c>
      <c r="C132" t="s">
        <v>2590</v>
      </c>
      <c r="D132" t="s">
        <v>2591</v>
      </c>
      <c r="E132" t="s">
        <v>2592</v>
      </c>
      <c r="F132" t="s">
        <v>2584</v>
      </c>
      <c r="G132" t="s">
        <v>2593</v>
      </c>
      <c r="H132" s="74">
        <v>34650</v>
      </c>
      <c r="I132" s="68" t="s">
        <v>2594</v>
      </c>
      <c r="J132" s="68" t="s">
        <v>2595</v>
      </c>
      <c r="K132" s="68" t="s">
        <v>2548</v>
      </c>
      <c r="L132" t="s">
        <v>1682</v>
      </c>
      <c r="M132" t="s">
        <v>2596</v>
      </c>
      <c r="N132" t="s">
        <v>1648</v>
      </c>
      <c r="O132" t="s">
        <v>1949</v>
      </c>
      <c r="R132" t="s">
        <v>2597</v>
      </c>
    </row>
    <row r="133" spans="1:18" x14ac:dyDescent="0.25">
      <c r="A133" t="s">
        <v>1157</v>
      </c>
      <c r="B133" t="s">
        <v>1604</v>
      </c>
      <c r="C133" t="s">
        <v>3391</v>
      </c>
      <c r="D133" t="s">
        <v>3395</v>
      </c>
      <c r="E133" t="s">
        <v>2547</v>
      </c>
      <c r="F133" t="s">
        <v>2560</v>
      </c>
      <c r="G133" t="s">
        <v>3396</v>
      </c>
      <c r="H133" s="74">
        <v>32981</v>
      </c>
      <c r="I133" s="68" t="s">
        <v>2831</v>
      </c>
      <c r="J133" s="68" t="s">
        <v>2595</v>
      </c>
      <c r="K133" s="68" t="s">
        <v>2548</v>
      </c>
      <c r="L133" t="s">
        <v>1664</v>
      </c>
      <c r="M133" t="s">
        <v>3397</v>
      </c>
      <c r="N133" t="s">
        <v>1647</v>
      </c>
      <c r="O133" t="s">
        <v>1949</v>
      </c>
      <c r="R133" t="s">
        <v>3398</v>
      </c>
    </row>
    <row r="134" spans="1:18" x14ac:dyDescent="0.25">
      <c r="A134" t="s">
        <v>1238</v>
      </c>
      <c r="B134" t="s">
        <v>1602</v>
      </c>
      <c r="C134" t="s">
        <v>3732</v>
      </c>
      <c r="D134" t="s">
        <v>4122</v>
      </c>
      <c r="E134" t="s">
        <v>2592</v>
      </c>
      <c r="F134" t="s">
        <v>2544</v>
      </c>
      <c r="G134" t="s">
        <v>4123</v>
      </c>
      <c r="H134" s="74">
        <v>32958</v>
      </c>
      <c r="I134" s="68" t="s">
        <v>2831</v>
      </c>
      <c r="J134" s="68" t="s">
        <v>2595</v>
      </c>
      <c r="K134" s="68" t="s">
        <v>2547</v>
      </c>
      <c r="L134" t="s">
        <v>1708</v>
      </c>
      <c r="M134" t="s">
        <v>2659</v>
      </c>
      <c r="N134" t="s">
        <v>1628</v>
      </c>
      <c r="O134" t="s">
        <v>1950</v>
      </c>
      <c r="R134" t="s">
        <v>4124</v>
      </c>
    </row>
    <row r="135" spans="1:18" x14ac:dyDescent="0.25">
      <c r="A135" t="s">
        <v>1212</v>
      </c>
      <c r="B135" t="s">
        <v>1600</v>
      </c>
      <c r="C135" t="s">
        <v>3357</v>
      </c>
      <c r="D135" t="s">
        <v>4729</v>
      </c>
      <c r="E135" t="s">
        <v>2651</v>
      </c>
      <c r="F135" t="s">
        <v>2584</v>
      </c>
      <c r="G135" t="s">
        <v>4730</v>
      </c>
      <c r="H135" s="74">
        <v>32856</v>
      </c>
      <c r="I135" s="68" t="s">
        <v>2831</v>
      </c>
      <c r="J135" s="68" t="s">
        <v>2595</v>
      </c>
      <c r="K135" s="68" t="s">
        <v>2555</v>
      </c>
      <c r="L135" t="s">
        <v>1656</v>
      </c>
      <c r="M135" t="s">
        <v>3042</v>
      </c>
      <c r="N135" t="s">
        <v>1647</v>
      </c>
      <c r="O135" t="s">
        <v>1949</v>
      </c>
      <c r="R135" t="s">
        <v>4731</v>
      </c>
    </row>
    <row r="136" spans="1:18" x14ac:dyDescent="0.25">
      <c r="A136" t="s">
        <v>1180</v>
      </c>
      <c r="B136" t="s">
        <v>1587</v>
      </c>
      <c r="C136" t="s">
        <v>3604</v>
      </c>
      <c r="D136" t="s">
        <v>4322</v>
      </c>
      <c r="E136" t="s">
        <v>2651</v>
      </c>
      <c r="F136" t="s">
        <v>2584</v>
      </c>
      <c r="G136" t="s">
        <v>4323</v>
      </c>
      <c r="H136" s="74">
        <v>33657</v>
      </c>
      <c r="I136" s="68" t="s">
        <v>2562</v>
      </c>
      <c r="J136" s="68" t="s">
        <v>4324</v>
      </c>
      <c r="K136" s="68" t="s">
        <v>2651</v>
      </c>
      <c r="L136" t="s">
        <v>1657</v>
      </c>
      <c r="M136" t="s">
        <v>3204</v>
      </c>
      <c r="N136" t="s">
        <v>43</v>
      </c>
      <c r="O136" t="s">
        <v>1949</v>
      </c>
      <c r="R136" t="s">
        <v>4325</v>
      </c>
    </row>
    <row r="137" spans="1:18" x14ac:dyDescent="0.25">
      <c r="A137" t="s">
        <v>1201</v>
      </c>
      <c r="B137" t="s">
        <v>1598</v>
      </c>
      <c r="C137" t="s">
        <v>2932</v>
      </c>
      <c r="D137" t="s">
        <v>5213</v>
      </c>
      <c r="E137" t="s">
        <v>2670</v>
      </c>
      <c r="F137" t="s">
        <v>2636</v>
      </c>
      <c r="G137" t="s">
        <v>5214</v>
      </c>
      <c r="H137" s="74">
        <v>34700</v>
      </c>
      <c r="I137" s="68" t="s">
        <v>2653</v>
      </c>
      <c r="J137" s="68" t="s">
        <v>4324</v>
      </c>
      <c r="K137" s="68" t="s">
        <v>4214</v>
      </c>
      <c r="L137" t="s">
        <v>1707</v>
      </c>
      <c r="M137" t="s">
        <v>3565</v>
      </c>
      <c r="N137" t="s">
        <v>1648</v>
      </c>
      <c r="O137" t="s">
        <v>1949</v>
      </c>
      <c r="R137" t="s">
        <v>5215</v>
      </c>
    </row>
    <row r="138" spans="1:18" x14ac:dyDescent="0.25">
      <c r="A138" t="s">
        <v>1253</v>
      </c>
      <c r="B138" t="s">
        <v>1608</v>
      </c>
      <c r="C138" t="s">
        <v>3431</v>
      </c>
      <c r="D138" t="s">
        <v>3461</v>
      </c>
      <c r="E138" t="s">
        <v>2555</v>
      </c>
      <c r="F138" t="s">
        <v>2544</v>
      </c>
      <c r="G138" t="s">
        <v>3462</v>
      </c>
      <c r="H138" s="74">
        <v>33409</v>
      </c>
      <c r="I138" s="68" t="s">
        <v>2970</v>
      </c>
      <c r="J138" s="68" t="s">
        <v>3463</v>
      </c>
      <c r="K138" s="68" t="s">
        <v>2548</v>
      </c>
      <c r="L138" t="s">
        <v>1661</v>
      </c>
      <c r="M138" t="s">
        <v>3445</v>
      </c>
      <c r="N138" t="s">
        <v>1647</v>
      </c>
      <c r="O138" t="s">
        <v>1949</v>
      </c>
      <c r="R138" t="s">
        <v>3464</v>
      </c>
    </row>
    <row r="139" spans="1:18" x14ac:dyDescent="0.25">
      <c r="A139" t="s">
        <v>1212</v>
      </c>
      <c r="B139" t="s">
        <v>1600</v>
      </c>
      <c r="C139" t="s">
        <v>3357</v>
      </c>
      <c r="D139" t="s">
        <v>4755</v>
      </c>
      <c r="E139" t="s">
        <v>2776</v>
      </c>
      <c r="F139" t="s">
        <v>2584</v>
      </c>
      <c r="G139" t="s">
        <v>4756</v>
      </c>
      <c r="H139" s="74">
        <v>33826</v>
      </c>
      <c r="I139" s="68" t="s">
        <v>2562</v>
      </c>
      <c r="J139" s="68" t="s">
        <v>3463</v>
      </c>
      <c r="K139" s="68" t="s">
        <v>2646</v>
      </c>
      <c r="L139" t="s">
        <v>1739</v>
      </c>
      <c r="M139" t="s">
        <v>4757</v>
      </c>
      <c r="N139" t="s">
        <v>1647</v>
      </c>
      <c r="O139" t="s">
        <v>1949</v>
      </c>
      <c r="R139" t="s">
        <v>4758</v>
      </c>
    </row>
    <row r="140" spans="1:18" x14ac:dyDescent="0.25">
      <c r="A140" t="s">
        <v>1157</v>
      </c>
      <c r="B140" t="s">
        <v>1604</v>
      </c>
      <c r="C140" t="s">
        <v>3391</v>
      </c>
      <c r="D140" t="s">
        <v>4771</v>
      </c>
      <c r="E140" t="s">
        <v>2657</v>
      </c>
      <c r="F140" t="s">
        <v>2636</v>
      </c>
      <c r="G140" t="s">
        <v>4772</v>
      </c>
      <c r="H140" s="74">
        <v>34393</v>
      </c>
      <c r="I140" s="68" t="s">
        <v>2594</v>
      </c>
      <c r="J140" s="68" t="s">
        <v>3463</v>
      </c>
      <c r="K140" s="68" t="s">
        <v>2614</v>
      </c>
      <c r="L140" t="s">
        <v>1664</v>
      </c>
      <c r="M140" t="s">
        <v>3397</v>
      </c>
      <c r="N140" t="s">
        <v>1647</v>
      </c>
      <c r="O140" t="s">
        <v>1949</v>
      </c>
      <c r="R140" t="s">
        <v>4773</v>
      </c>
    </row>
    <row r="141" spans="1:18" x14ac:dyDescent="0.25">
      <c r="A141" t="s">
        <v>1201</v>
      </c>
      <c r="B141" t="s">
        <v>1598</v>
      </c>
      <c r="C141" t="s">
        <v>2932</v>
      </c>
      <c r="D141" t="s">
        <v>5233</v>
      </c>
      <c r="E141" t="s">
        <v>2657</v>
      </c>
      <c r="F141" t="s">
        <v>2584</v>
      </c>
      <c r="G141" t="s">
        <v>5234</v>
      </c>
      <c r="H141" s="74">
        <v>34192</v>
      </c>
      <c r="I141" s="68" t="s">
        <v>2633</v>
      </c>
      <c r="J141" s="68" t="s">
        <v>3463</v>
      </c>
      <c r="K141" s="68" t="s">
        <v>2559</v>
      </c>
      <c r="L141" t="s">
        <v>1733</v>
      </c>
      <c r="M141" t="s">
        <v>3801</v>
      </c>
      <c r="N141" t="s">
        <v>1648</v>
      </c>
      <c r="O141" t="s">
        <v>1949</v>
      </c>
      <c r="R141" t="s">
        <v>5235</v>
      </c>
    </row>
    <row r="142" spans="1:18" x14ac:dyDescent="0.25">
      <c r="A142" t="s">
        <v>1158</v>
      </c>
      <c r="B142" t="s">
        <v>1605</v>
      </c>
      <c r="C142" t="s">
        <v>3809</v>
      </c>
      <c r="D142" t="s">
        <v>4547</v>
      </c>
      <c r="E142" t="s">
        <v>2559</v>
      </c>
      <c r="F142" t="s">
        <v>2544</v>
      </c>
      <c r="G142" t="s">
        <v>4548</v>
      </c>
      <c r="H142" s="74">
        <v>33490</v>
      </c>
      <c r="I142" s="68" t="s">
        <v>2970</v>
      </c>
      <c r="J142" s="68" t="s">
        <v>4549</v>
      </c>
      <c r="K142" s="68" t="s">
        <v>2587</v>
      </c>
      <c r="L142" t="s">
        <v>1665</v>
      </c>
      <c r="M142" t="s">
        <v>2759</v>
      </c>
      <c r="N142" t="s">
        <v>43</v>
      </c>
      <c r="O142" t="s">
        <v>1949</v>
      </c>
      <c r="R142" t="s">
        <v>4550</v>
      </c>
    </row>
    <row r="143" spans="1:18" x14ac:dyDescent="0.25">
      <c r="A143" t="s">
        <v>1294</v>
      </c>
      <c r="B143" t="s">
        <v>1590</v>
      </c>
      <c r="C143" t="s">
        <v>2717</v>
      </c>
      <c r="D143" t="s">
        <v>5058</v>
      </c>
      <c r="E143" t="s">
        <v>2554</v>
      </c>
      <c r="F143" t="s">
        <v>2544</v>
      </c>
      <c r="G143" t="s">
        <v>5059</v>
      </c>
      <c r="H143" s="74">
        <v>32143</v>
      </c>
      <c r="I143" s="68" t="s">
        <v>2568</v>
      </c>
      <c r="J143" s="68" t="s">
        <v>4549</v>
      </c>
      <c r="K143" s="68" t="s">
        <v>2646</v>
      </c>
      <c r="L143" t="s">
        <v>1746</v>
      </c>
      <c r="M143" t="s">
        <v>2751</v>
      </c>
      <c r="N143" t="s">
        <v>1648</v>
      </c>
      <c r="O143" t="s">
        <v>1949</v>
      </c>
      <c r="R143" t="s">
        <v>5060</v>
      </c>
    </row>
    <row r="144" spans="1:18" x14ac:dyDescent="0.25">
      <c r="A144" t="s">
        <v>1137</v>
      </c>
      <c r="B144" t="s">
        <v>1596</v>
      </c>
      <c r="C144" t="s">
        <v>2836</v>
      </c>
      <c r="D144" t="s">
        <v>5160</v>
      </c>
      <c r="E144" t="s">
        <v>2681</v>
      </c>
      <c r="F144" t="s">
        <v>2584</v>
      </c>
      <c r="G144" t="s">
        <v>5161</v>
      </c>
      <c r="H144" s="74">
        <v>33758</v>
      </c>
      <c r="I144" s="68" t="s">
        <v>2562</v>
      </c>
      <c r="J144" s="68" t="s">
        <v>4549</v>
      </c>
      <c r="K144" s="68" t="s">
        <v>2679</v>
      </c>
      <c r="L144" t="s">
        <v>1674</v>
      </c>
      <c r="M144" t="s">
        <v>2851</v>
      </c>
      <c r="N144" t="s">
        <v>1648</v>
      </c>
      <c r="O144" t="s">
        <v>1949</v>
      </c>
      <c r="R144" t="s">
        <v>5162</v>
      </c>
    </row>
    <row r="145" spans="1:18" x14ac:dyDescent="0.25">
      <c r="A145" t="s">
        <v>1137</v>
      </c>
      <c r="B145" t="s">
        <v>1596</v>
      </c>
      <c r="C145" t="s">
        <v>2836</v>
      </c>
      <c r="D145" t="s">
        <v>5178</v>
      </c>
      <c r="E145" t="s">
        <v>2586</v>
      </c>
      <c r="F145" t="s">
        <v>2584</v>
      </c>
      <c r="G145" t="s">
        <v>5179</v>
      </c>
      <c r="H145" s="74">
        <v>33170</v>
      </c>
      <c r="I145" s="68" t="s">
        <v>2831</v>
      </c>
      <c r="J145" s="68" t="s">
        <v>4549</v>
      </c>
      <c r="K145" s="68" t="s">
        <v>2614</v>
      </c>
      <c r="L145" t="s">
        <v>1655</v>
      </c>
      <c r="M145" t="s">
        <v>3607</v>
      </c>
      <c r="N145" t="s">
        <v>1648</v>
      </c>
      <c r="O145" t="s">
        <v>1949</v>
      </c>
      <c r="R145" t="s">
        <v>5180</v>
      </c>
    </row>
    <row r="146" spans="1:18" x14ac:dyDescent="0.25">
      <c r="A146" t="s">
        <v>1292</v>
      </c>
      <c r="B146" t="s">
        <v>1601</v>
      </c>
      <c r="C146" t="s">
        <v>3005</v>
      </c>
      <c r="D146" t="s">
        <v>5264</v>
      </c>
      <c r="E146" t="s">
        <v>2587</v>
      </c>
      <c r="F146" t="s">
        <v>2544</v>
      </c>
      <c r="G146" t="s">
        <v>5265</v>
      </c>
      <c r="H146" s="74">
        <v>33479</v>
      </c>
      <c r="I146" s="68" t="s">
        <v>2970</v>
      </c>
      <c r="J146" s="68" t="s">
        <v>4549</v>
      </c>
      <c r="K146" s="68" t="s">
        <v>2555</v>
      </c>
      <c r="L146" t="s">
        <v>1724</v>
      </c>
      <c r="M146" t="s">
        <v>3033</v>
      </c>
      <c r="N146" t="s">
        <v>1648</v>
      </c>
      <c r="O146" t="s">
        <v>1949</v>
      </c>
      <c r="R146" t="s">
        <v>5266</v>
      </c>
    </row>
    <row r="147" spans="1:18" x14ac:dyDescent="0.25">
      <c r="A147" t="s">
        <v>1130</v>
      </c>
      <c r="B147" t="s">
        <v>1592</v>
      </c>
      <c r="C147" t="s">
        <v>2761</v>
      </c>
      <c r="D147" t="s">
        <v>5067</v>
      </c>
      <c r="E147" t="s">
        <v>2646</v>
      </c>
      <c r="F147" t="s">
        <v>2636</v>
      </c>
      <c r="G147" t="s">
        <v>5068</v>
      </c>
      <c r="H147" s="74">
        <v>33394</v>
      </c>
      <c r="I147" s="68" t="s">
        <v>2970</v>
      </c>
      <c r="J147" s="68" t="s">
        <v>5069</v>
      </c>
      <c r="K147" s="68" t="s">
        <v>2776</v>
      </c>
      <c r="L147" t="s">
        <v>1852</v>
      </c>
      <c r="M147" t="s">
        <v>5070</v>
      </c>
      <c r="N147" t="s">
        <v>1648</v>
      </c>
      <c r="O147" t="s">
        <v>1949</v>
      </c>
      <c r="R147" t="s">
        <v>5071</v>
      </c>
    </row>
    <row r="148" spans="1:18" x14ac:dyDescent="0.25">
      <c r="A148" t="s">
        <v>1186</v>
      </c>
      <c r="B148" t="s">
        <v>1613</v>
      </c>
      <c r="C148" t="s">
        <v>3156</v>
      </c>
      <c r="D148" t="s">
        <v>5442</v>
      </c>
      <c r="E148" t="s">
        <v>2651</v>
      </c>
      <c r="F148" t="s">
        <v>2584</v>
      </c>
      <c r="G148" t="s">
        <v>5443</v>
      </c>
      <c r="H148" s="74">
        <v>33474</v>
      </c>
      <c r="I148" s="68" t="s">
        <v>2970</v>
      </c>
      <c r="J148" s="68" t="s">
        <v>5069</v>
      </c>
      <c r="K148" s="68" t="s">
        <v>2543</v>
      </c>
      <c r="L148" t="s">
        <v>1784</v>
      </c>
      <c r="M148" t="s">
        <v>5379</v>
      </c>
      <c r="N148" t="s">
        <v>1648</v>
      </c>
      <c r="O148" t="s">
        <v>1949</v>
      </c>
      <c r="R148" t="s">
        <v>5444</v>
      </c>
    </row>
    <row r="149" spans="1:18" x14ac:dyDescent="0.25">
      <c r="A149" t="s">
        <v>1212</v>
      </c>
      <c r="B149" t="s">
        <v>1600</v>
      </c>
      <c r="C149" t="s">
        <v>3357</v>
      </c>
      <c r="D149" t="s">
        <v>4739</v>
      </c>
      <c r="E149" t="s">
        <v>2555</v>
      </c>
      <c r="F149" t="s">
        <v>2544</v>
      </c>
      <c r="G149" t="s">
        <v>4740</v>
      </c>
      <c r="H149" s="74">
        <v>33768</v>
      </c>
      <c r="I149" s="68" t="s">
        <v>2562</v>
      </c>
      <c r="J149" s="68" t="s">
        <v>4741</v>
      </c>
      <c r="K149" s="68" t="s">
        <v>2587</v>
      </c>
      <c r="L149" t="s">
        <v>1686</v>
      </c>
      <c r="M149" t="s">
        <v>3367</v>
      </c>
      <c r="N149" t="s">
        <v>1647</v>
      </c>
      <c r="O149" t="s">
        <v>1949</v>
      </c>
      <c r="R149" t="s">
        <v>4742</v>
      </c>
    </row>
    <row r="150" spans="1:18" x14ac:dyDescent="0.25">
      <c r="A150" t="s">
        <v>1239</v>
      </c>
      <c r="B150" t="s">
        <v>1612</v>
      </c>
      <c r="C150" t="s">
        <v>3123</v>
      </c>
      <c r="D150" t="s">
        <v>5403</v>
      </c>
      <c r="E150" t="s">
        <v>2543</v>
      </c>
      <c r="F150" t="s">
        <v>2544</v>
      </c>
      <c r="G150" t="s">
        <v>5404</v>
      </c>
      <c r="H150" s="74">
        <v>34152</v>
      </c>
      <c r="I150" s="68" t="s">
        <v>2633</v>
      </c>
      <c r="J150" s="68" t="s">
        <v>4741</v>
      </c>
      <c r="K150" s="68" t="s">
        <v>2555</v>
      </c>
      <c r="L150" t="s">
        <v>1730</v>
      </c>
      <c r="M150" t="s">
        <v>4225</v>
      </c>
      <c r="N150" t="s">
        <v>1648</v>
      </c>
      <c r="O150" t="s">
        <v>1949</v>
      </c>
      <c r="R150" t="s">
        <v>5405</v>
      </c>
    </row>
    <row r="151" spans="1:18" x14ac:dyDescent="0.25">
      <c r="A151" t="s">
        <v>1211</v>
      </c>
      <c r="B151" t="s">
        <v>1599</v>
      </c>
      <c r="C151" t="s">
        <v>3330</v>
      </c>
      <c r="D151" t="s">
        <v>4662</v>
      </c>
      <c r="E151" t="s">
        <v>2657</v>
      </c>
      <c r="F151" t="s">
        <v>2584</v>
      </c>
      <c r="G151" t="s">
        <v>4663</v>
      </c>
      <c r="H151" s="74">
        <v>33752</v>
      </c>
      <c r="I151" s="68" t="s">
        <v>2562</v>
      </c>
      <c r="J151" s="68" t="s">
        <v>4664</v>
      </c>
      <c r="K151" s="68" t="s">
        <v>2555</v>
      </c>
      <c r="L151" t="s">
        <v>1884</v>
      </c>
      <c r="M151" t="s">
        <v>4665</v>
      </c>
      <c r="N151" t="s">
        <v>1647</v>
      </c>
      <c r="O151" t="s">
        <v>1949</v>
      </c>
      <c r="R151" t="s">
        <v>4666</v>
      </c>
    </row>
    <row r="152" spans="1:18" x14ac:dyDescent="0.25">
      <c r="A152" t="s">
        <v>1124</v>
      </c>
      <c r="B152" t="s">
        <v>1586</v>
      </c>
      <c r="C152" t="s">
        <v>2541</v>
      </c>
      <c r="D152" t="s">
        <v>4920</v>
      </c>
      <c r="E152" t="s">
        <v>2681</v>
      </c>
      <c r="F152" t="s">
        <v>2636</v>
      </c>
      <c r="G152" t="s">
        <v>4921</v>
      </c>
      <c r="H152" s="74">
        <v>34216</v>
      </c>
      <c r="I152" s="68" t="s">
        <v>2633</v>
      </c>
      <c r="J152" s="68" t="s">
        <v>4664</v>
      </c>
      <c r="K152" s="68" t="s">
        <v>2608</v>
      </c>
      <c r="L152" t="s">
        <v>1660</v>
      </c>
      <c r="M152" t="s">
        <v>3319</v>
      </c>
      <c r="N152" t="s">
        <v>1648</v>
      </c>
      <c r="O152" t="s">
        <v>1949</v>
      </c>
      <c r="R152" t="s">
        <v>4922</v>
      </c>
    </row>
    <row r="153" spans="1:18" x14ac:dyDescent="0.25">
      <c r="A153" t="s">
        <v>1130</v>
      </c>
      <c r="B153" t="s">
        <v>1592</v>
      </c>
      <c r="C153" t="s">
        <v>2761</v>
      </c>
      <c r="D153" t="s">
        <v>5087</v>
      </c>
      <c r="E153" t="s">
        <v>2627</v>
      </c>
      <c r="F153" t="s">
        <v>2584</v>
      </c>
      <c r="G153" t="s">
        <v>5088</v>
      </c>
      <c r="H153" s="74">
        <v>34916</v>
      </c>
      <c r="I153" s="68" t="s">
        <v>2653</v>
      </c>
      <c r="J153" s="68" t="s">
        <v>4664</v>
      </c>
      <c r="K153" s="68" t="s">
        <v>2651</v>
      </c>
      <c r="L153" t="s">
        <v>1666</v>
      </c>
      <c r="M153" t="s">
        <v>3434</v>
      </c>
      <c r="N153" t="s">
        <v>1648</v>
      </c>
      <c r="O153" t="s">
        <v>1949</v>
      </c>
      <c r="R153" t="s">
        <v>5089</v>
      </c>
    </row>
    <row r="154" spans="1:18" x14ac:dyDescent="0.25">
      <c r="A154" t="s">
        <v>1201</v>
      </c>
      <c r="B154" t="s">
        <v>1598</v>
      </c>
      <c r="C154" t="s">
        <v>2932</v>
      </c>
      <c r="D154" t="s">
        <v>5223</v>
      </c>
      <c r="E154" t="s">
        <v>2646</v>
      </c>
      <c r="F154" t="s">
        <v>2636</v>
      </c>
      <c r="G154" t="s">
        <v>5224</v>
      </c>
      <c r="H154" s="74">
        <v>33803</v>
      </c>
      <c r="I154" s="68" t="s">
        <v>2562</v>
      </c>
      <c r="J154" s="68" t="s">
        <v>4664</v>
      </c>
      <c r="K154" s="68" t="s">
        <v>2594</v>
      </c>
      <c r="L154" t="s">
        <v>1688</v>
      </c>
      <c r="M154" t="s">
        <v>3117</v>
      </c>
      <c r="N154" t="s">
        <v>1648</v>
      </c>
      <c r="O154" t="s">
        <v>1949</v>
      </c>
      <c r="R154" t="s">
        <v>5225</v>
      </c>
    </row>
    <row r="155" spans="1:18" x14ac:dyDescent="0.25">
      <c r="A155" t="s">
        <v>1292</v>
      </c>
      <c r="B155" t="s">
        <v>1601</v>
      </c>
      <c r="C155" t="s">
        <v>3005</v>
      </c>
      <c r="D155" t="s">
        <v>5289</v>
      </c>
      <c r="E155" t="s">
        <v>2579</v>
      </c>
      <c r="F155" t="s">
        <v>2636</v>
      </c>
      <c r="G155" t="s">
        <v>5290</v>
      </c>
      <c r="H155" s="74">
        <v>34910</v>
      </c>
      <c r="I155" s="68" t="s">
        <v>2653</v>
      </c>
      <c r="J155" s="68" t="s">
        <v>4664</v>
      </c>
      <c r="K155" s="68" t="s">
        <v>2614</v>
      </c>
      <c r="L155" t="s">
        <v>1696</v>
      </c>
      <c r="M155" t="s">
        <v>3163</v>
      </c>
      <c r="N155" t="s">
        <v>1648</v>
      </c>
      <c r="O155" t="s">
        <v>1949</v>
      </c>
      <c r="R155" t="s">
        <v>5291</v>
      </c>
    </row>
    <row r="156" spans="1:18" x14ac:dyDescent="0.25">
      <c r="A156" t="s">
        <v>1137</v>
      </c>
      <c r="B156" t="s">
        <v>1596</v>
      </c>
      <c r="C156" t="s">
        <v>2836</v>
      </c>
      <c r="D156" t="s">
        <v>2849</v>
      </c>
      <c r="E156" t="s">
        <v>2566</v>
      </c>
      <c r="F156" t="s">
        <v>2560</v>
      </c>
      <c r="G156" t="s">
        <v>2850</v>
      </c>
      <c r="H156" s="74">
        <v>33062</v>
      </c>
      <c r="I156" s="68" t="s">
        <v>2831</v>
      </c>
      <c r="J156" s="68" t="s">
        <v>2592</v>
      </c>
      <c r="K156" s="68" t="s">
        <v>2548</v>
      </c>
      <c r="L156" t="s">
        <v>1674</v>
      </c>
      <c r="M156" t="s">
        <v>2851</v>
      </c>
      <c r="N156" t="s">
        <v>1648</v>
      </c>
      <c r="O156" t="s">
        <v>1949</v>
      </c>
      <c r="R156" t="s">
        <v>2852</v>
      </c>
    </row>
    <row r="157" spans="1:18" x14ac:dyDescent="0.25">
      <c r="A157" t="s">
        <v>1137</v>
      </c>
      <c r="B157" t="s">
        <v>1596</v>
      </c>
      <c r="C157" t="s">
        <v>2836</v>
      </c>
      <c r="D157" t="s">
        <v>2857</v>
      </c>
      <c r="E157" t="s">
        <v>2627</v>
      </c>
      <c r="F157" t="s">
        <v>2544</v>
      </c>
      <c r="G157" t="s">
        <v>2858</v>
      </c>
      <c r="H157" s="74">
        <v>36495</v>
      </c>
      <c r="I157" s="68" t="s">
        <v>2579</v>
      </c>
      <c r="J157" s="68" t="s">
        <v>2592</v>
      </c>
      <c r="K157" s="68" t="s">
        <v>2548</v>
      </c>
      <c r="L157" t="s">
        <v>1663</v>
      </c>
      <c r="M157" t="s">
        <v>2859</v>
      </c>
      <c r="N157" t="s">
        <v>1648</v>
      </c>
      <c r="O157" t="s">
        <v>1949</v>
      </c>
      <c r="R157" t="s">
        <v>2860</v>
      </c>
    </row>
    <row r="158" spans="1:18" x14ac:dyDescent="0.25">
      <c r="A158" t="s">
        <v>1201</v>
      </c>
      <c r="B158" t="s">
        <v>1598</v>
      </c>
      <c r="C158" t="s">
        <v>2932</v>
      </c>
      <c r="D158" t="s">
        <v>2945</v>
      </c>
      <c r="E158" t="s">
        <v>2546</v>
      </c>
      <c r="F158" t="s">
        <v>2560</v>
      </c>
      <c r="G158" t="s">
        <v>2946</v>
      </c>
      <c r="H158" s="74">
        <v>33785</v>
      </c>
      <c r="I158" s="68" t="s">
        <v>2562</v>
      </c>
      <c r="J158" s="68" t="s">
        <v>2592</v>
      </c>
      <c r="K158" s="68" t="s">
        <v>2548</v>
      </c>
      <c r="L158" t="s">
        <v>1731</v>
      </c>
      <c r="M158" t="s">
        <v>2939</v>
      </c>
      <c r="N158" t="s">
        <v>1648</v>
      </c>
      <c r="O158" t="s">
        <v>1949</v>
      </c>
      <c r="R158" t="s">
        <v>2947</v>
      </c>
    </row>
    <row r="159" spans="1:18" x14ac:dyDescent="0.25">
      <c r="A159" t="s">
        <v>1164</v>
      </c>
      <c r="B159" t="s">
        <v>1609</v>
      </c>
      <c r="C159" t="s">
        <v>3081</v>
      </c>
      <c r="D159" t="s">
        <v>3105</v>
      </c>
      <c r="E159" t="s">
        <v>2546</v>
      </c>
      <c r="F159" t="s">
        <v>2584</v>
      </c>
      <c r="G159" t="s">
        <v>3106</v>
      </c>
      <c r="H159" s="74">
        <v>36967</v>
      </c>
      <c r="I159" s="68" t="s">
        <v>2586</v>
      </c>
      <c r="J159" s="68" t="s">
        <v>2592</v>
      </c>
      <c r="K159" s="68" t="s">
        <v>2548</v>
      </c>
      <c r="L159" t="s">
        <v>1713</v>
      </c>
      <c r="M159" t="s">
        <v>2708</v>
      </c>
      <c r="N159" t="s">
        <v>1648</v>
      </c>
      <c r="O159" t="s">
        <v>1949</v>
      </c>
      <c r="R159" t="s">
        <v>3107</v>
      </c>
    </row>
    <row r="160" spans="1:18" x14ac:dyDescent="0.25">
      <c r="A160" t="s">
        <v>1186</v>
      </c>
      <c r="B160" t="s">
        <v>1613</v>
      </c>
      <c r="C160" t="s">
        <v>3156</v>
      </c>
      <c r="D160" t="s">
        <v>3169</v>
      </c>
      <c r="E160" t="s">
        <v>2599</v>
      </c>
      <c r="F160" t="s">
        <v>2584</v>
      </c>
      <c r="G160" t="s">
        <v>3170</v>
      </c>
      <c r="H160" s="74">
        <v>36992</v>
      </c>
      <c r="I160" s="68" t="s">
        <v>2586</v>
      </c>
      <c r="J160" s="68" t="s">
        <v>2592</v>
      </c>
      <c r="K160" s="68" t="s">
        <v>2548</v>
      </c>
      <c r="L160" t="s">
        <v>1720</v>
      </c>
      <c r="M160" t="s">
        <v>3171</v>
      </c>
      <c r="N160" t="s">
        <v>1648</v>
      </c>
      <c r="O160" t="s">
        <v>1949</v>
      </c>
      <c r="R160" t="s">
        <v>3172</v>
      </c>
    </row>
    <row r="161" spans="1:18" x14ac:dyDescent="0.25">
      <c r="A161" t="s">
        <v>1172</v>
      </c>
      <c r="B161" t="s">
        <v>1615</v>
      </c>
      <c r="C161" t="s">
        <v>3206</v>
      </c>
      <c r="D161" t="s">
        <v>3234</v>
      </c>
      <c r="E161" t="s">
        <v>2579</v>
      </c>
      <c r="F161" t="s">
        <v>2584</v>
      </c>
      <c r="G161" t="s">
        <v>3235</v>
      </c>
      <c r="H161" s="74">
        <v>36185</v>
      </c>
      <c r="I161" s="68" t="s">
        <v>2627</v>
      </c>
      <c r="J161" s="68" t="s">
        <v>2592</v>
      </c>
      <c r="K161" s="68" t="s">
        <v>2548</v>
      </c>
      <c r="L161" t="s">
        <v>1874</v>
      </c>
      <c r="M161" t="s">
        <v>3236</v>
      </c>
      <c r="N161" t="s">
        <v>1648</v>
      </c>
      <c r="O161" t="s">
        <v>1949</v>
      </c>
      <c r="R161" t="s">
        <v>3237</v>
      </c>
    </row>
    <row r="162" spans="1:18" x14ac:dyDescent="0.25">
      <c r="A162" t="s">
        <v>1211</v>
      </c>
      <c r="B162" t="s">
        <v>1599</v>
      </c>
      <c r="C162" t="s">
        <v>3330</v>
      </c>
      <c r="D162" t="s">
        <v>3349</v>
      </c>
      <c r="E162" t="s">
        <v>2552</v>
      </c>
      <c r="F162" t="s">
        <v>2544</v>
      </c>
      <c r="G162" t="s">
        <v>3350</v>
      </c>
      <c r="H162" s="74">
        <v>36292</v>
      </c>
      <c r="I162" s="68" t="s">
        <v>2627</v>
      </c>
      <c r="J162" s="68" t="s">
        <v>2592</v>
      </c>
      <c r="K162" s="68" t="s">
        <v>2548</v>
      </c>
      <c r="L162" t="s">
        <v>1750</v>
      </c>
      <c r="M162" t="s">
        <v>3351</v>
      </c>
      <c r="N162" t="s">
        <v>1647</v>
      </c>
      <c r="O162" t="s">
        <v>1949</v>
      </c>
      <c r="R162" t="s">
        <v>3352</v>
      </c>
    </row>
    <row r="163" spans="1:18" x14ac:dyDescent="0.25">
      <c r="A163" t="s">
        <v>1212</v>
      </c>
      <c r="B163" t="s">
        <v>1600</v>
      </c>
      <c r="C163" t="s">
        <v>3357</v>
      </c>
      <c r="D163" t="s">
        <v>3362</v>
      </c>
      <c r="E163" t="s">
        <v>2583</v>
      </c>
      <c r="F163" t="s">
        <v>2584</v>
      </c>
      <c r="G163" t="s">
        <v>3363</v>
      </c>
      <c r="H163" s="74">
        <v>36941</v>
      </c>
      <c r="I163" s="68" t="s">
        <v>2586</v>
      </c>
      <c r="J163" s="68" t="s">
        <v>2592</v>
      </c>
      <c r="K163" s="68" t="s">
        <v>2548</v>
      </c>
      <c r="L163" t="s">
        <v>1790</v>
      </c>
      <c r="M163" t="s">
        <v>3092</v>
      </c>
      <c r="N163" t="s">
        <v>1647</v>
      </c>
      <c r="O163" t="s">
        <v>1949</v>
      </c>
      <c r="R163" t="s">
        <v>3364</v>
      </c>
    </row>
    <row r="164" spans="1:18" x14ac:dyDescent="0.25">
      <c r="A164" t="s">
        <v>1253</v>
      </c>
      <c r="B164" t="s">
        <v>1608</v>
      </c>
      <c r="C164" t="s">
        <v>3431</v>
      </c>
      <c r="D164" t="s">
        <v>3447</v>
      </c>
      <c r="E164" t="s">
        <v>2546</v>
      </c>
      <c r="F164" t="s">
        <v>2544</v>
      </c>
      <c r="G164" t="s">
        <v>3448</v>
      </c>
      <c r="H164" s="74">
        <v>34824</v>
      </c>
      <c r="I164" s="68" t="s">
        <v>2653</v>
      </c>
      <c r="J164" s="68" t="s">
        <v>2592</v>
      </c>
      <c r="K164" s="68" t="s">
        <v>2548</v>
      </c>
      <c r="L164" t="s">
        <v>1903</v>
      </c>
      <c r="M164" t="s">
        <v>3449</v>
      </c>
      <c r="N164" t="s">
        <v>1647</v>
      </c>
      <c r="O164" t="s">
        <v>1949</v>
      </c>
      <c r="R164" t="s">
        <v>3450</v>
      </c>
    </row>
    <row r="165" spans="1:18" x14ac:dyDescent="0.25">
      <c r="A165" t="s">
        <v>1153</v>
      </c>
      <c r="B165" t="s">
        <v>1603</v>
      </c>
      <c r="C165" t="s">
        <v>3776</v>
      </c>
      <c r="D165" t="s">
        <v>3781</v>
      </c>
      <c r="E165" t="s">
        <v>2614</v>
      </c>
      <c r="F165" t="s">
        <v>2544</v>
      </c>
      <c r="G165" t="s">
        <v>3782</v>
      </c>
      <c r="H165" s="74">
        <v>36389</v>
      </c>
      <c r="I165" s="68" t="s">
        <v>2627</v>
      </c>
      <c r="J165" s="68" t="s">
        <v>2592</v>
      </c>
      <c r="K165" s="68" t="s">
        <v>2548</v>
      </c>
      <c r="L165" t="s">
        <v>1657</v>
      </c>
      <c r="M165" t="s">
        <v>3204</v>
      </c>
      <c r="N165" t="s">
        <v>43</v>
      </c>
      <c r="O165" t="s">
        <v>1949</v>
      </c>
      <c r="R165" t="s">
        <v>3783</v>
      </c>
    </row>
    <row r="166" spans="1:18" x14ac:dyDescent="0.25">
      <c r="A166" t="s">
        <v>1153</v>
      </c>
      <c r="B166" t="s">
        <v>1603</v>
      </c>
      <c r="C166" t="s">
        <v>3776</v>
      </c>
      <c r="D166" t="s">
        <v>3799</v>
      </c>
      <c r="E166" t="s">
        <v>2559</v>
      </c>
      <c r="F166" t="s">
        <v>2560</v>
      </c>
      <c r="G166" t="s">
        <v>3800</v>
      </c>
      <c r="H166" s="74">
        <v>35817</v>
      </c>
      <c r="I166" s="68" t="s">
        <v>2546</v>
      </c>
      <c r="J166" s="68" t="s">
        <v>2592</v>
      </c>
      <c r="K166" s="68" t="s">
        <v>2548</v>
      </c>
      <c r="L166" t="s">
        <v>1733</v>
      </c>
      <c r="M166" t="s">
        <v>3801</v>
      </c>
      <c r="N166" t="s">
        <v>43</v>
      </c>
      <c r="O166" t="s">
        <v>1949</v>
      </c>
      <c r="R166" t="s">
        <v>3802</v>
      </c>
    </row>
    <row r="167" spans="1:18" x14ac:dyDescent="0.25">
      <c r="A167" t="s">
        <v>1291</v>
      </c>
      <c r="B167" t="s">
        <v>1589</v>
      </c>
      <c r="C167" t="s">
        <v>2590</v>
      </c>
      <c r="D167" t="s">
        <v>3893</v>
      </c>
      <c r="E167" t="s">
        <v>2610</v>
      </c>
      <c r="F167" t="s">
        <v>2584</v>
      </c>
      <c r="G167" t="s">
        <v>3894</v>
      </c>
      <c r="H167" s="74">
        <v>37423</v>
      </c>
      <c r="I167" s="68" t="s">
        <v>2670</v>
      </c>
      <c r="J167" s="68" t="s">
        <v>2592</v>
      </c>
      <c r="K167" s="68" t="s">
        <v>2547</v>
      </c>
      <c r="L167" t="s">
        <v>1682</v>
      </c>
      <c r="M167" t="s">
        <v>2596</v>
      </c>
      <c r="N167" t="s">
        <v>1648</v>
      </c>
      <c r="O167" t="s">
        <v>1949</v>
      </c>
      <c r="R167" t="s">
        <v>3895</v>
      </c>
    </row>
    <row r="168" spans="1:18" x14ac:dyDescent="0.25">
      <c r="A168" t="s">
        <v>1130</v>
      </c>
      <c r="B168" t="s">
        <v>1592</v>
      </c>
      <c r="C168" t="s">
        <v>2761</v>
      </c>
      <c r="D168" t="s">
        <v>3944</v>
      </c>
      <c r="E168" t="s">
        <v>2599</v>
      </c>
      <c r="F168" t="s">
        <v>2584</v>
      </c>
      <c r="G168" t="s">
        <v>3945</v>
      </c>
      <c r="H168" s="74">
        <v>36585</v>
      </c>
      <c r="I168" s="68" t="s">
        <v>2579</v>
      </c>
      <c r="J168" s="68" t="s">
        <v>2592</v>
      </c>
      <c r="K168" s="68" t="s">
        <v>2547</v>
      </c>
      <c r="L168" t="s">
        <v>1674</v>
      </c>
      <c r="M168" t="s">
        <v>2851</v>
      </c>
      <c r="N168" t="s">
        <v>1648</v>
      </c>
      <c r="O168" t="s">
        <v>1949</v>
      </c>
      <c r="R168" t="s">
        <v>3946</v>
      </c>
    </row>
    <row r="169" spans="1:18" x14ac:dyDescent="0.25">
      <c r="A169" t="s">
        <v>1135</v>
      </c>
      <c r="B169" t="s">
        <v>1595</v>
      </c>
      <c r="C169" t="s">
        <v>3694</v>
      </c>
      <c r="D169" t="s">
        <v>4007</v>
      </c>
      <c r="E169" t="s">
        <v>2592</v>
      </c>
      <c r="F169" t="s">
        <v>2584</v>
      </c>
      <c r="G169" t="s">
        <v>4008</v>
      </c>
      <c r="H169" s="74">
        <v>36264</v>
      </c>
      <c r="I169" s="68" t="s">
        <v>2627</v>
      </c>
      <c r="J169" s="68" t="s">
        <v>2592</v>
      </c>
      <c r="K169" s="68" t="s">
        <v>2547</v>
      </c>
      <c r="L169" t="s">
        <v>1694</v>
      </c>
      <c r="M169" t="s">
        <v>2694</v>
      </c>
      <c r="N169" t="s">
        <v>1617</v>
      </c>
      <c r="O169" t="s">
        <v>1950</v>
      </c>
      <c r="R169" t="s">
        <v>4009</v>
      </c>
    </row>
    <row r="170" spans="1:18" x14ac:dyDescent="0.25">
      <c r="A170" t="s">
        <v>1158</v>
      </c>
      <c r="B170" t="s">
        <v>1605</v>
      </c>
      <c r="C170" t="s">
        <v>3809</v>
      </c>
      <c r="D170" t="s">
        <v>4181</v>
      </c>
      <c r="E170" t="s">
        <v>2586</v>
      </c>
      <c r="F170" t="s">
        <v>2636</v>
      </c>
      <c r="G170" t="s">
        <v>4182</v>
      </c>
      <c r="H170" s="74">
        <v>34592</v>
      </c>
      <c r="I170" s="68" t="s">
        <v>2594</v>
      </c>
      <c r="J170" s="68" t="s">
        <v>2592</v>
      </c>
      <c r="K170" s="68" t="s">
        <v>2547</v>
      </c>
      <c r="L170" t="s">
        <v>1768</v>
      </c>
      <c r="M170" t="s">
        <v>3121</v>
      </c>
      <c r="N170" t="s">
        <v>43</v>
      </c>
      <c r="O170" t="s">
        <v>1949</v>
      </c>
      <c r="R170" t="s">
        <v>4183</v>
      </c>
    </row>
    <row r="171" spans="1:18" x14ac:dyDescent="0.25">
      <c r="A171" t="s">
        <v>1131</v>
      </c>
      <c r="B171" t="s">
        <v>1594</v>
      </c>
      <c r="C171" t="s">
        <v>3663</v>
      </c>
      <c r="D171" t="s">
        <v>4410</v>
      </c>
      <c r="E171" t="s">
        <v>2651</v>
      </c>
      <c r="F171" t="s">
        <v>2544</v>
      </c>
      <c r="G171" t="s">
        <v>4411</v>
      </c>
      <c r="H171" s="74">
        <v>34482</v>
      </c>
      <c r="I171" s="68" t="s">
        <v>2594</v>
      </c>
      <c r="J171" s="68" t="s">
        <v>4412</v>
      </c>
      <c r="K171" s="68" t="s">
        <v>2555</v>
      </c>
      <c r="L171" t="s">
        <v>1655</v>
      </c>
      <c r="M171" t="s">
        <v>3607</v>
      </c>
      <c r="N171" t="s">
        <v>43</v>
      </c>
      <c r="O171" t="s">
        <v>1949</v>
      </c>
      <c r="R171" t="s">
        <v>4413</v>
      </c>
    </row>
    <row r="172" spans="1:18" x14ac:dyDescent="0.25">
      <c r="A172" t="s">
        <v>1135</v>
      </c>
      <c r="B172" t="s">
        <v>1595</v>
      </c>
      <c r="C172" t="s">
        <v>3694</v>
      </c>
      <c r="D172" t="s">
        <v>4448</v>
      </c>
      <c r="E172" t="s">
        <v>2776</v>
      </c>
      <c r="F172" t="s">
        <v>2636</v>
      </c>
      <c r="G172" t="s">
        <v>4449</v>
      </c>
      <c r="H172" s="74">
        <v>36149</v>
      </c>
      <c r="I172" s="68" t="s">
        <v>2627</v>
      </c>
      <c r="J172" s="68" t="s">
        <v>4412</v>
      </c>
      <c r="K172" s="68" t="s">
        <v>2594</v>
      </c>
      <c r="L172" t="s">
        <v>1665</v>
      </c>
      <c r="M172" t="s">
        <v>2759</v>
      </c>
      <c r="N172" t="s">
        <v>1617</v>
      </c>
      <c r="O172" t="s">
        <v>1950</v>
      </c>
      <c r="R172" t="s">
        <v>4450</v>
      </c>
    </row>
    <row r="173" spans="1:18" x14ac:dyDescent="0.25">
      <c r="A173" t="s">
        <v>1153</v>
      </c>
      <c r="B173" t="s">
        <v>1603</v>
      </c>
      <c r="C173" t="s">
        <v>3776</v>
      </c>
      <c r="D173" t="s">
        <v>4513</v>
      </c>
      <c r="E173" t="s">
        <v>2592</v>
      </c>
      <c r="F173" t="s">
        <v>2544</v>
      </c>
      <c r="G173" t="s">
        <v>4514</v>
      </c>
      <c r="H173" s="74">
        <v>33639</v>
      </c>
      <c r="I173" s="68" t="s">
        <v>2562</v>
      </c>
      <c r="J173" s="68" t="s">
        <v>4412</v>
      </c>
      <c r="K173" s="68" t="s">
        <v>2555</v>
      </c>
      <c r="L173" t="s">
        <v>1685</v>
      </c>
      <c r="M173" t="s">
        <v>2704</v>
      </c>
      <c r="N173" t="s">
        <v>43</v>
      </c>
      <c r="O173" t="s">
        <v>1949</v>
      </c>
      <c r="R173" t="s">
        <v>4515</v>
      </c>
    </row>
    <row r="174" spans="1:18" x14ac:dyDescent="0.25">
      <c r="A174" t="s">
        <v>1169</v>
      </c>
      <c r="B174" t="s">
        <v>1611</v>
      </c>
      <c r="C174" t="s">
        <v>3492</v>
      </c>
      <c r="D174" t="s">
        <v>4838</v>
      </c>
      <c r="E174" t="s">
        <v>2657</v>
      </c>
      <c r="F174" t="s">
        <v>2636</v>
      </c>
      <c r="G174" t="s">
        <v>4839</v>
      </c>
      <c r="H174" s="74">
        <v>35475</v>
      </c>
      <c r="I174" s="68" t="s">
        <v>2599</v>
      </c>
      <c r="J174" s="68" t="s">
        <v>4412</v>
      </c>
      <c r="K174" s="68" t="s">
        <v>2681</v>
      </c>
      <c r="L174" t="s">
        <v>1687</v>
      </c>
      <c r="M174" t="s">
        <v>3441</v>
      </c>
      <c r="N174" t="s">
        <v>1647</v>
      </c>
      <c r="O174" t="s">
        <v>1949</v>
      </c>
      <c r="R174" t="s">
        <v>4840</v>
      </c>
    </row>
    <row r="175" spans="1:18" x14ac:dyDescent="0.25">
      <c r="A175" t="s">
        <v>1124</v>
      </c>
      <c r="B175" t="s">
        <v>1586</v>
      </c>
      <c r="C175" t="s">
        <v>2541</v>
      </c>
      <c r="D175" t="s">
        <v>4951</v>
      </c>
      <c r="E175" t="s">
        <v>2610</v>
      </c>
      <c r="F175" t="s">
        <v>2584</v>
      </c>
      <c r="G175" t="s">
        <v>4952</v>
      </c>
      <c r="H175" s="74">
        <v>33493</v>
      </c>
      <c r="I175" s="68" t="s">
        <v>2970</v>
      </c>
      <c r="J175" s="68" t="s">
        <v>4412</v>
      </c>
      <c r="K175" s="68" t="s">
        <v>2608</v>
      </c>
      <c r="L175" t="s">
        <v>1663</v>
      </c>
      <c r="M175" t="s">
        <v>2859</v>
      </c>
      <c r="N175" t="s">
        <v>1648</v>
      </c>
      <c r="O175" t="s">
        <v>1949</v>
      </c>
      <c r="R175" t="s">
        <v>4953</v>
      </c>
    </row>
    <row r="176" spans="1:18" x14ac:dyDescent="0.25">
      <c r="A176" t="s">
        <v>1230</v>
      </c>
      <c r="B176" t="s">
        <v>1606</v>
      </c>
      <c r="C176" t="s">
        <v>3035</v>
      </c>
      <c r="D176" t="s">
        <v>5326</v>
      </c>
      <c r="E176" t="s">
        <v>2608</v>
      </c>
      <c r="F176" t="s">
        <v>2584</v>
      </c>
      <c r="G176" t="s">
        <v>5327</v>
      </c>
      <c r="H176" s="74">
        <v>33988</v>
      </c>
      <c r="I176" s="68" t="s">
        <v>2633</v>
      </c>
      <c r="J176" s="68" t="s">
        <v>4412</v>
      </c>
      <c r="K176" s="68" t="s">
        <v>2566</v>
      </c>
      <c r="L176" t="s">
        <v>1656</v>
      </c>
      <c r="M176" t="s">
        <v>3042</v>
      </c>
      <c r="N176" t="s">
        <v>1648</v>
      </c>
      <c r="O176" t="s">
        <v>1949</v>
      </c>
      <c r="R176" t="s">
        <v>5328</v>
      </c>
    </row>
    <row r="177" spans="1:18" x14ac:dyDescent="0.25">
      <c r="A177" t="s">
        <v>1230</v>
      </c>
      <c r="B177" t="s">
        <v>1606</v>
      </c>
      <c r="C177" t="s">
        <v>3035</v>
      </c>
      <c r="D177" t="s">
        <v>3047</v>
      </c>
      <c r="E177" t="s">
        <v>2651</v>
      </c>
      <c r="F177" t="s">
        <v>2544</v>
      </c>
      <c r="G177" t="s">
        <v>3048</v>
      </c>
      <c r="H177" s="74">
        <v>35769</v>
      </c>
      <c r="I177" s="68" t="s">
        <v>2546</v>
      </c>
      <c r="J177" s="68" t="s">
        <v>3049</v>
      </c>
      <c r="K177" s="68" t="s">
        <v>2548</v>
      </c>
      <c r="L177" t="s">
        <v>1656</v>
      </c>
      <c r="M177" t="s">
        <v>3042</v>
      </c>
      <c r="N177" t="s">
        <v>1648</v>
      </c>
      <c r="O177" t="s">
        <v>1949</v>
      </c>
      <c r="R177" t="s">
        <v>3050</v>
      </c>
    </row>
    <row r="178" spans="1:18" x14ac:dyDescent="0.25">
      <c r="A178" t="s">
        <v>1130</v>
      </c>
      <c r="B178" t="s">
        <v>1592</v>
      </c>
      <c r="C178" t="s">
        <v>2761</v>
      </c>
      <c r="D178" t="s">
        <v>5084</v>
      </c>
      <c r="E178" t="s">
        <v>2592</v>
      </c>
      <c r="F178" t="s">
        <v>2544</v>
      </c>
      <c r="G178" t="s">
        <v>5085</v>
      </c>
      <c r="H178" s="74">
        <v>35165</v>
      </c>
      <c r="I178" s="68" t="s">
        <v>2552</v>
      </c>
      <c r="J178" s="68" t="s">
        <v>3049</v>
      </c>
      <c r="K178" s="68" t="s">
        <v>2587</v>
      </c>
      <c r="L178" t="s">
        <v>1653</v>
      </c>
      <c r="M178" t="s">
        <v>2874</v>
      </c>
      <c r="N178" t="s">
        <v>1648</v>
      </c>
      <c r="O178" t="s">
        <v>1949</v>
      </c>
      <c r="R178" t="s">
        <v>5086</v>
      </c>
    </row>
    <row r="179" spans="1:18" x14ac:dyDescent="0.25">
      <c r="A179" t="s">
        <v>1292</v>
      </c>
      <c r="B179" t="s">
        <v>1601</v>
      </c>
      <c r="C179" t="s">
        <v>3005</v>
      </c>
      <c r="D179" t="s">
        <v>5295</v>
      </c>
      <c r="E179" t="s">
        <v>2543</v>
      </c>
      <c r="F179" t="s">
        <v>2544</v>
      </c>
      <c r="G179" t="s">
        <v>5296</v>
      </c>
      <c r="H179" s="74">
        <v>35727</v>
      </c>
      <c r="I179" s="68" t="s">
        <v>2599</v>
      </c>
      <c r="J179" s="68" t="s">
        <v>3049</v>
      </c>
      <c r="K179" s="68" t="s">
        <v>2555</v>
      </c>
      <c r="L179" t="s">
        <v>1662</v>
      </c>
      <c r="M179" t="s">
        <v>3786</v>
      </c>
      <c r="N179" t="s">
        <v>1648</v>
      </c>
      <c r="O179" t="s">
        <v>1949</v>
      </c>
      <c r="R179" t="s">
        <v>5297</v>
      </c>
    </row>
    <row r="180" spans="1:18" x14ac:dyDescent="0.25">
      <c r="A180" t="s">
        <v>1230</v>
      </c>
      <c r="B180" t="s">
        <v>1606</v>
      </c>
      <c r="C180" t="s">
        <v>3035</v>
      </c>
      <c r="D180" t="s">
        <v>5310</v>
      </c>
      <c r="E180" t="s">
        <v>2610</v>
      </c>
      <c r="F180" t="s">
        <v>2544</v>
      </c>
      <c r="G180" t="s">
        <v>5311</v>
      </c>
      <c r="H180" s="74">
        <v>35780</v>
      </c>
      <c r="I180" s="68" t="s">
        <v>2546</v>
      </c>
      <c r="J180" s="68" t="s">
        <v>3049</v>
      </c>
      <c r="K180" s="68" t="s">
        <v>2587</v>
      </c>
      <c r="L180" t="s">
        <v>1672</v>
      </c>
      <c r="M180" t="s">
        <v>3079</v>
      </c>
      <c r="N180" t="s">
        <v>1648</v>
      </c>
      <c r="O180" t="s">
        <v>1949</v>
      </c>
      <c r="R180" t="s">
        <v>5312</v>
      </c>
    </row>
    <row r="181" spans="1:18" x14ac:dyDescent="0.25">
      <c r="A181" t="s">
        <v>1180</v>
      </c>
      <c r="B181" t="s">
        <v>1587</v>
      </c>
      <c r="C181" t="s">
        <v>3604</v>
      </c>
      <c r="D181" t="s">
        <v>3612</v>
      </c>
      <c r="E181" t="s">
        <v>2547</v>
      </c>
      <c r="F181" t="s">
        <v>2560</v>
      </c>
      <c r="G181" t="s">
        <v>3613</v>
      </c>
      <c r="H181" s="74">
        <v>33879</v>
      </c>
      <c r="I181" s="68" t="s">
        <v>2562</v>
      </c>
      <c r="J181" s="68" t="s">
        <v>3614</v>
      </c>
      <c r="K181" s="68" t="s">
        <v>2548</v>
      </c>
      <c r="L181" t="s">
        <v>1676</v>
      </c>
      <c r="M181" t="s">
        <v>3615</v>
      </c>
      <c r="N181" t="s">
        <v>43</v>
      </c>
      <c r="O181" t="s">
        <v>1949</v>
      </c>
      <c r="R181" t="s">
        <v>3616</v>
      </c>
    </row>
    <row r="182" spans="1:18" x14ac:dyDescent="0.25">
      <c r="A182" t="s">
        <v>1158</v>
      </c>
      <c r="B182" t="s">
        <v>1605</v>
      </c>
      <c r="C182" t="s">
        <v>3809</v>
      </c>
      <c r="D182" t="s">
        <v>4541</v>
      </c>
      <c r="E182" t="s">
        <v>2651</v>
      </c>
      <c r="F182" t="s">
        <v>2544</v>
      </c>
      <c r="G182" t="s">
        <v>4542</v>
      </c>
      <c r="H182" s="74">
        <v>34325</v>
      </c>
      <c r="I182" s="68" t="s">
        <v>2594</v>
      </c>
      <c r="J182" s="68" t="s">
        <v>3614</v>
      </c>
      <c r="K182" s="68" t="s">
        <v>2555</v>
      </c>
      <c r="L182" t="s">
        <v>1663</v>
      </c>
      <c r="M182" t="s">
        <v>2859</v>
      </c>
      <c r="N182" t="s">
        <v>43</v>
      </c>
      <c r="O182" t="s">
        <v>1949</v>
      </c>
      <c r="R182" t="s">
        <v>4543</v>
      </c>
    </row>
    <row r="183" spans="1:18" x14ac:dyDescent="0.25">
      <c r="A183" t="s">
        <v>1167</v>
      </c>
      <c r="B183" t="s">
        <v>1610</v>
      </c>
      <c r="C183" t="s">
        <v>3301</v>
      </c>
      <c r="D183" t="s">
        <v>4643</v>
      </c>
      <c r="E183" t="s">
        <v>2657</v>
      </c>
      <c r="F183" t="s">
        <v>2636</v>
      </c>
      <c r="G183" t="s">
        <v>4644</v>
      </c>
      <c r="H183" s="74">
        <v>33900</v>
      </c>
      <c r="I183" s="68" t="s">
        <v>2562</v>
      </c>
      <c r="J183" s="68" t="s">
        <v>3614</v>
      </c>
      <c r="K183" s="68" t="s">
        <v>2653</v>
      </c>
      <c r="L183" t="s">
        <v>1660</v>
      </c>
      <c r="M183" t="s">
        <v>3319</v>
      </c>
      <c r="N183" t="s">
        <v>1647</v>
      </c>
      <c r="O183" t="s">
        <v>1949</v>
      </c>
      <c r="R183" t="s">
        <v>4645</v>
      </c>
    </row>
    <row r="184" spans="1:18" x14ac:dyDescent="0.25">
      <c r="A184" t="s">
        <v>1291</v>
      </c>
      <c r="B184" t="s">
        <v>1589</v>
      </c>
      <c r="C184" t="s">
        <v>2590</v>
      </c>
      <c r="D184" t="s">
        <v>4980</v>
      </c>
      <c r="E184" t="s">
        <v>2586</v>
      </c>
      <c r="F184" t="s">
        <v>2584</v>
      </c>
      <c r="G184" t="s">
        <v>4981</v>
      </c>
      <c r="H184" s="74">
        <v>33767</v>
      </c>
      <c r="I184" s="68" t="s">
        <v>2562</v>
      </c>
      <c r="J184" s="68" t="s">
        <v>3614</v>
      </c>
      <c r="K184" s="68" t="s">
        <v>2657</v>
      </c>
      <c r="L184" t="s">
        <v>1748</v>
      </c>
      <c r="M184" t="s">
        <v>3898</v>
      </c>
      <c r="N184" t="s">
        <v>1648</v>
      </c>
      <c r="O184" t="s">
        <v>1949</v>
      </c>
      <c r="R184" t="s">
        <v>4982</v>
      </c>
    </row>
    <row r="185" spans="1:18" x14ac:dyDescent="0.25">
      <c r="A185" t="s">
        <v>1180</v>
      </c>
      <c r="B185" t="s">
        <v>1587</v>
      </c>
      <c r="C185" t="s">
        <v>3604</v>
      </c>
      <c r="D185" t="s">
        <v>4329</v>
      </c>
      <c r="E185" t="s">
        <v>2583</v>
      </c>
      <c r="F185" t="s">
        <v>2636</v>
      </c>
      <c r="G185" t="s">
        <v>4330</v>
      </c>
      <c r="H185" s="74">
        <v>35523</v>
      </c>
      <c r="I185" s="68" t="s">
        <v>2599</v>
      </c>
      <c r="J185" s="68" t="s">
        <v>4331</v>
      </c>
      <c r="K185" s="68" t="s">
        <v>2554</v>
      </c>
      <c r="L185" t="s">
        <v>1667</v>
      </c>
      <c r="M185" t="s">
        <v>3550</v>
      </c>
      <c r="N185" t="s">
        <v>43</v>
      </c>
      <c r="O185" t="s">
        <v>1949</v>
      </c>
      <c r="R185" t="s">
        <v>4332</v>
      </c>
    </row>
    <row r="186" spans="1:18" x14ac:dyDescent="0.25">
      <c r="A186" t="s">
        <v>1124</v>
      </c>
      <c r="B186" t="s">
        <v>1586</v>
      </c>
      <c r="C186" t="s">
        <v>2541</v>
      </c>
      <c r="D186" t="s">
        <v>4947</v>
      </c>
      <c r="E186" t="s">
        <v>2608</v>
      </c>
      <c r="F186" t="s">
        <v>2584</v>
      </c>
      <c r="G186" t="s">
        <v>4948</v>
      </c>
      <c r="H186" s="74">
        <v>35557</v>
      </c>
      <c r="I186" s="68" t="s">
        <v>2599</v>
      </c>
      <c r="J186" s="68" t="s">
        <v>4949</v>
      </c>
      <c r="K186" s="68" t="s">
        <v>2651</v>
      </c>
      <c r="L186" t="s">
        <v>1675</v>
      </c>
      <c r="M186" t="s">
        <v>2549</v>
      </c>
      <c r="N186" t="s">
        <v>1648</v>
      </c>
      <c r="O186" t="s">
        <v>1949</v>
      </c>
      <c r="R186" t="s">
        <v>4950</v>
      </c>
    </row>
    <row r="187" spans="1:18" x14ac:dyDescent="0.25">
      <c r="A187" t="s">
        <v>1291</v>
      </c>
      <c r="B187" t="s">
        <v>1589</v>
      </c>
      <c r="C187" t="s">
        <v>2590</v>
      </c>
      <c r="D187" t="s">
        <v>4960</v>
      </c>
      <c r="E187" t="s">
        <v>2679</v>
      </c>
      <c r="F187" t="s">
        <v>2636</v>
      </c>
      <c r="G187" t="s">
        <v>4961</v>
      </c>
      <c r="H187" s="74">
        <v>34806</v>
      </c>
      <c r="I187" s="68" t="s">
        <v>2653</v>
      </c>
      <c r="J187" s="68" t="s">
        <v>4949</v>
      </c>
      <c r="K187" s="68" t="s">
        <v>2599</v>
      </c>
      <c r="L187" t="s">
        <v>1670</v>
      </c>
      <c r="M187" t="s">
        <v>2570</v>
      </c>
      <c r="N187" t="s">
        <v>1648</v>
      </c>
      <c r="O187" t="s">
        <v>1949</v>
      </c>
      <c r="R187" t="s">
        <v>4962</v>
      </c>
    </row>
    <row r="188" spans="1:18" x14ac:dyDescent="0.25">
      <c r="A188" t="s">
        <v>1231</v>
      </c>
      <c r="B188" t="s">
        <v>1607</v>
      </c>
      <c r="C188" t="s">
        <v>2963</v>
      </c>
      <c r="D188" t="s">
        <v>5245</v>
      </c>
      <c r="E188" t="s">
        <v>2583</v>
      </c>
      <c r="F188" t="s">
        <v>2584</v>
      </c>
      <c r="G188" t="s">
        <v>5246</v>
      </c>
      <c r="H188" s="74">
        <v>32899</v>
      </c>
      <c r="I188" s="68" t="s">
        <v>2831</v>
      </c>
      <c r="J188" s="68" t="s">
        <v>4949</v>
      </c>
      <c r="K188" s="68" t="s">
        <v>2608</v>
      </c>
      <c r="L188" t="s">
        <v>1690</v>
      </c>
      <c r="M188" t="s">
        <v>2976</v>
      </c>
      <c r="N188" t="s">
        <v>1648</v>
      </c>
      <c r="O188" t="s">
        <v>1949</v>
      </c>
      <c r="R188" t="s">
        <v>5247</v>
      </c>
    </row>
    <row r="189" spans="1:18" x14ac:dyDescent="0.25">
      <c r="A189" t="s">
        <v>1238</v>
      </c>
      <c r="B189" t="s">
        <v>1602</v>
      </c>
      <c r="C189" t="s">
        <v>3732</v>
      </c>
      <c r="D189" t="s">
        <v>4465</v>
      </c>
      <c r="E189" t="s">
        <v>2587</v>
      </c>
      <c r="F189" t="s">
        <v>2544</v>
      </c>
      <c r="G189" t="s">
        <v>4466</v>
      </c>
      <c r="H189" s="74">
        <v>36103</v>
      </c>
      <c r="I189" s="68" t="s">
        <v>2546</v>
      </c>
      <c r="J189" s="68" t="s">
        <v>4467</v>
      </c>
      <c r="K189" s="68" t="s">
        <v>2608</v>
      </c>
      <c r="L189" t="s">
        <v>1665</v>
      </c>
      <c r="M189" t="s">
        <v>2759</v>
      </c>
      <c r="N189" t="s">
        <v>1628</v>
      </c>
      <c r="O189" t="s">
        <v>1950</v>
      </c>
      <c r="R189" t="s">
        <v>4468</v>
      </c>
    </row>
    <row r="190" spans="1:18" x14ac:dyDescent="0.25">
      <c r="A190" t="s">
        <v>1137</v>
      </c>
      <c r="B190" t="s">
        <v>1596</v>
      </c>
      <c r="C190" t="s">
        <v>2836</v>
      </c>
      <c r="D190" t="s">
        <v>5144</v>
      </c>
      <c r="E190" t="s">
        <v>2587</v>
      </c>
      <c r="F190" t="s">
        <v>2544</v>
      </c>
      <c r="G190" t="s">
        <v>5145</v>
      </c>
      <c r="H190" s="74">
        <v>34031</v>
      </c>
      <c r="I190" s="68" t="s">
        <v>2633</v>
      </c>
      <c r="J190" s="68" t="s">
        <v>4467</v>
      </c>
      <c r="K190" s="68" t="s">
        <v>2587</v>
      </c>
      <c r="L190" t="s">
        <v>1658</v>
      </c>
      <c r="M190" t="s">
        <v>2575</v>
      </c>
      <c r="N190" t="s">
        <v>1648</v>
      </c>
      <c r="O190" t="s">
        <v>1949</v>
      </c>
      <c r="R190" t="s">
        <v>5146</v>
      </c>
    </row>
    <row r="191" spans="1:18" x14ac:dyDescent="0.25">
      <c r="A191" t="s">
        <v>1158</v>
      </c>
      <c r="B191" t="s">
        <v>1605</v>
      </c>
      <c r="C191" t="s">
        <v>3809</v>
      </c>
      <c r="D191" t="s">
        <v>4578</v>
      </c>
      <c r="E191" t="s">
        <v>2679</v>
      </c>
      <c r="F191" t="s">
        <v>2584</v>
      </c>
      <c r="G191" t="s">
        <v>4579</v>
      </c>
      <c r="H191" s="74">
        <v>33988</v>
      </c>
      <c r="I191" s="68" t="s">
        <v>2633</v>
      </c>
      <c r="J191" s="68" t="s">
        <v>4580</v>
      </c>
      <c r="K191" s="68" t="s">
        <v>2555</v>
      </c>
      <c r="L191" t="s">
        <v>1679</v>
      </c>
      <c r="M191" t="s">
        <v>3583</v>
      </c>
      <c r="N191" t="s">
        <v>43</v>
      </c>
      <c r="O191" t="s">
        <v>1949</v>
      </c>
      <c r="R191" t="s">
        <v>4581</v>
      </c>
    </row>
    <row r="192" spans="1:18" x14ac:dyDescent="0.25">
      <c r="A192" t="s">
        <v>1188</v>
      </c>
      <c r="B192" t="s">
        <v>1585</v>
      </c>
      <c r="C192" t="s">
        <v>3262</v>
      </c>
      <c r="D192" t="s">
        <v>4600</v>
      </c>
      <c r="E192" t="s">
        <v>2614</v>
      </c>
      <c r="F192" t="s">
        <v>2544</v>
      </c>
      <c r="G192" t="s">
        <v>4601</v>
      </c>
      <c r="H192" s="74">
        <v>33223</v>
      </c>
      <c r="I192" s="68" t="s">
        <v>2970</v>
      </c>
      <c r="J192" s="68" t="s">
        <v>4580</v>
      </c>
      <c r="K192" s="68" t="s">
        <v>2587</v>
      </c>
      <c r="L192" t="s">
        <v>1776</v>
      </c>
      <c r="M192" t="s">
        <v>3240</v>
      </c>
      <c r="N192" t="s">
        <v>1647</v>
      </c>
      <c r="O192" t="s">
        <v>1949</v>
      </c>
      <c r="R192" t="s">
        <v>4602</v>
      </c>
    </row>
    <row r="193" spans="1:18" x14ac:dyDescent="0.25">
      <c r="A193" t="s">
        <v>1188</v>
      </c>
      <c r="B193" t="s">
        <v>1585</v>
      </c>
      <c r="C193" t="s">
        <v>3262</v>
      </c>
      <c r="D193" t="s">
        <v>4622</v>
      </c>
      <c r="E193" t="s">
        <v>2559</v>
      </c>
      <c r="F193" t="s">
        <v>2584</v>
      </c>
      <c r="G193" t="s">
        <v>4623</v>
      </c>
      <c r="H193" s="74">
        <v>33131</v>
      </c>
      <c r="I193" s="68" t="s">
        <v>2831</v>
      </c>
      <c r="J193" s="68" t="s">
        <v>4580</v>
      </c>
      <c r="K193" s="68" t="s">
        <v>2657</v>
      </c>
      <c r="L193" t="s">
        <v>1709</v>
      </c>
      <c r="M193" t="s">
        <v>3529</v>
      </c>
      <c r="N193" t="s">
        <v>1647</v>
      </c>
      <c r="O193" t="s">
        <v>1949</v>
      </c>
      <c r="R193" t="s">
        <v>4624</v>
      </c>
    </row>
    <row r="194" spans="1:18" x14ac:dyDescent="0.25">
      <c r="A194" t="s">
        <v>10</v>
      </c>
      <c r="B194" t="s">
        <v>1614</v>
      </c>
      <c r="C194" t="s">
        <v>3526</v>
      </c>
      <c r="D194" t="s">
        <v>4878</v>
      </c>
      <c r="E194" t="s">
        <v>2627</v>
      </c>
      <c r="F194" t="s">
        <v>2584</v>
      </c>
      <c r="G194" t="s">
        <v>4879</v>
      </c>
      <c r="H194" s="74">
        <v>34904</v>
      </c>
      <c r="I194" s="68" t="s">
        <v>2653</v>
      </c>
      <c r="J194" s="68" t="s">
        <v>4580</v>
      </c>
      <c r="K194" s="68" t="s">
        <v>2587</v>
      </c>
      <c r="L194" t="s">
        <v>1693</v>
      </c>
      <c r="M194" t="s">
        <v>2827</v>
      </c>
      <c r="N194" t="s">
        <v>1647</v>
      </c>
      <c r="O194" t="s">
        <v>1949</v>
      </c>
      <c r="R194" t="s">
        <v>4880</v>
      </c>
    </row>
    <row r="195" spans="1:18" x14ac:dyDescent="0.25">
      <c r="A195" t="s">
        <v>1256</v>
      </c>
      <c r="B195" t="s">
        <v>1588</v>
      </c>
      <c r="C195" t="s">
        <v>2640</v>
      </c>
      <c r="D195" t="s">
        <v>2696</v>
      </c>
      <c r="E195" t="s">
        <v>2554</v>
      </c>
      <c r="F195" t="s">
        <v>2544</v>
      </c>
      <c r="G195" t="s">
        <v>2697</v>
      </c>
      <c r="H195" s="74">
        <v>33829</v>
      </c>
      <c r="I195" s="68" t="s">
        <v>2562</v>
      </c>
      <c r="J195" s="68" t="s">
        <v>2698</v>
      </c>
      <c r="K195" s="68" t="s">
        <v>2548</v>
      </c>
      <c r="L195" t="s">
        <v>1819</v>
      </c>
      <c r="M195" t="s">
        <v>2699</v>
      </c>
      <c r="N195" t="s">
        <v>1648</v>
      </c>
      <c r="O195" t="s">
        <v>1949</v>
      </c>
      <c r="R195" t="s">
        <v>2700</v>
      </c>
    </row>
    <row r="196" spans="1:18" x14ac:dyDescent="0.25">
      <c r="A196" t="s">
        <v>1201</v>
      </c>
      <c r="B196" t="s">
        <v>1598</v>
      </c>
      <c r="C196" t="s">
        <v>2932</v>
      </c>
      <c r="D196" t="s">
        <v>2955</v>
      </c>
      <c r="E196" t="s">
        <v>2547</v>
      </c>
      <c r="F196" t="s">
        <v>2560</v>
      </c>
      <c r="G196" t="s">
        <v>2956</v>
      </c>
      <c r="H196" s="74">
        <v>33868</v>
      </c>
      <c r="I196" s="68" t="s">
        <v>2562</v>
      </c>
      <c r="J196" s="68" t="s">
        <v>2698</v>
      </c>
      <c r="K196" s="68" t="s">
        <v>2548</v>
      </c>
      <c r="L196" t="s">
        <v>1715</v>
      </c>
      <c r="M196" t="s">
        <v>2957</v>
      </c>
      <c r="N196" t="s">
        <v>1648</v>
      </c>
      <c r="O196" t="s">
        <v>1949</v>
      </c>
      <c r="R196" t="s">
        <v>2958</v>
      </c>
    </row>
    <row r="197" spans="1:18" x14ac:dyDescent="0.25">
      <c r="A197" t="s">
        <v>1158</v>
      </c>
      <c r="B197" t="s">
        <v>1605</v>
      </c>
      <c r="C197" t="s">
        <v>3809</v>
      </c>
      <c r="D197" t="s">
        <v>4551</v>
      </c>
      <c r="E197" t="s">
        <v>2646</v>
      </c>
      <c r="F197" t="s">
        <v>2636</v>
      </c>
      <c r="G197" t="s">
        <v>4552</v>
      </c>
      <c r="H197" s="74">
        <v>35009</v>
      </c>
      <c r="I197" s="68" t="s">
        <v>2653</v>
      </c>
      <c r="J197" s="68" t="s">
        <v>2698</v>
      </c>
      <c r="K197" s="68" t="s">
        <v>2554</v>
      </c>
      <c r="L197" t="s">
        <v>1678</v>
      </c>
      <c r="M197" t="s">
        <v>2839</v>
      </c>
      <c r="N197" t="s">
        <v>43</v>
      </c>
      <c r="O197" t="s">
        <v>1949</v>
      </c>
      <c r="R197" t="s">
        <v>4553</v>
      </c>
    </row>
    <row r="198" spans="1:18" x14ac:dyDescent="0.25">
      <c r="A198" t="s">
        <v>10</v>
      </c>
      <c r="B198" t="s">
        <v>1614</v>
      </c>
      <c r="C198" t="s">
        <v>3526</v>
      </c>
      <c r="D198" t="s">
        <v>4897</v>
      </c>
      <c r="E198" t="s">
        <v>2776</v>
      </c>
      <c r="F198" t="s">
        <v>2636</v>
      </c>
      <c r="G198" t="s">
        <v>4898</v>
      </c>
      <c r="H198" s="74">
        <v>36056</v>
      </c>
      <c r="I198" s="68" t="s">
        <v>2546</v>
      </c>
      <c r="J198" s="68" t="s">
        <v>2698</v>
      </c>
      <c r="K198" s="68" t="s">
        <v>2586</v>
      </c>
      <c r="L198" t="s">
        <v>1661</v>
      </c>
      <c r="M198" t="s">
        <v>3445</v>
      </c>
      <c r="N198" t="s">
        <v>1647</v>
      </c>
      <c r="O198" t="s">
        <v>1949</v>
      </c>
      <c r="R198" t="s">
        <v>4899</v>
      </c>
    </row>
    <row r="199" spans="1:18" x14ac:dyDescent="0.25">
      <c r="A199" t="s">
        <v>1294</v>
      </c>
      <c r="B199" t="s">
        <v>1590</v>
      </c>
      <c r="C199" t="s">
        <v>2717</v>
      </c>
      <c r="D199" t="s">
        <v>5039</v>
      </c>
      <c r="E199" t="s">
        <v>2579</v>
      </c>
      <c r="F199" t="s">
        <v>2544</v>
      </c>
      <c r="G199" t="s">
        <v>5040</v>
      </c>
      <c r="H199" s="74">
        <v>34524</v>
      </c>
      <c r="I199" s="68" t="s">
        <v>2594</v>
      </c>
      <c r="J199" s="68" t="s">
        <v>2698</v>
      </c>
      <c r="K199" s="68" t="s">
        <v>2555</v>
      </c>
      <c r="L199" t="s">
        <v>1856</v>
      </c>
      <c r="M199" t="s">
        <v>5041</v>
      </c>
      <c r="N199" t="s">
        <v>1648</v>
      </c>
      <c r="O199" t="s">
        <v>1949</v>
      </c>
      <c r="R199" t="s">
        <v>5042</v>
      </c>
    </row>
    <row r="200" spans="1:18" x14ac:dyDescent="0.25">
      <c r="A200" t="s">
        <v>1186</v>
      </c>
      <c r="B200" t="s">
        <v>1613</v>
      </c>
      <c r="C200" t="s">
        <v>3156</v>
      </c>
      <c r="D200" t="s">
        <v>4241</v>
      </c>
      <c r="E200" t="s">
        <v>2592</v>
      </c>
      <c r="F200" t="s">
        <v>2584</v>
      </c>
      <c r="G200" t="s">
        <v>4242</v>
      </c>
      <c r="H200" s="74">
        <v>35606</v>
      </c>
      <c r="I200" s="68" t="s">
        <v>2599</v>
      </c>
      <c r="J200" s="68" t="s">
        <v>4243</v>
      </c>
      <c r="K200" s="68" t="s">
        <v>2547</v>
      </c>
      <c r="L200" t="s">
        <v>1666</v>
      </c>
      <c r="M200" t="s">
        <v>3434</v>
      </c>
      <c r="N200" t="s">
        <v>1648</v>
      </c>
      <c r="O200" t="s">
        <v>1949</v>
      </c>
      <c r="R200" t="s">
        <v>4244</v>
      </c>
    </row>
    <row r="201" spans="1:18" x14ac:dyDescent="0.25">
      <c r="A201" t="s">
        <v>1256</v>
      </c>
      <c r="B201" t="s">
        <v>1588</v>
      </c>
      <c r="C201" t="s">
        <v>2640</v>
      </c>
      <c r="D201" t="s">
        <v>5015</v>
      </c>
      <c r="E201" t="s">
        <v>2566</v>
      </c>
      <c r="F201" t="s">
        <v>2636</v>
      </c>
      <c r="G201" t="s">
        <v>5016</v>
      </c>
      <c r="H201" s="74">
        <v>33861</v>
      </c>
      <c r="I201" s="68" t="s">
        <v>2562</v>
      </c>
      <c r="J201" s="68" t="s">
        <v>4243</v>
      </c>
      <c r="K201" s="68" t="s">
        <v>2566</v>
      </c>
      <c r="L201" t="s">
        <v>1789</v>
      </c>
      <c r="M201" t="s">
        <v>3599</v>
      </c>
      <c r="N201" t="s">
        <v>1648</v>
      </c>
      <c r="O201" t="s">
        <v>1949</v>
      </c>
      <c r="R201" t="s">
        <v>5017</v>
      </c>
    </row>
    <row r="202" spans="1:18" x14ac:dyDescent="0.25">
      <c r="A202" t="s">
        <v>1238</v>
      </c>
      <c r="B202" t="s">
        <v>1602</v>
      </c>
      <c r="C202" t="s">
        <v>3732</v>
      </c>
      <c r="D202" t="s">
        <v>4487</v>
      </c>
      <c r="E202" t="s">
        <v>2554</v>
      </c>
      <c r="F202" t="s">
        <v>2636</v>
      </c>
      <c r="G202" t="s">
        <v>4488</v>
      </c>
      <c r="H202" s="74">
        <v>35582</v>
      </c>
      <c r="I202" s="68" t="s">
        <v>2599</v>
      </c>
      <c r="J202" s="68" t="s">
        <v>4489</v>
      </c>
      <c r="K202" s="68" t="s">
        <v>2610</v>
      </c>
      <c r="L202" t="s">
        <v>1668</v>
      </c>
      <c r="M202" t="s">
        <v>3084</v>
      </c>
      <c r="N202" t="s">
        <v>1628</v>
      </c>
      <c r="O202" t="s">
        <v>1950</v>
      </c>
      <c r="R202" t="s">
        <v>4490</v>
      </c>
    </row>
    <row r="203" spans="1:18" x14ac:dyDescent="0.25">
      <c r="A203" t="s">
        <v>1291</v>
      </c>
      <c r="B203" t="s">
        <v>1589</v>
      </c>
      <c r="C203" t="s">
        <v>2590</v>
      </c>
      <c r="D203" t="s">
        <v>4977</v>
      </c>
      <c r="E203" t="s">
        <v>2776</v>
      </c>
      <c r="F203" t="s">
        <v>2584</v>
      </c>
      <c r="G203" t="s">
        <v>4978</v>
      </c>
      <c r="H203" s="74">
        <v>33029</v>
      </c>
      <c r="I203" s="68" t="s">
        <v>2831</v>
      </c>
      <c r="J203" s="68" t="s">
        <v>4489</v>
      </c>
      <c r="K203" s="68" t="s">
        <v>2601</v>
      </c>
      <c r="L203" t="s">
        <v>1742</v>
      </c>
      <c r="M203" t="s">
        <v>3453</v>
      </c>
      <c r="N203" t="s">
        <v>1648</v>
      </c>
      <c r="O203" t="s">
        <v>1949</v>
      </c>
      <c r="R203" t="s">
        <v>4979</v>
      </c>
    </row>
    <row r="204" spans="1:18" x14ac:dyDescent="0.25">
      <c r="A204" t="s">
        <v>1292</v>
      </c>
      <c r="B204" t="s">
        <v>1601</v>
      </c>
      <c r="C204" t="s">
        <v>3005</v>
      </c>
      <c r="D204" t="s">
        <v>5271</v>
      </c>
      <c r="E204" t="s">
        <v>2679</v>
      </c>
      <c r="F204" t="s">
        <v>2636</v>
      </c>
      <c r="G204" t="s">
        <v>5272</v>
      </c>
      <c r="H204" s="74">
        <v>35148</v>
      </c>
      <c r="I204" s="68" t="s">
        <v>2552</v>
      </c>
      <c r="J204" s="68" t="s">
        <v>4489</v>
      </c>
      <c r="K204" s="68" t="s">
        <v>2592</v>
      </c>
      <c r="L204" t="s">
        <v>1689</v>
      </c>
      <c r="M204" t="s">
        <v>4063</v>
      </c>
      <c r="N204" t="s">
        <v>1648</v>
      </c>
      <c r="O204" t="s">
        <v>1949</v>
      </c>
      <c r="R204" t="s">
        <v>5273</v>
      </c>
    </row>
    <row r="205" spans="1:18" x14ac:dyDescent="0.25">
      <c r="A205" t="s">
        <v>1164</v>
      </c>
      <c r="B205" t="s">
        <v>1609</v>
      </c>
      <c r="C205" t="s">
        <v>3081</v>
      </c>
      <c r="D205" t="s">
        <v>5371</v>
      </c>
      <c r="E205" t="s">
        <v>2679</v>
      </c>
      <c r="F205" t="s">
        <v>2584</v>
      </c>
      <c r="G205" t="s">
        <v>5372</v>
      </c>
      <c r="H205" s="74">
        <v>33909</v>
      </c>
      <c r="I205" s="68" t="s">
        <v>2562</v>
      </c>
      <c r="J205" s="68" t="s">
        <v>4489</v>
      </c>
      <c r="K205" s="68" t="s">
        <v>2555</v>
      </c>
      <c r="L205" t="s">
        <v>1664</v>
      </c>
      <c r="M205" t="s">
        <v>3397</v>
      </c>
      <c r="N205" t="s">
        <v>1648</v>
      </c>
      <c r="O205" t="s">
        <v>1949</v>
      </c>
      <c r="R205" t="s">
        <v>5373</v>
      </c>
    </row>
    <row r="206" spans="1:18" x14ac:dyDescent="0.25">
      <c r="A206" t="s">
        <v>1256</v>
      </c>
      <c r="B206" t="s">
        <v>1588</v>
      </c>
      <c r="C206" t="s">
        <v>2640</v>
      </c>
      <c r="D206" t="s">
        <v>2661</v>
      </c>
      <c r="E206" t="s">
        <v>2614</v>
      </c>
      <c r="F206" t="s">
        <v>2560</v>
      </c>
      <c r="G206" t="s">
        <v>2662</v>
      </c>
      <c r="H206" s="74">
        <v>34002</v>
      </c>
      <c r="I206" s="68" t="s">
        <v>2633</v>
      </c>
      <c r="J206" s="68" t="s">
        <v>2651</v>
      </c>
      <c r="K206" s="68" t="s">
        <v>2548</v>
      </c>
      <c r="L206" t="s">
        <v>1755</v>
      </c>
      <c r="M206" t="s">
        <v>2663</v>
      </c>
      <c r="N206" t="s">
        <v>1648</v>
      </c>
      <c r="O206" t="s">
        <v>1949</v>
      </c>
      <c r="R206" t="s">
        <v>2664</v>
      </c>
    </row>
    <row r="207" spans="1:18" x14ac:dyDescent="0.25">
      <c r="A207" t="s">
        <v>1183</v>
      </c>
      <c r="B207" t="s">
        <v>1593</v>
      </c>
      <c r="C207" t="s">
        <v>2789</v>
      </c>
      <c r="D207" t="s">
        <v>2810</v>
      </c>
      <c r="E207" t="s">
        <v>2599</v>
      </c>
      <c r="F207" t="s">
        <v>2544</v>
      </c>
      <c r="G207" t="s">
        <v>2811</v>
      </c>
      <c r="H207" s="74">
        <v>36742</v>
      </c>
      <c r="I207" s="68" t="s">
        <v>2579</v>
      </c>
      <c r="J207" s="68" t="s">
        <v>2651</v>
      </c>
      <c r="K207" s="68" t="s">
        <v>2548</v>
      </c>
      <c r="L207" t="s">
        <v>1807</v>
      </c>
      <c r="M207" t="s">
        <v>2638</v>
      </c>
      <c r="N207" t="s">
        <v>1648</v>
      </c>
      <c r="O207" t="s">
        <v>1949</v>
      </c>
      <c r="R207" t="s">
        <v>2812</v>
      </c>
    </row>
    <row r="208" spans="1:18" x14ac:dyDescent="0.25">
      <c r="A208" t="s">
        <v>1231</v>
      </c>
      <c r="B208" t="s">
        <v>1607</v>
      </c>
      <c r="C208" t="s">
        <v>2963</v>
      </c>
      <c r="D208" t="s">
        <v>2978</v>
      </c>
      <c r="E208" t="s">
        <v>2552</v>
      </c>
      <c r="F208" t="s">
        <v>2584</v>
      </c>
      <c r="G208" t="s">
        <v>2979</v>
      </c>
      <c r="H208" s="74">
        <v>34087</v>
      </c>
      <c r="I208" s="68" t="s">
        <v>2633</v>
      </c>
      <c r="J208" s="68" t="s">
        <v>2651</v>
      </c>
      <c r="K208" s="68" t="s">
        <v>2548</v>
      </c>
      <c r="L208" t="s">
        <v>1755</v>
      </c>
      <c r="M208" t="s">
        <v>2663</v>
      </c>
      <c r="N208" t="s">
        <v>1648</v>
      </c>
      <c r="O208" t="s">
        <v>1949</v>
      </c>
      <c r="R208" t="s">
        <v>2980</v>
      </c>
    </row>
    <row r="209" spans="1:18" x14ac:dyDescent="0.25">
      <c r="A209" t="s">
        <v>1239</v>
      </c>
      <c r="B209" t="s">
        <v>1612</v>
      </c>
      <c r="C209" t="s">
        <v>3123</v>
      </c>
      <c r="D209" t="s">
        <v>3124</v>
      </c>
      <c r="E209" t="s">
        <v>2614</v>
      </c>
      <c r="F209" t="s">
        <v>2560</v>
      </c>
      <c r="G209" t="s">
        <v>3125</v>
      </c>
      <c r="H209" s="74">
        <v>35458</v>
      </c>
      <c r="I209" s="68" t="s">
        <v>2599</v>
      </c>
      <c r="J209" s="68" t="s">
        <v>2651</v>
      </c>
      <c r="K209" s="68" t="s">
        <v>2548</v>
      </c>
      <c r="L209" t="s">
        <v>1847</v>
      </c>
      <c r="M209" t="s">
        <v>3126</v>
      </c>
      <c r="N209" t="s">
        <v>1648</v>
      </c>
      <c r="O209" t="s">
        <v>1949</v>
      </c>
      <c r="R209" t="s">
        <v>3127</v>
      </c>
    </row>
    <row r="210" spans="1:18" x14ac:dyDescent="0.25">
      <c r="A210" t="s">
        <v>1172</v>
      </c>
      <c r="B210" t="s">
        <v>1615</v>
      </c>
      <c r="C210" t="s">
        <v>3206</v>
      </c>
      <c r="D210" t="s">
        <v>3207</v>
      </c>
      <c r="E210" t="s">
        <v>2554</v>
      </c>
      <c r="F210" t="s">
        <v>2636</v>
      </c>
      <c r="G210" t="s">
        <v>3208</v>
      </c>
      <c r="H210" s="74">
        <v>36158</v>
      </c>
      <c r="I210" s="68" t="s">
        <v>2627</v>
      </c>
      <c r="J210" s="68" t="s">
        <v>2651</v>
      </c>
      <c r="K210" s="68" t="s">
        <v>2548</v>
      </c>
      <c r="L210" t="s">
        <v>1771</v>
      </c>
      <c r="M210" t="s">
        <v>3209</v>
      </c>
      <c r="N210" t="s">
        <v>1648</v>
      </c>
      <c r="O210" t="s">
        <v>1949</v>
      </c>
      <c r="R210" t="s">
        <v>3210</v>
      </c>
    </row>
    <row r="211" spans="1:18" x14ac:dyDescent="0.25">
      <c r="A211" t="s">
        <v>1172</v>
      </c>
      <c r="B211" t="s">
        <v>1615</v>
      </c>
      <c r="C211" t="s">
        <v>3206</v>
      </c>
      <c r="D211" t="s">
        <v>3227</v>
      </c>
      <c r="E211" t="s">
        <v>2546</v>
      </c>
      <c r="F211" t="s">
        <v>2544</v>
      </c>
      <c r="G211" t="s">
        <v>3228</v>
      </c>
      <c r="H211" s="74">
        <v>36676</v>
      </c>
      <c r="I211" s="68" t="s">
        <v>2579</v>
      </c>
      <c r="J211" s="68" t="s">
        <v>2651</v>
      </c>
      <c r="K211" s="68" t="s">
        <v>2548</v>
      </c>
      <c r="L211" t="s">
        <v>1747</v>
      </c>
      <c r="M211" t="s">
        <v>2690</v>
      </c>
      <c r="N211" t="s">
        <v>1648</v>
      </c>
      <c r="O211" t="s">
        <v>1949</v>
      </c>
      <c r="R211" t="s">
        <v>3229</v>
      </c>
    </row>
    <row r="212" spans="1:18" x14ac:dyDescent="0.25">
      <c r="A212" t="s">
        <v>1188</v>
      </c>
      <c r="B212" t="s">
        <v>1585</v>
      </c>
      <c r="C212" t="s">
        <v>3262</v>
      </c>
      <c r="D212" t="s">
        <v>3270</v>
      </c>
      <c r="E212" t="s">
        <v>2555</v>
      </c>
      <c r="F212" t="s">
        <v>2544</v>
      </c>
      <c r="G212" t="s">
        <v>3271</v>
      </c>
      <c r="H212" s="74">
        <v>36324</v>
      </c>
      <c r="I212" s="68" t="s">
        <v>2627</v>
      </c>
      <c r="J212" s="68" t="s">
        <v>2651</v>
      </c>
      <c r="K212" s="68" t="s">
        <v>2548</v>
      </c>
      <c r="L212" t="s">
        <v>1735</v>
      </c>
      <c r="M212" t="s">
        <v>3265</v>
      </c>
      <c r="N212" t="s">
        <v>1647</v>
      </c>
      <c r="O212" t="s">
        <v>1949</v>
      </c>
      <c r="R212" t="s">
        <v>3272</v>
      </c>
    </row>
    <row r="213" spans="1:18" x14ac:dyDescent="0.25">
      <c r="A213" t="s">
        <v>1157</v>
      </c>
      <c r="B213" t="s">
        <v>1604</v>
      </c>
      <c r="C213" t="s">
        <v>3391</v>
      </c>
      <c r="D213" t="s">
        <v>3415</v>
      </c>
      <c r="E213" t="s">
        <v>2599</v>
      </c>
      <c r="F213" t="s">
        <v>2544</v>
      </c>
      <c r="G213" t="s">
        <v>3416</v>
      </c>
      <c r="H213" s="74">
        <v>35950</v>
      </c>
      <c r="I213" s="68" t="s">
        <v>2546</v>
      </c>
      <c r="J213" s="68" t="s">
        <v>2651</v>
      </c>
      <c r="K213" s="68" t="s">
        <v>2548</v>
      </c>
      <c r="L213" t="s">
        <v>1732</v>
      </c>
      <c r="M213" t="s">
        <v>3417</v>
      </c>
      <c r="N213" t="s">
        <v>1647</v>
      </c>
      <c r="O213" t="s">
        <v>1949</v>
      </c>
      <c r="R213" t="s">
        <v>3418</v>
      </c>
    </row>
    <row r="214" spans="1:18" x14ac:dyDescent="0.25">
      <c r="A214" t="s">
        <v>1157</v>
      </c>
      <c r="B214" t="s">
        <v>1604</v>
      </c>
      <c r="C214" t="s">
        <v>3391</v>
      </c>
      <c r="D214" t="s">
        <v>3419</v>
      </c>
      <c r="E214" t="s">
        <v>2601</v>
      </c>
      <c r="F214" t="s">
        <v>2544</v>
      </c>
      <c r="G214" t="s">
        <v>3420</v>
      </c>
      <c r="H214" s="74">
        <v>36571</v>
      </c>
      <c r="I214" s="68" t="s">
        <v>2579</v>
      </c>
      <c r="J214" s="68" t="s">
        <v>2651</v>
      </c>
      <c r="K214" s="68" t="s">
        <v>2548</v>
      </c>
      <c r="L214" t="s">
        <v>1803</v>
      </c>
      <c r="M214" t="s">
        <v>3213</v>
      </c>
      <c r="N214" t="s">
        <v>1647</v>
      </c>
      <c r="O214" t="s">
        <v>1949</v>
      </c>
      <c r="R214" t="s">
        <v>3421</v>
      </c>
    </row>
    <row r="215" spans="1:18" x14ac:dyDescent="0.25">
      <c r="A215" t="s">
        <v>1157</v>
      </c>
      <c r="B215" t="s">
        <v>1604</v>
      </c>
      <c r="C215" t="s">
        <v>3391</v>
      </c>
      <c r="D215" t="s">
        <v>3422</v>
      </c>
      <c r="E215" t="s">
        <v>2592</v>
      </c>
      <c r="F215" t="s">
        <v>2584</v>
      </c>
      <c r="G215" t="s">
        <v>3423</v>
      </c>
      <c r="H215" s="74">
        <v>35799</v>
      </c>
      <c r="I215" s="68" t="s">
        <v>2546</v>
      </c>
      <c r="J215" s="68" t="s">
        <v>2651</v>
      </c>
      <c r="K215" s="68" t="s">
        <v>2548</v>
      </c>
      <c r="L215" t="s">
        <v>1765</v>
      </c>
      <c r="M215" t="s">
        <v>3154</v>
      </c>
      <c r="N215" t="s">
        <v>1647</v>
      </c>
      <c r="O215" t="s">
        <v>1949</v>
      </c>
      <c r="R215" t="s">
        <v>3424</v>
      </c>
    </row>
    <row r="216" spans="1:18" x14ac:dyDescent="0.25">
      <c r="A216" t="s">
        <v>1127</v>
      </c>
      <c r="B216" t="s">
        <v>1591</v>
      </c>
      <c r="C216" t="s">
        <v>3633</v>
      </c>
      <c r="D216" t="s">
        <v>3637</v>
      </c>
      <c r="E216" t="s">
        <v>2627</v>
      </c>
      <c r="F216" t="s">
        <v>2560</v>
      </c>
      <c r="G216" t="s">
        <v>3638</v>
      </c>
      <c r="H216" s="74">
        <v>34731</v>
      </c>
      <c r="I216" s="68" t="s">
        <v>2653</v>
      </c>
      <c r="J216" s="68" t="s">
        <v>2651</v>
      </c>
      <c r="K216" s="68" t="s">
        <v>2548</v>
      </c>
      <c r="L216" t="s">
        <v>1902</v>
      </c>
      <c r="M216" t="s">
        <v>3639</v>
      </c>
      <c r="N216" t="s">
        <v>1627</v>
      </c>
      <c r="O216" t="s">
        <v>1950</v>
      </c>
      <c r="R216" t="s">
        <v>3640</v>
      </c>
    </row>
    <row r="217" spans="1:18" x14ac:dyDescent="0.25">
      <c r="A217" t="s">
        <v>1135</v>
      </c>
      <c r="B217" t="s">
        <v>1595</v>
      </c>
      <c r="C217" t="s">
        <v>3694</v>
      </c>
      <c r="D217" t="s">
        <v>3695</v>
      </c>
      <c r="E217" t="s">
        <v>2610</v>
      </c>
      <c r="F217" t="s">
        <v>2584</v>
      </c>
      <c r="G217" t="s">
        <v>3696</v>
      </c>
      <c r="H217" s="74">
        <v>34029</v>
      </c>
      <c r="I217" s="68" t="s">
        <v>2633</v>
      </c>
      <c r="J217" s="68" t="s">
        <v>2651</v>
      </c>
      <c r="K217" s="68" t="s">
        <v>2548</v>
      </c>
      <c r="L217" t="s">
        <v>1694</v>
      </c>
      <c r="M217" t="s">
        <v>2694</v>
      </c>
      <c r="N217" t="s">
        <v>1617</v>
      </c>
      <c r="O217" t="s">
        <v>1950</v>
      </c>
      <c r="R217" t="s">
        <v>3697</v>
      </c>
    </row>
    <row r="218" spans="1:18" x14ac:dyDescent="0.25">
      <c r="A218" t="s">
        <v>1135</v>
      </c>
      <c r="B218" t="s">
        <v>1595</v>
      </c>
      <c r="C218" t="s">
        <v>3694</v>
      </c>
      <c r="D218" t="s">
        <v>3713</v>
      </c>
      <c r="E218" t="s">
        <v>2627</v>
      </c>
      <c r="F218" t="s">
        <v>2560</v>
      </c>
      <c r="G218" t="s">
        <v>3714</v>
      </c>
      <c r="H218" s="74">
        <v>34027</v>
      </c>
      <c r="I218" s="68" t="s">
        <v>2633</v>
      </c>
      <c r="J218" s="68" t="s">
        <v>2651</v>
      </c>
      <c r="K218" s="68" t="s">
        <v>2548</v>
      </c>
      <c r="L218" t="s">
        <v>1703</v>
      </c>
      <c r="M218" t="s">
        <v>2855</v>
      </c>
      <c r="N218" t="s">
        <v>1617</v>
      </c>
      <c r="O218" t="s">
        <v>1950</v>
      </c>
      <c r="R218" t="s">
        <v>3715</v>
      </c>
    </row>
    <row r="219" spans="1:18" x14ac:dyDescent="0.25">
      <c r="A219" t="s">
        <v>1238</v>
      </c>
      <c r="B219" t="s">
        <v>1602</v>
      </c>
      <c r="C219" t="s">
        <v>3732</v>
      </c>
      <c r="D219" t="s">
        <v>3762</v>
      </c>
      <c r="E219" t="s">
        <v>2552</v>
      </c>
      <c r="F219" t="s">
        <v>2584</v>
      </c>
      <c r="G219" t="s">
        <v>3763</v>
      </c>
      <c r="H219" s="74">
        <v>33407</v>
      </c>
      <c r="I219" s="68" t="s">
        <v>2970</v>
      </c>
      <c r="J219" s="68" t="s">
        <v>2651</v>
      </c>
      <c r="K219" s="68" t="s">
        <v>2548</v>
      </c>
      <c r="L219" t="s">
        <v>1752</v>
      </c>
      <c r="M219" t="s">
        <v>3756</v>
      </c>
      <c r="N219" t="s">
        <v>1628</v>
      </c>
      <c r="O219" t="s">
        <v>1950</v>
      </c>
      <c r="R219" t="s">
        <v>3764</v>
      </c>
    </row>
    <row r="220" spans="1:18" x14ac:dyDescent="0.25">
      <c r="A220" t="s">
        <v>1158</v>
      </c>
      <c r="B220" t="s">
        <v>1605</v>
      </c>
      <c r="C220" t="s">
        <v>3809</v>
      </c>
      <c r="D220" t="s">
        <v>3824</v>
      </c>
      <c r="E220" t="s">
        <v>2614</v>
      </c>
      <c r="F220" t="s">
        <v>2584</v>
      </c>
      <c r="G220" t="s">
        <v>3825</v>
      </c>
      <c r="H220" s="74">
        <v>36569</v>
      </c>
      <c r="I220" s="68" t="s">
        <v>2579</v>
      </c>
      <c r="J220" s="68" t="s">
        <v>2651</v>
      </c>
      <c r="K220" s="68" t="s">
        <v>2548</v>
      </c>
      <c r="L220" t="s">
        <v>1665</v>
      </c>
      <c r="M220" t="s">
        <v>2759</v>
      </c>
      <c r="N220" t="s">
        <v>43</v>
      </c>
      <c r="O220" t="s">
        <v>1949</v>
      </c>
      <c r="R220" t="s">
        <v>3826</v>
      </c>
    </row>
    <row r="221" spans="1:18" x14ac:dyDescent="0.25">
      <c r="A221" t="s">
        <v>1153</v>
      </c>
      <c r="B221" t="s">
        <v>1603</v>
      </c>
      <c r="C221" t="s">
        <v>3776</v>
      </c>
      <c r="D221" t="s">
        <v>4154</v>
      </c>
      <c r="E221" t="s">
        <v>2566</v>
      </c>
      <c r="F221" t="s">
        <v>2636</v>
      </c>
      <c r="G221" t="s">
        <v>4155</v>
      </c>
      <c r="H221" s="74">
        <v>36328</v>
      </c>
      <c r="I221" s="68" t="s">
        <v>2627</v>
      </c>
      <c r="J221" s="68" t="s">
        <v>2651</v>
      </c>
      <c r="K221" s="68" t="s">
        <v>2547</v>
      </c>
      <c r="L221" t="s">
        <v>1670</v>
      </c>
      <c r="M221" t="s">
        <v>2570</v>
      </c>
      <c r="N221" t="s">
        <v>43</v>
      </c>
      <c r="O221" t="s">
        <v>1949</v>
      </c>
      <c r="R221" t="s">
        <v>4156</v>
      </c>
    </row>
    <row r="222" spans="1:18" x14ac:dyDescent="0.25">
      <c r="A222" t="s">
        <v>1167</v>
      </c>
      <c r="B222" t="s">
        <v>1610</v>
      </c>
      <c r="C222" t="s">
        <v>3301</v>
      </c>
      <c r="D222" t="s">
        <v>4631</v>
      </c>
      <c r="E222" t="s">
        <v>2599</v>
      </c>
      <c r="F222" t="s">
        <v>2636</v>
      </c>
      <c r="G222" t="s">
        <v>4632</v>
      </c>
      <c r="H222" s="74">
        <v>37560</v>
      </c>
      <c r="I222" s="68" t="s">
        <v>2670</v>
      </c>
      <c r="J222" s="68" t="s">
        <v>2651</v>
      </c>
      <c r="K222" s="68" t="s">
        <v>2587</v>
      </c>
      <c r="L222" t="s">
        <v>1653</v>
      </c>
      <c r="M222" t="s">
        <v>2874</v>
      </c>
      <c r="N222" t="s">
        <v>1647</v>
      </c>
      <c r="O222" t="s">
        <v>1949</v>
      </c>
      <c r="R222" t="s">
        <v>4633</v>
      </c>
    </row>
    <row r="223" spans="1:18" x14ac:dyDescent="0.25">
      <c r="A223" t="s">
        <v>1124</v>
      </c>
      <c r="B223" t="s">
        <v>1586</v>
      </c>
      <c r="C223" t="s">
        <v>2541</v>
      </c>
      <c r="D223" t="s">
        <v>4940</v>
      </c>
      <c r="E223" t="s">
        <v>2546</v>
      </c>
      <c r="F223" t="s">
        <v>2636</v>
      </c>
      <c r="G223" t="s">
        <v>4941</v>
      </c>
      <c r="H223" s="74">
        <v>36572</v>
      </c>
      <c r="I223" s="68" t="s">
        <v>2579</v>
      </c>
      <c r="J223" s="68" t="s">
        <v>2651</v>
      </c>
      <c r="K223" s="68" t="s">
        <v>2587</v>
      </c>
      <c r="L223" t="s">
        <v>1737</v>
      </c>
      <c r="M223" t="s">
        <v>2930</v>
      </c>
      <c r="N223" t="s">
        <v>1648</v>
      </c>
      <c r="O223" t="s">
        <v>1949</v>
      </c>
      <c r="R223" t="s">
        <v>4942</v>
      </c>
    </row>
    <row r="224" spans="1:18" x14ac:dyDescent="0.25">
      <c r="A224" t="s">
        <v>1164</v>
      </c>
      <c r="B224" t="s">
        <v>1609</v>
      </c>
      <c r="C224" t="s">
        <v>3081</v>
      </c>
      <c r="D224" t="s">
        <v>4198</v>
      </c>
      <c r="E224" t="s">
        <v>2608</v>
      </c>
      <c r="F224" t="s">
        <v>2584</v>
      </c>
      <c r="G224" t="s">
        <v>4199</v>
      </c>
      <c r="H224" s="74">
        <v>33558</v>
      </c>
      <c r="I224" s="68" t="s">
        <v>2970</v>
      </c>
      <c r="J224" s="68" t="s">
        <v>4200</v>
      </c>
      <c r="K224" s="68" t="s">
        <v>2547</v>
      </c>
      <c r="L224" t="s">
        <v>1668</v>
      </c>
      <c r="M224" t="s">
        <v>3084</v>
      </c>
      <c r="N224" t="s">
        <v>1648</v>
      </c>
      <c r="O224" t="s">
        <v>1949</v>
      </c>
      <c r="R224" t="s">
        <v>4201</v>
      </c>
    </row>
    <row r="225" spans="1:18" x14ac:dyDescent="0.25">
      <c r="A225" t="s">
        <v>1153</v>
      </c>
      <c r="B225" t="s">
        <v>1603</v>
      </c>
      <c r="C225" t="s">
        <v>3776</v>
      </c>
      <c r="D225" t="s">
        <v>4507</v>
      </c>
      <c r="E225" t="s">
        <v>2543</v>
      </c>
      <c r="F225" t="s">
        <v>2544</v>
      </c>
      <c r="G225" t="s">
        <v>4508</v>
      </c>
      <c r="H225" s="74">
        <v>33427</v>
      </c>
      <c r="I225" s="68" t="s">
        <v>2970</v>
      </c>
      <c r="J225" s="68" t="s">
        <v>4200</v>
      </c>
      <c r="K225" s="68" t="s">
        <v>2592</v>
      </c>
      <c r="L225" t="s">
        <v>1676</v>
      </c>
      <c r="M225" t="s">
        <v>3615</v>
      </c>
      <c r="N225" t="s">
        <v>43</v>
      </c>
      <c r="O225" t="s">
        <v>1949</v>
      </c>
      <c r="R225" t="s">
        <v>4509</v>
      </c>
    </row>
    <row r="226" spans="1:18" x14ac:dyDescent="0.25">
      <c r="A226" t="s">
        <v>1158</v>
      </c>
      <c r="B226" t="s">
        <v>1605</v>
      </c>
      <c r="C226" t="s">
        <v>3809</v>
      </c>
      <c r="D226" t="s">
        <v>4564</v>
      </c>
      <c r="E226" t="s">
        <v>2608</v>
      </c>
      <c r="F226" t="s">
        <v>2584</v>
      </c>
      <c r="G226" t="s">
        <v>4565</v>
      </c>
      <c r="H226" s="74">
        <v>34585</v>
      </c>
      <c r="I226" s="68" t="s">
        <v>2594</v>
      </c>
      <c r="J226" s="68" t="s">
        <v>4200</v>
      </c>
      <c r="K226" s="68" t="s">
        <v>2681</v>
      </c>
      <c r="L226" t="s">
        <v>1657</v>
      </c>
      <c r="M226" t="s">
        <v>3204</v>
      </c>
      <c r="N226" t="s">
        <v>43</v>
      </c>
      <c r="O226" t="s">
        <v>1949</v>
      </c>
      <c r="R226" t="s">
        <v>4566</v>
      </c>
    </row>
    <row r="227" spans="1:18" x14ac:dyDescent="0.25">
      <c r="A227" t="s">
        <v>1188</v>
      </c>
      <c r="B227" t="s">
        <v>1585</v>
      </c>
      <c r="C227" t="s">
        <v>3262</v>
      </c>
      <c r="D227" t="s">
        <v>4618</v>
      </c>
      <c r="E227" t="s">
        <v>2579</v>
      </c>
      <c r="F227" t="s">
        <v>2584</v>
      </c>
      <c r="G227" t="s">
        <v>4619</v>
      </c>
      <c r="H227" s="74">
        <v>34035</v>
      </c>
      <c r="I227" s="68" t="s">
        <v>2633</v>
      </c>
      <c r="J227" s="68" t="s">
        <v>4200</v>
      </c>
      <c r="K227" s="68" t="s">
        <v>2657</v>
      </c>
      <c r="L227" t="s">
        <v>1858</v>
      </c>
      <c r="M227" t="s">
        <v>4620</v>
      </c>
      <c r="N227" t="s">
        <v>1647</v>
      </c>
      <c r="O227" t="s">
        <v>1949</v>
      </c>
      <c r="R227" t="s">
        <v>4621</v>
      </c>
    </row>
    <row r="228" spans="1:18" x14ac:dyDescent="0.25">
      <c r="A228" t="s">
        <v>1212</v>
      </c>
      <c r="B228" t="s">
        <v>1600</v>
      </c>
      <c r="C228" t="s">
        <v>3357</v>
      </c>
      <c r="D228" t="s">
        <v>4716</v>
      </c>
      <c r="E228" t="s">
        <v>2614</v>
      </c>
      <c r="F228" t="s">
        <v>2636</v>
      </c>
      <c r="G228" t="s">
        <v>4717</v>
      </c>
      <c r="H228" s="74">
        <v>33844</v>
      </c>
      <c r="I228" s="68" t="s">
        <v>2562</v>
      </c>
      <c r="J228" s="68" t="s">
        <v>4200</v>
      </c>
      <c r="K228" s="68" t="s">
        <v>2614</v>
      </c>
      <c r="L228" t="s">
        <v>1714</v>
      </c>
      <c r="M228" t="s">
        <v>3905</v>
      </c>
      <c r="N228" t="s">
        <v>1647</v>
      </c>
      <c r="O228" t="s">
        <v>1949</v>
      </c>
      <c r="R228" t="s">
        <v>4718</v>
      </c>
    </row>
    <row r="229" spans="1:18" x14ac:dyDescent="0.25">
      <c r="A229" t="s">
        <v>1212</v>
      </c>
      <c r="B229" t="s">
        <v>1600</v>
      </c>
      <c r="C229" t="s">
        <v>3357</v>
      </c>
      <c r="D229" t="s">
        <v>4746</v>
      </c>
      <c r="E229" t="s">
        <v>2681</v>
      </c>
      <c r="F229" t="s">
        <v>2584</v>
      </c>
      <c r="G229" t="s">
        <v>4747</v>
      </c>
      <c r="H229" s="74">
        <v>35090</v>
      </c>
      <c r="I229" s="68" t="s">
        <v>2552</v>
      </c>
      <c r="J229" s="68" t="s">
        <v>4200</v>
      </c>
      <c r="K229" s="68" t="s">
        <v>2646</v>
      </c>
      <c r="L229" t="s">
        <v>1704</v>
      </c>
      <c r="M229" t="s">
        <v>3815</v>
      </c>
      <c r="N229" t="s">
        <v>1647</v>
      </c>
      <c r="O229" t="s">
        <v>1949</v>
      </c>
      <c r="R229" t="s">
        <v>4748</v>
      </c>
    </row>
    <row r="230" spans="1:18" x14ac:dyDescent="0.25">
      <c r="A230" t="s">
        <v>1169</v>
      </c>
      <c r="B230" t="s">
        <v>1611</v>
      </c>
      <c r="C230" t="s">
        <v>3492</v>
      </c>
      <c r="D230" t="s">
        <v>4847</v>
      </c>
      <c r="E230" t="s">
        <v>2608</v>
      </c>
      <c r="F230" t="s">
        <v>2584</v>
      </c>
      <c r="G230" t="s">
        <v>4848</v>
      </c>
      <c r="H230" s="74">
        <v>33709</v>
      </c>
      <c r="I230" s="68" t="s">
        <v>2562</v>
      </c>
      <c r="J230" s="68" t="s">
        <v>4200</v>
      </c>
      <c r="K230" s="68" t="s">
        <v>2651</v>
      </c>
      <c r="L230" t="s">
        <v>1698</v>
      </c>
      <c r="M230" t="s">
        <v>3252</v>
      </c>
      <c r="N230" t="s">
        <v>1647</v>
      </c>
      <c r="O230" t="s">
        <v>1949</v>
      </c>
      <c r="R230" t="s">
        <v>4849</v>
      </c>
    </row>
    <row r="231" spans="1:18" x14ac:dyDescent="0.25">
      <c r="A231" t="s">
        <v>10</v>
      </c>
      <c r="B231" t="s">
        <v>1614</v>
      </c>
      <c r="C231" t="s">
        <v>3526</v>
      </c>
      <c r="D231" t="s">
        <v>4864</v>
      </c>
      <c r="E231" t="s">
        <v>2614</v>
      </c>
      <c r="F231" t="s">
        <v>2636</v>
      </c>
      <c r="G231" t="s">
        <v>4865</v>
      </c>
      <c r="H231" s="74">
        <v>34633</v>
      </c>
      <c r="I231" s="68" t="s">
        <v>2594</v>
      </c>
      <c r="J231" s="68" t="s">
        <v>4200</v>
      </c>
      <c r="K231" s="68" t="s">
        <v>2681</v>
      </c>
      <c r="L231" t="s">
        <v>1719</v>
      </c>
      <c r="M231" t="s">
        <v>2715</v>
      </c>
      <c r="N231" t="s">
        <v>1647</v>
      </c>
      <c r="O231" t="s">
        <v>1949</v>
      </c>
      <c r="R231" t="s">
        <v>4866</v>
      </c>
    </row>
    <row r="232" spans="1:18" x14ac:dyDescent="0.25">
      <c r="A232" t="s">
        <v>1130</v>
      </c>
      <c r="B232" t="s">
        <v>1592</v>
      </c>
      <c r="C232" t="s">
        <v>2761</v>
      </c>
      <c r="D232" t="s">
        <v>5102</v>
      </c>
      <c r="E232" t="s">
        <v>2679</v>
      </c>
      <c r="F232" t="s">
        <v>2544</v>
      </c>
      <c r="G232" t="s">
        <v>5103</v>
      </c>
      <c r="H232" s="74">
        <v>33290</v>
      </c>
      <c r="I232" s="68" t="s">
        <v>2970</v>
      </c>
      <c r="J232" s="68" t="s">
        <v>4200</v>
      </c>
      <c r="K232" s="68" t="s">
        <v>2555</v>
      </c>
      <c r="L232" t="s">
        <v>1806</v>
      </c>
      <c r="M232" t="s">
        <v>5104</v>
      </c>
      <c r="N232" t="s">
        <v>1648</v>
      </c>
      <c r="O232" t="s">
        <v>1949</v>
      </c>
      <c r="R232" t="s">
        <v>5105</v>
      </c>
    </row>
    <row r="233" spans="1:18" x14ac:dyDescent="0.25">
      <c r="A233" t="s">
        <v>1239</v>
      </c>
      <c r="B233" t="s">
        <v>1612</v>
      </c>
      <c r="C233" t="s">
        <v>3123</v>
      </c>
      <c r="D233" t="s">
        <v>5388</v>
      </c>
      <c r="E233" t="s">
        <v>2679</v>
      </c>
      <c r="F233" t="s">
        <v>2584</v>
      </c>
      <c r="G233" t="s">
        <v>5389</v>
      </c>
      <c r="H233" s="74">
        <v>34829</v>
      </c>
      <c r="I233" s="68" t="s">
        <v>2653</v>
      </c>
      <c r="J233" s="68" t="s">
        <v>4200</v>
      </c>
      <c r="K233" s="68" t="s">
        <v>2555</v>
      </c>
      <c r="L233" t="s">
        <v>1810</v>
      </c>
      <c r="M233" t="s">
        <v>5390</v>
      </c>
      <c r="N233" t="s">
        <v>1648</v>
      </c>
      <c r="O233" t="s">
        <v>1949</v>
      </c>
      <c r="R233" t="s">
        <v>5391</v>
      </c>
    </row>
    <row r="234" spans="1:18" x14ac:dyDescent="0.25">
      <c r="A234" t="s">
        <v>1244</v>
      </c>
      <c r="B234" t="s">
        <v>1597</v>
      </c>
      <c r="C234" t="s">
        <v>2876</v>
      </c>
      <c r="D234" t="s">
        <v>4050</v>
      </c>
      <c r="E234" t="s">
        <v>2679</v>
      </c>
      <c r="F234" t="s">
        <v>2544</v>
      </c>
      <c r="G234" t="s">
        <v>4051</v>
      </c>
      <c r="H234" s="74">
        <v>34517</v>
      </c>
      <c r="I234" s="68" t="s">
        <v>2594</v>
      </c>
      <c r="J234" s="68" t="s">
        <v>4052</v>
      </c>
      <c r="K234" s="68" t="s">
        <v>2547</v>
      </c>
      <c r="L234" t="s">
        <v>1742</v>
      </c>
      <c r="M234" t="s">
        <v>3453</v>
      </c>
      <c r="N234" t="s">
        <v>1648</v>
      </c>
      <c r="O234" t="s">
        <v>1949</v>
      </c>
      <c r="R234" t="s">
        <v>4053</v>
      </c>
    </row>
    <row r="235" spans="1:18" x14ac:dyDescent="0.25">
      <c r="A235" t="s">
        <v>1131</v>
      </c>
      <c r="B235" t="s">
        <v>1594</v>
      </c>
      <c r="C235" t="s">
        <v>3663</v>
      </c>
      <c r="D235" t="s">
        <v>4420</v>
      </c>
      <c r="E235" t="s">
        <v>2592</v>
      </c>
      <c r="F235" t="s">
        <v>2544</v>
      </c>
      <c r="G235" t="s">
        <v>4421</v>
      </c>
      <c r="H235" s="74">
        <v>34033</v>
      </c>
      <c r="I235" s="68" t="s">
        <v>2633</v>
      </c>
      <c r="J235" s="68" t="s">
        <v>4052</v>
      </c>
      <c r="K235" s="68" t="s">
        <v>2657</v>
      </c>
      <c r="L235" t="s">
        <v>1657</v>
      </c>
      <c r="M235" t="s">
        <v>3204</v>
      </c>
      <c r="N235" t="s">
        <v>43</v>
      </c>
      <c r="O235" t="s">
        <v>1949</v>
      </c>
      <c r="R235" t="s">
        <v>4422</v>
      </c>
    </row>
    <row r="236" spans="1:18" x14ac:dyDescent="0.25">
      <c r="A236" t="s">
        <v>1253</v>
      </c>
      <c r="B236" t="s">
        <v>1608</v>
      </c>
      <c r="C236" t="s">
        <v>3431</v>
      </c>
      <c r="D236" t="s">
        <v>4795</v>
      </c>
      <c r="E236" t="s">
        <v>2583</v>
      </c>
      <c r="F236" t="s">
        <v>2636</v>
      </c>
      <c r="G236" t="s">
        <v>4796</v>
      </c>
      <c r="H236" s="74">
        <v>35851</v>
      </c>
      <c r="I236" s="68" t="s">
        <v>2546</v>
      </c>
      <c r="J236" s="68" t="s">
        <v>4052</v>
      </c>
      <c r="K236" s="68" t="s">
        <v>2776</v>
      </c>
      <c r="L236" t="s">
        <v>1946</v>
      </c>
      <c r="M236" t="s">
        <v>4797</v>
      </c>
      <c r="N236" t="s">
        <v>1647</v>
      </c>
      <c r="O236" t="s">
        <v>1949</v>
      </c>
      <c r="R236" t="s">
        <v>4798</v>
      </c>
    </row>
    <row r="237" spans="1:18" x14ac:dyDescent="0.25">
      <c r="A237" t="s">
        <v>1124</v>
      </c>
      <c r="B237" t="s">
        <v>1586</v>
      </c>
      <c r="C237" t="s">
        <v>2541</v>
      </c>
      <c r="D237" t="s">
        <v>4936</v>
      </c>
      <c r="E237" t="s">
        <v>2627</v>
      </c>
      <c r="F237" t="s">
        <v>2636</v>
      </c>
      <c r="G237" t="s">
        <v>4937</v>
      </c>
      <c r="H237" s="74">
        <v>34244</v>
      </c>
      <c r="I237" s="68" t="s">
        <v>2633</v>
      </c>
      <c r="J237" s="68" t="s">
        <v>4052</v>
      </c>
      <c r="K237" s="68" t="s">
        <v>2552</v>
      </c>
      <c r="L237" t="s">
        <v>1778</v>
      </c>
      <c r="M237" t="s">
        <v>4938</v>
      </c>
      <c r="N237" t="s">
        <v>1648</v>
      </c>
      <c r="O237" t="s">
        <v>1949</v>
      </c>
      <c r="R237" t="s">
        <v>4939</v>
      </c>
    </row>
    <row r="238" spans="1:18" x14ac:dyDescent="0.25">
      <c r="A238" t="s">
        <v>1137</v>
      </c>
      <c r="B238" t="s">
        <v>1596</v>
      </c>
      <c r="C238" t="s">
        <v>2836</v>
      </c>
      <c r="D238" t="s">
        <v>5172</v>
      </c>
      <c r="E238" t="s">
        <v>2554</v>
      </c>
      <c r="F238" t="s">
        <v>2584</v>
      </c>
      <c r="G238" t="s">
        <v>5173</v>
      </c>
      <c r="H238" s="74">
        <v>35075</v>
      </c>
      <c r="I238" s="68" t="s">
        <v>2552</v>
      </c>
      <c r="J238" s="68" t="s">
        <v>4052</v>
      </c>
      <c r="K238" s="68" t="s">
        <v>2681</v>
      </c>
      <c r="L238" t="s">
        <v>1654</v>
      </c>
      <c r="M238" t="s">
        <v>2844</v>
      </c>
      <c r="N238" t="s">
        <v>1648</v>
      </c>
      <c r="O238" t="s">
        <v>1949</v>
      </c>
      <c r="R238" t="s">
        <v>5174</v>
      </c>
    </row>
    <row r="239" spans="1:18" x14ac:dyDescent="0.25">
      <c r="A239" t="s">
        <v>1230</v>
      </c>
      <c r="B239" t="s">
        <v>1606</v>
      </c>
      <c r="C239" t="s">
        <v>3035</v>
      </c>
      <c r="D239" t="s">
        <v>5323</v>
      </c>
      <c r="E239" t="s">
        <v>2646</v>
      </c>
      <c r="F239" t="s">
        <v>2636</v>
      </c>
      <c r="G239" t="s">
        <v>5324</v>
      </c>
      <c r="H239" s="74">
        <v>34323</v>
      </c>
      <c r="I239" s="68" t="s">
        <v>2594</v>
      </c>
      <c r="J239" s="68" t="s">
        <v>4052</v>
      </c>
      <c r="K239" s="68" t="s">
        <v>2559</v>
      </c>
      <c r="L239" t="s">
        <v>1672</v>
      </c>
      <c r="M239" t="s">
        <v>3079</v>
      </c>
      <c r="N239" t="s">
        <v>1648</v>
      </c>
      <c r="O239" t="s">
        <v>1949</v>
      </c>
      <c r="R239" t="s">
        <v>5325</v>
      </c>
    </row>
    <row r="240" spans="1:18" x14ac:dyDescent="0.25">
      <c r="A240" t="s">
        <v>1239</v>
      </c>
      <c r="B240" t="s">
        <v>1612</v>
      </c>
      <c r="C240" t="s">
        <v>3123</v>
      </c>
      <c r="D240" t="s">
        <v>5413</v>
      </c>
      <c r="E240" t="s">
        <v>2681</v>
      </c>
      <c r="F240" t="s">
        <v>2636</v>
      </c>
      <c r="G240" t="s">
        <v>5414</v>
      </c>
      <c r="H240" s="74">
        <v>33609</v>
      </c>
      <c r="I240" s="68" t="s">
        <v>2562</v>
      </c>
      <c r="J240" s="68" t="s">
        <v>4052</v>
      </c>
      <c r="K240" s="68" t="s">
        <v>2646</v>
      </c>
      <c r="L240" t="s">
        <v>1783</v>
      </c>
      <c r="M240" t="s">
        <v>3150</v>
      </c>
      <c r="N240" t="s">
        <v>1648</v>
      </c>
      <c r="O240" t="s">
        <v>1949</v>
      </c>
      <c r="R240" t="s">
        <v>5415</v>
      </c>
    </row>
    <row r="241" spans="1:18" x14ac:dyDescent="0.25">
      <c r="A241" t="s">
        <v>1201</v>
      </c>
      <c r="B241" t="s">
        <v>1598</v>
      </c>
      <c r="C241" t="s">
        <v>2932</v>
      </c>
      <c r="D241" t="s">
        <v>4065</v>
      </c>
      <c r="E241" t="s">
        <v>2592</v>
      </c>
      <c r="F241" t="s">
        <v>2584</v>
      </c>
      <c r="G241" t="s">
        <v>4066</v>
      </c>
      <c r="H241" s="74">
        <v>35339</v>
      </c>
      <c r="I241" s="68" t="s">
        <v>2552</v>
      </c>
      <c r="J241" s="68" t="s">
        <v>4067</v>
      </c>
      <c r="K241" s="68" t="s">
        <v>2547</v>
      </c>
      <c r="L241" t="s">
        <v>1943</v>
      </c>
      <c r="M241" t="s">
        <v>4068</v>
      </c>
      <c r="N241" t="s">
        <v>1648</v>
      </c>
      <c r="O241" t="s">
        <v>1949</v>
      </c>
      <c r="R241" t="s">
        <v>4069</v>
      </c>
    </row>
    <row r="242" spans="1:18" x14ac:dyDescent="0.25">
      <c r="A242" t="s">
        <v>1186</v>
      </c>
      <c r="B242" t="s">
        <v>1613</v>
      </c>
      <c r="C242" t="s">
        <v>3156</v>
      </c>
      <c r="D242" t="s">
        <v>4238</v>
      </c>
      <c r="E242" t="s">
        <v>2554</v>
      </c>
      <c r="F242" t="s">
        <v>2544</v>
      </c>
      <c r="G242" t="s">
        <v>4239</v>
      </c>
      <c r="H242" s="74">
        <v>33153</v>
      </c>
      <c r="I242" s="68" t="s">
        <v>2831</v>
      </c>
      <c r="J242" s="68" t="s">
        <v>4067</v>
      </c>
      <c r="K242" s="68" t="s">
        <v>2547</v>
      </c>
      <c r="L242" t="s">
        <v>1720</v>
      </c>
      <c r="M242" t="s">
        <v>3171</v>
      </c>
      <c r="N242" t="s">
        <v>1648</v>
      </c>
      <c r="O242" t="s">
        <v>1949</v>
      </c>
      <c r="R242" t="s">
        <v>4240</v>
      </c>
    </row>
    <row r="243" spans="1:18" x14ac:dyDescent="0.25">
      <c r="A243" t="s">
        <v>1131</v>
      </c>
      <c r="B243" t="s">
        <v>1594</v>
      </c>
      <c r="C243" t="s">
        <v>3663</v>
      </c>
      <c r="D243" t="s">
        <v>4404</v>
      </c>
      <c r="E243" t="s">
        <v>2610</v>
      </c>
      <c r="F243" t="s">
        <v>2544</v>
      </c>
      <c r="G243" t="s">
        <v>4405</v>
      </c>
      <c r="H243" s="74">
        <v>34349</v>
      </c>
      <c r="I243" s="68" t="s">
        <v>2594</v>
      </c>
      <c r="J243" s="68" t="s">
        <v>4067</v>
      </c>
      <c r="K243" s="68" t="s">
        <v>2555</v>
      </c>
      <c r="L243" t="s">
        <v>1666</v>
      </c>
      <c r="M243" t="s">
        <v>3434</v>
      </c>
      <c r="N243" t="s">
        <v>43</v>
      </c>
      <c r="O243" t="s">
        <v>1949</v>
      </c>
      <c r="R243" t="s">
        <v>4406</v>
      </c>
    </row>
    <row r="244" spans="1:18" x14ac:dyDescent="0.25">
      <c r="A244" t="s">
        <v>1137</v>
      </c>
      <c r="B244" t="s">
        <v>1596</v>
      </c>
      <c r="C244" t="s">
        <v>2836</v>
      </c>
      <c r="D244" t="s">
        <v>5166</v>
      </c>
      <c r="E244" t="s">
        <v>2543</v>
      </c>
      <c r="F244" t="s">
        <v>2544</v>
      </c>
      <c r="G244" t="s">
        <v>5167</v>
      </c>
      <c r="H244" s="74">
        <v>34353</v>
      </c>
      <c r="I244" s="68" t="s">
        <v>2594</v>
      </c>
      <c r="J244" s="68" t="s">
        <v>4067</v>
      </c>
      <c r="K244" s="68" t="s">
        <v>2587</v>
      </c>
      <c r="L244" t="s">
        <v>1700</v>
      </c>
      <c r="M244" t="s">
        <v>2870</v>
      </c>
      <c r="N244" t="s">
        <v>1648</v>
      </c>
      <c r="O244" t="s">
        <v>1949</v>
      </c>
      <c r="R244" t="s">
        <v>5168</v>
      </c>
    </row>
    <row r="245" spans="1:18" x14ac:dyDescent="0.25">
      <c r="A245" t="s">
        <v>1230</v>
      </c>
      <c r="B245" t="s">
        <v>1606</v>
      </c>
      <c r="C245" t="s">
        <v>3035</v>
      </c>
      <c r="D245" t="s">
        <v>5329</v>
      </c>
      <c r="E245" t="s">
        <v>2657</v>
      </c>
      <c r="F245" t="s">
        <v>2636</v>
      </c>
      <c r="G245" t="s">
        <v>5330</v>
      </c>
      <c r="H245" s="74">
        <v>34000</v>
      </c>
      <c r="I245" s="68" t="s">
        <v>2633</v>
      </c>
      <c r="J245" s="68" t="s">
        <v>4067</v>
      </c>
      <c r="K245" s="68" t="s">
        <v>2587</v>
      </c>
      <c r="L245" t="s">
        <v>1723</v>
      </c>
      <c r="M245" t="s">
        <v>3063</v>
      </c>
      <c r="N245" t="s">
        <v>1648</v>
      </c>
      <c r="O245" t="s">
        <v>1949</v>
      </c>
      <c r="R245" t="s">
        <v>5331</v>
      </c>
    </row>
    <row r="246" spans="1:18" x14ac:dyDescent="0.25">
      <c r="A246" t="s">
        <v>1244</v>
      </c>
      <c r="B246" t="s">
        <v>1597</v>
      </c>
      <c r="C246" t="s">
        <v>2876</v>
      </c>
      <c r="D246" t="s">
        <v>2920</v>
      </c>
      <c r="E246" t="s">
        <v>2583</v>
      </c>
      <c r="F246" t="s">
        <v>2544</v>
      </c>
      <c r="G246" t="s">
        <v>2921</v>
      </c>
      <c r="H246" s="74">
        <v>34689</v>
      </c>
      <c r="I246" s="68" t="s">
        <v>2653</v>
      </c>
      <c r="J246" s="68" t="s">
        <v>2922</v>
      </c>
      <c r="K246" s="68" t="s">
        <v>2548</v>
      </c>
      <c r="L246" t="s">
        <v>1675</v>
      </c>
      <c r="M246" t="s">
        <v>2549</v>
      </c>
      <c r="N246" t="s">
        <v>1648</v>
      </c>
      <c r="O246" t="s">
        <v>1949</v>
      </c>
      <c r="R246" t="s">
        <v>2923</v>
      </c>
    </row>
    <row r="247" spans="1:18" x14ac:dyDescent="0.25">
      <c r="A247" t="s">
        <v>1157</v>
      </c>
      <c r="B247" t="s">
        <v>1604</v>
      </c>
      <c r="C247" t="s">
        <v>3391</v>
      </c>
      <c r="D247" t="s">
        <v>3403</v>
      </c>
      <c r="E247" t="s">
        <v>2583</v>
      </c>
      <c r="F247" t="s">
        <v>2544</v>
      </c>
      <c r="G247" t="s">
        <v>3404</v>
      </c>
      <c r="H247" s="74">
        <v>33797</v>
      </c>
      <c r="I247" s="68" t="s">
        <v>2562</v>
      </c>
      <c r="J247" s="68" t="s">
        <v>2922</v>
      </c>
      <c r="K247" s="68" t="s">
        <v>2548</v>
      </c>
      <c r="L247" t="s">
        <v>1745</v>
      </c>
      <c r="M247" t="s">
        <v>3405</v>
      </c>
      <c r="N247" t="s">
        <v>1647</v>
      </c>
      <c r="O247" t="s">
        <v>1949</v>
      </c>
      <c r="R247" t="s">
        <v>3406</v>
      </c>
    </row>
    <row r="248" spans="1:18" x14ac:dyDescent="0.25">
      <c r="A248" t="s">
        <v>1238</v>
      </c>
      <c r="B248" t="s">
        <v>1602</v>
      </c>
      <c r="C248" t="s">
        <v>3732</v>
      </c>
      <c r="D248" t="s">
        <v>3741</v>
      </c>
      <c r="E248" t="s">
        <v>2547</v>
      </c>
      <c r="F248" t="s">
        <v>2560</v>
      </c>
      <c r="G248" t="s">
        <v>3742</v>
      </c>
      <c r="H248" s="74">
        <v>33333</v>
      </c>
      <c r="I248" s="68" t="s">
        <v>2970</v>
      </c>
      <c r="J248" s="68" t="s">
        <v>2922</v>
      </c>
      <c r="K248" s="68" t="s">
        <v>2548</v>
      </c>
      <c r="L248" t="s">
        <v>1668</v>
      </c>
      <c r="M248" t="s">
        <v>3084</v>
      </c>
      <c r="N248" t="s">
        <v>1628</v>
      </c>
      <c r="O248" t="s">
        <v>1950</v>
      </c>
      <c r="R248" t="s">
        <v>3743</v>
      </c>
    </row>
    <row r="249" spans="1:18" x14ac:dyDescent="0.25">
      <c r="A249" t="s">
        <v>1180</v>
      </c>
      <c r="B249" t="s">
        <v>1587</v>
      </c>
      <c r="C249" t="s">
        <v>3604</v>
      </c>
      <c r="D249" t="s">
        <v>3867</v>
      </c>
      <c r="E249" t="s">
        <v>2587</v>
      </c>
      <c r="F249" t="s">
        <v>2544</v>
      </c>
      <c r="G249" t="s">
        <v>3868</v>
      </c>
      <c r="H249" s="74">
        <v>33434</v>
      </c>
      <c r="I249" s="68" t="s">
        <v>2970</v>
      </c>
      <c r="J249" s="68" t="s">
        <v>2922</v>
      </c>
      <c r="K249" s="68" t="s">
        <v>2547</v>
      </c>
      <c r="L249" t="s">
        <v>1664</v>
      </c>
      <c r="M249" t="s">
        <v>3397</v>
      </c>
      <c r="N249" t="s">
        <v>43</v>
      </c>
      <c r="O249" t="s">
        <v>1949</v>
      </c>
      <c r="R249" t="s">
        <v>3869</v>
      </c>
    </row>
    <row r="250" spans="1:18" x14ac:dyDescent="0.25">
      <c r="A250" t="s">
        <v>1183</v>
      </c>
      <c r="B250" t="s">
        <v>1593</v>
      </c>
      <c r="C250" t="s">
        <v>2789</v>
      </c>
      <c r="D250" t="s">
        <v>3962</v>
      </c>
      <c r="E250" t="s">
        <v>2608</v>
      </c>
      <c r="F250" t="s">
        <v>2584</v>
      </c>
      <c r="G250" t="s">
        <v>3963</v>
      </c>
      <c r="H250" s="74">
        <v>34808</v>
      </c>
      <c r="I250" s="68" t="s">
        <v>2653</v>
      </c>
      <c r="J250" s="68" t="s">
        <v>2922</v>
      </c>
      <c r="K250" s="68" t="s">
        <v>2547</v>
      </c>
      <c r="L250" t="s">
        <v>1732</v>
      </c>
      <c r="M250" t="s">
        <v>3417</v>
      </c>
      <c r="N250" t="s">
        <v>1648</v>
      </c>
      <c r="O250" t="s">
        <v>1949</v>
      </c>
      <c r="R250" t="s">
        <v>3964</v>
      </c>
    </row>
    <row r="251" spans="1:18" x14ac:dyDescent="0.25">
      <c r="A251" t="s">
        <v>1212</v>
      </c>
      <c r="B251" t="s">
        <v>1600</v>
      </c>
      <c r="C251" t="s">
        <v>3357</v>
      </c>
      <c r="D251" t="s">
        <v>4091</v>
      </c>
      <c r="E251" t="s">
        <v>2601</v>
      </c>
      <c r="F251" t="s">
        <v>2544</v>
      </c>
      <c r="G251" t="s">
        <v>4092</v>
      </c>
      <c r="H251" s="74">
        <v>33133</v>
      </c>
      <c r="I251" s="68" t="s">
        <v>2831</v>
      </c>
      <c r="J251" s="68" t="s">
        <v>2922</v>
      </c>
      <c r="K251" s="68" t="s">
        <v>2547</v>
      </c>
      <c r="L251" t="s">
        <v>1848</v>
      </c>
      <c r="M251" t="s">
        <v>4093</v>
      </c>
      <c r="N251" t="s">
        <v>1647</v>
      </c>
      <c r="O251" t="s">
        <v>1949</v>
      </c>
      <c r="R251" t="s">
        <v>4094</v>
      </c>
    </row>
    <row r="252" spans="1:18" x14ac:dyDescent="0.25">
      <c r="A252" t="s">
        <v>10</v>
      </c>
      <c r="B252" t="s">
        <v>1614</v>
      </c>
      <c r="C252" t="s">
        <v>3526</v>
      </c>
      <c r="D252" t="s">
        <v>4256</v>
      </c>
      <c r="E252" t="s">
        <v>2559</v>
      </c>
      <c r="F252" t="s">
        <v>2544</v>
      </c>
      <c r="G252" t="s">
        <v>4257</v>
      </c>
      <c r="H252" s="74">
        <v>32055</v>
      </c>
      <c r="I252" s="68" t="s">
        <v>2569</v>
      </c>
      <c r="J252" s="68" t="s">
        <v>2922</v>
      </c>
      <c r="K252" s="68" t="s">
        <v>2547</v>
      </c>
      <c r="L252" t="s">
        <v>1683</v>
      </c>
      <c r="M252" t="s">
        <v>4258</v>
      </c>
      <c r="N252" t="s">
        <v>1647</v>
      </c>
      <c r="O252" t="s">
        <v>1949</v>
      </c>
      <c r="R252" t="s">
        <v>4259</v>
      </c>
    </row>
    <row r="253" spans="1:18" x14ac:dyDescent="0.25">
      <c r="A253" t="s">
        <v>1178</v>
      </c>
      <c r="B253" t="s">
        <v>1584</v>
      </c>
      <c r="C253" t="s">
        <v>3558</v>
      </c>
      <c r="D253" t="s">
        <v>4291</v>
      </c>
      <c r="E253" t="s">
        <v>2651</v>
      </c>
      <c r="F253" t="s">
        <v>2584</v>
      </c>
      <c r="G253" t="s">
        <v>4292</v>
      </c>
      <c r="H253" s="74">
        <v>34514</v>
      </c>
      <c r="I253" s="68" t="s">
        <v>2594</v>
      </c>
      <c r="J253" s="68" t="s">
        <v>2922</v>
      </c>
      <c r="K253" s="68" t="s">
        <v>2543</v>
      </c>
      <c r="L253" t="s">
        <v>1664</v>
      </c>
      <c r="M253" t="s">
        <v>3397</v>
      </c>
      <c r="N253" t="s">
        <v>1646</v>
      </c>
      <c r="O253" t="s">
        <v>1950</v>
      </c>
      <c r="R253" t="s">
        <v>4293</v>
      </c>
    </row>
    <row r="254" spans="1:18" x14ac:dyDescent="0.25">
      <c r="A254" t="s">
        <v>1131</v>
      </c>
      <c r="B254" t="s">
        <v>1594</v>
      </c>
      <c r="C254" t="s">
        <v>3663</v>
      </c>
      <c r="D254" t="s">
        <v>4417</v>
      </c>
      <c r="E254" t="s">
        <v>2681</v>
      </c>
      <c r="F254" t="s">
        <v>2636</v>
      </c>
      <c r="G254" t="s">
        <v>4418</v>
      </c>
      <c r="H254" s="74">
        <v>35734</v>
      </c>
      <c r="I254" s="68" t="s">
        <v>2599</v>
      </c>
      <c r="J254" s="68" t="s">
        <v>2922</v>
      </c>
      <c r="K254" s="68" t="s">
        <v>2566</v>
      </c>
      <c r="L254" t="s">
        <v>1657</v>
      </c>
      <c r="M254" t="s">
        <v>3204</v>
      </c>
      <c r="N254" t="s">
        <v>43</v>
      </c>
      <c r="O254" t="s">
        <v>1949</v>
      </c>
      <c r="R254" t="s">
        <v>4419</v>
      </c>
    </row>
    <row r="255" spans="1:18" x14ac:dyDescent="0.25">
      <c r="A255" t="s">
        <v>1135</v>
      </c>
      <c r="B255" t="s">
        <v>1595</v>
      </c>
      <c r="C255" t="s">
        <v>3694</v>
      </c>
      <c r="D255" t="s">
        <v>4442</v>
      </c>
      <c r="E255" t="s">
        <v>2587</v>
      </c>
      <c r="F255" t="s">
        <v>2544</v>
      </c>
      <c r="G255" t="s">
        <v>4443</v>
      </c>
      <c r="H255" s="74">
        <v>35152</v>
      </c>
      <c r="I255" s="68" t="s">
        <v>2552</v>
      </c>
      <c r="J255" s="68" t="s">
        <v>2922</v>
      </c>
      <c r="K255" s="68" t="s">
        <v>2587</v>
      </c>
      <c r="L255" t="s">
        <v>1654</v>
      </c>
      <c r="M255" t="s">
        <v>2844</v>
      </c>
      <c r="N255" t="s">
        <v>1617</v>
      </c>
      <c r="O255" t="s">
        <v>1950</v>
      </c>
      <c r="R255" t="s">
        <v>4444</v>
      </c>
    </row>
    <row r="256" spans="1:18" x14ac:dyDescent="0.25">
      <c r="A256" t="s">
        <v>1183</v>
      </c>
      <c r="B256" t="s">
        <v>1593</v>
      </c>
      <c r="C256" t="s">
        <v>2789</v>
      </c>
      <c r="D256" t="s">
        <v>5141</v>
      </c>
      <c r="E256" t="s">
        <v>2610</v>
      </c>
      <c r="F256" t="s">
        <v>2584</v>
      </c>
      <c r="G256" t="s">
        <v>5142</v>
      </c>
      <c r="H256" s="74">
        <v>32163</v>
      </c>
      <c r="I256" s="68" t="s">
        <v>2568</v>
      </c>
      <c r="J256" s="68" t="s">
        <v>2922</v>
      </c>
      <c r="K256" s="68" t="s">
        <v>2657</v>
      </c>
      <c r="L256" t="s">
        <v>1738</v>
      </c>
      <c r="M256" t="s">
        <v>3028</v>
      </c>
      <c r="N256" t="s">
        <v>1648</v>
      </c>
      <c r="O256" t="s">
        <v>1949</v>
      </c>
      <c r="R256" t="s">
        <v>5143</v>
      </c>
    </row>
    <row r="257" spans="1:18" x14ac:dyDescent="0.25">
      <c r="A257" t="s">
        <v>1201</v>
      </c>
      <c r="B257" t="s">
        <v>1598</v>
      </c>
      <c r="C257" t="s">
        <v>2932</v>
      </c>
      <c r="D257" t="s">
        <v>5210</v>
      </c>
      <c r="E257" t="s">
        <v>2627</v>
      </c>
      <c r="F257" t="s">
        <v>2544</v>
      </c>
      <c r="G257" t="s">
        <v>5211</v>
      </c>
      <c r="H257" s="74">
        <v>32953</v>
      </c>
      <c r="I257" s="68" t="s">
        <v>2831</v>
      </c>
      <c r="J257" s="68" t="s">
        <v>2922</v>
      </c>
      <c r="K257" s="68" t="s">
        <v>2587</v>
      </c>
      <c r="L257" t="s">
        <v>1800</v>
      </c>
      <c r="M257" t="s">
        <v>2953</v>
      </c>
      <c r="N257" t="s">
        <v>1648</v>
      </c>
      <c r="O257" t="s">
        <v>1949</v>
      </c>
      <c r="R257" t="s">
        <v>5212</v>
      </c>
    </row>
    <row r="258" spans="1:18" x14ac:dyDescent="0.25">
      <c r="A258" t="s">
        <v>1201</v>
      </c>
      <c r="B258" t="s">
        <v>1598</v>
      </c>
      <c r="C258" t="s">
        <v>2932</v>
      </c>
      <c r="D258" t="s">
        <v>5236</v>
      </c>
      <c r="E258" t="s">
        <v>2608</v>
      </c>
      <c r="F258" t="s">
        <v>2544</v>
      </c>
      <c r="G258" t="s">
        <v>5237</v>
      </c>
      <c r="H258" s="74">
        <v>33713</v>
      </c>
      <c r="I258" s="68" t="s">
        <v>2562</v>
      </c>
      <c r="J258" s="68" t="s">
        <v>2922</v>
      </c>
      <c r="K258" s="68" t="s">
        <v>2555</v>
      </c>
      <c r="L258" t="s">
        <v>1715</v>
      </c>
      <c r="M258" t="s">
        <v>2957</v>
      </c>
      <c r="N258" t="s">
        <v>1648</v>
      </c>
      <c r="O258" t="s">
        <v>1949</v>
      </c>
      <c r="R258" t="s">
        <v>5238</v>
      </c>
    </row>
    <row r="259" spans="1:18" x14ac:dyDescent="0.25">
      <c r="A259" t="s">
        <v>1131</v>
      </c>
      <c r="B259" t="s">
        <v>1594</v>
      </c>
      <c r="C259" t="s">
        <v>3663</v>
      </c>
      <c r="D259" t="s">
        <v>3670</v>
      </c>
      <c r="E259" t="s">
        <v>2547</v>
      </c>
      <c r="F259" t="s">
        <v>2560</v>
      </c>
      <c r="G259" t="s">
        <v>3671</v>
      </c>
      <c r="H259" s="74">
        <v>34400</v>
      </c>
      <c r="I259" s="68" t="s">
        <v>2594</v>
      </c>
      <c r="J259" s="68" t="s">
        <v>3672</v>
      </c>
      <c r="K259" s="68" t="s">
        <v>2548</v>
      </c>
      <c r="L259" t="s">
        <v>1710</v>
      </c>
      <c r="M259" t="s">
        <v>2588</v>
      </c>
      <c r="N259" t="s">
        <v>43</v>
      </c>
      <c r="O259" t="s">
        <v>1949</v>
      </c>
      <c r="R259" t="s">
        <v>3673</v>
      </c>
    </row>
    <row r="260" spans="1:18" x14ac:dyDescent="0.25">
      <c r="A260" t="s">
        <v>1201</v>
      </c>
      <c r="B260" t="s">
        <v>1598</v>
      </c>
      <c r="C260" t="s">
        <v>2932</v>
      </c>
      <c r="D260" t="s">
        <v>4061</v>
      </c>
      <c r="E260" t="s">
        <v>2651</v>
      </c>
      <c r="F260" t="s">
        <v>2544</v>
      </c>
      <c r="G260" t="s">
        <v>4062</v>
      </c>
      <c r="H260" s="74">
        <v>34241</v>
      </c>
      <c r="I260" s="68" t="s">
        <v>2633</v>
      </c>
      <c r="J260" s="68" t="s">
        <v>3672</v>
      </c>
      <c r="K260" s="68" t="s">
        <v>2547</v>
      </c>
      <c r="L260" t="s">
        <v>1689</v>
      </c>
      <c r="M260" t="s">
        <v>4063</v>
      </c>
      <c r="N260" t="s">
        <v>1648</v>
      </c>
      <c r="O260" t="s">
        <v>1949</v>
      </c>
      <c r="R260" t="s">
        <v>4064</v>
      </c>
    </row>
    <row r="261" spans="1:18" x14ac:dyDescent="0.25">
      <c r="A261" t="s">
        <v>1231</v>
      </c>
      <c r="B261" t="s">
        <v>1607</v>
      </c>
      <c r="C261" t="s">
        <v>2963</v>
      </c>
      <c r="D261" t="s">
        <v>4113</v>
      </c>
      <c r="E261" t="s">
        <v>2601</v>
      </c>
      <c r="F261" t="s">
        <v>2584</v>
      </c>
      <c r="G261" t="s">
        <v>4114</v>
      </c>
      <c r="H261" s="74">
        <v>33819</v>
      </c>
      <c r="I261" s="68" t="s">
        <v>2562</v>
      </c>
      <c r="J261" s="68" t="s">
        <v>3672</v>
      </c>
      <c r="K261" s="68" t="s">
        <v>2547</v>
      </c>
      <c r="L261" t="s">
        <v>1659</v>
      </c>
      <c r="M261" t="s">
        <v>2972</v>
      </c>
      <c r="N261" t="s">
        <v>1648</v>
      </c>
      <c r="O261" t="s">
        <v>1949</v>
      </c>
      <c r="R261" t="s">
        <v>4115</v>
      </c>
    </row>
    <row r="262" spans="1:18" x14ac:dyDescent="0.25">
      <c r="A262" t="s">
        <v>1153</v>
      </c>
      <c r="B262" t="s">
        <v>1603</v>
      </c>
      <c r="C262" t="s">
        <v>3776</v>
      </c>
      <c r="D262" t="s">
        <v>4151</v>
      </c>
      <c r="E262" t="s">
        <v>2586</v>
      </c>
      <c r="F262" t="s">
        <v>2584</v>
      </c>
      <c r="G262" t="s">
        <v>4152</v>
      </c>
      <c r="H262" s="74">
        <v>35562</v>
      </c>
      <c r="I262" s="68" t="s">
        <v>2599</v>
      </c>
      <c r="J262" s="68" t="s">
        <v>3672</v>
      </c>
      <c r="K262" s="68" t="s">
        <v>2547</v>
      </c>
      <c r="L262" t="s">
        <v>1653</v>
      </c>
      <c r="M262" t="s">
        <v>2874</v>
      </c>
      <c r="N262" t="s">
        <v>43</v>
      </c>
      <c r="O262" t="s">
        <v>1949</v>
      </c>
      <c r="R262" t="s">
        <v>4153</v>
      </c>
    </row>
    <row r="263" spans="1:18" x14ac:dyDescent="0.25">
      <c r="A263" t="s">
        <v>1157</v>
      </c>
      <c r="B263" t="s">
        <v>1604</v>
      </c>
      <c r="C263" t="s">
        <v>3391</v>
      </c>
      <c r="D263" t="s">
        <v>4160</v>
      </c>
      <c r="E263" t="s">
        <v>2651</v>
      </c>
      <c r="F263" t="s">
        <v>2544</v>
      </c>
      <c r="G263" t="s">
        <v>4161</v>
      </c>
      <c r="H263" s="74">
        <v>35167</v>
      </c>
      <c r="I263" s="68" t="s">
        <v>2552</v>
      </c>
      <c r="J263" s="68" t="s">
        <v>3672</v>
      </c>
      <c r="K263" s="68" t="s">
        <v>2547</v>
      </c>
      <c r="L263" t="s">
        <v>1705</v>
      </c>
      <c r="M263" t="s">
        <v>3572</v>
      </c>
      <c r="N263" t="s">
        <v>1647</v>
      </c>
      <c r="O263" t="s">
        <v>1949</v>
      </c>
      <c r="R263" t="s">
        <v>4162</v>
      </c>
    </row>
    <row r="264" spans="1:18" x14ac:dyDescent="0.25">
      <c r="A264" t="s">
        <v>1124</v>
      </c>
      <c r="B264" t="s">
        <v>1586</v>
      </c>
      <c r="C264" t="s">
        <v>2541</v>
      </c>
      <c r="D264" t="s">
        <v>4957</v>
      </c>
      <c r="E264" t="s">
        <v>2614</v>
      </c>
      <c r="F264" t="s">
        <v>2584</v>
      </c>
      <c r="G264" t="s">
        <v>4958</v>
      </c>
      <c r="H264" s="74">
        <v>34057</v>
      </c>
      <c r="I264" s="68" t="s">
        <v>2633</v>
      </c>
      <c r="J264" s="68" t="s">
        <v>3672</v>
      </c>
      <c r="K264" s="68" t="s">
        <v>2646</v>
      </c>
      <c r="L264" t="s">
        <v>1663</v>
      </c>
      <c r="M264" t="s">
        <v>2859</v>
      </c>
      <c r="N264" t="s">
        <v>1648</v>
      </c>
      <c r="O264" t="s">
        <v>1949</v>
      </c>
      <c r="R264" t="s">
        <v>4959</v>
      </c>
    </row>
    <row r="265" spans="1:18" x14ac:dyDescent="0.25">
      <c r="A265" t="s">
        <v>1137</v>
      </c>
      <c r="B265" t="s">
        <v>1596</v>
      </c>
      <c r="C265" t="s">
        <v>2836</v>
      </c>
      <c r="D265" t="s">
        <v>5151</v>
      </c>
      <c r="E265" t="s">
        <v>2608</v>
      </c>
      <c r="F265" t="s">
        <v>2584</v>
      </c>
      <c r="G265" t="s">
        <v>5152</v>
      </c>
      <c r="H265" s="74">
        <v>34736</v>
      </c>
      <c r="I265" s="68" t="s">
        <v>2653</v>
      </c>
      <c r="J265" s="68" t="s">
        <v>3672</v>
      </c>
      <c r="K265" s="68" t="s">
        <v>2601</v>
      </c>
      <c r="L265" t="s">
        <v>1654</v>
      </c>
      <c r="M265" t="s">
        <v>2844</v>
      </c>
      <c r="N265" t="s">
        <v>1648</v>
      </c>
      <c r="O265" t="s">
        <v>1949</v>
      </c>
      <c r="R265" t="s">
        <v>5153</v>
      </c>
    </row>
    <row r="266" spans="1:18" x14ac:dyDescent="0.25">
      <c r="A266" t="s">
        <v>1130</v>
      </c>
      <c r="B266" t="s">
        <v>1592</v>
      </c>
      <c r="C266" t="s">
        <v>2761</v>
      </c>
      <c r="D266" t="s">
        <v>3950</v>
      </c>
      <c r="E266" t="s">
        <v>2583</v>
      </c>
      <c r="F266" t="s">
        <v>2544</v>
      </c>
      <c r="G266" t="s">
        <v>3951</v>
      </c>
      <c r="H266" s="74">
        <v>32659</v>
      </c>
      <c r="I266" s="68" t="s">
        <v>2703</v>
      </c>
      <c r="J266" s="68" t="s">
        <v>3952</v>
      </c>
      <c r="K266" s="68" t="s">
        <v>2547</v>
      </c>
      <c r="L266" t="s">
        <v>1769</v>
      </c>
      <c r="M266" t="s">
        <v>3953</v>
      </c>
      <c r="N266" t="s">
        <v>1648</v>
      </c>
      <c r="O266" t="s">
        <v>1949</v>
      </c>
      <c r="R266" t="s">
        <v>3954</v>
      </c>
    </row>
    <row r="267" spans="1:18" x14ac:dyDescent="0.25">
      <c r="A267" t="s">
        <v>1178</v>
      </c>
      <c r="B267" t="s">
        <v>1584</v>
      </c>
      <c r="C267" t="s">
        <v>3558</v>
      </c>
      <c r="D267" t="s">
        <v>4275</v>
      </c>
      <c r="E267" t="s">
        <v>2657</v>
      </c>
      <c r="F267" t="s">
        <v>2584</v>
      </c>
      <c r="G267" t="s">
        <v>4276</v>
      </c>
      <c r="H267" s="74">
        <v>34478</v>
      </c>
      <c r="I267" s="68" t="s">
        <v>2594</v>
      </c>
      <c r="J267" s="68" t="s">
        <v>3952</v>
      </c>
      <c r="K267" s="68" t="s">
        <v>2587</v>
      </c>
      <c r="L267" t="s">
        <v>1660</v>
      </c>
      <c r="M267" t="s">
        <v>3319</v>
      </c>
      <c r="N267" t="s">
        <v>1646</v>
      </c>
      <c r="O267" t="s">
        <v>1950</v>
      </c>
      <c r="R267" t="s">
        <v>4277</v>
      </c>
    </row>
    <row r="268" spans="1:18" x14ac:dyDescent="0.25">
      <c r="A268" t="s">
        <v>1211</v>
      </c>
      <c r="B268" t="s">
        <v>1599</v>
      </c>
      <c r="C268" t="s">
        <v>3330</v>
      </c>
      <c r="D268" t="s">
        <v>4675</v>
      </c>
      <c r="E268" t="s">
        <v>2776</v>
      </c>
      <c r="F268" t="s">
        <v>2584</v>
      </c>
      <c r="G268" t="s">
        <v>4676</v>
      </c>
      <c r="H268" s="74">
        <v>34715</v>
      </c>
      <c r="I268" s="68" t="s">
        <v>2653</v>
      </c>
      <c r="J268" s="68" t="s">
        <v>3952</v>
      </c>
      <c r="K268" s="68" t="s">
        <v>2679</v>
      </c>
      <c r="L268" t="s">
        <v>1687</v>
      </c>
      <c r="M268" t="s">
        <v>3441</v>
      </c>
      <c r="N268" t="s">
        <v>1647</v>
      </c>
      <c r="O268" t="s">
        <v>1949</v>
      </c>
      <c r="R268" t="s">
        <v>4677</v>
      </c>
    </row>
    <row r="269" spans="1:18" x14ac:dyDescent="0.25">
      <c r="A269" t="s">
        <v>1212</v>
      </c>
      <c r="B269" t="s">
        <v>1600</v>
      </c>
      <c r="C269" t="s">
        <v>3357</v>
      </c>
      <c r="D269" t="s">
        <v>4743</v>
      </c>
      <c r="E269" t="s">
        <v>2543</v>
      </c>
      <c r="F269" t="s">
        <v>2544</v>
      </c>
      <c r="G269" t="s">
        <v>4744</v>
      </c>
      <c r="H269" s="74">
        <v>35384</v>
      </c>
      <c r="I269" s="68" t="s">
        <v>2552</v>
      </c>
      <c r="J269" s="68" t="s">
        <v>3952</v>
      </c>
      <c r="K269" s="68" t="s">
        <v>2555</v>
      </c>
      <c r="L269" t="s">
        <v>1696</v>
      </c>
      <c r="M269" t="s">
        <v>3163</v>
      </c>
      <c r="N269" t="s">
        <v>1647</v>
      </c>
      <c r="O269" t="s">
        <v>1949</v>
      </c>
      <c r="R269" t="s">
        <v>4745</v>
      </c>
    </row>
    <row r="270" spans="1:18" x14ac:dyDescent="0.25">
      <c r="A270" t="s">
        <v>1186</v>
      </c>
      <c r="B270" t="s">
        <v>1613</v>
      </c>
      <c r="C270" t="s">
        <v>3156</v>
      </c>
      <c r="D270" t="s">
        <v>5429</v>
      </c>
      <c r="E270" t="s">
        <v>2610</v>
      </c>
      <c r="F270" t="s">
        <v>2584</v>
      </c>
      <c r="G270" t="s">
        <v>5430</v>
      </c>
      <c r="H270" s="74">
        <v>35998</v>
      </c>
      <c r="I270" s="68" t="s">
        <v>2546</v>
      </c>
      <c r="J270" s="68" t="s">
        <v>3952</v>
      </c>
      <c r="K270" s="68" t="s">
        <v>2543</v>
      </c>
      <c r="L270" t="s">
        <v>1658</v>
      </c>
      <c r="M270" t="s">
        <v>2575</v>
      </c>
      <c r="N270" t="s">
        <v>1648</v>
      </c>
      <c r="O270" t="s">
        <v>1949</v>
      </c>
      <c r="R270" t="s">
        <v>5431</v>
      </c>
    </row>
    <row r="271" spans="1:18" x14ac:dyDescent="0.25">
      <c r="A271" t="s">
        <v>1230</v>
      </c>
      <c r="B271" t="s">
        <v>1606</v>
      </c>
      <c r="C271" t="s">
        <v>3035</v>
      </c>
      <c r="D271" t="s">
        <v>3076</v>
      </c>
      <c r="E271" t="s">
        <v>2627</v>
      </c>
      <c r="F271" t="s">
        <v>2584</v>
      </c>
      <c r="G271" t="s">
        <v>3077</v>
      </c>
      <c r="H271" s="74">
        <v>35360</v>
      </c>
      <c r="I271" s="68" t="s">
        <v>2552</v>
      </c>
      <c r="J271" s="68" t="s">
        <v>3078</v>
      </c>
      <c r="K271" s="68" t="s">
        <v>2548</v>
      </c>
      <c r="L271" t="s">
        <v>1672</v>
      </c>
      <c r="M271" t="s">
        <v>3079</v>
      </c>
      <c r="N271" t="s">
        <v>1648</v>
      </c>
      <c r="O271" t="s">
        <v>1949</v>
      </c>
      <c r="R271" t="s">
        <v>3080</v>
      </c>
    </row>
    <row r="272" spans="1:18" x14ac:dyDescent="0.25">
      <c r="A272" t="s">
        <v>1178</v>
      </c>
      <c r="B272" t="s">
        <v>1584</v>
      </c>
      <c r="C272" t="s">
        <v>3558</v>
      </c>
      <c r="D272" t="s">
        <v>3594</v>
      </c>
      <c r="E272" t="s">
        <v>2608</v>
      </c>
      <c r="F272" t="s">
        <v>2584</v>
      </c>
      <c r="G272" t="s">
        <v>3595</v>
      </c>
      <c r="H272" s="74">
        <v>33539</v>
      </c>
      <c r="I272" s="68" t="s">
        <v>2970</v>
      </c>
      <c r="J272" s="68" t="s">
        <v>3078</v>
      </c>
      <c r="K272" s="68" t="s">
        <v>2548</v>
      </c>
      <c r="L272" t="s">
        <v>1668</v>
      </c>
      <c r="M272" t="s">
        <v>3084</v>
      </c>
      <c r="N272" t="s">
        <v>1646</v>
      </c>
      <c r="O272" t="s">
        <v>1950</v>
      </c>
      <c r="R272" t="s">
        <v>3596</v>
      </c>
    </row>
    <row r="273" spans="1:18" x14ac:dyDescent="0.25">
      <c r="A273" t="s">
        <v>1238</v>
      </c>
      <c r="B273" t="s">
        <v>1602</v>
      </c>
      <c r="C273" t="s">
        <v>3732</v>
      </c>
      <c r="D273" t="s">
        <v>3737</v>
      </c>
      <c r="E273" t="s">
        <v>2566</v>
      </c>
      <c r="F273" t="s">
        <v>2560</v>
      </c>
      <c r="G273" t="s">
        <v>3738</v>
      </c>
      <c r="H273" s="74">
        <v>32638</v>
      </c>
      <c r="I273" s="68" t="s">
        <v>2703</v>
      </c>
      <c r="J273" s="68" t="s">
        <v>3078</v>
      </c>
      <c r="K273" s="68" t="s">
        <v>2548</v>
      </c>
      <c r="L273" t="s">
        <v>1761</v>
      </c>
      <c r="M273" t="s">
        <v>3739</v>
      </c>
      <c r="N273" t="s">
        <v>1628</v>
      </c>
      <c r="O273" t="s">
        <v>1950</v>
      </c>
      <c r="R273" t="s">
        <v>3740</v>
      </c>
    </row>
    <row r="274" spans="1:18" x14ac:dyDescent="0.25">
      <c r="A274" t="s">
        <v>1169</v>
      </c>
      <c r="B274" t="s">
        <v>1611</v>
      </c>
      <c r="C274" t="s">
        <v>3492</v>
      </c>
      <c r="D274" t="s">
        <v>4216</v>
      </c>
      <c r="E274" t="s">
        <v>2651</v>
      </c>
      <c r="F274" t="s">
        <v>2544</v>
      </c>
      <c r="G274" t="s">
        <v>4217</v>
      </c>
      <c r="H274" s="74">
        <v>34899</v>
      </c>
      <c r="I274" s="68" t="s">
        <v>2653</v>
      </c>
      <c r="J274" s="68" t="s">
        <v>3078</v>
      </c>
      <c r="K274" s="68" t="s">
        <v>2547</v>
      </c>
      <c r="L274" t="s">
        <v>1655</v>
      </c>
      <c r="M274" t="s">
        <v>3607</v>
      </c>
      <c r="N274" t="s">
        <v>1647</v>
      </c>
      <c r="O274" t="s">
        <v>1949</v>
      </c>
      <c r="R274" t="s">
        <v>4218</v>
      </c>
    </row>
    <row r="275" spans="1:18" x14ac:dyDescent="0.25">
      <c r="A275" t="s">
        <v>1127</v>
      </c>
      <c r="B275" t="s">
        <v>1591</v>
      </c>
      <c r="C275" t="s">
        <v>3633</v>
      </c>
      <c r="D275" t="s">
        <v>4371</v>
      </c>
      <c r="E275" t="s">
        <v>2610</v>
      </c>
      <c r="F275" t="s">
        <v>2584</v>
      </c>
      <c r="G275" t="s">
        <v>4372</v>
      </c>
      <c r="H275" s="74">
        <v>34739</v>
      </c>
      <c r="I275" s="68" t="s">
        <v>2653</v>
      </c>
      <c r="J275" s="68" t="s">
        <v>3078</v>
      </c>
      <c r="K275" s="68" t="s">
        <v>2657</v>
      </c>
      <c r="L275" t="s">
        <v>1706</v>
      </c>
      <c r="M275" t="s">
        <v>3779</v>
      </c>
      <c r="N275" t="s">
        <v>1627</v>
      </c>
      <c r="O275" t="s">
        <v>1950</v>
      </c>
      <c r="R275" t="s">
        <v>4373</v>
      </c>
    </row>
    <row r="276" spans="1:18" x14ac:dyDescent="0.25">
      <c r="A276" t="s">
        <v>1238</v>
      </c>
      <c r="B276" t="s">
        <v>1602</v>
      </c>
      <c r="C276" t="s">
        <v>3732</v>
      </c>
      <c r="D276" t="s">
        <v>4462</v>
      </c>
      <c r="E276" t="s">
        <v>2657</v>
      </c>
      <c r="F276" t="s">
        <v>2584</v>
      </c>
      <c r="G276" t="s">
        <v>4463</v>
      </c>
      <c r="H276" s="74">
        <v>34047</v>
      </c>
      <c r="I276" s="68" t="s">
        <v>2633</v>
      </c>
      <c r="J276" s="68" t="s">
        <v>3078</v>
      </c>
      <c r="K276" s="68" t="s">
        <v>2583</v>
      </c>
      <c r="L276" t="s">
        <v>1661</v>
      </c>
      <c r="M276" t="s">
        <v>3445</v>
      </c>
      <c r="N276" t="s">
        <v>1628</v>
      </c>
      <c r="O276" t="s">
        <v>1950</v>
      </c>
      <c r="R276" t="s">
        <v>4464</v>
      </c>
    </row>
    <row r="277" spans="1:18" x14ac:dyDescent="0.25">
      <c r="A277" t="s">
        <v>1211</v>
      </c>
      <c r="B277" t="s">
        <v>1599</v>
      </c>
      <c r="C277" t="s">
        <v>3330</v>
      </c>
      <c r="D277" t="s">
        <v>4667</v>
      </c>
      <c r="E277" t="s">
        <v>2592</v>
      </c>
      <c r="F277" t="s">
        <v>2584</v>
      </c>
      <c r="G277" t="s">
        <v>4668</v>
      </c>
      <c r="H277" s="74">
        <v>34009</v>
      </c>
      <c r="I277" s="68" t="s">
        <v>2633</v>
      </c>
      <c r="J277" s="68" t="s">
        <v>3078</v>
      </c>
      <c r="K277" s="68" t="s">
        <v>2587</v>
      </c>
      <c r="L277" t="s">
        <v>1750</v>
      </c>
      <c r="M277" t="s">
        <v>3351</v>
      </c>
      <c r="N277" t="s">
        <v>1647</v>
      </c>
      <c r="O277" t="s">
        <v>1949</v>
      </c>
      <c r="R277" t="s">
        <v>4669</v>
      </c>
    </row>
    <row r="278" spans="1:18" x14ac:dyDescent="0.25">
      <c r="A278" t="s">
        <v>1169</v>
      </c>
      <c r="B278" t="s">
        <v>1611</v>
      </c>
      <c r="C278" t="s">
        <v>3492</v>
      </c>
      <c r="D278" t="s">
        <v>4835</v>
      </c>
      <c r="E278" t="s">
        <v>2592</v>
      </c>
      <c r="F278" t="s">
        <v>2584</v>
      </c>
      <c r="G278" t="s">
        <v>4836</v>
      </c>
      <c r="H278" s="74">
        <v>35389</v>
      </c>
      <c r="I278" s="68" t="s">
        <v>2552</v>
      </c>
      <c r="J278" s="68" t="s">
        <v>3078</v>
      </c>
      <c r="K278" s="68" t="s">
        <v>2555</v>
      </c>
      <c r="L278" t="s">
        <v>1661</v>
      </c>
      <c r="M278" t="s">
        <v>3445</v>
      </c>
      <c r="N278" t="s">
        <v>1647</v>
      </c>
      <c r="O278" t="s">
        <v>1949</v>
      </c>
      <c r="R278" t="s">
        <v>4837</v>
      </c>
    </row>
    <row r="279" spans="1:18" x14ac:dyDescent="0.25">
      <c r="A279" t="s">
        <v>1256</v>
      </c>
      <c r="B279" t="s">
        <v>1588</v>
      </c>
      <c r="C279" t="s">
        <v>2640</v>
      </c>
      <c r="D279" t="s">
        <v>4996</v>
      </c>
      <c r="E279" t="s">
        <v>2608</v>
      </c>
      <c r="F279" t="s">
        <v>2584</v>
      </c>
      <c r="G279" t="s">
        <v>4997</v>
      </c>
      <c r="H279" s="74">
        <v>35019</v>
      </c>
      <c r="I279" s="68" t="s">
        <v>2653</v>
      </c>
      <c r="J279" s="68" t="s">
        <v>3078</v>
      </c>
      <c r="K279" s="68" t="s">
        <v>2651</v>
      </c>
      <c r="L279" t="s">
        <v>1696</v>
      </c>
      <c r="M279" t="s">
        <v>3163</v>
      </c>
      <c r="N279" t="s">
        <v>1648</v>
      </c>
      <c r="O279" t="s">
        <v>1949</v>
      </c>
      <c r="R279" t="s">
        <v>4998</v>
      </c>
    </row>
    <row r="280" spans="1:18" x14ac:dyDescent="0.25">
      <c r="A280" t="s">
        <v>1256</v>
      </c>
      <c r="B280" t="s">
        <v>1588</v>
      </c>
      <c r="C280" t="s">
        <v>2640</v>
      </c>
      <c r="D280" t="s">
        <v>5007</v>
      </c>
      <c r="E280" t="s">
        <v>2681</v>
      </c>
      <c r="F280" t="s">
        <v>2636</v>
      </c>
      <c r="G280" t="s">
        <v>5008</v>
      </c>
      <c r="H280" s="74">
        <v>34990</v>
      </c>
      <c r="I280" s="68" t="s">
        <v>2653</v>
      </c>
      <c r="J280" s="68" t="s">
        <v>3078</v>
      </c>
      <c r="K280" s="68" t="s">
        <v>2657</v>
      </c>
      <c r="L280" t="s">
        <v>1924</v>
      </c>
      <c r="M280" t="s">
        <v>5009</v>
      </c>
      <c r="N280" t="s">
        <v>1648</v>
      </c>
      <c r="O280" t="s">
        <v>1949</v>
      </c>
      <c r="R280" t="s">
        <v>5010</v>
      </c>
    </row>
    <row r="281" spans="1:18" x14ac:dyDescent="0.25">
      <c r="A281" t="s">
        <v>1231</v>
      </c>
      <c r="B281" t="s">
        <v>1607</v>
      </c>
      <c r="C281" t="s">
        <v>2963</v>
      </c>
      <c r="D281" t="s">
        <v>2968</v>
      </c>
      <c r="E281" t="s">
        <v>2586</v>
      </c>
      <c r="F281" t="s">
        <v>2560</v>
      </c>
      <c r="G281" t="s">
        <v>2969</v>
      </c>
      <c r="H281" s="74">
        <v>33521</v>
      </c>
      <c r="I281" s="68" t="s">
        <v>2970</v>
      </c>
      <c r="J281" s="68" t="s">
        <v>2971</v>
      </c>
      <c r="K281" s="68" t="s">
        <v>2548</v>
      </c>
      <c r="L281" t="s">
        <v>1659</v>
      </c>
      <c r="M281" t="s">
        <v>2972</v>
      </c>
      <c r="N281" t="s">
        <v>1648</v>
      </c>
      <c r="O281" t="s">
        <v>1949</v>
      </c>
      <c r="R281" t="s">
        <v>2973</v>
      </c>
    </row>
    <row r="282" spans="1:18" x14ac:dyDescent="0.25">
      <c r="A282" t="s">
        <v>1178</v>
      </c>
      <c r="B282" t="s">
        <v>1584</v>
      </c>
      <c r="C282" t="s">
        <v>3558</v>
      </c>
      <c r="D282" t="s">
        <v>3597</v>
      </c>
      <c r="E282" t="s">
        <v>2555</v>
      </c>
      <c r="F282" t="s">
        <v>2544</v>
      </c>
      <c r="G282" t="s">
        <v>3598</v>
      </c>
      <c r="H282" s="74">
        <v>33847</v>
      </c>
      <c r="I282" s="68" t="s">
        <v>2562</v>
      </c>
      <c r="J282" s="68" t="s">
        <v>2971</v>
      </c>
      <c r="K282" s="68" t="s">
        <v>2548</v>
      </c>
      <c r="L282" t="s">
        <v>1789</v>
      </c>
      <c r="M282" t="s">
        <v>3599</v>
      </c>
      <c r="N282" t="s">
        <v>1646</v>
      </c>
      <c r="O282" t="s">
        <v>1950</v>
      </c>
      <c r="R282" t="s">
        <v>3600</v>
      </c>
    </row>
    <row r="283" spans="1:18" x14ac:dyDescent="0.25">
      <c r="A283" t="s">
        <v>1167</v>
      </c>
      <c r="B283" t="s">
        <v>1610</v>
      </c>
      <c r="C283" t="s">
        <v>3301</v>
      </c>
      <c r="D283" t="s">
        <v>4004</v>
      </c>
      <c r="E283" t="s">
        <v>2587</v>
      </c>
      <c r="F283" t="s">
        <v>2544</v>
      </c>
      <c r="G283" t="s">
        <v>4005</v>
      </c>
      <c r="H283" s="74">
        <v>32748</v>
      </c>
      <c r="I283" s="68" t="s">
        <v>2703</v>
      </c>
      <c r="J283" s="68" t="s">
        <v>2971</v>
      </c>
      <c r="K283" s="68" t="s">
        <v>2547</v>
      </c>
      <c r="L283" t="s">
        <v>1661</v>
      </c>
      <c r="M283" t="s">
        <v>3445</v>
      </c>
      <c r="N283" t="s">
        <v>1647</v>
      </c>
      <c r="O283" t="s">
        <v>1949</v>
      </c>
      <c r="R283" t="s">
        <v>4006</v>
      </c>
    </row>
    <row r="284" spans="1:18" x14ac:dyDescent="0.25">
      <c r="A284" t="s">
        <v>1137</v>
      </c>
      <c r="B284" t="s">
        <v>1596</v>
      </c>
      <c r="C284" t="s">
        <v>2836</v>
      </c>
      <c r="D284" t="s">
        <v>4022</v>
      </c>
      <c r="E284" t="s">
        <v>2610</v>
      </c>
      <c r="F284" t="s">
        <v>2544</v>
      </c>
      <c r="G284" t="s">
        <v>4023</v>
      </c>
      <c r="H284" s="74">
        <v>34945</v>
      </c>
      <c r="I284" s="68" t="s">
        <v>2653</v>
      </c>
      <c r="J284" s="68" t="s">
        <v>2971</v>
      </c>
      <c r="K284" s="68" t="s">
        <v>2547</v>
      </c>
      <c r="L284" t="s">
        <v>1663</v>
      </c>
      <c r="M284" t="s">
        <v>2859</v>
      </c>
      <c r="N284" t="s">
        <v>1648</v>
      </c>
      <c r="O284" t="s">
        <v>1949</v>
      </c>
      <c r="R284" t="s">
        <v>4024</v>
      </c>
    </row>
    <row r="285" spans="1:18" x14ac:dyDescent="0.25">
      <c r="A285" t="s">
        <v>1127</v>
      </c>
      <c r="B285" t="s">
        <v>1591</v>
      </c>
      <c r="C285" t="s">
        <v>3633</v>
      </c>
      <c r="D285" t="s">
        <v>4378</v>
      </c>
      <c r="E285" t="s">
        <v>2559</v>
      </c>
      <c r="F285" t="s">
        <v>2584</v>
      </c>
      <c r="G285" t="s">
        <v>4379</v>
      </c>
      <c r="H285" s="74">
        <v>35707</v>
      </c>
      <c r="I285" s="68" t="s">
        <v>2599</v>
      </c>
      <c r="J285" s="68" t="s">
        <v>2971</v>
      </c>
      <c r="K285" s="68" t="s">
        <v>2657</v>
      </c>
      <c r="L285" t="s">
        <v>1701</v>
      </c>
      <c r="M285" t="s">
        <v>3110</v>
      </c>
      <c r="N285" t="s">
        <v>1627</v>
      </c>
      <c r="O285" t="s">
        <v>1950</v>
      </c>
      <c r="R285" t="s">
        <v>4380</v>
      </c>
    </row>
    <row r="286" spans="1:18" x14ac:dyDescent="0.25">
      <c r="A286" t="s">
        <v>1212</v>
      </c>
      <c r="B286" t="s">
        <v>1600</v>
      </c>
      <c r="C286" t="s">
        <v>3357</v>
      </c>
      <c r="D286" t="s">
        <v>4725</v>
      </c>
      <c r="E286" t="s">
        <v>2579</v>
      </c>
      <c r="F286" t="s">
        <v>2584</v>
      </c>
      <c r="G286" t="s">
        <v>4726</v>
      </c>
      <c r="H286" s="74">
        <v>34515</v>
      </c>
      <c r="I286" s="68" t="s">
        <v>2594</v>
      </c>
      <c r="J286" s="68" t="s">
        <v>2971</v>
      </c>
      <c r="K286" s="68" t="s">
        <v>2566</v>
      </c>
      <c r="L286" t="s">
        <v>1864</v>
      </c>
      <c r="M286" t="s">
        <v>4727</v>
      </c>
      <c r="N286" t="s">
        <v>1647</v>
      </c>
      <c r="O286" t="s">
        <v>1949</v>
      </c>
      <c r="R286" t="s">
        <v>4728</v>
      </c>
    </row>
    <row r="287" spans="1:18" x14ac:dyDescent="0.25">
      <c r="A287" t="s">
        <v>1256</v>
      </c>
      <c r="B287" t="s">
        <v>1588</v>
      </c>
      <c r="C287" t="s">
        <v>2640</v>
      </c>
      <c r="D287" t="s">
        <v>4999</v>
      </c>
      <c r="E287" t="s">
        <v>2592</v>
      </c>
      <c r="F287" t="s">
        <v>2636</v>
      </c>
      <c r="G287" t="s">
        <v>5000</v>
      </c>
      <c r="H287" s="74">
        <v>34524</v>
      </c>
      <c r="I287" s="68" t="s">
        <v>2594</v>
      </c>
      <c r="J287" s="68" t="s">
        <v>2971</v>
      </c>
      <c r="K287" s="68" t="s">
        <v>2543</v>
      </c>
      <c r="L287" t="s">
        <v>1851</v>
      </c>
      <c r="M287" t="s">
        <v>5001</v>
      </c>
      <c r="N287" t="s">
        <v>1648</v>
      </c>
      <c r="O287" t="s">
        <v>1949</v>
      </c>
      <c r="R287" t="s">
        <v>5002</v>
      </c>
    </row>
    <row r="288" spans="1:18" x14ac:dyDescent="0.25">
      <c r="A288" t="s">
        <v>1169</v>
      </c>
      <c r="B288" t="s">
        <v>1611</v>
      </c>
      <c r="C288" t="s">
        <v>3492</v>
      </c>
      <c r="D288" t="s">
        <v>4212</v>
      </c>
      <c r="E288" t="s">
        <v>2543</v>
      </c>
      <c r="F288" t="s">
        <v>2544</v>
      </c>
      <c r="G288" t="s">
        <v>4213</v>
      </c>
      <c r="H288" s="74">
        <v>35338</v>
      </c>
      <c r="I288" s="68" t="s">
        <v>2552</v>
      </c>
      <c r="J288" s="68" t="s">
        <v>4214</v>
      </c>
      <c r="K288" s="68" t="s">
        <v>2547</v>
      </c>
      <c r="L288" t="s">
        <v>1680</v>
      </c>
      <c r="M288" t="s">
        <v>3517</v>
      </c>
      <c r="N288" t="s">
        <v>1647</v>
      </c>
      <c r="O288" t="s">
        <v>1949</v>
      </c>
      <c r="R288" t="s">
        <v>4215</v>
      </c>
    </row>
    <row r="289" spans="1:18" x14ac:dyDescent="0.25">
      <c r="A289" t="s">
        <v>1130</v>
      </c>
      <c r="B289" t="s">
        <v>1592</v>
      </c>
      <c r="C289" t="s">
        <v>2761</v>
      </c>
      <c r="D289" t="s">
        <v>5109</v>
      </c>
      <c r="E289" t="s">
        <v>2586</v>
      </c>
      <c r="F289" t="s">
        <v>2636</v>
      </c>
      <c r="G289" t="s">
        <v>5110</v>
      </c>
      <c r="H289" s="74">
        <v>34044</v>
      </c>
      <c r="I289" s="68" t="s">
        <v>2633</v>
      </c>
      <c r="J289" s="68" t="s">
        <v>4214</v>
      </c>
      <c r="K289" s="68" t="s">
        <v>2646</v>
      </c>
      <c r="L289" t="s">
        <v>1728</v>
      </c>
      <c r="M289" t="s">
        <v>3284</v>
      </c>
      <c r="N289" t="s">
        <v>1648</v>
      </c>
      <c r="O289" t="s">
        <v>1949</v>
      </c>
      <c r="R289" t="s">
        <v>5111</v>
      </c>
    </row>
    <row r="290" spans="1:18" x14ac:dyDescent="0.25">
      <c r="A290" t="s">
        <v>1231</v>
      </c>
      <c r="B290" t="s">
        <v>1607</v>
      </c>
      <c r="C290" t="s">
        <v>2963</v>
      </c>
      <c r="D290" t="s">
        <v>5239</v>
      </c>
      <c r="E290" t="s">
        <v>2554</v>
      </c>
      <c r="F290" t="s">
        <v>2636</v>
      </c>
      <c r="G290" t="s">
        <v>5240</v>
      </c>
      <c r="H290" s="74">
        <v>33801</v>
      </c>
      <c r="I290" s="68" t="s">
        <v>2562</v>
      </c>
      <c r="J290" s="68" t="s">
        <v>4214</v>
      </c>
      <c r="K290" s="68" t="s">
        <v>2543</v>
      </c>
      <c r="L290" t="s">
        <v>1690</v>
      </c>
      <c r="M290" t="s">
        <v>2976</v>
      </c>
      <c r="N290" t="s">
        <v>1648</v>
      </c>
      <c r="O290" t="s">
        <v>1949</v>
      </c>
      <c r="R290" t="s">
        <v>5241</v>
      </c>
    </row>
    <row r="291" spans="1:18" x14ac:dyDescent="0.25">
      <c r="A291" t="s">
        <v>1172</v>
      </c>
      <c r="B291" t="s">
        <v>1615</v>
      </c>
      <c r="C291" t="s">
        <v>3206</v>
      </c>
      <c r="D291" t="s">
        <v>5484</v>
      </c>
      <c r="E291" t="s">
        <v>2601</v>
      </c>
      <c r="F291" t="s">
        <v>2544</v>
      </c>
      <c r="G291" t="s">
        <v>5485</v>
      </c>
      <c r="H291" s="74">
        <v>34965</v>
      </c>
      <c r="I291" s="68" t="s">
        <v>2653</v>
      </c>
      <c r="J291" s="68" t="s">
        <v>4214</v>
      </c>
      <c r="K291" s="68" t="s">
        <v>2555</v>
      </c>
      <c r="L291" t="s">
        <v>1770</v>
      </c>
      <c r="M291" t="s">
        <v>3735</v>
      </c>
      <c r="N291" t="s">
        <v>1648</v>
      </c>
      <c r="O291" t="s">
        <v>1949</v>
      </c>
      <c r="R291" t="s">
        <v>5486</v>
      </c>
    </row>
    <row r="292" spans="1:18" x14ac:dyDescent="0.25">
      <c r="A292" t="s">
        <v>1292</v>
      </c>
      <c r="B292" t="s">
        <v>1601</v>
      </c>
      <c r="C292" t="s">
        <v>3005</v>
      </c>
      <c r="D292" t="s">
        <v>3006</v>
      </c>
      <c r="E292" t="s">
        <v>2547</v>
      </c>
      <c r="F292" t="s">
        <v>2560</v>
      </c>
      <c r="G292" t="s">
        <v>3007</v>
      </c>
      <c r="H292" s="74">
        <v>30212</v>
      </c>
      <c r="I292" s="68" t="s">
        <v>3008</v>
      </c>
      <c r="J292" s="68" t="s">
        <v>3008</v>
      </c>
      <c r="K292" s="68" t="s">
        <v>2548</v>
      </c>
      <c r="L292" t="s">
        <v>1879</v>
      </c>
      <c r="M292" t="s">
        <v>3009</v>
      </c>
      <c r="N292" t="s">
        <v>1648</v>
      </c>
      <c r="O292" t="s">
        <v>1949</v>
      </c>
      <c r="R292" t="s">
        <v>3010</v>
      </c>
    </row>
    <row r="293" spans="1:18" x14ac:dyDescent="0.25">
      <c r="A293" t="s">
        <v>1164</v>
      </c>
      <c r="B293" t="s">
        <v>1609</v>
      </c>
      <c r="C293" t="s">
        <v>3081</v>
      </c>
      <c r="D293" t="s">
        <v>3098</v>
      </c>
      <c r="E293" t="s">
        <v>2592</v>
      </c>
      <c r="F293" t="s">
        <v>2584</v>
      </c>
      <c r="G293" t="s">
        <v>3099</v>
      </c>
      <c r="H293" s="74">
        <v>34725</v>
      </c>
      <c r="I293" s="68" t="s">
        <v>2653</v>
      </c>
      <c r="J293" s="68" t="s">
        <v>3008</v>
      </c>
      <c r="K293" s="68" t="s">
        <v>2548</v>
      </c>
      <c r="L293" t="s">
        <v>1779</v>
      </c>
      <c r="M293" t="s">
        <v>3088</v>
      </c>
      <c r="N293" t="s">
        <v>1648</v>
      </c>
      <c r="O293" t="s">
        <v>1949</v>
      </c>
      <c r="R293" t="s">
        <v>3100</v>
      </c>
    </row>
    <row r="294" spans="1:18" x14ac:dyDescent="0.25">
      <c r="A294" t="s">
        <v>1186</v>
      </c>
      <c r="B294" t="s">
        <v>1613</v>
      </c>
      <c r="C294" t="s">
        <v>3156</v>
      </c>
      <c r="D294" t="s">
        <v>3184</v>
      </c>
      <c r="E294" t="s">
        <v>2601</v>
      </c>
      <c r="F294" t="s">
        <v>2584</v>
      </c>
      <c r="G294" t="s">
        <v>3185</v>
      </c>
      <c r="H294" s="74">
        <v>35106</v>
      </c>
      <c r="I294" s="68" t="s">
        <v>2552</v>
      </c>
      <c r="J294" s="68" t="s">
        <v>3008</v>
      </c>
      <c r="K294" s="68" t="s">
        <v>2548</v>
      </c>
      <c r="L294" t="s">
        <v>1692</v>
      </c>
      <c r="M294" t="s">
        <v>2772</v>
      </c>
      <c r="N294" t="s">
        <v>1648</v>
      </c>
      <c r="O294" t="s">
        <v>1949</v>
      </c>
      <c r="R294" t="s">
        <v>3186</v>
      </c>
    </row>
    <row r="295" spans="1:18" x14ac:dyDescent="0.25">
      <c r="A295" t="s">
        <v>1231</v>
      </c>
      <c r="B295" t="s">
        <v>1607</v>
      </c>
      <c r="C295" t="s">
        <v>2963</v>
      </c>
      <c r="D295" t="s">
        <v>4104</v>
      </c>
      <c r="E295" t="s">
        <v>2592</v>
      </c>
      <c r="F295" t="s">
        <v>2544</v>
      </c>
      <c r="G295" t="s">
        <v>4105</v>
      </c>
      <c r="H295" s="74">
        <v>33862</v>
      </c>
      <c r="I295" s="68" t="s">
        <v>2562</v>
      </c>
      <c r="J295" s="68" t="s">
        <v>3008</v>
      </c>
      <c r="K295" s="68" t="s">
        <v>2547</v>
      </c>
      <c r="L295" t="s">
        <v>1659</v>
      </c>
      <c r="M295" t="s">
        <v>2972</v>
      </c>
      <c r="N295" t="s">
        <v>1648</v>
      </c>
      <c r="O295" t="s">
        <v>1949</v>
      </c>
      <c r="R295" t="s">
        <v>4106</v>
      </c>
    </row>
    <row r="296" spans="1:18" x14ac:dyDescent="0.25">
      <c r="A296" t="s">
        <v>1178</v>
      </c>
      <c r="B296" t="s">
        <v>1584</v>
      </c>
      <c r="C296" t="s">
        <v>3558</v>
      </c>
      <c r="D296" t="s">
        <v>4281</v>
      </c>
      <c r="E296" t="s">
        <v>2579</v>
      </c>
      <c r="F296" t="s">
        <v>2636</v>
      </c>
      <c r="G296" t="s">
        <v>4282</v>
      </c>
      <c r="H296" s="74">
        <v>35664</v>
      </c>
      <c r="I296" s="68" t="s">
        <v>2599</v>
      </c>
      <c r="J296" s="68" t="s">
        <v>3008</v>
      </c>
      <c r="K296" s="68" t="s">
        <v>2586</v>
      </c>
      <c r="L296" t="s">
        <v>1685</v>
      </c>
      <c r="M296" t="s">
        <v>2704</v>
      </c>
      <c r="N296" t="s">
        <v>1646</v>
      </c>
      <c r="O296" t="s">
        <v>1950</v>
      </c>
      <c r="R296" t="s">
        <v>4283</v>
      </c>
    </row>
    <row r="297" spans="1:18" x14ac:dyDescent="0.25">
      <c r="A297" t="s">
        <v>1135</v>
      </c>
      <c r="B297" t="s">
        <v>1595</v>
      </c>
      <c r="C297" t="s">
        <v>3694</v>
      </c>
      <c r="D297" t="s">
        <v>4429</v>
      </c>
      <c r="E297" t="s">
        <v>2670</v>
      </c>
      <c r="F297" t="s">
        <v>2636</v>
      </c>
      <c r="G297" t="s">
        <v>4430</v>
      </c>
      <c r="H297" s="74">
        <v>35229</v>
      </c>
      <c r="I297" s="68" t="s">
        <v>2552</v>
      </c>
      <c r="J297" s="68" t="s">
        <v>3008</v>
      </c>
      <c r="K297" s="68" t="s">
        <v>2651</v>
      </c>
      <c r="L297" t="s">
        <v>1654</v>
      </c>
      <c r="M297" t="s">
        <v>2844</v>
      </c>
      <c r="N297" t="s">
        <v>1617</v>
      </c>
      <c r="O297" t="s">
        <v>1950</v>
      </c>
      <c r="R297" t="s">
        <v>4431</v>
      </c>
    </row>
    <row r="298" spans="1:18" x14ac:dyDescent="0.25">
      <c r="A298" t="s">
        <v>1158</v>
      </c>
      <c r="B298" t="s">
        <v>1605</v>
      </c>
      <c r="C298" t="s">
        <v>3809</v>
      </c>
      <c r="D298" t="s">
        <v>4572</v>
      </c>
      <c r="E298" t="s">
        <v>2543</v>
      </c>
      <c r="F298" t="s">
        <v>2544</v>
      </c>
      <c r="G298" t="s">
        <v>4573</v>
      </c>
      <c r="H298" s="74">
        <v>35564</v>
      </c>
      <c r="I298" s="68" t="s">
        <v>2599</v>
      </c>
      <c r="J298" s="68" t="s">
        <v>3008</v>
      </c>
      <c r="K298" s="68" t="s">
        <v>2587</v>
      </c>
      <c r="L298" t="s">
        <v>1655</v>
      </c>
      <c r="M298" t="s">
        <v>3607</v>
      </c>
      <c r="N298" t="s">
        <v>43</v>
      </c>
      <c r="O298" t="s">
        <v>1949</v>
      </c>
      <c r="R298" t="s">
        <v>4574</v>
      </c>
    </row>
    <row r="299" spans="1:18" x14ac:dyDescent="0.25">
      <c r="A299" t="s">
        <v>1157</v>
      </c>
      <c r="B299" t="s">
        <v>1604</v>
      </c>
      <c r="C299" t="s">
        <v>3391</v>
      </c>
      <c r="D299" t="s">
        <v>4759</v>
      </c>
      <c r="E299" t="s">
        <v>2555</v>
      </c>
      <c r="F299" t="s">
        <v>2544</v>
      </c>
      <c r="G299" t="s">
        <v>4760</v>
      </c>
      <c r="H299" s="74">
        <v>32085</v>
      </c>
      <c r="I299" s="68" t="s">
        <v>2569</v>
      </c>
      <c r="J299" s="68" t="s">
        <v>3008</v>
      </c>
      <c r="K299" s="68" t="s">
        <v>2555</v>
      </c>
      <c r="L299" t="s">
        <v>1785</v>
      </c>
      <c r="M299" t="s">
        <v>4204</v>
      </c>
      <c r="N299" t="s">
        <v>1647</v>
      </c>
      <c r="O299" t="s">
        <v>1949</v>
      </c>
      <c r="R299" t="s">
        <v>4761</v>
      </c>
    </row>
    <row r="300" spans="1:18" x14ac:dyDescent="0.25">
      <c r="A300" t="s">
        <v>1244</v>
      </c>
      <c r="B300" t="s">
        <v>1597</v>
      </c>
      <c r="C300" t="s">
        <v>2876</v>
      </c>
      <c r="D300" t="s">
        <v>5191</v>
      </c>
      <c r="E300" t="s">
        <v>2651</v>
      </c>
      <c r="F300" t="s">
        <v>2584</v>
      </c>
      <c r="G300" t="s">
        <v>5192</v>
      </c>
      <c r="H300" s="74">
        <v>34133</v>
      </c>
      <c r="I300" s="68" t="s">
        <v>2633</v>
      </c>
      <c r="J300" s="68" t="s">
        <v>3008</v>
      </c>
      <c r="K300" s="68" t="s">
        <v>2559</v>
      </c>
      <c r="L300" t="s">
        <v>1667</v>
      </c>
      <c r="M300" t="s">
        <v>3550</v>
      </c>
      <c r="N300" t="s">
        <v>1648</v>
      </c>
      <c r="O300" t="s">
        <v>1949</v>
      </c>
      <c r="R300" t="s">
        <v>5193</v>
      </c>
    </row>
    <row r="301" spans="1:18" x14ac:dyDescent="0.25">
      <c r="A301" t="s">
        <v>1186</v>
      </c>
      <c r="B301" t="s">
        <v>1613</v>
      </c>
      <c r="C301" t="s">
        <v>3156</v>
      </c>
      <c r="D301" t="s">
        <v>5462</v>
      </c>
      <c r="E301" t="s">
        <v>2776</v>
      </c>
      <c r="F301" t="s">
        <v>2584</v>
      </c>
      <c r="G301" t="s">
        <v>5463</v>
      </c>
      <c r="H301" s="74">
        <v>34486</v>
      </c>
      <c r="I301" s="68" t="s">
        <v>2594</v>
      </c>
      <c r="J301" s="68" t="s">
        <v>3008</v>
      </c>
      <c r="K301" s="68" t="s">
        <v>2608</v>
      </c>
      <c r="L301" t="s">
        <v>1712</v>
      </c>
      <c r="M301" t="s">
        <v>3200</v>
      </c>
      <c r="N301" t="s">
        <v>1648</v>
      </c>
      <c r="O301" t="s">
        <v>1949</v>
      </c>
      <c r="R301" t="s">
        <v>5464</v>
      </c>
    </row>
    <row r="302" spans="1:18" x14ac:dyDescent="0.25">
      <c r="A302" t="s">
        <v>1124</v>
      </c>
      <c r="B302" t="s">
        <v>1586</v>
      </c>
      <c r="C302" t="s">
        <v>2541</v>
      </c>
      <c r="D302" t="s">
        <v>2558</v>
      </c>
      <c r="E302" t="s">
        <v>2559</v>
      </c>
      <c r="F302" t="s">
        <v>2560</v>
      </c>
      <c r="G302" t="s">
        <v>2561</v>
      </c>
      <c r="H302" s="74">
        <v>33780</v>
      </c>
      <c r="I302" s="68" t="s">
        <v>2562</v>
      </c>
      <c r="J302" s="68" t="s">
        <v>2543</v>
      </c>
      <c r="K302" s="68" t="s">
        <v>2548</v>
      </c>
      <c r="L302" t="s">
        <v>1751</v>
      </c>
      <c r="M302" t="s">
        <v>2563</v>
      </c>
      <c r="N302" t="s">
        <v>1648</v>
      </c>
      <c r="O302" t="s">
        <v>1949</v>
      </c>
      <c r="R302" t="s">
        <v>2564</v>
      </c>
    </row>
    <row r="303" spans="1:18" x14ac:dyDescent="0.25">
      <c r="A303" t="s">
        <v>1124</v>
      </c>
      <c r="B303" t="s">
        <v>1586</v>
      </c>
      <c r="C303" t="s">
        <v>2541</v>
      </c>
      <c r="D303" t="s">
        <v>2577</v>
      </c>
      <c r="E303" t="s">
        <v>2555</v>
      </c>
      <c r="F303" t="s">
        <v>2544</v>
      </c>
      <c r="G303" t="s">
        <v>2578</v>
      </c>
      <c r="H303" s="74">
        <v>36671</v>
      </c>
      <c r="I303" s="68" t="s">
        <v>2579</v>
      </c>
      <c r="J303" s="68" t="s">
        <v>2543</v>
      </c>
      <c r="K303" s="68" t="s">
        <v>2548</v>
      </c>
      <c r="L303" t="s">
        <v>1671</v>
      </c>
      <c r="M303" t="s">
        <v>2580</v>
      </c>
      <c r="N303" t="s">
        <v>1648</v>
      </c>
      <c r="O303" t="s">
        <v>1949</v>
      </c>
      <c r="R303" t="s">
        <v>2581</v>
      </c>
    </row>
    <row r="304" spans="1:18" x14ac:dyDescent="0.25">
      <c r="A304" t="s">
        <v>1256</v>
      </c>
      <c r="B304" t="s">
        <v>1588</v>
      </c>
      <c r="C304" t="s">
        <v>2640</v>
      </c>
      <c r="D304" t="s">
        <v>2645</v>
      </c>
      <c r="E304" t="s">
        <v>2646</v>
      </c>
      <c r="F304" t="s">
        <v>2636</v>
      </c>
      <c r="G304" t="s">
        <v>2647</v>
      </c>
      <c r="H304" s="74">
        <v>34090</v>
      </c>
      <c r="I304" s="68" t="s">
        <v>2633</v>
      </c>
      <c r="J304" s="68" t="s">
        <v>2543</v>
      </c>
      <c r="K304" s="68" t="s">
        <v>2548</v>
      </c>
      <c r="L304" t="s">
        <v>1753</v>
      </c>
      <c r="M304" t="s">
        <v>2648</v>
      </c>
      <c r="N304" t="s">
        <v>1648</v>
      </c>
      <c r="O304" t="s">
        <v>1949</v>
      </c>
      <c r="R304" t="s">
        <v>2649</v>
      </c>
    </row>
    <row r="305" spans="1:18" x14ac:dyDescent="0.25">
      <c r="A305" t="s">
        <v>1256</v>
      </c>
      <c r="B305" t="s">
        <v>1588</v>
      </c>
      <c r="C305" t="s">
        <v>2640</v>
      </c>
      <c r="D305" t="s">
        <v>2650</v>
      </c>
      <c r="E305" t="s">
        <v>2651</v>
      </c>
      <c r="F305" t="s">
        <v>2584</v>
      </c>
      <c r="G305" t="s">
        <v>2652</v>
      </c>
      <c r="H305" s="74">
        <v>35007</v>
      </c>
      <c r="I305" s="68" t="s">
        <v>2653</v>
      </c>
      <c r="J305" s="68" t="s">
        <v>2543</v>
      </c>
      <c r="K305" s="68" t="s">
        <v>2548</v>
      </c>
      <c r="L305" t="s">
        <v>1867</v>
      </c>
      <c r="M305" t="s">
        <v>2654</v>
      </c>
      <c r="N305" t="s">
        <v>1648</v>
      </c>
      <c r="O305" t="s">
        <v>1949</v>
      </c>
      <c r="R305" t="s">
        <v>2655</v>
      </c>
    </row>
    <row r="306" spans="1:18" x14ac:dyDescent="0.25">
      <c r="A306" t="s">
        <v>1294</v>
      </c>
      <c r="B306" t="s">
        <v>1590</v>
      </c>
      <c r="C306" t="s">
        <v>2717</v>
      </c>
      <c r="D306" t="s">
        <v>2733</v>
      </c>
      <c r="E306" t="s">
        <v>2670</v>
      </c>
      <c r="F306" t="s">
        <v>2584</v>
      </c>
      <c r="G306" t="s">
        <v>2734</v>
      </c>
      <c r="H306" s="74">
        <v>37800</v>
      </c>
      <c r="I306" s="68" t="s">
        <v>2554</v>
      </c>
      <c r="J306" s="68" t="s">
        <v>2543</v>
      </c>
      <c r="K306" s="68" t="s">
        <v>2548</v>
      </c>
      <c r="L306" t="s">
        <v>1865</v>
      </c>
      <c r="M306" t="s">
        <v>2735</v>
      </c>
      <c r="N306" t="s">
        <v>1648</v>
      </c>
      <c r="O306" t="s">
        <v>1949</v>
      </c>
      <c r="R306" t="s">
        <v>2736</v>
      </c>
    </row>
    <row r="307" spans="1:18" x14ac:dyDescent="0.25">
      <c r="A307" t="s">
        <v>1294</v>
      </c>
      <c r="B307" t="s">
        <v>1590</v>
      </c>
      <c r="C307" t="s">
        <v>2717</v>
      </c>
      <c r="D307" t="s">
        <v>2753</v>
      </c>
      <c r="E307" t="s">
        <v>2601</v>
      </c>
      <c r="F307" t="s">
        <v>2584</v>
      </c>
      <c r="G307" t="s">
        <v>2754</v>
      </c>
      <c r="H307" s="74">
        <v>35233</v>
      </c>
      <c r="I307" s="68" t="s">
        <v>2552</v>
      </c>
      <c r="J307" s="68" t="s">
        <v>2543</v>
      </c>
      <c r="K307" s="68" t="s">
        <v>2548</v>
      </c>
      <c r="L307" t="s">
        <v>1746</v>
      </c>
      <c r="M307" t="s">
        <v>2751</v>
      </c>
      <c r="N307" t="s">
        <v>1648</v>
      </c>
      <c r="O307" t="s">
        <v>1949</v>
      </c>
      <c r="R307" t="s">
        <v>2755</v>
      </c>
    </row>
    <row r="308" spans="1:18" x14ac:dyDescent="0.25">
      <c r="A308" t="s">
        <v>1183</v>
      </c>
      <c r="B308" t="s">
        <v>1593</v>
      </c>
      <c r="C308" t="s">
        <v>2789</v>
      </c>
      <c r="D308" t="s">
        <v>2802</v>
      </c>
      <c r="E308" t="s">
        <v>2546</v>
      </c>
      <c r="F308" t="s">
        <v>2636</v>
      </c>
      <c r="G308" t="s">
        <v>2803</v>
      </c>
      <c r="H308" s="74">
        <v>36178</v>
      </c>
      <c r="I308" s="68" t="s">
        <v>2627</v>
      </c>
      <c r="J308" s="68" t="s">
        <v>2543</v>
      </c>
      <c r="K308" s="68" t="s">
        <v>2548</v>
      </c>
      <c r="L308" t="s">
        <v>1898</v>
      </c>
      <c r="M308" t="s">
        <v>2804</v>
      </c>
      <c r="N308" t="s">
        <v>1648</v>
      </c>
      <c r="O308" t="s">
        <v>1949</v>
      </c>
      <c r="R308" t="s">
        <v>2805</v>
      </c>
    </row>
    <row r="309" spans="1:18" x14ac:dyDescent="0.25">
      <c r="A309" t="s">
        <v>1244</v>
      </c>
      <c r="B309" t="s">
        <v>1597</v>
      </c>
      <c r="C309" t="s">
        <v>2876</v>
      </c>
      <c r="D309" t="s">
        <v>2877</v>
      </c>
      <c r="E309" t="s">
        <v>2555</v>
      </c>
      <c r="F309" t="s">
        <v>2544</v>
      </c>
      <c r="G309" t="s">
        <v>2878</v>
      </c>
      <c r="H309" s="74">
        <v>32290</v>
      </c>
      <c r="I309" s="68" t="s">
        <v>2568</v>
      </c>
      <c r="J309" s="68" t="s">
        <v>2543</v>
      </c>
      <c r="K309" s="68" t="s">
        <v>2548</v>
      </c>
      <c r="L309" t="s">
        <v>1670</v>
      </c>
      <c r="M309" t="s">
        <v>2570</v>
      </c>
      <c r="N309" t="s">
        <v>1648</v>
      </c>
      <c r="O309" t="s">
        <v>1949</v>
      </c>
      <c r="R309" t="s">
        <v>2879</v>
      </c>
    </row>
    <row r="310" spans="1:18" x14ac:dyDescent="0.25">
      <c r="A310" t="s">
        <v>1244</v>
      </c>
      <c r="B310" t="s">
        <v>1597</v>
      </c>
      <c r="C310" t="s">
        <v>2876</v>
      </c>
      <c r="D310" t="s">
        <v>2887</v>
      </c>
      <c r="E310" t="s">
        <v>2566</v>
      </c>
      <c r="F310" t="s">
        <v>2560</v>
      </c>
      <c r="G310" t="s">
        <v>2888</v>
      </c>
      <c r="H310" s="74">
        <v>37592</v>
      </c>
      <c r="I310" s="68" t="s">
        <v>2554</v>
      </c>
      <c r="J310" s="68" t="s">
        <v>2543</v>
      </c>
      <c r="K310" s="68" t="s">
        <v>2548</v>
      </c>
      <c r="L310" t="s">
        <v>1824</v>
      </c>
      <c r="M310" t="s">
        <v>2889</v>
      </c>
      <c r="N310" t="s">
        <v>1648</v>
      </c>
      <c r="O310" t="s">
        <v>1949</v>
      </c>
      <c r="R310" t="s">
        <v>2890</v>
      </c>
    </row>
    <row r="311" spans="1:18" x14ac:dyDescent="0.25">
      <c r="A311" t="s">
        <v>1244</v>
      </c>
      <c r="B311" t="s">
        <v>1597</v>
      </c>
      <c r="C311" t="s">
        <v>2876</v>
      </c>
      <c r="D311" t="s">
        <v>2913</v>
      </c>
      <c r="E311" t="s">
        <v>2552</v>
      </c>
      <c r="F311" t="s">
        <v>2544</v>
      </c>
      <c r="G311" t="s">
        <v>2914</v>
      </c>
      <c r="H311" s="74">
        <v>36681</v>
      </c>
      <c r="I311" s="68" t="s">
        <v>2579</v>
      </c>
      <c r="J311" s="68" t="s">
        <v>2543</v>
      </c>
      <c r="K311" s="68" t="s">
        <v>2548</v>
      </c>
      <c r="L311" t="s">
        <v>1773</v>
      </c>
      <c r="M311" t="s">
        <v>2915</v>
      </c>
      <c r="N311" t="s">
        <v>1648</v>
      </c>
      <c r="O311" t="s">
        <v>1949</v>
      </c>
      <c r="R311" t="s">
        <v>2916</v>
      </c>
    </row>
    <row r="312" spans="1:18" x14ac:dyDescent="0.25">
      <c r="A312" t="s">
        <v>1172</v>
      </c>
      <c r="B312" t="s">
        <v>1615</v>
      </c>
      <c r="C312" t="s">
        <v>3206</v>
      </c>
      <c r="D312" t="s">
        <v>3230</v>
      </c>
      <c r="E312" t="s">
        <v>2586</v>
      </c>
      <c r="F312" t="s">
        <v>2560</v>
      </c>
      <c r="G312" t="s">
        <v>3231</v>
      </c>
      <c r="H312" s="74">
        <v>33802</v>
      </c>
      <c r="I312" s="68" t="s">
        <v>2562</v>
      </c>
      <c r="J312" s="68" t="s">
        <v>2543</v>
      </c>
      <c r="K312" s="68" t="s">
        <v>2548</v>
      </c>
      <c r="L312" t="s">
        <v>1801</v>
      </c>
      <c r="M312" t="s">
        <v>3232</v>
      </c>
      <c r="N312" t="s">
        <v>1648</v>
      </c>
      <c r="O312" t="s">
        <v>1949</v>
      </c>
      <c r="R312" t="s">
        <v>3233</v>
      </c>
    </row>
    <row r="313" spans="1:18" x14ac:dyDescent="0.25">
      <c r="A313" t="s">
        <v>1188</v>
      </c>
      <c r="B313" t="s">
        <v>1585</v>
      </c>
      <c r="C313" t="s">
        <v>3262</v>
      </c>
      <c r="D313" t="s">
        <v>3273</v>
      </c>
      <c r="E313" t="s">
        <v>2546</v>
      </c>
      <c r="F313" t="s">
        <v>2544</v>
      </c>
      <c r="G313" t="s">
        <v>3274</v>
      </c>
      <c r="H313" s="74">
        <v>36829</v>
      </c>
      <c r="I313" s="68" t="s">
        <v>2579</v>
      </c>
      <c r="J313" s="68" t="s">
        <v>2543</v>
      </c>
      <c r="K313" s="68" t="s">
        <v>2548</v>
      </c>
      <c r="L313" t="s">
        <v>1795</v>
      </c>
      <c r="M313" t="s">
        <v>3275</v>
      </c>
      <c r="N313" t="s">
        <v>1647</v>
      </c>
      <c r="O313" t="s">
        <v>1949</v>
      </c>
      <c r="R313" t="s">
        <v>3276</v>
      </c>
    </row>
    <row r="314" spans="1:18" x14ac:dyDescent="0.25">
      <c r="A314" t="s">
        <v>1188</v>
      </c>
      <c r="B314" t="s">
        <v>1585</v>
      </c>
      <c r="C314" t="s">
        <v>3262</v>
      </c>
      <c r="D314" t="s">
        <v>3286</v>
      </c>
      <c r="E314" t="s">
        <v>2583</v>
      </c>
      <c r="F314" t="s">
        <v>2560</v>
      </c>
      <c r="G314" t="s">
        <v>3287</v>
      </c>
      <c r="H314" s="74">
        <v>31133</v>
      </c>
      <c r="I314" s="68" t="s">
        <v>2999</v>
      </c>
      <c r="J314" s="68" t="s">
        <v>2543</v>
      </c>
      <c r="K314" s="68" t="s">
        <v>2548</v>
      </c>
      <c r="L314" t="s">
        <v>1727</v>
      </c>
      <c r="M314" t="s">
        <v>3288</v>
      </c>
      <c r="N314" t="s">
        <v>1647</v>
      </c>
      <c r="O314" t="s">
        <v>1949</v>
      </c>
      <c r="R314" t="s">
        <v>3289</v>
      </c>
    </row>
    <row r="315" spans="1:18" x14ac:dyDescent="0.25">
      <c r="A315" t="s">
        <v>1188</v>
      </c>
      <c r="B315" t="s">
        <v>1585</v>
      </c>
      <c r="C315" t="s">
        <v>3262</v>
      </c>
      <c r="D315" t="s">
        <v>3297</v>
      </c>
      <c r="E315" t="s">
        <v>2566</v>
      </c>
      <c r="F315" t="s">
        <v>2560</v>
      </c>
      <c r="G315" t="s">
        <v>3298</v>
      </c>
      <c r="H315" s="74">
        <v>32521</v>
      </c>
      <c r="I315" s="68" t="s">
        <v>2703</v>
      </c>
      <c r="J315" s="68" t="s">
        <v>2543</v>
      </c>
      <c r="K315" s="68" t="s">
        <v>2548</v>
      </c>
      <c r="L315" t="s">
        <v>1934</v>
      </c>
      <c r="M315" t="s">
        <v>3299</v>
      </c>
      <c r="N315" t="s">
        <v>1647</v>
      </c>
      <c r="O315" t="s">
        <v>1949</v>
      </c>
      <c r="R315" t="s">
        <v>3300</v>
      </c>
    </row>
    <row r="316" spans="1:18" x14ac:dyDescent="0.25">
      <c r="A316" t="s">
        <v>1212</v>
      </c>
      <c r="B316" t="s">
        <v>1600</v>
      </c>
      <c r="C316" t="s">
        <v>3357</v>
      </c>
      <c r="D316" t="s">
        <v>3369</v>
      </c>
      <c r="E316" t="s">
        <v>2546</v>
      </c>
      <c r="F316" t="s">
        <v>2544</v>
      </c>
      <c r="G316" t="s">
        <v>3370</v>
      </c>
      <c r="H316" s="74">
        <v>35386</v>
      </c>
      <c r="I316" s="68" t="s">
        <v>2552</v>
      </c>
      <c r="J316" s="68" t="s">
        <v>2543</v>
      </c>
      <c r="K316" s="68" t="s">
        <v>2548</v>
      </c>
      <c r="L316" t="s">
        <v>1849</v>
      </c>
      <c r="M316" t="s">
        <v>3371</v>
      </c>
      <c r="N316" t="s">
        <v>1647</v>
      </c>
      <c r="O316" t="s">
        <v>1949</v>
      </c>
      <c r="R316" t="s">
        <v>3372</v>
      </c>
    </row>
    <row r="317" spans="1:18" x14ac:dyDescent="0.25">
      <c r="A317" t="s">
        <v>1212</v>
      </c>
      <c r="B317" t="s">
        <v>1600</v>
      </c>
      <c r="C317" t="s">
        <v>3357</v>
      </c>
      <c r="D317" t="s">
        <v>3380</v>
      </c>
      <c r="E317" t="s">
        <v>2587</v>
      </c>
      <c r="F317" t="s">
        <v>2544</v>
      </c>
      <c r="G317" t="s">
        <v>3381</v>
      </c>
      <c r="H317" s="74">
        <v>35874</v>
      </c>
      <c r="I317" s="68" t="s">
        <v>2546</v>
      </c>
      <c r="J317" s="68" t="s">
        <v>2543</v>
      </c>
      <c r="K317" s="68" t="s">
        <v>2548</v>
      </c>
      <c r="L317" t="s">
        <v>1777</v>
      </c>
      <c r="M317" t="s">
        <v>3382</v>
      </c>
      <c r="N317" t="s">
        <v>1647</v>
      </c>
      <c r="O317" t="s">
        <v>1949</v>
      </c>
      <c r="R317" t="s">
        <v>3383</v>
      </c>
    </row>
    <row r="318" spans="1:18" x14ac:dyDescent="0.25">
      <c r="A318" t="s">
        <v>1253</v>
      </c>
      <c r="B318" t="s">
        <v>1608</v>
      </c>
      <c r="C318" t="s">
        <v>3431</v>
      </c>
      <c r="D318" t="s">
        <v>3469</v>
      </c>
      <c r="E318" t="s">
        <v>2547</v>
      </c>
      <c r="F318" t="s">
        <v>2560</v>
      </c>
      <c r="G318" t="s">
        <v>3470</v>
      </c>
      <c r="H318" s="74">
        <v>34661</v>
      </c>
      <c r="I318" s="68" t="s">
        <v>2653</v>
      </c>
      <c r="J318" s="68" t="s">
        <v>2543</v>
      </c>
      <c r="K318" s="68" t="s">
        <v>2548</v>
      </c>
      <c r="L318" t="s">
        <v>1797</v>
      </c>
      <c r="M318" t="s">
        <v>3471</v>
      </c>
      <c r="N318" t="s">
        <v>1647</v>
      </c>
      <c r="O318" t="s">
        <v>1949</v>
      </c>
      <c r="R318" t="s">
        <v>3472</v>
      </c>
    </row>
    <row r="319" spans="1:18" x14ac:dyDescent="0.25">
      <c r="A319" t="s">
        <v>1169</v>
      </c>
      <c r="B319" t="s">
        <v>1611</v>
      </c>
      <c r="C319" t="s">
        <v>3492</v>
      </c>
      <c r="D319" t="s">
        <v>3519</v>
      </c>
      <c r="E319" t="s">
        <v>2566</v>
      </c>
      <c r="F319" t="s">
        <v>2560</v>
      </c>
      <c r="G319" t="s">
        <v>3520</v>
      </c>
      <c r="H319" s="74">
        <v>34344</v>
      </c>
      <c r="I319" s="68" t="s">
        <v>2594</v>
      </c>
      <c r="J319" s="68" t="s">
        <v>2543</v>
      </c>
      <c r="K319" s="68" t="s">
        <v>2548</v>
      </c>
      <c r="L319" t="s">
        <v>1792</v>
      </c>
      <c r="M319" t="s">
        <v>3521</v>
      </c>
      <c r="N319" t="s">
        <v>1647</v>
      </c>
      <c r="O319" t="s">
        <v>1949</v>
      </c>
      <c r="R319" t="s">
        <v>3522</v>
      </c>
    </row>
    <row r="320" spans="1:18" x14ac:dyDescent="0.25">
      <c r="A320" t="s">
        <v>1178</v>
      </c>
      <c r="B320" t="s">
        <v>1584</v>
      </c>
      <c r="C320" t="s">
        <v>3558</v>
      </c>
      <c r="D320" t="s">
        <v>3591</v>
      </c>
      <c r="E320" t="s">
        <v>2566</v>
      </c>
      <c r="F320" t="s">
        <v>2560</v>
      </c>
      <c r="G320" t="s">
        <v>3592</v>
      </c>
      <c r="H320" s="74">
        <v>33744</v>
      </c>
      <c r="I320" s="68" t="s">
        <v>2562</v>
      </c>
      <c r="J320" s="68" t="s">
        <v>2543</v>
      </c>
      <c r="K320" s="68" t="s">
        <v>2548</v>
      </c>
      <c r="L320" t="s">
        <v>1702</v>
      </c>
      <c r="M320" t="s">
        <v>3490</v>
      </c>
      <c r="N320" t="s">
        <v>1646</v>
      </c>
      <c r="O320" t="s">
        <v>1950</v>
      </c>
      <c r="R320" t="s">
        <v>3593</v>
      </c>
    </row>
    <row r="321" spans="1:18" x14ac:dyDescent="0.25">
      <c r="A321" t="s">
        <v>1127</v>
      </c>
      <c r="B321" t="s">
        <v>1591</v>
      </c>
      <c r="C321" t="s">
        <v>3633</v>
      </c>
      <c r="D321" t="s">
        <v>3634</v>
      </c>
      <c r="E321" t="s">
        <v>2599</v>
      </c>
      <c r="F321" t="s">
        <v>2584</v>
      </c>
      <c r="G321" t="s">
        <v>3635</v>
      </c>
      <c r="H321" s="74">
        <v>37507</v>
      </c>
      <c r="I321" s="68" t="s">
        <v>2670</v>
      </c>
      <c r="J321" s="68" t="s">
        <v>2543</v>
      </c>
      <c r="K321" s="68" t="s">
        <v>2548</v>
      </c>
      <c r="L321" t="s">
        <v>1717</v>
      </c>
      <c r="M321" t="s">
        <v>3512</v>
      </c>
      <c r="N321" t="s">
        <v>1627</v>
      </c>
      <c r="O321" t="s">
        <v>1950</v>
      </c>
      <c r="R321" t="s">
        <v>3636</v>
      </c>
    </row>
    <row r="322" spans="1:18" x14ac:dyDescent="0.25">
      <c r="A322" t="s">
        <v>1127</v>
      </c>
      <c r="B322" t="s">
        <v>1591</v>
      </c>
      <c r="C322" t="s">
        <v>3633</v>
      </c>
      <c r="D322" t="s">
        <v>3644</v>
      </c>
      <c r="E322" t="s">
        <v>2552</v>
      </c>
      <c r="F322" t="s">
        <v>2584</v>
      </c>
      <c r="G322" t="s">
        <v>3645</v>
      </c>
      <c r="H322" s="74">
        <v>35564</v>
      </c>
      <c r="I322" s="68" t="s">
        <v>2599</v>
      </c>
      <c r="J322" s="68" t="s">
        <v>2543</v>
      </c>
      <c r="K322" s="68" t="s">
        <v>2548</v>
      </c>
      <c r="L322" t="s">
        <v>1674</v>
      </c>
      <c r="M322" t="s">
        <v>2851</v>
      </c>
      <c r="N322" t="s">
        <v>1627</v>
      </c>
      <c r="O322" t="s">
        <v>1950</v>
      </c>
      <c r="R322" t="s">
        <v>3646</v>
      </c>
    </row>
    <row r="323" spans="1:18" x14ac:dyDescent="0.25">
      <c r="A323" t="s">
        <v>1127</v>
      </c>
      <c r="B323" t="s">
        <v>1591</v>
      </c>
      <c r="C323" t="s">
        <v>3633</v>
      </c>
      <c r="D323" t="s">
        <v>3650</v>
      </c>
      <c r="E323" t="s">
        <v>2651</v>
      </c>
      <c r="F323" t="s">
        <v>2544</v>
      </c>
      <c r="G323" t="s">
        <v>3651</v>
      </c>
      <c r="H323" s="74">
        <v>35819</v>
      </c>
      <c r="I323" s="68" t="s">
        <v>2546</v>
      </c>
      <c r="J323" s="68" t="s">
        <v>2543</v>
      </c>
      <c r="K323" s="68" t="s">
        <v>2548</v>
      </c>
      <c r="L323" t="s">
        <v>1920</v>
      </c>
      <c r="M323" t="s">
        <v>3652</v>
      </c>
      <c r="N323" t="s">
        <v>1627</v>
      </c>
      <c r="O323" t="s">
        <v>1950</v>
      </c>
      <c r="R323" t="s">
        <v>3653</v>
      </c>
    </row>
    <row r="324" spans="1:18" x14ac:dyDescent="0.25">
      <c r="A324" t="s">
        <v>1131</v>
      </c>
      <c r="B324" t="s">
        <v>1594</v>
      </c>
      <c r="C324" t="s">
        <v>3663</v>
      </c>
      <c r="D324" t="s">
        <v>3674</v>
      </c>
      <c r="E324" t="s">
        <v>2586</v>
      </c>
      <c r="F324" t="s">
        <v>2544</v>
      </c>
      <c r="G324" t="s">
        <v>3675</v>
      </c>
      <c r="H324" s="74">
        <v>35711</v>
      </c>
      <c r="I324" s="68" t="s">
        <v>2599</v>
      </c>
      <c r="J324" s="68" t="s">
        <v>2543</v>
      </c>
      <c r="K324" s="68" t="s">
        <v>2548</v>
      </c>
      <c r="L324" t="s">
        <v>1667</v>
      </c>
      <c r="M324" t="s">
        <v>3550</v>
      </c>
      <c r="N324" t="s">
        <v>43</v>
      </c>
      <c r="O324" t="s">
        <v>1949</v>
      </c>
      <c r="R324" t="s">
        <v>3676</v>
      </c>
    </row>
    <row r="325" spans="1:18" x14ac:dyDescent="0.25">
      <c r="A325" t="s">
        <v>1131</v>
      </c>
      <c r="B325" t="s">
        <v>1594</v>
      </c>
      <c r="C325" t="s">
        <v>3663</v>
      </c>
      <c r="D325" t="s">
        <v>3680</v>
      </c>
      <c r="E325" t="s">
        <v>2552</v>
      </c>
      <c r="F325" t="s">
        <v>2584</v>
      </c>
      <c r="G325" t="s">
        <v>3681</v>
      </c>
      <c r="H325" s="74">
        <v>36562</v>
      </c>
      <c r="I325" s="68" t="s">
        <v>2579</v>
      </c>
      <c r="J325" s="68" t="s">
        <v>2543</v>
      </c>
      <c r="K325" s="68" t="s">
        <v>2548</v>
      </c>
      <c r="L325" t="s">
        <v>1661</v>
      </c>
      <c r="M325" t="s">
        <v>3445</v>
      </c>
      <c r="N325" t="s">
        <v>43</v>
      </c>
      <c r="O325" t="s">
        <v>1949</v>
      </c>
      <c r="R325" t="s">
        <v>3682</v>
      </c>
    </row>
    <row r="326" spans="1:18" x14ac:dyDescent="0.25">
      <c r="A326" t="s">
        <v>1135</v>
      </c>
      <c r="B326" t="s">
        <v>1595</v>
      </c>
      <c r="C326" t="s">
        <v>3694</v>
      </c>
      <c r="D326" t="s">
        <v>3707</v>
      </c>
      <c r="E326" t="s">
        <v>2552</v>
      </c>
      <c r="F326" t="s">
        <v>2636</v>
      </c>
      <c r="G326" t="s">
        <v>3708</v>
      </c>
      <c r="H326" s="74">
        <v>35648</v>
      </c>
      <c r="I326" s="68" t="s">
        <v>2599</v>
      </c>
      <c r="J326" s="68" t="s">
        <v>2543</v>
      </c>
      <c r="K326" s="68" t="s">
        <v>2548</v>
      </c>
      <c r="L326" t="s">
        <v>1680</v>
      </c>
      <c r="M326" t="s">
        <v>3517</v>
      </c>
      <c r="N326" t="s">
        <v>1617</v>
      </c>
      <c r="O326" t="s">
        <v>1950</v>
      </c>
      <c r="R326" t="s">
        <v>3709</v>
      </c>
    </row>
    <row r="327" spans="1:18" x14ac:dyDescent="0.25">
      <c r="A327" t="s">
        <v>1238</v>
      </c>
      <c r="B327" t="s">
        <v>1602</v>
      </c>
      <c r="C327" t="s">
        <v>3732</v>
      </c>
      <c r="D327" t="s">
        <v>3772</v>
      </c>
      <c r="E327" t="s">
        <v>2670</v>
      </c>
      <c r="F327" t="s">
        <v>2544</v>
      </c>
      <c r="G327" t="s">
        <v>3773</v>
      </c>
      <c r="H327" s="74">
        <v>36286</v>
      </c>
      <c r="I327" s="68" t="s">
        <v>2627</v>
      </c>
      <c r="J327" s="68" t="s">
        <v>2543</v>
      </c>
      <c r="K327" s="68" t="s">
        <v>2548</v>
      </c>
      <c r="L327" t="s">
        <v>1833</v>
      </c>
      <c r="M327" t="s">
        <v>3774</v>
      </c>
      <c r="N327" t="s">
        <v>1628</v>
      </c>
      <c r="O327" t="s">
        <v>1950</v>
      </c>
      <c r="R327" t="s">
        <v>3775</v>
      </c>
    </row>
    <row r="328" spans="1:18" x14ac:dyDescent="0.25">
      <c r="A328" t="s">
        <v>1130</v>
      </c>
      <c r="B328" t="s">
        <v>1592</v>
      </c>
      <c r="C328" t="s">
        <v>2761</v>
      </c>
      <c r="D328" t="s">
        <v>3938</v>
      </c>
      <c r="E328" t="s">
        <v>2552</v>
      </c>
      <c r="F328" t="s">
        <v>2544</v>
      </c>
      <c r="G328" t="s">
        <v>3939</v>
      </c>
      <c r="H328" s="74">
        <v>35773</v>
      </c>
      <c r="I328" s="68" t="s">
        <v>2546</v>
      </c>
      <c r="J328" s="68" t="s">
        <v>2543</v>
      </c>
      <c r="K328" s="68" t="s">
        <v>2547</v>
      </c>
      <c r="L328" t="s">
        <v>1679</v>
      </c>
      <c r="M328" t="s">
        <v>3583</v>
      </c>
      <c r="N328" t="s">
        <v>1648</v>
      </c>
      <c r="O328" t="s">
        <v>1949</v>
      </c>
      <c r="R328" t="s">
        <v>3940</v>
      </c>
    </row>
    <row r="329" spans="1:18" x14ac:dyDescent="0.25">
      <c r="A329" t="s">
        <v>1131</v>
      </c>
      <c r="B329" t="s">
        <v>1594</v>
      </c>
      <c r="C329" t="s">
        <v>3663</v>
      </c>
      <c r="D329" t="s">
        <v>3974</v>
      </c>
      <c r="E329" t="s">
        <v>2546</v>
      </c>
      <c r="F329" t="s">
        <v>2636</v>
      </c>
      <c r="G329" t="s">
        <v>3975</v>
      </c>
      <c r="H329" s="74">
        <v>33661</v>
      </c>
      <c r="I329" s="68" t="s">
        <v>2562</v>
      </c>
      <c r="J329" s="68" t="s">
        <v>2543</v>
      </c>
      <c r="K329" s="68" t="s">
        <v>2547</v>
      </c>
      <c r="L329" t="s">
        <v>1697</v>
      </c>
      <c r="M329" t="s">
        <v>3685</v>
      </c>
      <c r="N329" t="s">
        <v>43</v>
      </c>
      <c r="O329" t="s">
        <v>1949</v>
      </c>
      <c r="R329" t="s">
        <v>3976</v>
      </c>
    </row>
    <row r="330" spans="1:18" x14ac:dyDescent="0.25">
      <c r="A330" t="s">
        <v>1135</v>
      </c>
      <c r="B330" t="s">
        <v>1595</v>
      </c>
      <c r="C330" t="s">
        <v>3694</v>
      </c>
      <c r="D330" t="s">
        <v>4013</v>
      </c>
      <c r="E330" t="s">
        <v>2599</v>
      </c>
      <c r="F330" t="s">
        <v>2584</v>
      </c>
      <c r="G330" t="s">
        <v>4014</v>
      </c>
      <c r="H330" s="74">
        <v>37570</v>
      </c>
      <c r="I330" s="68" t="s">
        <v>2670</v>
      </c>
      <c r="J330" s="68" t="s">
        <v>2543</v>
      </c>
      <c r="K330" s="68" t="s">
        <v>2547</v>
      </c>
      <c r="L330" t="s">
        <v>1658</v>
      </c>
      <c r="M330" t="s">
        <v>2575</v>
      </c>
      <c r="N330" t="s">
        <v>1617</v>
      </c>
      <c r="O330" t="s">
        <v>1950</v>
      </c>
      <c r="R330" t="s">
        <v>4015</v>
      </c>
    </row>
    <row r="331" spans="1:18" x14ac:dyDescent="0.25">
      <c r="A331" t="s">
        <v>1137</v>
      </c>
      <c r="B331" t="s">
        <v>1596</v>
      </c>
      <c r="C331" t="s">
        <v>2836</v>
      </c>
      <c r="D331" t="s">
        <v>4031</v>
      </c>
      <c r="E331" t="s">
        <v>2546</v>
      </c>
      <c r="F331" t="s">
        <v>2636</v>
      </c>
      <c r="G331" t="s">
        <v>4032</v>
      </c>
      <c r="H331" s="74">
        <v>37274</v>
      </c>
      <c r="I331" s="68" t="s">
        <v>2670</v>
      </c>
      <c r="J331" s="68" t="s">
        <v>2543</v>
      </c>
      <c r="K331" s="68" t="s">
        <v>2547</v>
      </c>
      <c r="L331" t="s">
        <v>1663</v>
      </c>
      <c r="M331" t="s">
        <v>2859</v>
      </c>
      <c r="N331" t="s">
        <v>1648</v>
      </c>
      <c r="O331" t="s">
        <v>1949</v>
      </c>
      <c r="R331" t="s">
        <v>4033</v>
      </c>
    </row>
    <row r="332" spans="1:18" x14ac:dyDescent="0.25">
      <c r="A332" t="s">
        <v>1244</v>
      </c>
      <c r="B332" t="s">
        <v>1597</v>
      </c>
      <c r="C332" t="s">
        <v>2876</v>
      </c>
      <c r="D332" t="s">
        <v>4046</v>
      </c>
      <c r="E332" t="s">
        <v>2599</v>
      </c>
      <c r="F332" t="s">
        <v>2636</v>
      </c>
      <c r="G332" t="s">
        <v>4047</v>
      </c>
      <c r="H332" s="74">
        <v>36532</v>
      </c>
      <c r="I332" s="68" t="s">
        <v>2579</v>
      </c>
      <c r="J332" s="68" t="s">
        <v>2543</v>
      </c>
      <c r="K332" s="68" t="s">
        <v>2547</v>
      </c>
      <c r="L332" t="s">
        <v>1834</v>
      </c>
      <c r="M332" t="s">
        <v>4048</v>
      </c>
      <c r="N332" t="s">
        <v>1648</v>
      </c>
      <c r="O332" t="s">
        <v>1949</v>
      </c>
      <c r="R332" t="s">
        <v>4049</v>
      </c>
    </row>
    <row r="333" spans="1:18" x14ac:dyDescent="0.25">
      <c r="A333" t="s">
        <v>1157</v>
      </c>
      <c r="B333" t="s">
        <v>1604</v>
      </c>
      <c r="C333" t="s">
        <v>3391</v>
      </c>
      <c r="D333" t="s">
        <v>4166</v>
      </c>
      <c r="E333" t="s">
        <v>2559</v>
      </c>
      <c r="F333" t="s">
        <v>2584</v>
      </c>
      <c r="G333" t="s">
        <v>4167</v>
      </c>
      <c r="H333" s="74">
        <v>37412</v>
      </c>
      <c r="I333" s="68" t="s">
        <v>2670</v>
      </c>
      <c r="J333" s="68" t="s">
        <v>2543</v>
      </c>
      <c r="K333" s="68" t="s">
        <v>2547</v>
      </c>
      <c r="L333" t="s">
        <v>1751</v>
      </c>
      <c r="M333" t="s">
        <v>2563</v>
      </c>
      <c r="N333" t="s">
        <v>1647</v>
      </c>
      <c r="O333" t="s">
        <v>1949</v>
      </c>
      <c r="R333" t="s">
        <v>4168</v>
      </c>
    </row>
    <row r="334" spans="1:18" x14ac:dyDescent="0.25">
      <c r="A334" t="s">
        <v>1211</v>
      </c>
      <c r="B334" t="s">
        <v>1599</v>
      </c>
      <c r="C334" t="s">
        <v>3330</v>
      </c>
      <c r="D334" t="s">
        <v>4704</v>
      </c>
      <c r="E334" t="s">
        <v>2670</v>
      </c>
      <c r="F334" t="s">
        <v>2636</v>
      </c>
      <c r="G334" t="s">
        <v>4705</v>
      </c>
      <c r="H334" s="74">
        <v>36433</v>
      </c>
      <c r="I334" s="68" t="s">
        <v>2627</v>
      </c>
      <c r="J334" s="68" t="s">
        <v>2543</v>
      </c>
      <c r="K334" s="68" t="s">
        <v>2555</v>
      </c>
      <c r="L334" t="s">
        <v>1926</v>
      </c>
      <c r="M334" t="s">
        <v>4706</v>
      </c>
      <c r="N334" t="s">
        <v>1647</v>
      </c>
      <c r="O334" t="s">
        <v>1949</v>
      </c>
      <c r="R334" t="s">
        <v>4707</v>
      </c>
    </row>
    <row r="335" spans="1:18" x14ac:dyDescent="0.25">
      <c r="A335" t="s">
        <v>1238</v>
      </c>
      <c r="B335" t="s">
        <v>1602</v>
      </c>
      <c r="C335" t="s">
        <v>3732</v>
      </c>
      <c r="D335" t="s">
        <v>3748</v>
      </c>
      <c r="E335" t="s">
        <v>2543</v>
      </c>
      <c r="F335" t="s">
        <v>2584</v>
      </c>
      <c r="G335" t="s">
        <v>3749</v>
      </c>
      <c r="H335" s="74">
        <v>35298</v>
      </c>
      <c r="I335" s="68" t="s">
        <v>2552</v>
      </c>
      <c r="J335" s="68" t="s">
        <v>3333</v>
      </c>
      <c r="K335" s="68" t="s">
        <v>2548</v>
      </c>
      <c r="L335" t="s">
        <v>1711</v>
      </c>
      <c r="M335" t="s">
        <v>3401</v>
      </c>
      <c r="N335" t="s">
        <v>1628</v>
      </c>
      <c r="O335" t="s">
        <v>1950</v>
      </c>
      <c r="R335" t="s">
        <v>3750</v>
      </c>
    </row>
    <row r="336" spans="1:18" x14ac:dyDescent="0.25">
      <c r="A336" t="s">
        <v>1153</v>
      </c>
      <c r="B336" t="s">
        <v>1603</v>
      </c>
      <c r="C336" t="s">
        <v>3776</v>
      </c>
      <c r="D336" t="s">
        <v>4523</v>
      </c>
      <c r="E336" t="s">
        <v>2681</v>
      </c>
      <c r="F336" t="s">
        <v>2584</v>
      </c>
      <c r="G336" t="s">
        <v>4524</v>
      </c>
      <c r="H336" s="74">
        <v>33591</v>
      </c>
      <c r="I336" s="68" t="s">
        <v>2562</v>
      </c>
      <c r="J336" s="68" t="s">
        <v>3333</v>
      </c>
      <c r="K336" s="68" t="s">
        <v>2587</v>
      </c>
      <c r="L336" t="s">
        <v>1662</v>
      </c>
      <c r="M336" t="s">
        <v>3786</v>
      </c>
      <c r="N336" t="s">
        <v>43</v>
      </c>
      <c r="O336" t="s">
        <v>1949</v>
      </c>
      <c r="R336" t="s">
        <v>4525</v>
      </c>
    </row>
    <row r="337" spans="1:18" x14ac:dyDescent="0.25">
      <c r="A337" t="s">
        <v>1137</v>
      </c>
      <c r="B337" t="s">
        <v>1596</v>
      </c>
      <c r="C337" t="s">
        <v>2836</v>
      </c>
      <c r="D337" t="s">
        <v>5154</v>
      </c>
      <c r="E337" t="s">
        <v>2679</v>
      </c>
      <c r="F337" t="s">
        <v>2584</v>
      </c>
      <c r="G337" t="s">
        <v>5155</v>
      </c>
      <c r="H337" s="74">
        <v>35187</v>
      </c>
      <c r="I337" s="68" t="s">
        <v>2552</v>
      </c>
      <c r="J337" s="68" t="s">
        <v>3333</v>
      </c>
      <c r="K337" s="68" t="s">
        <v>2555</v>
      </c>
      <c r="L337" t="s">
        <v>1663</v>
      </c>
      <c r="M337" t="s">
        <v>2859</v>
      </c>
      <c r="N337" t="s">
        <v>1648</v>
      </c>
      <c r="O337" t="s">
        <v>1949</v>
      </c>
      <c r="R337" t="s">
        <v>5156</v>
      </c>
    </row>
    <row r="338" spans="1:18" x14ac:dyDescent="0.25">
      <c r="A338" t="s">
        <v>1164</v>
      </c>
      <c r="B338" t="s">
        <v>1609</v>
      </c>
      <c r="C338" t="s">
        <v>3081</v>
      </c>
      <c r="D338" t="s">
        <v>5350</v>
      </c>
      <c r="E338" t="s">
        <v>2543</v>
      </c>
      <c r="F338" t="s">
        <v>2544</v>
      </c>
      <c r="G338" t="s">
        <v>5351</v>
      </c>
      <c r="H338" s="74">
        <v>35715</v>
      </c>
      <c r="I338" s="68" t="s">
        <v>2599</v>
      </c>
      <c r="J338" s="68" t="s">
        <v>3333</v>
      </c>
      <c r="K338" s="68" t="s">
        <v>2555</v>
      </c>
      <c r="L338" t="s">
        <v>1711</v>
      </c>
      <c r="M338" t="s">
        <v>3401</v>
      </c>
      <c r="N338" t="s">
        <v>1648</v>
      </c>
      <c r="O338" t="s">
        <v>1949</v>
      </c>
      <c r="R338" t="s">
        <v>5352</v>
      </c>
    </row>
    <row r="339" spans="1:18" x14ac:dyDescent="0.25">
      <c r="A339" t="s">
        <v>1172</v>
      </c>
      <c r="B339" t="s">
        <v>1615</v>
      </c>
      <c r="C339" t="s">
        <v>3206</v>
      </c>
      <c r="D339" t="s">
        <v>5472</v>
      </c>
      <c r="E339" t="s">
        <v>2608</v>
      </c>
      <c r="F339" t="s">
        <v>2584</v>
      </c>
      <c r="G339" t="s">
        <v>5473</v>
      </c>
      <c r="H339" s="74">
        <v>35511</v>
      </c>
      <c r="I339" s="68" t="s">
        <v>2599</v>
      </c>
      <c r="J339" s="68" t="s">
        <v>3333</v>
      </c>
      <c r="K339" s="68" t="s">
        <v>2651</v>
      </c>
      <c r="L339" t="s">
        <v>1683</v>
      </c>
      <c r="M339" t="s">
        <v>4258</v>
      </c>
      <c r="N339" t="s">
        <v>1648</v>
      </c>
      <c r="O339" t="s">
        <v>1949</v>
      </c>
      <c r="R339" t="s">
        <v>5474</v>
      </c>
    </row>
    <row r="340" spans="1:18" x14ac:dyDescent="0.25">
      <c r="A340" t="s">
        <v>1188</v>
      </c>
      <c r="B340" t="s">
        <v>1585</v>
      </c>
      <c r="C340" t="s">
        <v>3262</v>
      </c>
      <c r="D340" t="s">
        <v>3846</v>
      </c>
      <c r="E340" t="s">
        <v>2587</v>
      </c>
      <c r="F340" t="s">
        <v>2544</v>
      </c>
      <c r="G340" t="s">
        <v>3847</v>
      </c>
      <c r="H340" s="74">
        <v>34452</v>
      </c>
      <c r="I340" s="68" t="s">
        <v>2594</v>
      </c>
      <c r="J340" s="68" t="s">
        <v>3145</v>
      </c>
      <c r="K340" s="68" t="s">
        <v>2547</v>
      </c>
      <c r="L340" t="s">
        <v>1844</v>
      </c>
      <c r="M340" t="s">
        <v>3848</v>
      </c>
      <c r="N340" t="s">
        <v>1647</v>
      </c>
      <c r="O340" t="s">
        <v>1949</v>
      </c>
      <c r="R340" t="s">
        <v>3849</v>
      </c>
    </row>
    <row r="341" spans="1:18" x14ac:dyDescent="0.25">
      <c r="A341" t="s">
        <v>1231</v>
      </c>
      <c r="B341" t="s">
        <v>1607</v>
      </c>
      <c r="C341" t="s">
        <v>2963</v>
      </c>
      <c r="D341" t="s">
        <v>4098</v>
      </c>
      <c r="E341" t="s">
        <v>2627</v>
      </c>
      <c r="F341" t="s">
        <v>2584</v>
      </c>
      <c r="G341" t="s">
        <v>4099</v>
      </c>
      <c r="H341" s="74">
        <v>34599</v>
      </c>
      <c r="I341" s="68" t="s">
        <v>2594</v>
      </c>
      <c r="J341" s="68" t="s">
        <v>3145</v>
      </c>
      <c r="K341" s="68" t="s">
        <v>2547</v>
      </c>
      <c r="L341" t="s">
        <v>1659</v>
      </c>
      <c r="M341" t="s">
        <v>2972</v>
      </c>
      <c r="N341" t="s">
        <v>1648</v>
      </c>
      <c r="O341" t="s">
        <v>1949</v>
      </c>
      <c r="R341" t="s">
        <v>4100</v>
      </c>
    </row>
    <row r="342" spans="1:18" x14ac:dyDescent="0.25">
      <c r="A342" t="s">
        <v>1180</v>
      </c>
      <c r="B342" t="s">
        <v>1587</v>
      </c>
      <c r="C342" t="s">
        <v>3604</v>
      </c>
      <c r="D342" t="s">
        <v>4319</v>
      </c>
      <c r="E342" t="s">
        <v>2646</v>
      </c>
      <c r="F342" t="s">
        <v>2636</v>
      </c>
      <c r="G342" t="s">
        <v>4320</v>
      </c>
      <c r="H342" s="74">
        <v>35560</v>
      </c>
      <c r="I342" s="68" t="s">
        <v>2599</v>
      </c>
      <c r="J342" s="68" t="s">
        <v>3145</v>
      </c>
      <c r="K342" s="68" t="s">
        <v>2679</v>
      </c>
      <c r="L342" t="s">
        <v>1666</v>
      </c>
      <c r="M342" t="s">
        <v>3434</v>
      </c>
      <c r="N342" t="s">
        <v>43</v>
      </c>
      <c r="O342" t="s">
        <v>1949</v>
      </c>
      <c r="R342" t="s">
        <v>4321</v>
      </c>
    </row>
    <row r="343" spans="1:18" x14ac:dyDescent="0.25">
      <c r="A343" t="s">
        <v>1153</v>
      </c>
      <c r="B343" t="s">
        <v>1603</v>
      </c>
      <c r="C343" t="s">
        <v>3776</v>
      </c>
      <c r="D343" t="s">
        <v>4516</v>
      </c>
      <c r="E343" t="s">
        <v>2555</v>
      </c>
      <c r="F343" t="s">
        <v>2544</v>
      </c>
      <c r="G343" t="s">
        <v>4517</v>
      </c>
      <c r="H343" s="74">
        <v>36384</v>
      </c>
      <c r="I343" s="68" t="s">
        <v>2627</v>
      </c>
      <c r="J343" s="68" t="s">
        <v>3145</v>
      </c>
      <c r="K343" s="68" t="s">
        <v>2587</v>
      </c>
      <c r="L343" t="s">
        <v>1654</v>
      </c>
      <c r="M343" t="s">
        <v>2844</v>
      </c>
      <c r="N343" t="s">
        <v>43</v>
      </c>
      <c r="O343" t="s">
        <v>1949</v>
      </c>
      <c r="R343" t="s">
        <v>4518</v>
      </c>
    </row>
    <row r="344" spans="1:18" x14ac:dyDescent="0.25">
      <c r="A344" t="s">
        <v>1153</v>
      </c>
      <c r="B344" t="s">
        <v>1603</v>
      </c>
      <c r="C344" t="s">
        <v>3776</v>
      </c>
      <c r="D344" t="s">
        <v>4532</v>
      </c>
      <c r="E344" t="s">
        <v>2646</v>
      </c>
      <c r="F344" t="s">
        <v>2636</v>
      </c>
      <c r="G344" t="s">
        <v>4533</v>
      </c>
      <c r="H344" s="74">
        <v>33112</v>
      </c>
      <c r="I344" s="68" t="s">
        <v>2831</v>
      </c>
      <c r="J344" s="68" t="s">
        <v>3145</v>
      </c>
      <c r="K344" s="68" t="s">
        <v>2608</v>
      </c>
      <c r="L344" t="s">
        <v>1716</v>
      </c>
      <c r="M344" t="s">
        <v>3790</v>
      </c>
      <c r="N344" t="s">
        <v>43</v>
      </c>
      <c r="O344" t="s">
        <v>1949</v>
      </c>
      <c r="R344" t="s">
        <v>4534</v>
      </c>
    </row>
    <row r="345" spans="1:18" x14ac:dyDescent="0.25">
      <c r="A345" t="s">
        <v>1211</v>
      </c>
      <c r="B345" t="s">
        <v>1599</v>
      </c>
      <c r="C345" t="s">
        <v>3330</v>
      </c>
      <c r="D345" t="s">
        <v>4658</v>
      </c>
      <c r="E345" t="s">
        <v>2601</v>
      </c>
      <c r="F345" t="s">
        <v>2584</v>
      </c>
      <c r="G345" t="s">
        <v>4659</v>
      </c>
      <c r="H345" s="74">
        <v>34037</v>
      </c>
      <c r="I345" s="68" t="s">
        <v>2633</v>
      </c>
      <c r="J345" s="68" t="s">
        <v>3145</v>
      </c>
      <c r="K345" s="68" t="s">
        <v>2646</v>
      </c>
      <c r="L345" t="s">
        <v>1917</v>
      </c>
      <c r="M345" t="s">
        <v>4660</v>
      </c>
      <c r="N345" t="s">
        <v>1647</v>
      </c>
      <c r="O345" t="s">
        <v>1949</v>
      </c>
      <c r="R345" t="s">
        <v>4661</v>
      </c>
    </row>
    <row r="346" spans="1:18" x14ac:dyDescent="0.25">
      <c r="A346" t="s">
        <v>1291</v>
      </c>
      <c r="B346" t="s">
        <v>1589</v>
      </c>
      <c r="C346" t="s">
        <v>2590</v>
      </c>
      <c r="D346" t="s">
        <v>4983</v>
      </c>
      <c r="E346" t="s">
        <v>2601</v>
      </c>
      <c r="F346" t="s">
        <v>2584</v>
      </c>
      <c r="G346" t="s">
        <v>4984</v>
      </c>
      <c r="H346" s="74">
        <v>34670</v>
      </c>
      <c r="I346" s="68" t="s">
        <v>2653</v>
      </c>
      <c r="J346" s="68" t="s">
        <v>3145</v>
      </c>
      <c r="K346" s="68" t="s">
        <v>2587</v>
      </c>
      <c r="L346" t="s">
        <v>1748</v>
      </c>
      <c r="M346" t="s">
        <v>3898</v>
      </c>
      <c r="N346" t="s">
        <v>1648</v>
      </c>
      <c r="O346" t="s">
        <v>1949</v>
      </c>
      <c r="R346" t="s">
        <v>4985</v>
      </c>
    </row>
    <row r="347" spans="1:18" x14ac:dyDescent="0.25">
      <c r="A347" t="s">
        <v>1172</v>
      </c>
      <c r="B347" t="s">
        <v>1615</v>
      </c>
      <c r="C347" t="s">
        <v>3206</v>
      </c>
      <c r="D347" t="s">
        <v>5465</v>
      </c>
      <c r="E347" t="s">
        <v>2670</v>
      </c>
      <c r="F347" t="s">
        <v>2636</v>
      </c>
      <c r="G347" t="s">
        <v>5466</v>
      </c>
      <c r="H347" s="74">
        <v>35744</v>
      </c>
      <c r="I347" s="68" t="s">
        <v>2599</v>
      </c>
      <c r="J347" s="68" t="s">
        <v>3145</v>
      </c>
      <c r="K347" s="68" t="s">
        <v>2651</v>
      </c>
      <c r="L347" t="s">
        <v>1683</v>
      </c>
      <c r="M347" t="s">
        <v>4258</v>
      </c>
      <c r="N347" t="s">
        <v>1648</v>
      </c>
      <c r="O347" t="s">
        <v>1949</v>
      </c>
      <c r="R347" t="s">
        <v>5467</v>
      </c>
    </row>
    <row r="348" spans="1:18" x14ac:dyDescent="0.25">
      <c r="A348" t="s">
        <v>1231</v>
      </c>
      <c r="B348" t="s">
        <v>1607</v>
      </c>
      <c r="C348" t="s">
        <v>2963</v>
      </c>
      <c r="D348" t="s">
        <v>2997</v>
      </c>
      <c r="E348" t="s">
        <v>2651</v>
      </c>
      <c r="F348" t="s">
        <v>2544</v>
      </c>
      <c r="G348" t="s">
        <v>2998</v>
      </c>
      <c r="H348" s="74">
        <v>32833</v>
      </c>
      <c r="I348" s="68" t="s">
        <v>2831</v>
      </c>
      <c r="J348" s="68" t="s">
        <v>2999</v>
      </c>
      <c r="K348" s="68" t="s">
        <v>2548</v>
      </c>
      <c r="L348" t="s">
        <v>1659</v>
      </c>
      <c r="M348" t="s">
        <v>2972</v>
      </c>
      <c r="N348" t="s">
        <v>1648</v>
      </c>
      <c r="O348" t="s">
        <v>1949</v>
      </c>
      <c r="R348" t="s">
        <v>3000</v>
      </c>
    </row>
    <row r="349" spans="1:18" x14ac:dyDescent="0.25">
      <c r="A349" t="s">
        <v>1239</v>
      </c>
      <c r="B349" t="s">
        <v>1612</v>
      </c>
      <c r="C349" t="s">
        <v>3123</v>
      </c>
      <c r="D349" t="s">
        <v>3148</v>
      </c>
      <c r="E349" t="s">
        <v>2587</v>
      </c>
      <c r="F349" t="s">
        <v>2544</v>
      </c>
      <c r="G349" t="s">
        <v>3149</v>
      </c>
      <c r="H349" s="74">
        <v>32941</v>
      </c>
      <c r="I349" s="68" t="s">
        <v>2831</v>
      </c>
      <c r="J349" s="68" t="s">
        <v>2999</v>
      </c>
      <c r="K349" s="68" t="s">
        <v>2548</v>
      </c>
      <c r="L349" t="s">
        <v>1783</v>
      </c>
      <c r="M349" t="s">
        <v>3150</v>
      </c>
      <c r="N349" t="s">
        <v>1648</v>
      </c>
      <c r="O349" t="s">
        <v>1949</v>
      </c>
      <c r="R349" t="s">
        <v>3151</v>
      </c>
    </row>
    <row r="350" spans="1:18" x14ac:dyDescent="0.25">
      <c r="A350" t="s">
        <v>1172</v>
      </c>
      <c r="B350" t="s">
        <v>1615</v>
      </c>
      <c r="C350" t="s">
        <v>3206</v>
      </c>
      <c r="D350" t="s">
        <v>3211</v>
      </c>
      <c r="E350" t="s">
        <v>2610</v>
      </c>
      <c r="F350" t="s">
        <v>2544</v>
      </c>
      <c r="G350" t="s">
        <v>3212</v>
      </c>
      <c r="H350" s="74">
        <v>36783</v>
      </c>
      <c r="I350" s="68" t="s">
        <v>2579</v>
      </c>
      <c r="J350" s="68" t="s">
        <v>2999</v>
      </c>
      <c r="K350" s="68" t="s">
        <v>2548</v>
      </c>
      <c r="L350" t="s">
        <v>1803</v>
      </c>
      <c r="M350" t="s">
        <v>3213</v>
      </c>
      <c r="N350" t="s">
        <v>1648</v>
      </c>
      <c r="O350" t="s">
        <v>1949</v>
      </c>
      <c r="R350" t="s">
        <v>3214</v>
      </c>
    </row>
    <row r="351" spans="1:18" x14ac:dyDescent="0.25">
      <c r="A351" t="s">
        <v>1131</v>
      </c>
      <c r="B351" t="s">
        <v>1594</v>
      </c>
      <c r="C351" t="s">
        <v>3663</v>
      </c>
      <c r="D351" t="s">
        <v>3977</v>
      </c>
      <c r="E351" t="s">
        <v>2566</v>
      </c>
      <c r="F351" t="s">
        <v>2544</v>
      </c>
      <c r="G351" t="s">
        <v>3978</v>
      </c>
      <c r="H351" s="74">
        <v>33135</v>
      </c>
      <c r="I351" s="68" t="s">
        <v>2831</v>
      </c>
      <c r="J351" s="68" t="s">
        <v>2999</v>
      </c>
      <c r="K351" s="68" t="s">
        <v>2547</v>
      </c>
      <c r="L351" t="s">
        <v>1697</v>
      </c>
      <c r="M351" t="s">
        <v>3685</v>
      </c>
      <c r="N351" t="s">
        <v>43</v>
      </c>
      <c r="O351" t="s">
        <v>1949</v>
      </c>
      <c r="R351" t="s">
        <v>3979</v>
      </c>
    </row>
    <row r="352" spans="1:18" x14ac:dyDescent="0.25">
      <c r="A352" t="s">
        <v>1180</v>
      </c>
      <c r="B352" t="s">
        <v>1587</v>
      </c>
      <c r="C352" t="s">
        <v>3604</v>
      </c>
      <c r="D352" t="s">
        <v>4304</v>
      </c>
      <c r="E352" t="s">
        <v>2592</v>
      </c>
      <c r="F352" t="s">
        <v>2544</v>
      </c>
      <c r="G352" t="s">
        <v>4305</v>
      </c>
      <c r="H352" s="74">
        <v>33264</v>
      </c>
      <c r="I352" s="68" t="s">
        <v>2970</v>
      </c>
      <c r="J352" s="68" t="s">
        <v>2999</v>
      </c>
      <c r="K352" s="68" t="s">
        <v>2587</v>
      </c>
      <c r="L352" t="s">
        <v>1664</v>
      </c>
      <c r="M352" t="s">
        <v>3397</v>
      </c>
      <c r="N352" t="s">
        <v>43</v>
      </c>
      <c r="O352" t="s">
        <v>1949</v>
      </c>
      <c r="R352" t="s">
        <v>4306</v>
      </c>
    </row>
    <row r="353" spans="1:18" x14ac:dyDescent="0.25">
      <c r="A353" t="s">
        <v>1153</v>
      </c>
      <c r="B353" t="s">
        <v>1603</v>
      </c>
      <c r="C353" t="s">
        <v>3776</v>
      </c>
      <c r="D353" t="s">
        <v>4504</v>
      </c>
      <c r="E353" t="s">
        <v>2579</v>
      </c>
      <c r="F353" t="s">
        <v>2544</v>
      </c>
      <c r="G353" t="s">
        <v>4505</v>
      </c>
      <c r="H353" s="74">
        <v>35173</v>
      </c>
      <c r="I353" s="68" t="s">
        <v>2552</v>
      </c>
      <c r="J353" s="68" t="s">
        <v>2999</v>
      </c>
      <c r="K353" s="68" t="s">
        <v>2651</v>
      </c>
      <c r="L353" t="s">
        <v>1685</v>
      </c>
      <c r="M353" t="s">
        <v>2704</v>
      </c>
      <c r="N353" t="s">
        <v>43</v>
      </c>
      <c r="O353" t="s">
        <v>1949</v>
      </c>
      <c r="R353" t="s">
        <v>4506</v>
      </c>
    </row>
    <row r="354" spans="1:18" x14ac:dyDescent="0.25">
      <c r="A354" t="s">
        <v>1158</v>
      </c>
      <c r="B354" t="s">
        <v>1605</v>
      </c>
      <c r="C354" t="s">
        <v>3809</v>
      </c>
      <c r="D354" t="s">
        <v>4582</v>
      </c>
      <c r="E354" t="s">
        <v>2670</v>
      </c>
      <c r="F354" t="s">
        <v>2544</v>
      </c>
      <c r="G354" t="s">
        <v>4583</v>
      </c>
      <c r="H354" s="74">
        <v>34481</v>
      </c>
      <c r="I354" s="68" t="s">
        <v>2594</v>
      </c>
      <c r="J354" s="68" t="s">
        <v>2999</v>
      </c>
      <c r="K354" s="68" t="s">
        <v>2657</v>
      </c>
      <c r="L354" t="s">
        <v>1655</v>
      </c>
      <c r="M354" t="s">
        <v>3607</v>
      </c>
      <c r="N354" t="s">
        <v>43</v>
      </c>
      <c r="O354" t="s">
        <v>1949</v>
      </c>
      <c r="R354" t="s">
        <v>4584</v>
      </c>
    </row>
    <row r="355" spans="1:18" x14ac:dyDescent="0.25">
      <c r="A355" t="s">
        <v>1211</v>
      </c>
      <c r="B355" t="s">
        <v>1599</v>
      </c>
      <c r="C355" t="s">
        <v>3330</v>
      </c>
      <c r="D355" t="s">
        <v>4691</v>
      </c>
      <c r="E355" t="s">
        <v>2583</v>
      </c>
      <c r="F355" t="s">
        <v>2636</v>
      </c>
      <c r="G355" t="s">
        <v>4692</v>
      </c>
      <c r="H355" s="74">
        <v>34648</v>
      </c>
      <c r="I355" s="68" t="s">
        <v>2594</v>
      </c>
      <c r="J355" s="68" t="s">
        <v>2999</v>
      </c>
      <c r="K355" s="68" t="s">
        <v>2657</v>
      </c>
      <c r="L355" t="s">
        <v>1945</v>
      </c>
      <c r="M355" t="s">
        <v>4693</v>
      </c>
      <c r="N355" t="s">
        <v>1647</v>
      </c>
      <c r="O355" t="s">
        <v>1949</v>
      </c>
      <c r="R355" t="s">
        <v>4694</v>
      </c>
    </row>
    <row r="356" spans="1:18" x14ac:dyDescent="0.25">
      <c r="A356" t="s">
        <v>1212</v>
      </c>
      <c r="B356" t="s">
        <v>1600</v>
      </c>
      <c r="C356" t="s">
        <v>3357</v>
      </c>
      <c r="D356" t="s">
        <v>4732</v>
      </c>
      <c r="E356" t="s">
        <v>2592</v>
      </c>
      <c r="F356" t="s">
        <v>2584</v>
      </c>
      <c r="G356" t="s">
        <v>4733</v>
      </c>
      <c r="H356" s="74">
        <v>35328</v>
      </c>
      <c r="I356" s="68" t="s">
        <v>2552</v>
      </c>
      <c r="J356" s="68" t="s">
        <v>2999</v>
      </c>
      <c r="K356" s="68" t="s">
        <v>2543</v>
      </c>
      <c r="L356" t="s">
        <v>1714</v>
      </c>
      <c r="M356" t="s">
        <v>3905</v>
      </c>
      <c r="N356" t="s">
        <v>1647</v>
      </c>
      <c r="O356" t="s">
        <v>1949</v>
      </c>
      <c r="R356" t="s">
        <v>4734</v>
      </c>
    </row>
    <row r="357" spans="1:18" x14ac:dyDescent="0.25">
      <c r="A357" t="s">
        <v>10</v>
      </c>
      <c r="B357" t="s">
        <v>1614</v>
      </c>
      <c r="C357" t="s">
        <v>3526</v>
      </c>
      <c r="D357" t="s">
        <v>4867</v>
      </c>
      <c r="E357" t="s">
        <v>2608</v>
      </c>
      <c r="F357" t="s">
        <v>2584</v>
      </c>
      <c r="G357" t="s">
        <v>4868</v>
      </c>
      <c r="H357" s="74">
        <v>36035</v>
      </c>
      <c r="I357" s="68" t="s">
        <v>2546</v>
      </c>
      <c r="J357" s="68" t="s">
        <v>2999</v>
      </c>
      <c r="K357" s="68" t="s">
        <v>2646</v>
      </c>
      <c r="L357" t="s">
        <v>1664</v>
      </c>
      <c r="M357" t="s">
        <v>3397</v>
      </c>
      <c r="N357" t="s">
        <v>1647</v>
      </c>
      <c r="O357" t="s">
        <v>1949</v>
      </c>
      <c r="R357" t="s">
        <v>4869</v>
      </c>
    </row>
    <row r="358" spans="1:18" x14ac:dyDescent="0.25">
      <c r="A358" t="s">
        <v>1130</v>
      </c>
      <c r="B358" t="s">
        <v>1592</v>
      </c>
      <c r="C358" t="s">
        <v>2761</v>
      </c>
      <c r="D358" t="s">
        <v>5078</v>
      </c>
      <c r="E358" t="s">
        <v>2566</v>
      </c>
      <c r="F358" t="s">
        <v>2636</v>
      </c>
      <c r="G358" t="s">
        <v>5079</v>
      </c>
      <c r="H358" s="74">
        <v>35709</v>
      </c>
      <c r="I358" s="68" t="s">
        <v>2599</v>
      </c>
      <c r="J358" s="68" t="s">
        <v>2999</v>
      </c>
      <c r="K358" s="68" t="s">
        <v>2681</v>
      </c>
      <c r="L358" t="s">
        <v>1668</v>
      </c>
      <c r="M358" t="s">
        <v>3084</v>
      </c>
      <c r="N358" t="s">
        <v>1648</v>
      </c>
      <c r="O358" t="s">
        <v>1949</v>
      </c>
      <c r="R358" t="s">
        <v>5080</v>
      </c>
    </row>
    <row r="359" spans="1:18" x14ac:dyDescent="0.25">
      <c r="A359" t="s">
        <v>1164</v>
      </c>
      <c r="B359" t="s">
        <v>1609</v>
      </c>
      <c r="C359" t="s">
        <v>3081</v>
      </c>
      <c r="D359" t="s">
        <v>5374</v>
      </c>
      <c r="E359" t="s">
        <v>2586</v>
      </c>
      <c r="F359" t="s">
        <v>2636</v>
      </c>
      <c r="G359" t="s">
        <v>5375</v>
      </c>
      <c r="H359" s="74">
        <v>33633</v>
      </c>
      <c r="I359" s="68" t="s">
        <v>2562</v>
      </c>
      <c r="J359" s="68" t="s">
        <v>2999</v>
      </c>
      <c r="K359" s="68" t="s">
        <v>2651</v>
      </c>
      <c r="L359" t="s">
        <v>1745</v>
      </c>
      <c r="M359" t="s">
        <v>3405</v>
      </c>
      <c r="N359" t="s">
        <v>1648</v>
      </c>
      <c r="O359" t="s">
        <v>1949</v>
      </c>
      <c r="R359" t="s">
        <v>5376</v>
      </c>
    </row>
    <row r="360" spans="1:18" x14ac:dyDescent="0.25">
      <c r="A360" t="s">
        <v>1292</v>
      </c>
      <c r="B360" t="s">
        <v>1601</v>
      </c>
      <c r="C360" t="s">
        <v>3005</v>
      </c>
      <c r="D360" t="s">
        <v>3018</v>
      </c>
      <c r="E360" t="s">
        <v>2608</v>
      </c>
      <c r="F360" t="s">
        <v>2584</v>
      </c>
      <c r="G360" t="s">
        <v>3019</v>
      </c>
      <c r="H360" s="74">
        <v>35433</v>
      </c>
      <c r="I360" s="68" t="s">
        <v>2599</v>
      </c>
      <c r="J360" s="68" t="s">
        <v>2781</v>
      </c>
      <c r="K360" s="68" t="s">
        <v>2548</v>
      </c>
      <c r="L360" t="s">
        <v>1729</v>
      </c>
      <c r="M360" t="s">
        <v>3020</v>
      </c>
      <c r="N360" t="s">
        <v>1648</v>
      </c>
      <c r="O360" t="s">
        <v>1949</v>
      </c>
      <c r="R360" t="s">
        <v>3021</v>
      </c>
    </row>
    <row r="361" spans="1:18" x14ac:dyDescent="0.25">
      <c r="A361" t="s">
        <v>1183</v>
      </c>
      <c r="B361" t="s">
        <v>1593</v>
      </c>
      <c r="C361" t="s">
        <v>2789</v>
      </c>
      <c r="D361" t="s">
        <v>5118</v>
      </c>
      <c r="E361" t="s">
        <v>2681</v>
      </c>
      <c r="F361" t="s">
        <v>2636</v>
      </c>
      <c r="G361" t="s">
        <v>5119</v>
      </c>
      <c r="H361" s="74">
        <v>35162</v>
      </c>
      <c r="I361" s="68" t="s">
        <v>2552</v>
      </c>
      <c r="J361" s="68" t="s">
        <v>2781</v>
      </c>
      <c r="K361" s="68" t="s">
        <v>2608</v>
      </c>
      <c r="L361" t="s">
        <v>1729</v>
      </c>
      <c r="M361" t="s">
        <v>3020</v>
      </c>
      <c r="N361" t="s">
        <v>1648</v>
      </c>
      <c r="O361" t="s">
        <v>1949</v>
      </c>
      <c r="R361" t="s">
        <v>5120</v>
      </c>
    </row>
    <row r="362" spans="1:18" x14ac:dyDescent="0.25">
      <c r="A362" t="s">
        <v>1137</v>
      </c>
      <c r="B362" t="s">
        <v>1596</v>
      </c>
      <c r="C362" t="s">
        <v>2836</v>
      </c>
      <c r="D362" t="s">
        <v>5163</v>
      </c>
      <c r="E362" t="s">
        <v>2776</v>
      </c>
      <c r="F362" t="s">
        <v>2636</v>
      </c>
      <c r="G362" t="s">
        <v>5164</v>
      </c>
      <c r="H362" s="74">
        <v>34894</v>
      </c>
      <c r="I362" s="68" t="s">
        <v>2653</v>
      </c>
      <c r="J362" s="68" t="s">
        <v>2781</v>
      </c>
      <c r="K362" s="68" t="s">
        <v>2670</v>
      </c>
      <c r="L362" t="s">
        <v>1654</v>
      </c>
      <c r="M362" t="s">
        <v>2844</v>
      </c>
      <c r="N362" t="s">
        <v>1648</v>
      </c>
      <c r="O362" t="s">
        <v>1949</v>
      </c>
      <c r="R362" t="s">
        <v>5165</v>
      </c>
    </row>
    <row r="363" spans="1:18" x14ac:dyDescent="0.25">
      <c r="A363" t="s">
        <v>1201</v>
      </c>
      <c r="B363" t="s">
        <v>1598</v>
      </c>
      <c r="C363" t="s">
        <v>2932</v>
      </c>
      <c r="D363" t="s">
        <v>5197</v>
      </c>
      <c r="E363" t="s">
        <v>2614</v>
      </c>
      <c r="F363" t="s">
        <v>2584</v>
      </c>
      <c r="G363" t="s">
        <v>5198</v>
      </c>
      <c r="H363" s="74">
        <v>34587</v>
      </c>
      <c r="I363" s="68" t="s">
        <v>2594</v>
      </c>
      <c r="J363" s="68" t="s">
        <v>2781</v>
      </c>
      <c r="K363" s="68" t="s">
        <v>2657</v>
      </c>
      <c r="L363" t="s">
        <v>1715</v>
      </c>
      <c r="M363" t="s">
        <v>2957</v>
      </c>
      <c r="N363" t="s">
        <v>1648</v>
      </c>
      <c r="O363" t="s">
        <v>1949</v>
      </c>
      <c r="R363" t="s">
        <v>5199</v>
      </c>
    </row>
    <row r="364" spans="1:18" x14ac:dyDescent="0.25">
      <c r="A364" t="s">
        <v>1292</v>
      </c>
      <c r="B364" t="s">
        <v>1601</v>
      </c>
      <c r="C364" t="s">
        <v>3005</v>
      </c>
      <c r="D364" t="s">
        <v>5282</v>
      </c>
      <c r="E364" t="s">
        <v>2586</v>
      </c>
      <c r="F364" t="s">
        <v>2636</v>
      </c>
      <c r="G364" t="s">
        <v>5283</v>
      </c>
      <c r="H364" s="74">
        <v>35663</v>
      </c>
      <c r="I364" s="68" t="s">
        <v>2599</v>
      </c>
      <c r="J364" s="68" t="s">
        <v>2781</v>
      </c>
      <c r="K364" s="68" t="s">
        <v>2646</v>
      </c>
      <c r="L364" t="s">
        <v>1729</v>
      </c>
      <c r="M364" t="s">
        <v>3020</v>
      </c>
      <c r="N364" t="s">
        <v>1648</v>
      </c>
      <c r="O364" t="s">
        <v>1949</v>
      </c>
      <c r="R364" t="s">
        <v>5284</v>
      </c>
    </row>
    <row r="365" spans="1:18" x14ac:dyDescent="0.25">
      <c r="A365" t="s">
        <v>1164</v>
      </c>
      <c r="B365" t="s">
        <v>1609</v>
      </c>
      <c r="C365" t="s">
        <v>3081</v>
      </c>
      <c r="D365" t="s">
        <v>5359</v>
      </c>
      <c r="E365" t="s">
        <v>2657</v>
      </c>
      <c r="F365" t="s">
        <v>2636</v>
      </c>
      <c r="G365" t="s">
        <v>5360</v>
      </c>
      <c r="H365" s="74">
        <v>35110</v>
      </c>
      <c r="I365" s="68" t="s">
        <v>2552</v>
      </c>
      <c r="J365" s="68" t="s">
        <v>2781</v>
      </c>
      <c r="K365" s="68" t="s">
        <v>2651</v>
      </c>
      <c r="L365" t="s">
        <v>1701</v>
      </c>
      <c r="M365" t="s">
        <v>3110</v>
      </c>
      <c r="N365" t="s">
        <v>1648</v>
      </c>
      <c r="O365" t="s">
        <v>1949</v>
      </c>
      <c r="R365" t="s">
        <v>5361</v>
      </c>
    </row>
    <row r="366" spans="1:18" x14ac:dyDescent="0.25">
      <c r="A366" t="s">
        <v>1164</v>
      </c>
      <c r="B366" t="s">
        <v>1609</v>
      </c>
      <c r="C366" t="s">
        <v>3081</v>
      </c>
      <c r="D366" t="s">
        <v>5377</v>
      </c>
      <c r="E366" t="s">
        <v>2670</v>
      </c>
      <c r="F366" t="s">
        <v>2584</v>
      </c>
      <c r="G366" t="s">
        <v>5378</v>
      </c>
      <c r="H366" s="74">
        <v>34757</v>
      </c>
      <c r="I366" s="68" t="s">
        <v>2653</v>
      </c>
      <c r="J366" s="68" t="s">
        <v>2781</v>
      </c>
      <c r="K366" s="68" t="s">
        <v>2592</v>
      </c>
      <c r="L366" t="s">
        <v>1784</v>
      </c>
      <c r="M366" t="s">
        <v>5379</v>
      </c>
      <c r="N366" t="s">
        <v>1648</v>
      </c>
      <c r="O366" t="s">
        <v>1949</v>
      </c>
      <c r="R366" t="s">
        <v>5380</v>
      </c>
    </row>
    <row r="367" spans="1:18" x14ac:dyDescent="0.25">
      <c r="A367" t="s">
        <v>1239</v>
      </c>
      <c r="B367" t="s">
        <v>1612</v>
      </c>
      <c r="C367" t="s">
        <v>3123</v>
      </c>
      <c r="D367" t="s">
        <v>5406</v>
      </c>
      <c r="E367" t="s">
        <v>2592</v>
      </c>
      <c r="F367" t="s">
        <v>2544</v>
      </c>
      <c r="G367" t="s">
        <v>5407</v>
      </c>
      <c r="H367" s="74">
        <v>34869</v>
      </c>
      <c r="I367" s="68" t="s">
        <v>2653</v>
      </c>
      <c r="J367" s="68" t="s">
        <v>2781</v>
      </c>
      <c r="K367" s="68" t="s">
        <v>2587</v>
      </c>
      <c r="L367" t="s">
        <v>1744</v>
      </c>
      <c r="M367" t="s">
        <v>4790</v>
      </c>
      <c r="N367" t="s">
        <v>1648</v>
      </c>
      <c r="O367" t="s">
        <v>1949</v>
      </c>
      <c r="R367" t="s">
        <v>5408</v>
      </c>
    </row>
    <row r="368" spans="1:18" x14ac:dyDescent="0.25">
      <c r="A368" t="s">
        <v>1124</v>
      </c>
      <c r="B368" t="s">
        <v>1586</v>
      </c>
      <c r="C368" t="s">
        <v>2541</v>
      </c>
      <c r="D368" t="s">
        <v>2565</v>
      </c>
      <c r="E368" t="s">
        <v>2566</v>
      </c>
      <c r="F368" t="s">
        <v>2560</v>
      </c>
      <c r="G368" t="s">
        <v>2567</v>
      </c>
      <c r="H368" s="74">
        <v>32208</v>
      </c>
      <c r="I368" s="68" t="s">
        <v>2568</v>
      </c>
      <c r="J368" s="68" t="s">
        <v>2569</v>
      </c>
      <c r="K368" s="68" t="s">
        <v>2548</v>
      </c>
      <c r="L368" t="s">
        <v>1670</v>
      </c>
      <c r="M368" t="s">
        <v>2570</v>
      </c>
      <c r="N368" t="s">
        <v>1648</v>
      </c>
      <c r="O368" t="s">
        <v>1949</v>
      </c>
      <c r="R368" t="s">
        <v>2571</v>
      </c>
    </row>
    <row r="369" spans="1:18" x14ac:dyDescent="0.25">
      <c r="A369" t="s">
        <v>1164</v>
      </c>
      <c r="B369" t="s">
        <v>1609</v>
      </c>
      <c r="C369" t="s">
        <v>3081</v>
      </c>
      <c r="D369" t="s">
        <v>3086</v>
      </c>
      <c r="E369" t="s">
        <v>2559</v>
      </c>
      <c r="F369" t="s">
        <v>2544</v>
      </c>
      <c r="G369" t="s">
        <v>3087</v>
      </c>
      <c r="H369" s="74">
        <v>33015</v>
      </c>
      <c r="I369" s="68" t="s">
        <v>2831</v>
      </c>
      <c r="J369" s="68" t="s">
        <v>2569</v>
      </c>
      <c r="K369" s="68" t="s">
        <v>2548</v>
      </c>
      <c r="L369" t="s">
        <v>1779</v>
      </c>
      <c r="M369" t="s">
        <v>3088</v>
      </c>
      <c r="N369" t="s">
        <v>1648</v>
      </c>
      <c r="O369" t="s">
        <v>1949</v>
      </c>
      <c r="R369" t="s">
        <v>3089</v>
      </c>
    </row>
    <row r="370" spans="1:18" x14ac:dyDescent="0.25">
      <c r="A370" t="s">
        <v>1167</v>
      </c>
      <c r="B370" t="s">
        <v>1610</v>
      </c>
      <c r="C370" t="s">
        <v>3301</v>
      </c>
      <c r="D370" t="s">
        <v>3986</v>
      </c>
      <c r="E370" t="s">
        <v>2614</v>
      </c>
      <c r="F370" t="s">
        <v>2584</v>
      </c>
      <c r="G370" t="s">
        <v>3987</v>
      </c>
      <c r="H370" s="74">
        <v>35238</v>
      </c>
      <c r="I370" s="68" t="s">
        <v>2552</v>
      </c>
      <c r="J370" s="68" t="s">
        <v>2569</v>
      </c>
      <c r="K370" s="68" t="s">
        <v>2547</v>
      </c>
      <c r="L370" t="s">
        <v>1655</v>
      </c>
      <c r="M370" t="s">
        <v>3607</v>
      </c>
      <c r="N370" t="s">
        <v>1647</v>
      </c>
      <c r="O370" t="s">
        <v>1949</v>
      </c>
      <c r="R370" t="s">
        <v>3988</v>
      </c>
    </row>
    <row r="371" spans="1:18" x14ac:dyDescent="0.25">
      <c r="A371" t="s">
        <v>1180</v>
      </c>
      <c r="B371" t="s">
        <v>1587</v>
      </c>
      <c r="C371" t="s">
        <v>3604</v>
      </c>
      <c r="D371" t="s">
        <v>4310</v>
      </c>
      <c r="E371" t="s">
        <v>2657</v>
      </c>
      <c r="F371" t="s">
        <v>2584</v>
      </c>
      <c r="G371" t="s">
        <v>4311</v>
      </c>
      <c r="H371" s="74">
        <v>35669</v>
      </c>
      <c r="I371" s="68" t="s">
        <v>2599</v>
      </c>
      <c r="J371" s="68" t="s">
        <v>2569</v>
      </c>
      <c r="K371" s="68" t="s">
        <v>2657</v>
      </c>
      <c r="L371" t="s">
        <v>1703</v>
      </c>
      <c r="M371" t="s">
        <v>2855</v>
      </c>
      <c r="N371" t="s">
        <v>43</v>
      </c>
      <c r="O371" t="s">
        <v>1949</v>
      </c>
      <c r="R371" t="s">
        <v>4312</v>
      </c>
    </row>
    <row r="372" spans="1:18" x14ac:dyDescent="0.25">
      <c r="A372" t="s">
        <v>1153</v>
      </c>
      <c r="B372" t="s">
        <v>1603</v>
      </c>
      <c r="C372" t="s">
        <v>3776</v>
      </c>
      <c r="D372" t="s">
        <v>4501</v>
      </c>
      <c r="E372" t="s">
        <v>2601</v>
      </c>
      <c r="F372" t="s">
        <v>2584</v>
      </c>
      <c r="G372" t="s">
        <v>4502</v>
      </c>
      <c r="H372" s="74">
        <v>34021</v>
      </c>
      <c r="I372" s="68" t="s">
        <v>2633</v>
      </c>
      <c r="J372" s="68" t="s">
        <v>2569</v>
      </c>
      <c r="K372" s="68" t="s">
        <v>2646</v>
      </c>
      <c r="L372" t="s">
        <v>1662</v>
      </c>
      <c r="M372" t="s">
        <v>3786</v>
      </c>
      <c r="N372" t="s">
        <v>43</v>
      </c>
      <c r="O372" t="s">
        <v>1949</v>
      </c>
      <c r="R372" t="s">
        <v>4503</v>
      </c>
    </row>
    <row r="373" spans="1:18" x14ac:dyDescent="0.25">
      <c r="A373" t="s">
        <v>1291</v>
      </c>
      <c r="B373" t="s">
        <v>1589</v>
      </c>
      <c r="C373" t="s">
        <v>2590</v>
      </c>
      <c r="D373" t="s">
        <v>4970</v>
      </c>
      <c r="E373" t="s">
        <v>2651</v>
      </c>
      <c r="F373" t="s">
        <v>2544</v>
      </c>
      <c r="G373" t="s">
        <v>4971</v>
      </c>
      <c r="H373" s="74">
        <v>31788</v>
      </c>
      <c r="I373" s="68" t="s">
        <v>2569</v>
      </c>
      <c r="J373" s="68" t="s">
        <v>2569</v>
      </c>
      <c r="K373" s="68" t="s">
        <v>2543</v>
      </c>
      <c r="L373" t="s">
        <v>1841</v>
      </c>
      <c r="M373" t="s">
        <v>4972</v>
      </c>
      <c r="N373" t="s">
        <v>1648</v>
      </c>
      <c r="O373" t="s">
        <v>1949</v>
      </c>
      <c r="R373" t="s">
        <v>4973</v>
      </c>
    </row>
    <row r="374" spans="1:18" x14ac:dyDescent="0.25">
      <c r="A374" t="s">
        <v>1291</v>
      </c>
      <c r="B374" t="s">
        <v>1589</v>
      </c>
      <c r="C374" t="s">
        <v>2590</v>
      </c>
      <c r="D374" t="s">
        <v>4986</v>
      </c>
      <c r="E374" t="s">
        <v>2670</v>
      </c>
      <c r="F374" t="s">
        <v>2636</v>
      </c>
      <c r="G374" t="s">
        <v>4987</v>
      </c>
      <c r="H374" s="74">
        <v>36539</v>
      </c>
      <c r="I374" s="68" t="s">
        <v>2579</v>
      </c>
      <c r="J374" s="68" t="s">
        <v>2569</v>
      </c>
      <c r="K374" s="68" t="s">
        <v>2579</v>
      </c>
      <c r="L374" t="s">
        <v>1786</v>
      </c>
      <c r="M374" t="s">
        <v>4876</v>
      </c>
      <c r="N374" t="s">
        <v>1648</v>
      </c>
      <c r="O374" t="s">
        <v>1949</v>
      </c>
      <c r="R374" t="s">
        <v>4988</v>
      </c>
    </row>
    <row r="375" spans="1:18" x14ac:dyDescent="0.25">
      <c r="A375" t="s">
        <v>1201</v>
      </c>
      <c r="B375" t="s">
        <v>1598</v>
      </c>
      <c r="C375" t="s">
        <v>2932</v>
      </c>
      <c r="D375" t="s">
        <v>5204</v>
      </c>
      <c r="E375" t="s">
        <v>2559</v>
      </c>
      <c r="F375" t="s">
        <v>2544</v>
      </c>
      <c r="G375" t="s">
        <v>5205</v>
      </c>
      <c r="H375" s="74">
        <v>34416</v>
      </c>
      <c r="I375" s="68" t="s">
        <v>2594</v>
      </c>
      <c r="J375" s="68" t="s">
        <v>2569</v>
      </c>
      <c r="K375" s="68" t="s">
        <v>2587</v>
      </c>
      <c r="L375" t="s">
        <v>1757</v>
      </c>
      <c r="M375" t="s">
        <v>4059</v>
      </c>
      <c r="N375" t="s">
        <v>1648</v>
      </c>
      <c r="O375" t="s">
        <v>1949</v>
      </c>
      <c r="R375" t="s">
        <v>5206</v>
      </c>
    </row>
    <row r="376" spans="1:18" x14ac:dyDescent="0.25">
      <c r="A376" t="s">
        <v>1211</v>
      </c>
      <c r="B376" t="s">
        <v>1599</v>
      </c>
      <c r="C376" t="s">
        <v>3330</v>
      </c>
      <c r="D376" t="s">
        <v>3337</v>
      </c>
      <c r="E376" t="s">
        <v>2566</v>
      </c>
      <c r="F376" t="s">
        <v>2560</v>
      </c>
      <c r="G376" t="s">
        <v>3338</v>
      </c>
      <c r="H376" s="74">
        <v>32570</v>
      </c>
      <c r="I376" s="68" t="s">
        <v>2703</v>
      </c>
      <c r="J376" s="68" t="s">
        <v>2568</v>
      </c>
      <c r="K376" s="68" t="s">
        <v>2548</v>
      </c>
      <c r="L376" t="s">
        <v>1925</v>
      </c>
      <c r="M376" t="s">
        <v>3339</v>
      </c>
      <c r="N376" t="s">
        <v>1647</v>
      </c>
      <c r="O376" t="s">
        <v>1949</v>
      </c>
      <c r="R376" t="s">
        <v>3340</v>
      </c>
    </row>
    <row r="377" spans="1:18" x14ac:dyDescent="0.25">
      <c r="A377" t="s">
        <v>1127</v>
      </c>
      <c r="B377" t="s">
        <v>1591</v>
      </c>
      <c r="C377" t="s">
        <v>3633</v>
      </c>
      <c r="D377" t="s">
        <v>3654</v>
      </c>
      <c r="E377" t="s">
        <v>2547</v>
      </c>
      <c r="F377" t="s">
        <v>2560</v>
      </c>
      <c r="G377" t="s">
        <v>3655</v>
      </c>
      <c r="H377" s="74">
        <v>34708</v>
      </c>
      <c r="I377" s="68" t="s">
        <v>2653</v>
      </c>
      <c r="J377" s="68" t="s">
        <v>2568</v>
      </c>
      <c r="K377" s="68" t="s">
        <v>2548</v>
      </c>
      <c r="L377" t="s">
        <v>1691</v>
      </c>
      <c r="M377" t="s">
        <v>2961</v>
      </c>
      <c r="N377" t="s">
        <v>1627</v>
      </c>
      <c r="O377" t="s">
        <v>1950</v>
      </c>
      <c r="R377" t="s">
        <v>3656</v>
      </c>
    </row>
    <row r="378" spans="1:18" x14ac:dyDescent="0.25">
      <c r="A378" t="s">
        <v>1135</v>
      </c>
      <c r="B378" t="s">
        <v>1595</v>
      </c>
      <c r="C378" t="s">
        <v>3694</v>
      </c>
      <c r="D378" t="s">
        <v>3698</v>
      </c>
      <c r="E378" t="s">
        <v>2614</v>
      </c>
      <c r="F378" t="s">
        <v>2560</v>
      </c>
      <c r="G378" t="s">
        <v>3699</v>
      </c>
      <c r="H378" s="74">
        <v>31134</v>
      </c>
      <c r="I378" s="68" t="s">
        <v>2999</v>
      </c>
      <c r="J378" s="68" t="s">
        <v>2568</v>
      </c>
      <c r="K378" s="68" t="s">
        <v>2548</v>
      </c>
      <c r="L378" t="s">
        <v>1671</v>
      </c>
      <c r="M378" t="s">
        <v>2580</v>
      </c>
      <c r="N378" t="s">
        <v>1617</v>
      </c>
      <c r="O378" t="s">
        <v>1950</v>
      </c>
      <c r="R378" t="s">
        <v>3700</v>
      </c>
    </row>
    <row r="379" spans="1:18" x14ac:dyDescent="0.25">
      <c r="A379" t="s">
        <v>1291</v>
      </c>
      <c r="B379" t="s">
        <v>1589</v>
      </c>
      <c r="C379" t="s">
        <v>2590</v>
      </c>
      <c r="D379" t="s">
        <v>3889</v>
      </c>
      <c r="E379" t="s">
        <v>2555</v>
      </c>
      <c r="F379" t="s">
        <v>2544</v>
      </c>
      <c r="G379" t="s">
        <v>3890</v>
      </c>
      <c r="H379" s="74">
        <v>34715</v>
      </c>
      <c r="I379" s="68" t="s">
        <v>2653</v>
      </c>
      <c r="J379" s="68" t="s">
        <v>2568</v>
      </c>
      <c r="K379" s="68" t="s">
        <v>2547</v>
      </c>
      <c r="L379" t="s">
        <v>1868</v>
      </c>
      <c r="M379" t="s">
        <v>3891</v>
      </c>
      <c r="N379" t="s">
        <v>1648</v>
      </c>
      <c r="O379" t="s">
        <v>1949</v>
      </c>
      <c r="R379" t="s">
        <v>3892</v>
      </c>
    </row>
    <row r="380" spans="1:18" x14ac:dyDescent="0.25">
      <c r="A380" t="s">
        <v>1291</v>
      </c>
      <c r="B380" t="s">
        <v>1589</v>
      </c>
      <c r="C380" t="s">
        <v>2590</v>
      </c>
      <c r="D380" t="s">
        <v>3896</v>
      </c>
      <c r="E380" t="s">
        <v>2579</v>
      </c>
      <c r="F380" t="s">
        <v>2544</v>
      </c>
      <c r="G380" t="s">
        <v>3897</v>
      </c>
      <c r="H380" s="74">
        <v>34706</v>
      </c>
      <c r="I380" s="68" t="s">
        <v>2653</v>
      </c>
      <c r="J380" s="68" t="s">
        <v>2568</v>
      </c>
      <c r="K380" s="68" t="s">
        <v>2547</v>
      </c>
      <c r="L380" t="s">
        <v>1748</v>
      </c>
      <c r="M380" t="s">
        <v>3898</v>
      </c>
      <c r="N380" t="s">
        <v>1648</v>
      </c>
      <c r="O380" t="s">
        <v>1949</v>
      </c>
      <c r="R380" t="s">
        <v>3899</v>
      </c>
    </row>
    <row r="381" spans="1:18" x14ac:dyDescent="0.25">
      <c r="A381" t="s">
        <v>1292</v>
      </c>
      <c r="B381" t="s">
        <v>1601</v>
      </c>
      <c r="C381" t="s">
        <v>3005</v>
      </c>
      <c r="D381" t="s">
        <v>4139</v>
      </c>
      <c r="E381" t="s">
        <v>2601</v>
      </c>
      <c r="F381" t="s">
        <v>2584</v>
      </c>
      <c r="G381" t="s">
        <v>4140</v>
      </c>
      <c r="H381" s="74">
        <v>34865</v>
      </c>
      <c r="I381" s="68" t="s">
        <v>2653</v>
      </c>
      <c r="J381" s="68" t="s">
        <v>2568</v>
      </c>
      <c r="K381" s="68" t="s">
        <v>2547</v>
      </c>
      <c r="L381" t="s">
        <v>1716</v>
      </c>
      <c r="M381" t="s">
        <v>3790</v>
      </c>
      <c r="N381" t="s">
        <v>1648</v>
      </c>
      <c r="O381" t="s">
        <v>1949</v>
      </c>
      <c r="R381" t="s">
        <v>4141</v>
      </c>
    </row>
    <row r="382" spans="1:18" x14ac:dyDescent="0.25">
      <c r="A382" t="s">
        <v>1178</v>
      </c>
      <c r="B382" t="s">
        <v>1584</v>
      </c>
      <c r="C382" t="s">
        <v>3558</v>
      </c>
      <c r="D382" t="s">
        <v>4288</v>
      </c>
      <c r="E382" t="s">
        <v>2586</v>
      </c>
      <c r="F382" t="s">
        <v>2636</v>
      </c>
      <c r="G382" t="s">
        <v>4289</v>
      </c>
      <c r="H382" s="74">
        <v>34288</v>
      </c>
      <c r="I382" s="68" t="s">
        <v>2633</v>
      </c>
      <c r="J382" s="68" t="s">
        <v>2568</v>
      </c>
      <c r="K382" s="68" t="s">
        <v>2555</v>
      </c>
      <c r="L382" t="s">
        <v>1718</v>
      </c>
      <c r="M382" t="s">
        <v>3167</v>
      </c>
      <c r="N382" t="s">
        <v>1646</v>
      </c>
      <c r="O382" t="s">
        <v>1950</v>
      </c>
      <c r="R382" t="s">
        <v>4290</v>
      </c>
    </row>
    <row r="383" spans="1:18" x14ac:dyDescent="0.25">
      <c r="A383" t="s">
        <v>1131</v>
      </c>
      <c r="B383" t="s">
        <v>1594</v>
      </c>
      <c r="C383" t="s">
        <v>3663</v>
      </c>
      <c r="D383" t="s">
        <v>4414</v>
      </c>
      <c r="E383" t="s">
        <v>2543</v>
      </c>
      <c r="F383" t="s">
        <v>2584</v>
      </c>
      <c r="G383" t="s">
        <v>4415</v>
      </c>
      <c r="H383" s="74">
        <v>36174</v>
      </c>
      <c r="I383" s="68" t="s">
        <v>2627</v>
      </c>
      <c r="J383" s="68" t="s">
        <v>2568</v>
      </c>
      <c r="K383" s="68" t="s">
        <v>2587</v>
      </c>
      <c r="L383" t="s">
        <v>1703</v>
      </c>
      <c r="M383" t="s">
        <v>2855</v>
      </c>
      <c r="N383" t="s">
        <v>43</v>
      </c>
      <c r="O383" t="s">
        <v>1949</v>
      </c>
      <c r="R383" t="s">
        <v>4416</v>
      </c>
    </row>
    <row r="384" spans="1:18" x14ac:dyDescent="0.25">
      <c r="A384" t="s">
        <v>1169</v>
      </c>
      <c r="B384" t="s">
        <v>1611</v>
      </c>
      <c r="C384" t="s">
        <v>3492</v>
      </c>
      <c r="D384" t="s">
        <v>4844</v>
      </c>
      <c r="E384" t="s">
        <v>2555</v>
      </c>
      <c r="F384" t="s">
        <v>2544</v>
      </c>
      <c r="G384" t="s">
        <v>4845</v>
      </c>
      <c r="H384" s="74">
        <v>34033</v>
      </c>
      <c r="I384" s="68" t="s">
        <v>2633</v>
      </c>
      <c r="J384" s="68" t="s">
        <v>2568</v>
      </c>
      <c r="K384" s="68" t="s">
        <v>2587</v>
      </c>
      <c r="L384" t="s">
        <v>1739</v>
      </c>
      <c r="M384" t="s">
        <v>4757</v>
      </c>
      <c r="N384" t="s">
        <v>1647</v>
      </c>
      <c r="O384" t="s">
        <v>1949</v>
      </c>
      <c r="R384" t="s">
        <v>4846</v>
      </c>
    </row>
    <row r="385" spans="1:18" x14ac:dyDescent="0.25">
      <c r="A385" t="s">
        <v>1291</v>
      </c>
      <c r="B385" t="s">
        <v>1589</v>
      </c>
      <c r="C385" t="s">
        <v>2590</v>
      </c>
      <c r="D385" t="s">
        <v>4963</v>
      </c>
      <c r="E385" t="s">
        <v>2646</v>
      </c>
      <c r="F385" t="s">
        <v>2636</v>
      </c>
      <c r="G385" t="s">
        <v>4964</v>
      </c>
      <c r="H385" s="74">
        <v>33966</v>
      </c>
      <c r="I385" s="68" t="s">
        <v>2633</v>
      </c>
      <c r="J385" s="68" t="s">
        <v>2568</v>
      </c>
      <c r="K385" s="68" t="s">
        <v>2583</v>
      </c>
      <c r="L385" t="s">
        <v>1942</v>
      </c>
      <c r="M385" t="s">
        <v>4965</v>
      </c>
      <c r="N385" t="s">
        <v>1648</v>
      </c>
      <c r="O385" t="s">
        <v>1949</v>
      </c>
      <c r="R385" t="s">
        <v>4966</v>
      </c>
    </row>
    <row r="386" spans="1:18" x14ac:dyDescent="0.25">
      <c r="A386" t="s">
        <v>1291</v>
      </c>
      <c r="B386" t="s">
        <v>1589</v>
      </c>
      <c r="C386" t="s">
        <v>2590</v>
      </c>
      <c r="D386" t="s">
        <v>4989</v>
      </c>
      <c r="E386" t="s">
        <v>2554</v>
      </c>
      <c r="F386" t="s">
        <v>2636</v>
      </c>
      <c r="G386" t="s">
        <v>4990</v>
      </c>
      <c r="H386" s="74">
        <v>36832</v>
      </c>
      <c r="I386" s="68" t="s">
        <v>2579</v>
      </c>
      <c r="J386" s="68" t="s">
        <v>2568</v>
      </c>
      <c r="K386" s="68" t="s">
        <v>2566</v>
      </c>
      <c r="L386" t="s">
        <v>1654</v>
      </c>
      <c r="M386" t="s">
        <v>2844</v>
      </c>
      <c r="N386" t="s">
        <v>1648</v>
      </c>
      <c r="O386" t="s">
        <v>1949</v>
      </c>
      <c r="R386" t="s">
        <v>4991</v>
      </c>
    </row>
    <row r="387" spans="1:18" x14ac:dyDescent="0.25">
      <c r="A387" t="s">
        <v>1239</v>
      </c>
      <c r="B387" t="s">
        <v>1612</v>
      </c>
      <c r="C387" t="s">
        <v>3123</v>
      </c>
      <c r="D387" t="s">
        <v>5385</v>
      </c>
      <c r="E387" t="s">
        <v>2670</v>
      </c>
      <c r="F387" t="s">
        <v>2544</v>
      </c>
      <c r="G387" t="s">
        <v>5386</v>
      </c>
      <c r="H387" s="74">
        <v>35241</v>
      </c>
      <c r="I387" s="68" t="s">
        <v>2552</v>
      </c>
      <c r="J387" s="68" t="s">
        <v>2568</v>
      </c>
      <c r="K387" s="68" t="s">
        <v>2555</v>
      </c>
      <c r="L387" t="s">
        <v>1788</v>
      </c>
      <c r="M387" t="s">
        <v>3508</v>
      </c>
      <c r="N387" t="s">
        <v>1648</v>
      </c>
      <c r="O387" t="s">
        <v>1949</v>
      </c>
      <c r="R387" t="s">
        <v>5387</v>
      </c>
    </row>
    <row r="388" spans="1:18" x14ac:dyDescent="0.25">
      <c r="A388" t="s">
        <v>1256</v>
      </c>
      <c r="B388" t="s">
        <v>1588</v>
      </c>
      <c r="C388" t="s">
        <v>2640</v>
      </c>
      <c r="D388" t="s">
        <v>2701</v>
      </c>
      <c r="E388" t="s">
        <v>2627</v>
      </c>
      <c r="F388" t="s">
        <v>2560</v>
      </c>
      <c r="G388" t="s">
        <v>2702</v>
      </c>
      <c r="H388" s="74">
        <v>35157</v>
      </c>
      <c r="I388" s="68" t="s">
        <v>2552</v>
      </c>
      <c r="J388" s="68" t="s">
        <v>2703</v>
      </c>
      <c r="K388" s="68" t="s">
        <v>2548</v>
      </c>
      <c r="L388" t="s">
        <v>1685</v>
      </c>
      <c r="M388" t="s">
        <v>2704</v>
      </c>
      <c r="N388" t="s">
        <v>1648</v>
      </c>
      <c r="O388" t="s">
        <v>1949</v>
      </c>
      <c r="R388" t="s">
        <v>2705</v>
      </c>
    </row>
    <row r="389" spans="1:18" x14ac:dyDescent="0.25">
      <c r="A389" t="s">
        <v>1172</v>
      </c>
      <c r="B389" t="s">
        <v>1615</v>
      </c>
      <c r="C389" t="s">
        <v>3206</v>
      </c>
      <c r="D389" t="s">
        <v>3242</v>
      </c>
      <c r="E389" t="s">
        <v>2651</v>
      </c>
      <c r="F389" t="s">
        <v>2544</v>
      </c>
      <c r="G389" t="s">
        <v>3243</v>
      </c>
      <c r="H389" s="74">
        <v>35739</v>
      </c>
      <c r="I389" s="68" t="s">
        <v>2599</v>
      </c>
      <c r="J389" s="68" t="s">
        <v>2703</v>
      </c>
      <c r="K389" s="68" t="s">
        <v>2548</v>
      </c>
      <c r="L389" t="s">
        <v>1767</v>
      </c>
      <c r="M389" t="s">
        <v>3244</v>
      </c>
      <c r="N389" t="s">
        <v>1648</v>
      </c>
      <c r="O389" t="s">
        <v>1949</v>
      </c>
      <c r="R389" t="s">
        <v>3245</v>
      </c>
    </row>
    <row r="390" spans="1:18" x14ac:dyDescent="0.25">
      <c r="A390" t="s">
        <v>10</v>
      </c>
      <c r="B390" t="s">
        <v>1614</v>
      </c>
      <c r="C390" t="s">
        <v>3526</v>
      </c>
      <c r="D390" t="s">
        <v>4887</v>
      </c>
      <c r="E390" t="s">
        <v>2555</v>
      </c>
      <c r="F390" t="s">
        <v>2544</v>
      </c>
      <c r="G390" t="s">
        <v>4888</v>
      </c>
      <c r="H390" s="74">
        <v>34108</v>
      </c>
      <c r="I390" s="68" t="s">
        <v>2633</v>
      </c>
      <c r="J390" s="68" t="s">
        <v>2703</v>
      </c>
      <c r="K390" s="68" t="s">
        <v>2555</v>
      </c>
      <c r="L390" t="s">
        <v>1793</v>
      </c>
      <c r="M390" t="s">
        <v>4251</v>
      </c>
      <c r="N390" t="s">
        <v>1647</v>
      </c>
      <c r="O390" t="s">
        <v>1949</v>
      </c>
      <c r="R390" t="s">
        <v>4889</v>
      </c>
    </row>
    <row r="391" spans="1:18" x14ac:dyDescent="0.25">
      <c r="A391" t="s">
        <v>1183</v>
      </c>
      <c r="B391" t="s">
        <v>1593</v>
      </c>
      <c r="C391" t="s">
        <v>2789</v>
      </c>
      <c r="D391" t="s">
        <v>5131</v>
      </c>
      <c r="E391" t="s">
        <v>2543</v>
      </c>
      <c r="F391" t="s">
        <v>2544</v>
      </c>
      <c r="G391" t="s">
        <v>5132</v>
      </c>
      <c r="H391" s="74">
        <v>33533</v>
      </c>
      <c r="I391" s="68" t="s">
        <v>2970</v>
      </c>
      <c r="J391" s="68" t="s">
        <v>2703</v>
      </c>
      <c r="K391" s="68" t="s">
        <v>2587</v>
      </c>
      <c r="L391" t="s">
        <v>1919</v>
      </c>
      <c r="M391" t="s">
        <v>5133</v>
      </c>
      <c r="N391" t="s">
        <v>1648</v>
      </c>
      <c r="O391" t="s">
        <v>1949</v>
      </c>
      <c r="R391" t="s">
        <v>5134</v>
      </c>
    </row>
    <row r="392" spans="1:18" x14ac:dyDescent="0.25">
      <c r="A392" t="s">
        <v>1201</v>
      </c>
      <c r="B392" t="s">
        <v>1598</v>
      </c>
      <c r="C392" t="s">
        <v>2932</v>
      </c>
      <c r="D392" t="s">
        <v>5207</v>
      </c>
      <c r="E392" t="s">
        <v>2601</v>
      </c>
      <c r="F392" t="s">
        <v>2584</v>
      </c>
      <c r="G392" t="s">
        <v>5208</v>
      </c>
      <c r="H392" s="74">
        <v>34218</v>
      </c>
      <c r="I392" s="68" t="s">
        <v>2633</v>
      </c>
      <c r="J392" s="68" t="s">
        <v>2703</v>
      </c>
      <c r="K392" s="68" t="s">
        <v>2587</v>
      </c>
      <c r="L392" t="s">
        <v>1681</v>
      </c>
      <c r="M392" t="s">
        <v>2672</v>
      </c>
      <c r="N392" t="s">
        <v>1648</v>
      </c>
      <c r="O392" t="s">
        <v>1949</v>
      </c>
      <c r="R392" t="s">
        <v>5209</v>
      </c>
    </row>
    <row r="393" spans="1:18" x14ac:dyDescent="0.25">
      <c r="A393" t="s">
        <v>1172</v>
      </c>
      <c r="B393" t="s">
        <v>1615</v>
      </c>
      <c r="C393" t="s">
        <v>3206</v>
      </c>
      <c r="D393" t="s">
        <v>5468</v>
      </c>
      <c r="E393" t="s">
        <v>2583</v>
      </c>
      <c r="F393" t="s">
        <v>2584</v>
      </c>
      <c r="G393" t="s">
        <v>5469</v>
      </c>
      <c r="H393" s="74">
        <v>34251</v>
      </c>
      <c r="I393" s="68" t="s">
        <v>2633</v>
      </c>
      <c r="J393" s="68" t="s">
        <v>2703</v>
      </c>
      <c r="K393" s="68" t="s">
        <v>2587</v>
      </c>
      <c r="L393" t="s">
        <v>1933</v>
      </c>
      <c r="M393" t="s">
        <v>5470</v>
      </c>
      <c r="N393" t="s">
        <v>1648</v>
      </c>
      <c r="O393" t="s">
        <v>1949</v>
      </c>
      <c r="R393" t="s">
        <v>5471</v>
      </c>
    </row>
    <row r="394" spans="1:18" x14ac:dyDescent="0.25">
      <c r="A394" t="s">
        <v>1183</v>
      </c>
      <c r="B394" t="s">
        <v>1593</v>
      </c>
      <c r="C394" t="s">
        <v>2789</v>
      </c>
      <c r="D394" t="s">
        <v>2829</v>
      </c>
      <c r="E394" t="s">
        <v>2670</v>
      </c>
      <c r="F394" t="s">
        <v>2584</v>
      </c>
      <c r="G394" t="s">
        <v>2830</v>
      </c>
      <c r="H394" s="74">
        <v>35546</v>
      </c>
      <c r="I394" s="68" t="s">
        <v>2599</v>
      </c>
      <c r="J394" s="68" t="s">
        <v>2831</v>
      </c>
      <c r="K394" s="68" t="s">
        <v>2548</v>
      </c>
      <c r="L394" t="s">
        <v>1693</v>
      </c>
      <c r="M394" t="s">
        <v>2827</v>
      </c>
      <c r="N394" t="s">
        <v>1648</v>
      </c>
      <c r="O394" t="s">
        <v>1949</v>
      </c>
      <c r="R394" t="s">
        <v>2832</v>
      </c>
    </row>
    <row r="395" spans="1:18" x14ac:dyDescent="0.25">
      <c r="A395" t="s">
        <v>1169</v>
      </c>
      <c r="B395" t="s">
        <v>1611</v>
      </c>
      <c r="C395" t="s">
        <v>3492</v>
      </c>
      <c r="D395" t="s">
        <v>3497</v>
      </c>
      <c r="E395" t="s">
        <v>2610</v>
      </c>
      <c r="F395" t="s">
        <v>2584</v>
      </c>
      <c r="G395" t="s">
        <v>3498</v>
      </c>
      <c r="H395" s="74">
        <v>35467</v>
      </c>
      <c r="I395" s="68" t="s">
        <v>2599</v>
      </c>
      <c r="J395" s="68" t="s">
        <v>2831</v>
      </c>
      <c r="K395" s="68" t="s">
        <v>2548</v>
      </c>
      <c r="L395" t="s">
        <v>1674</v>
      </c>
      <c r="M395" t="s">
        <v>2851</v>
      </c>
      <c r="N395" t="s">
        <v>1647</v>
      </c>
      <c r="O395" t="s">
        <v>1949</v>
      </c>
      <c r="R395" t="s">
        <v>3499</v>
      </c>
    </row>
    <row r="396" spans="1:18" x14ac:dyDescent="0.25">
      <c r="A396" t="s">
        <v>10</v>
      </c>
      <c r="B396" t="s">
        <v>1614</v>
      </c>
      <c r="C396" t="s">
        <v>3526</v>
      </c>
      <c r="D396" t="s">
        <v>3531</v>
      </c>
      <c r="E396" t="s">
        <v>2679</v>
      </c>
      <c r="F396" t="s">
        <v>2584</v>
      </c>
      <c r="G396" t="s">
        <v>3532</v>
      </c>
      <c r="H396" s="74">
        <v>34853</v>
      </c>
      <c r="I396" s="68" t="s">
        <v>2653</v>
      </c>
      <c r="J396" s="68" t="s">
        <v>2831</v>
      </c>
      <c r="K396" s="68" t="s">
        <v>2548</v>
      </c>
      <c r="L396" t="s">
        <v>1719</v>
      </c>
      <c r="M396" t="s">
        <v>2715</v>
      </c>
      <c r="N396" t="s">
        <v>1647</v>
      </c>
      <c r="O396" t="s">
        <v>1949</v>
      </c>
      <c r="R396" t="s">
        <v>3533</v>
      </c>
    </row>
    <row r="397" spans="1:18" x14ac:dyDescent="0.25">
      <c r="A397" t="s">
        <v>1135</v>
      </c>
      <c r="B397" t="s">
        <v>1595</v>
      </c>
      <c r="C397" t="s">
        <v>3694</v>
      </c>
      <c r="D397" t="s">
        <v>3710</v>
      </c>
      <c r="E397" t="s">
        <v>2586</v>
      </c>
      <c r="F397" t="s">
        <v>2544</v>
      </c>
      <c r="G397" t="s">
        <v>3711</v>
      </c>
      <c r="H397" s="74">
        <v>35109</v>
      </c>
      <c r="I397" s="68" t="s">
        <v>2552</v>
      </c>
      <c r="J397" s="68" t="s">
        <v>2831</v>
      </c>
      <c r="K397" s="68" t="s">
        <v>2548</v>
      </c>
      <c r="L397" t="s">
        <v>1654</v>
      </c>
      <c r="M397" t="s">
        <v>2844</v>
      </c>
      <c r="N397" t="s">
        <v>1617</v>
      </c>
      <c r="O397" t="s">
        <v>1950</v>
      </c>
      <c r="R397" t="s">
        <v>3712</v>
      </c>
    </row>
    <row r="398" spans="1:18" x14ac:dyDescent="0.25">
      <c r="A398" t="s">
        <v>1158</v>
      </c>
      <c r="B398" t="s">
        <v>1605</v>
      </c>
      <c r="C398" t="s">
        <v>3809</v>
      </c>
      <c r="D398" t="s">
        <v>3830</v>
      </c>
      <c r="E398" t="s">
        <v>2583</v>
      </c>
      <c r="F398" t="s">
        <v>2584</v>
      </c>
      <c r="G398" t="s">
        <v>3831</v>
      </c>
      <c r="H398" s="74">
        <v>35502</v>
      </c>
      <c r="I398" s="68" t="s">
        <v>2599</v>
      </c>
      <c r="J398" s="68" t="s">
        <v>2831</v>
      </c>
      <c r="K398" s="68" t="s">
        <v>2548</v>
      </c>
      <c r="L398" t="s">
        <v>1704</v>
      </c>
      <c r="M398" t="s">
        <v>3815</v>
      </c>
      <c r="N398" t="s">
        <v>43</v>
      </c>
      <c r="O398" t="s">
        <v>1949</v>
      </c>
      <c r="R398" t="s">
        <v>3832</v>
      </c>
    </row>
    <row r="399" spans="1:18" x14ac:dyDescent="0.25">
      <c r="A399" t="s">
        <v>1256</v>
      </c>
      <c r="B399" t="s">
        <v>1588</v>
      </c>
      <c r="C399" t="s">
        <v>2640</v>
      </c>
      <c r="D399" t="s">
        <v>3903</v>
      </c>
      <c r="E399" t="s">
        <v>2610</v>
      </c>
      <c r="F399" t="s">
        <v>2584</v>
      </c>
      <c r="G399" t="s">
        <v>3904</v>
      </c>
      <c r="H399" s="74">
        <v>34906</v>
      </c>
      <c r="I399" s="68" t="s">
        <v>2653</v>
      </c>
      <c r="J399" s="68" t="s">
        <v>2831</v>
      </c>
      <c r="K399" s="68" t="s">
        <v>2547</v>
      </c>
      <c r="L399" t="s">
        <v>1714</v>
      </c>
      <c r="M399" t="s">
        <v>3905</v>
      </c>
      <c r="N399" t="s">
        <v>1648</v>
      </c>
      <c r="O399" t="s">
        <v>1949</v>
      </c>
      <c r="R399" t="s">
        <v>3906</v>
      </c>
    </row>
    <row r="400" spans="1:18" x14ac:dyDescent="0.25">
      <c r="A400" t="s">
        <v>10</v>
      </c>
      <c r="B400" t="s">
        <v>1614</v>
      </c>
      <c r="C400" t="s">
        <v>3526</v>
      </c>
      <c r="D400" t="s">
        <v>4253</v>
      </c>
      <c r="E400" t="s">
        <v>2543</v>
      </c>
      <c r="F400" t="s">
        <v>2584</v>
      </c>
      <c r="G400" t="s">
        <v>4254</v>
      </c>
      <c r="H400" s="74">
        <v>36205</v>
      </c>
      <c r="I400" s="68" t="s">
        <v>2627</v>
      </c>
      <c r="J400" s="68" t="s">
        <v>2831</v>
      </c>
      <c r="K400" s="68" t="s">
        <v>2547</v>
      </c>
      <c r="L400" t="s">
        <v>1736</v>
      </c>
      <c r="M400" t="s">
        <v>2777</v>
      </c>
      <c r="N400" t="s">
        <v>1647</v>
      </c>
      <c r="O400" t="s">
        <v>1949</v>
      </c>
      <c r="R400" t="s">
        <v>4255</v>
      </c>
    </row>
    <row r="401" spans="1:18" x14ac:dyDescent="0.25">
      <c r="A401" t="s">
        <v>1178</v>
      </c>
      <c r="B401" t="s">
        <v>1584</v>
      </c>
      <c r="C401" t="s">
        <v>3558</v>
      </c>
      <c r="D401" t="s">
        <v>4301</v>
      </c>
      <c r="E401" t="s">
        <v>2592</v>
      </c>
      <c r="F401" t="s">
        <v>2544</v>
      </c>
      <c r="G401" t="s">
        <v>4302</v>
      </c>
      <c r="H401" s="74">
        <v>33416</v>
      </c>
      <c r="I401" s="68" t="s">
        <v>2970</v>
      </c>
      <c r="J401" s="68" t="s">
        <v>2831</v>
      </c>
      <c r="K401" s="68" t="s">
        <v>2587</v>
      </c>
      <c r="L401" t="s">
        <v>1699</v>
      </c>
      <c r="M401" t="s">
        <v>3467</v>
      </c>
      <c r="N401" t="s">
        <v>1646</v>
      </c>
      <c r="O401" t="s">
        <v>1950</v>
      </c>
      <c r="R401" t="s">
        <v>4303</v>
      </c>
    </row>
    <row r="402" spans="1:18" x14ac:dyDescent="0.25">
      <c r="A402" t="s">
        <v>1131</v>
      </c>
      <c r="B402" t="s">
        <v>1594</v>
      </c>
      <c r="C402" t="s">
        <v>3663</v>
      </c>
      <c r="D402" t="s">
        <v>4395</v>
      </c>
      <c r="E402" t="s">
        <v>2554</v>
      </c>
      <c r="F402" t="s">
        <v>2584</v>
      </c>
      <c r="G402" t="s">
        <v>4396</v>
      </c>
      <c r="H402" s="74">
        <v>36170</v>
      </c>
      <c r="I402" s="68" t="s">
        <v>2627</v>
      </c>
      <c r="J402" s="68" t="s">
        <v>2831</v>
      </c>
      <c r="K402" s="68" t="s">
        <v>2651</v>
      </c>
      <c r="L402" t="s">
        <v>1661</v>
      </c>
      <c r="M402" t="s">
        <v>3445</v>
      </c>
      <c r="N402" t="s">
        <v>43</v>
      </c>
      <c r="O402" t="s">
        <v>1949</v>
      </c>
      <c r="R402" t="s">
        <v>4397</v>
      </c>
    </row>
    <row r="403" spans="1:18" x14ac:dyDescent="0.25">
      <c r="A403" t="s">
        <v>1238</v>
      </c>
      <c r="B403" t="s">
        <v>1602</v>
      </c>
      <c r="C403" t="s">
        <v>3732</v>
      </c>
      <c r="D403" t="s">
        <v>4476</v>
      </c>
      <c r="E403" t="s">
        <v>2679</v>
      </c>
      <c r="F403" t="s">
        <v>2584</v>
      </c>
      <c r="G403" t="s">
        <v>4477</v>
      </c>
      <c r="H403" s="74">
        <v>34229</v>
      </c>
      <c r="I403" s="68" t="s">
        <v>2633</v>
      </c>
      <c r="J403" s="68" t="s">
        <v>2831</v>
      </c>
      <c r="K403" s="68" t="s">
        <v>2592</v>
      </c>
      <c r="L403" t="s">
        <v>1763</v>
      </c>
      <c r="M403" t="s">
        <v>4460</v>
      </c>
      <c r="N403" t="s">
        <v>1628</v>
      </c>
      <c r="O403" t="s">
        <v>1950</v>
      </c>
      <c r="R403" t="s">
        <v>4478</v>
      </c>
    </row>
    <row r="404" spans="1:18" x14ac:dyDescent="0.25">
      <c r="A404" t="s">
        <v>1164</v>
      </c>
      <c r="B404" t="s">
        <v>1609</v>
      </c>
      <c r="C404" t="s">
        <v>3081</v>
      </c>
      <c r="D404" t="s">
        <v>5356</v>
      </c>
      <c r="E404" t="s">
        <v>2614</v>
      </c>
      <c r="F404" t="s">
        <v>2584</v>
      </c>
      <c r="G404" t="s">
        <v>5357</v>
      </c>
      <c r="H404" s="74">
        <v>35290</v>
      </c>
      <c r="I404" s="68" t="s">
        <v>2552</v>
      </c>
      <c r="J404" s="68" t="s">
        <v>2831</v>
      </c>
      <c r="K404" s="68" t="s">
        <v>2587</v>
      </c>
      <c r="L404" t="s">
        <v>1701</v>
      </c>
      <c r="M404" t="s">
        <v>3110</v>
      </c>
      <c r="N404" t="s">
        <v>1648</v>
      </c>
      <c r="O404" t="s">
        <v>1949</v>
      </c>
      <c r="R404" t="s">
        <v>5358</v>
      </c>
    </row>
    <row r="405" spans="1:18" x14ac:dyDescent="0.25">
      <c r="A405" t="s">
        <v>1167</v>
      </c>
      <c r="B405" t="s">
        <v>1610</v>
      </c>
      <c r="C405" t="s">
        <v>3301</v>
      </c>
      <c r="D405" t="s">
        <v>3308</v>
      </c>
      <c r="E405" t="s">
        <v>2670</v>
      </c>
      <c r="F405" t="s">
        <v>2544</v>
      </c>
      <c r="G405" t="s">
        <v>3309</v>
      </c>
      <c r="H405" s="74">
        <v>33614</v>
      </c>
      <c r="I405" s="68" t="s">
        <v>2562</v>
      </c>
      <c r="J405" s="68" t="s">
        <v>2970</v>
      </c>
      <c r="K405" s="68" t="s">
        <v>2548</v>
      </c>
      <c r="L405" t="s">
        <v>1658</v>
      </c>
      <c r="M405" t="s">
        <v>2575</v>
      </c>
      <c r="N405" t="s">
        <v>1647</v>
      </c>
      <c r="O405" t="s">
        <v>1949</v>
      </c>
      <c r="R405" t="s">
        <v>3310</v>
      </c>
    </row>
    <row r="406" spans="1:18" x14ac:dyDescent="0.25">
      <c r="A406" t="s">
        <v>1167</v>
      </c>
      <c r="B406" t="s">
        <v>1610</v>
      </c>
      <c r="C406" t="s">
        <v>3301</v>
      </c>
      <c r="D406" t="s">
        <v>3998</v>
      </c>
      <c r="E406" t="s">
        <v>2776</v>
      </c>
      <c r="F406" t="s">
        <v>2636</v>
      </c>
      <c r="G406" t="s">
        <v>3999</v>
      </c>
      <c r="H406" s="74">
        <v>35085</v>
      </c>
      <c r="I406" s="68" t="s">
        <v>2552</v>
      </c>
      <c r="J406" s="68" t="s">
        <v>2970</v>
      </c>
      <c r="K406" s="68" t="s">
        <v>2547</v>
      </c>
      <c r="L406" t="s">
        <v>1658</v>
      </c>
      <c r="M406" t="s">
        <v>2575</v>
      </c>
      <c r="N406" t="s">
        <v>1647</v>
      </c>
      <c r="O406" t="s">
        <v>1949</v>
      </c>
      <c r="R406" t="s">
        <v>4000</v>
      </c>
    </row>
    <row r="407" spans="1:18" x14ac:dyDescent="0.25">
      <c r="A407" t="s">
        <v>1239</v>
      </c>
      <c r="B407" t="s">
        <v>1612</v>
      </c>
      <c r="C407" t="s">
        <v>3123</v>
      </c>
      <c r="D407" t="s">
        <v>4223</v>
      </c>
      <c r="E407" t="s">
        <v>2583</v>
      </c>
      <c r="F407" t="s">
        <v>2584</v>
      </c>
      <c r="G407" t="s">
        <v>4224</v>
      </c>
      <c r="H407" s="74">
        <v>34393</v>
      </c>
      <c r="I407" s="68" t="s">
        <v>2594</v>
      </c>
      <c r="J407" s="68" t="s">
        <v>2970</v>
      </c>
      <c r="K407" s="68" t="s">
        <v>2547</v>
      </c>
      <c r="L407" t="s">
        <v>1730</v>
      </c>
      <c r="M407" t="s">
        <v>4225</v>
      </c>
      <c r="N407" t="s">
        <v>1648</v>
      </c>
      <c r="O407" t="s">
        <v>1949</v>
      </c>
      <c r="R407" t="s">
        <v>4226</v>
      </c>
    </row>
    <row r="408" spans="1:18" x14ac:dyDescent="0.25">
      <c r="A408" t="s">
        <v>1167</v>
      </c>
      <c r="B408" t="s">
        <v>1610</v>
      </c>
      <c r="C408" t="s">
        <v>3301</v>
      </c>
      <c r="D408" t="s">
        <v>4649</v>
      </c>
      <c r="E408" t="s">
        <v>2681</v>
      </c>
      <c r="F408" t="s">
        <v>2636</v>
      </c>
      <c r="G408" t="s">
        <v>4650</v>
      </c>
      <c r="H408" s="74">
        <v>36585</v>
      </c>
      <c r="I408" s="68" t="s">
        <v>2579</v>
      </c>
      <c r="J408" s="68" t="s">
        <v>2970</v>
      </c>
      <c r="K408" s="68" t="s">
        <v>2559</v>
      </c>
      <c r="L408" t="s">
        <v>1653</v>
      </c>
      <c r="M408" t="s">
        <v>2874</v>
      </c>
      <c r="N408" t="s">
        <v>1647</v>
      </c>
      <c r="O408" t="s">
        <v>1949</v>
      </c>
      <c r="R408" t="s">
        <v>4651</v>
      </c>
    </row>
    <row r="409" spans="1:18" x14ac:dyDescent="0.25">
      <c r="A409" t="s">
        <v>1294</v>
      </c>
      <c r="B409" t="s">
        <v>1590</v>
      </c>
      <c r="C409" t="s">
        <v>2717</v>
      </c>
      <c r="D409" t="s">
        <v>5033</v>
      </c>
      <c r="E409" t="s">
        <v>2543</v>
      </c>
      <c r="F409" t="s">
        <v>2544</v>
      </c>
      <c r="G409" t="s">
        <v>5034</v>
      </c>
      <c r="H409" s="74">
        <v>34527</v>
      </c>
      <c r="I409" s="68" t="s">
        <v>2594</v>
      </c>
      <c r="J409" s="68" t="s">
        <v>2970</v>
      </c>
      <c r="K409" s="68" t="s">
        <v>2587</v>
      </c>
      <c r="L409" t="s">
        <v>1684</v>
      </c>
      <c r="M409" t="s">
        <v>2725</v>
      </c>
      <c r="N409" t="s">
        <v>1648</v>
      </c>
      <c r="O409" t="s">
        <v>1949</v>
      </c>
      <c r="R409" t="s">
        <v>5035</v>
      </c>
    </row>
    <row r="410" spans="1:18" x14ac:dyDescent="0.25">
      <c r="A410" t="s">
        <v>1130</v>
      </c>
      <c r="B410" t="s">
        <v>1592</v>
      </c>
      <c r="C410" t="s">
        <v>2761</v>
      </c>
      <c r="D410" t="s">
        <v>5090</v>
      </c>
      <c r="E410" t="s">
        <v>2651</v>
      </c>
      <c r="F410" t="s">
        <v>2544</v>
      </c>
      <c r="G410" t="s">
        <v>5091</v>
      </c>
      <c r="H410" s="74">
        <v>35570</v>
      </c>
      <c r="I410" s="68" t="s">
        <v>2599</v>
      </c>
      <c r="J410" s="68" t="s">
        <v>2970</v>
      </c>
      <c r="K410" s="68" t="s">
        <v>2646</v>
      </c>
      <c r="L410" t="s">
        <v>1706</v>
      </c>
      <c r="M410" t="s">
        <v>3779</v>
      </c>
      <c r="N410" t="s">
        <v>1648</v>
      </c>
      <c r="O410" t="s">
        <v>1949</v>
      </c>
      <c r="R410" t="s">
        <v>5092</v>
      </c>
    </row>
    <row r="411" spans="1:18" x14ac:dyDescent="0.25">
      <c r="A411" t="s">
        <v>1137</v>
      </c>
      <c r="B411" t="s">
        <v>1596</v>
      </c>
      <c r="C411" t="s">
        <v>2836</v>
      </c>
      <c r="D411" t="s">
        <v>5157</v>
      </c>
      <c r="E411" t="s">
        <v>2657</v>
      </c>
      <c r="F411" t="s">
        <v>2636</v>
      </c>
      <c r="G411" t="s">
        <v>5158</v>
      </c>
      <c r="H411" s="74">
        <v>36322</v>
      </c>
      <c r="I411" s="68" t="s">
        <v>2627</v>
      </c>
      <c r="J411" s="68" t="s">
        <v>2970</v>
      </c>
      <c r="K411" s="68" t="s">
        <v>2776</v>
      </c>
      <c r="L411" t="s">
        <v>1661</v>
      </c>
      <c r="M411" t="s">
        <v>3445</v>
      </c>
      <c r="N411" t="s">
        <v>1648</v>
      </c>
      <c r="O411" t="s">
        <v>1949</v>
      </c>
      <c r="R411" t="s">
        <v>5159</v>
      </c>
    </row>
    <row r="412" spans="1:18" x14ac:dyDescent="0.25">
      <c r="A412" t="s">
        <v>1292</v>
      </c>
      <c r="B412" t="s">
        <v>1601</v>
      </c>
      <c r="C412" t="s">
        <v>3005</v>
      </c>
      <c r="D412" t="s">
        <v>5285</v>
      </c>
      <c r="E412" t="s">
        <v>2599</v>
      </c>
      <c r="F412" t="s">
        <v>2636</v>
      </c>
      <c r="G412" t="s">
        <v>5286</v>
      </c>
      <c r="H412" s="74">
        <v>36045</v>
      </c>
      <c r="I412" s="68" t="s">
        <v>2546</v>
      </c>
      <c r="J412" s="68" t="s">
        <v>2970</v>
      </c>
      <c r="K412" s="68" t="s">
        <v>2543</v>
      </c>
      <c r="L412" t="s">
        <v>1780</v>
      </c>
      <c r="M412" t="s">
        <v>5287</v>
      </c>
      <c r="N412" t="s">
        <v>1648</v>
      </c>
      <c r="O412" t="s">
        <v>1949</v>
      </c>
      <c r="R412" t="s">
        <v>5288</v>
      </c>
    </row>
    <row r="413" spans="1:18" x14ac:dyDescent="0.25">
      <c r="A413" t="s">
        <v>1137</v>
      </c>
      <c r="B413" t="s">
        <v>1596</v>
      </c>
      <c r="C413" t="s">
        <v>2836</v>
      </c>
      <c r="D413" t="s">
        <v>2872</v>
      </c>
      <c r="E413" t="s">
        <v>2579</v>
      </c>
      <c r="F413" t="s">
        <v>2560</v>
      </c>
      <c r="G413" t="s">
        <v>2873</v>
      </c>
      <c r="H413" s="74">
        <v>33724</v>
      </c>
      <c r="I413" s="68" t="s">
        <v>2562</v>
      </c>
      <c r="J413" s="68" t="s">
        <v>2562</v>
      </c>
      <c r="K413" s="68" t="s">
        <v>2548</v>
      </c>
      <c r="L413" t="s">
        <v>1653</v>
      </c>
      <c r="M413" t="s">
        <v>2874</v>
      </c>
      <c r="N413" t="s">
        <v>1648</v>
      </c>
      <c r="O413" t="s">
        <v>1949</v>
      </c>
      <c r="R413" t="s">
        <v>2875</v>
      </c>
    </row>
    <row r="414" spans="1:18" x14ac:dyDescent="0.25">
      <c r="A414" t="s">
        <v>1230</v>
      </c>
      <c r="B414" t="s">
        <v>1606</v>
      </c>
      <c r="C414" t="s">
        <v>3035</v>
      </c>
      <c r="D414" t="s">
        <v>3040</v>
      </c>
      <c r="E414" t="s">
        <v>2559</v>
      </c>
      <c r="F414" t="s">
        <v>2544</v>
      </c>
      <c r="G414" t="s">
        <v>3041</v>
      </c>
      <c r="H414" s="74">
        <v>33970</v>
      </c>
      <c r="I414" s="68" t="s">
        <v>2633</v>
      </c>
      <c r="J414" s="68" t="s">
        <v>2562</v>
      </c>
      <c r="K414" s="68" t="s">
        <v>2548</v>
      </c>
      <c r="L414" t="s">
        <v>1656</v>
      </c>
      <c r="M414" t="s">
        <v>3042</v>
      </c>
      <c r="N414" t="s">
        <v>1648</v>
      </c>
      <c r="O414" t="s">
        <v>1949</v>
      </c>
      <c r="R414" t="s">
        <v>3043</v>
      </c>
    </row>
    <row r="415" spans="1:18" x14ac:dyDescent="0.25">
      <c r="A415" t="s">
        <v>1172</v>
      </c>
      <c r="B415" t="s">
        <v>1615</v>
      </c>
      <c r="C415" t="s">
        <v>3206</v>
      </c>
      <c r="D415" t="s">
        <v>3215</v>
      </c>
      <c r="E415" t="s">
        <v>2614</v>
      </c>
      <c r="F415" t="s">
        <v>2584</v>
      </c>
      <c r="G415" t="s">
        <v>3216</v>
      </c>
      <c r="H415" s="74">
        <v>35433</v>
      </c>
      <c r="I415" s="68" t="s">
        <v>2599</v>
      </c>
      <c r="J415" s="68" t="s">
        <v>2562</v>
      </c>
      <c r="K415" s="68" t="s">
        <v>2548</v>
      </c>
      <c r="L415" t="s">
        <v>1910</v>
      </c>
      <c r="M415" t="s">
        <v>3217</v>
      </c>
      <c r="N415" t="s">
        <v>1648</v>
      </c>
      <c r="O415" t="s">
        <v>1949</v>
      </c>
      <c r="R415" t="s">
        <v>3218</v>
      </c>
    </row>
    <row r="416" spans="1:18" x14ac:dyDescent="0.25">
      <c r="A416" t="s">
        <v>1172</v>
      </c>
      <c r="B416" t="s">
        <v>1615</v>
      </c>
      <c r="C416" t="s">
        <v>3206</v>
      </c>
      <c r="D416" t="s">
        <v>3246</v>
      </c>
      <c r="E416" t="s">
        <v>2592</v>
      </c>
      <c r="F416" t="s">
        <v>2544</v>
      </c>
      <c r="G416" t="s">
        <v>3247</v>
      </c>
      <c r="H416" s="74">
        <v>35725</v>
      </c>
      <c r="I416" s="68" t="s">
        <v>2599</v>
      </c>
      <c r="J416" s="68" t="s">
        <v>2562</v>
      </c>
      <c r="K416" s="68" t="s">
        <v>2548</v>
      </c>
      <c r="L416" t="s">
        <v>1671</v>
      </c>
      <c r="M416" t="s">
        <v>2580</v>
      </c>
      <c r="N416" t="s">
        <v>1648</v>
      </c>
      <c r="O416" t="s">
        <v>1949</v>
      </c>
      <c r="R416" t="s">
        <v>3248</v>
      </c>
    </row>
    <row r="417" spans="1:18" x14ac:dyDescent="0.25">
      <c r="A417" t="s">
        <v>1153</v>
      </c>
      <c r="B417" t="s">
        <v>1603</v>
      </c>
      <c r="C417" t="s">
        <v>3776</v>
      </c>
      <c r="D417" t="s">
        <v>3777</v>
      </c>
      <c r="E417" t="s">
        <v>2610</v>
      </c>
      <c r="F417" t="s">
        <v>2584</v>
      </c>
      <c r="G417" t="s">
        <v>3778</v>
      </c>
      <c r="H417" s="74">
        <v>33326</v>
      </c>
      <c r="I417" s="68" t="s">
        <v>2970</v>
      </c>
      <c r="J417" s="68" t="s">
        <v>2562</v>
      </c>
      <c r="K417" s="68" t="s">
        <v>2548</v>
      </c>
      <c r="L417" t="s">
        <v>1706</v>
      </c>
      <c r="M417" t="s">
        <v>3779</v>
      </c>
      <c r="N417" t="s">
        <v>43</v>
      </c>
      <c r="O417" t="s">
        <v>1949</v>
      </c>
      <c r="R417" t="s">
        <v>3780</v>
      </c>
    </row>
    <row r="418" spans="1:18" x14ac:dyDescent="0.25">
      <c r="A418" t="s">
        <v>1291</v>
      </c>
      <c r="B418" t="s">
        <v>1589</v>
      </c>
      <c r="C418" t="s">
        <v>2590</v>
      </c>
      <c r="D418" t="s">
        <v>3900</v>
      </c>
      <c r="E418" t="s">
        <v>2587</v>
      </c>
      <c r="F418" t="s">
        <v>2544</v>
      </c>
      <c r="G418" t="s">
        <v>3901</v>
      </c>
      <c r="H418" s="74">
        <v>36076</v>
      </c>
      <c r="I418" s="68" t="s">
        <v>2546</v>
      </c>
      <c r="J418" s="68" t="s">
        <v>2562</v>
      </c>
      <c r="K418" s="68" t="s">
        <v>2547</v>
      </c>
      <c r="L418" t="s">
        <v>1682</v>
      </c>
      <c r="M418" t="s">
        <v>2596</v>
      </c>
      <c r="N418" t="s">
        <v>1648</v>
      </c>
      <c r="O418" t="s">
        <v>1949</v>
      </c>
      <c r="R418" t="s">
        <v>3902</v>
      </c>
    </row>
    <row r="419" spans="1:18" x14ac:dyDescent="0.25">
      <c r="A419" t="s">
        <v>1292</v>
      </c>
      <c r="B419" t="s">
        <v>1601</v>
      </c>
      <c r="C419" t="s">
        <v>3005</v>
      </c>
      <c r="D419" t="s">
        <v>4128</v>
      </c>
      <c r="E419" t="s">
        <v>2555</v>
      </c>
      <c r="F419" t="s">
        <v>2544</v>
      </c>
      <c r="G419" t="s">
        <v>4129</v>
      </c>
      <c r="H419" s="74">
        <v>35485</v>
      </c>
      <c r="I419" s="68" t="s">
        <v>2599</v>
      </c>
      <c r="J419" s="68" t="s">
        <v>2562</v>
      </c>
      <c r="K419" s="68" t="s">
        <v>2547</v>
      </c>
      <c r="L419" t="s">
        <v>1695</v>
      </c>
      <c r="M419" t="s">
        <v>4130</v>
      </c>
      <c r="N419" t="s">
        <v>1648</v>
      </c>
      <c r="O419" t="s">
        <v>1949</v>
      </c>
      <c r="R419" t="s">
        <v>4131</v>
      </c>
    </row>
    <row r="420" spans="1:18" x14ac:dyDescent="0.25">
      <c r="A420" t="s">
        <v>1183</v>
      </c>
      <c r="B420" t="s">
        <v>1593</v>
      </c>
      <c r="C420" t="s">
        <v>2789</v>
      </c>
      <c r="D420" t="s">
        <v>5112</v>
      </c>
      <c r="E420" t="s">
        <v>2554</v>
      </c>
      <c r="F420" t="s">
        <v>2584</v>
      </c>
      <c r="G420" t="s">
        <v>5113</v>
      </c>
      <c r="H420" s="74">
        <v>36831</v>
      </c>
      <c r="I420" s="68" t="s">
        <v>2579</v>
      </c>
      <c r="J420" s="68" t="s">
        <v>2562</v>
      </c>
      <c r="K420" s="68" t="s">
        <v>2651</v>
      </c>
      <c r="L420" t="s">
        <v>1808</v>
      </c>
      <c r="M420" t="s">
        <v>4485</v>
      </c>
      <c r="N420" t="s">
        <v>1648</v>
      </c>
      <c r="O420" t="s">
        <v>1949</v>
      </c>
      <c r="R420" t="s">
        <v>5114</v>
      </c>
    </row>
    <row r="421" spans="1:18" x14ac:dyDescent="0.25">
      <c r="A421" t="s">
        <v>1124</v>
      </c>
      <c r="B421" t="s">
        <v>1586</v>
      </c>
      <c r="C421" t="s">
        <v>2541</v>
      </c>
      <c r="D421" t="s">
        <v>2551</v>
      </c>
      <c r="E421" t="s">
        <v>2552</v>
      </c>
      <c r="F421" t="s">
        <v>2544</v>
      </c>
      <c r="G421" t="s">
        <v>2553</v>
      </c>
      <c r="H421" s="74">
        <v>37918</v>
      </c>
      <c r="I421" s="68" t="s">
        <v>2554</v>
      </c>
      <c r="J421" s="68" t="s">
        <v>2555</v>
      </c>
      <c r="K421" s="68" t="s">
        <v>2548</v>
      </c>
      <c r="L421" t="s">
        <v>1762</v>
      </c>
      <c r="M421" t="s">
        <v>2556</v>
      </c>
      <c r="N421" t="s">
        <v>1648</v>
      </c>
      <c r="O421" t="s">
        <v>1949</v>
      </c>
      <c r="R421" t="s">
        <v>2557</v>
      </c>
    </row>
    <row r="422" spans="1:18" x14ac:dyDescent="0.25">
      <c r="A422" t="s">
        <v>1256</v>
      </c>
      <c r="B422" t="s">
        <v>1588</v>
      </c>
      <c r="C422" t="s">
        <v>2640</v>
      </c>
      <c r="D422" t="s">
        <v>2669</v>
      </c>
      <c r="E422" t="s">
        <v>2670</v>
      </c>
      <c r="F422" t="s">
        <v>2636</v>
      </c>
      <c r="G422" t="s">
        <v>2671</v>
      </c>
      <c r="H422" s="74">
        <v>36379</v>
      </c>
      <c r="I422" s="68" t="s">
        <v>2627</v>
      </c>
      <c r="J422" s="68" t="s">
        <v>2555</v>
      </c>
      <c r="K422" s="68" t="s">
        <v>2548</v>
      </c>
      <c r="L422" t="s">
        <v>1681</v>
      </c>
      <c r="M422" t="s">
        <v>2672</v>
      </c>
      <c r="N422" t="s">
        <v>1648</v>
      </c>
      <c r="O422" t="s">
        <v>1949</v>
      </c>
      <c r="R422" t="s">
        <v>2673</v>
      </c>
    </row>
    <row r="423" spans="1:18" x14ac:dyDescent="0.25">
      <c r="A423" t="s">
        <v>1256</v>
      </c>
      <c r="B423" t="s">
        <v>1588</v>
      </c>
      <c r="C423" t="s">
        <v>2640</v>
      </c>
      <c r="D423" t="s">
        <v>2688</v>
      </c>
      <c r="E423" t="s">
        <v>2579</v>
      </c>
      <c r="F423" t="s">
        <v>2584</v>
      </c>
      <c r="G423" t="s">
        <v>2689</v>
      </c>
      <c r="H423" s="74">
        <v>35104</v>
      </c>
      <c r="I423" s="68" t="s">
        <v>2552</v>
      </c>
      <c r="J423" s="68" t="s">
        <v>2555</v>
      </c>
      <c r="K423" s="68" t="s">
        <v>2548</v>
      </c>
      <c r="L423" t="s">
        <v>1747</v>
      </c>
      <c r="M423" t="s">
        <v>2690</v>
      </c>
      <c r="N423" t="s">
        <v>1648</v>
      </c>
      <c r="O423" t="s">
        <v>1949</v>
      </c>
      <c r="R423" t="s">
        <v>2691</v>
      </c>
    </row>
    <row r="424" spans="1:18" x14ac:dyDescent="0.25">
      <c r="A424" t="s">
        <v>1256</v>
      </c>
      <c r="B424" t="s">
        <v>1588</v>
      </c>
      <c r="C424" t="s">
        <v>2640</v>
      </c>
      <c r="D424" t="s">
        <v>2710</v>
      </c>
      <c r="E424" t="s">
        <v>2543</v>
      </c>
      <c r="F424" t="s">
        <v>2544</v>
      </c>
      <c r="G424" t="s">
        <v>2711</v>
      </c>
      <c r="H424" s="74">
        <v>37152</v>
      </c>
      <c r="I424" s="68" t="s">
        <v>2586</v>
      </c>
      <c r="J424" s="68" t="s">
        <v>2555</v>
      </c>
      <c r="K424" s="68" t="s">
        <v>2548</v>
      </c>
      <c r="L424" t="s">
        <v>1671</v>
      </c>
      <c r="M424" t="s">
        <v>2580</v>
      </c>
      <c r="N424" t="s">
        <v>1648</v>
      </c>
      <c r="O424" t="s">
        <v>1949</v>
      </c>
      <c r="R424" t="s">
        <v>2712</v>
      </c>
    </row>
    <row r="425" spans="1:18" x14ac:dyDescent="0.25">
      <c r="A425" t="s">
        <v>1294</v>
      </c>
      <c r="B425" t="s">
        <v>1590</v>
      </c>
      <c r="C425" t="s">
        <v>2717</v>
      </c>
      <c r="D425" t="s">
        <v>2727</v>
      </c>
      <c r="E425" t="s">
        <v>2586</v>
      </c>
      <c r="F425" t="s">
        <v>2584</v>
      </c>
      <c r="G425" t="s">
        <v>2728</v>
      </c>
      <c r="H425" s="74">
        <v>36059</v>
      </c>
      <c r="I425" s="68" t="s">
        <v>2546</v>
      </c>
      <c r="J425" s="68" t="s">
        <v>2555</v>
      </c>
      <c r="K425" s="68" t="s">
        <v>2548</v>
      </c>
      <c r="L425" t="s">
        <v>1684</v>
      </c>
      <c r="M425" t="s">
        <v>2725</v>
      </c>
      <c r="N425" t="s">
        <v>1648</v>
      </c>
      <c r="O425" t="s">
        <v>1949</v>
      </c>
      <c r="R425" t="s">
        <v>2729</v>
      </c>
    </row>
    <row r="426" spans="1:18" x14ac:dyDescent="0.25">
      <c r="A426" t="s">
        <v>1294</v>
      </c>
      <c r="B426" t="s">
        <v>1590</v>
      </c>
      <c r="C426" t="s">
        <v>2717</v>
      </c>
      <c r="D426" t="s">
        <v>2741</v>
      </c>
      <c r="E426" t="s">
        <v>2546</v>
      </c>
      <c r="F426" t="s">
        <v>2584</v>
      </c>
      <c r="G426" t="s">
        <v>2742</v>
      </c>
      <c r="H426" s="74">
        <v>37377</v>
      </c>
      <c r="I426" s="68" t="s">
        <v>2670</v>
      </c>
      <c r="J426" s="68" t="s">
        <v>2555</v>
      </c>
      <c r="K426" s="68" t="s">
        <v>2548</v>
      </c>
      <c r="L426" t="s">
        <v>1893</v>
      </c>
      <c r="M426" t="s">
        <v>2743</v>
      </c>
      <c r="N426" t="s">
        <v>1648</v>
      </c>
      <c r="O426" t="s">
        <v>1949</v>
      </c>
      <c r="R426" t="s">
        <v>2744</v>
      </c>
    </row>
    <row r="427" spans="1:18" x14ac:dyDescent="0.25">
      <c r="A427" t="s">
        <v>1294</v>
      </c>
      <c r="B427" t="s">
        <v>1590</v>
      </c>
      <c r="C427" t="s">
        <v>2717</v>
      </c>
      <c r="D427" t="s">
        <v>2749</v>
      </c>
      <c r="E427" t="s">
        <v>2552</v>
      </c>
      <c r="F427" t="s">
        <v>2584</v>
      </c>
      <c r="G427" t="s">
        <v>2750</v>
      </c>
      <c r="H427" s="74">
        <v>37324</v>
      </c>
      <c r="I427" s="68" t="s">
        <v>2670</v>
      </c>
      <c r="J427" s="68" t="s">
        <v>2555</v>
      </c>
      <c r="K427" s="68" t="s">
        <v>2548</v>
      </c>
      <c r="L427" t="s">
        <v>1746</v>
      </c>
      <c r="M427" t="s">
        <v>2751</v>
      </c>
      <c r="N427" t="s">
        <v>1648</v>
      </c>
      <c r="O427" t="s">
        <v>1949</v>
      </c>
      <c r="R427" t="s">
        <v>2752</v>
      </c>
    </row>
    <row r="428" spans="1:18" x14ac:dyDescent="0.25">
      <c r="A428" t="s">
        <v>1244</v>
      </c>
      <c r="B428" t="s">
        <v>1597</v>
      </c>
      <c r="C428" t="s">
        <v>2876</v>
      </c>
      <c r="D428" t="s">
        <v>2903</v>
      </c>
      <c r="E428" t="s">
        <v>2592</v>
      </c>
      <c r="F428" t="s">
        <v>2584</v>
      </c>
      <c r="G428" t="s">
        <v>2904</v>
      </c>
      <c r="H428" s="74">
        <v>35741</v>
      </c>
      <c r="I428" s="68" t="s">
        <v>2599</v>
      </c>
      <c r="J428" s="68" t="s">
        <v>2555</v>
      </c>
      <c r="K428" s="68" t="s">
        <v>2548</v>
      </c>
      <c r="L428" t="s">
        <v>1863</v>
      </c>
      <c r="M428" t="s">
        <v>2905</v>
      </c>
      <c r="N428" t="s">
        <v>1648</v>
      </c>
      <c r="O428" t="s">
        <v>1949</v>
      </c>
      <c r="R428" t="s">
        <v>2906</v>
      </c>
    </row>
    <row r="429" spans="1:18" x14ac:dyDescent="0.25">
      <c r="A429" t="s">
        <v>1244</v>
      </c>
      <c r="B429" t="s">
        <v>1597</v>
      </c>
      <c r="C429" t="s">
        <v>2876</v>
      </c>
      <c r="D429" t="s">
        <v>2924</v>
      </c>
      <c r="E429" t="s">
        <v>2554</v>
      </c>
      <c r="F429" t="s">
        <v>2636</v>
      </c>
      <c r="G429" t="s">
        <v>2925</v>
      </c>
      <c r="H429" s="74">
        <v>34500</v>
      </c>
      <c r="I429" s="68" t="s">
        <v>2594</v>
      </c>
      <c r="J429" s="68" t="s">
        <v>2555</v>
      </c>
      <c r="K429" s="68" t="s">
        <v>2548</v>
      </c>
      <c r="L429" t="s">
        <v>1726</v>
      </c>
      <c r="M429" t="s">
        <v>2926</v>
      </c>
      <c r="N429" t="s">
        <v>1648</v>
      </c>
      <c r="O429" t="s">
        <v>1949</v>
      </c>
      <c r="R429" t="s">
        <v>2927</v>
      </c>
    </row>
    <row r="430" spans="1:18" x14ac:dyDescent="0.25">
      <c r="A430" t="s">
        <v>1201</v>
      </c>
      <c r="B430" t="s">
        <v>1598</v>
      </c>
      <c r="C430" t="s">
        <v>2932</v>
      </c>
      <c r="D430" t="s">
        <v>2937</v>
      </c>
      <c r="E430" t="s">
        <v>2599</v>
      </c>
      <c r="F430" t="s">
        <v>2544</v>
      </c>
      <c r="G430" t="s">
        <v>2938</v>
      </c>
      <c r="H430" s="74">
        <v>35972</v>
      </c>
      <c r="I430" s="68" t="s">
        <v>2546</v>
      </c>
      <c r="J430" s="68" t="s">
        <v>2555</v>
      </c>
      <c r="K430" s="68" t="s">
        <v>2548</v>
      </c>
      <c r="L430" t="s">
        <v>1731</v>
      </c>
      <c r="M430" t="s">
        <v>2939</v>
      </c>
      <c r="N430" t="s">
        <v>1648</v>
      </c>
      <c r="O430" t="s">
        <v>1949</v>
      </c>
      <c r="R430" t="s">
        <v>2940</v>
      </c>
    </row>
    <row r="431" spans="1:18" x14ac:dyDescent="0.25">
      <c r="A431" t="s">
        <v>1231</v>
      </c>
      <c r="B431" t="s">
        <v>1607</v>
      </c>
      <c r="C431" t="s">
        <v>2963</v>
      </c>
      <c r="D431" t="s">
        <v>2964</v>
      </c>
      <c r="E431" t="s">
        <v>2670</v>
      </c>
      <c r="F431" t="s">
        <v>2636</v>
      </c>
      <c r="G431" t="s">
        <v>2965</v>
      </c>
      <c r="H431" s="74">
        <v>34851</v>
      </c>
      <c r="I431" s="68" t="s">
        <v>2653</v>
      </c>
      <c r="J431" s="68" t="s">
        <v>2555</v>
      </c>
      <c r="K431" s="68" t="s">
        <v>2548</v>
      </c>
      <c r="L431" t="s">
        <v>1759</v>
      </c>
      <c r="M431" t="s">
        <v>2966</v>
      </c>
      <c r="N431" t="s">
        <v>1648</v>
      </c>
      <c r="O431" t="s">
        <v>1949</v>
      </c>
      <c r="R431" t="s">
        <v>2967</v>
      </c>
    </row>
    <row r="432" spans="1:18" x14ac:dyDescent="0.25">
      <c r="A432" t="s">
        <v>1186</v>
      </c>
      <c r="B432" t="s">
        <v>1613</v>
      </c>
      <c r="C432" t="s">
        <v>3156</v>
      </c>
      <c r="D432" t="s">
        <v>3180</v>
      </c>
      <c r="E432" t="s">
        <v>2546</v>
      </c>
      <c r="F432" t="s">
        <v>2584</v>
      </c>
      <c r="G432" t="s">
        <v>3181</v>
      </c>
      <c r="H432" s="74">
        <v>36069</v>
      </c>
      <c r="I432" s="68" t="s">
        <v>2546</v>
      </c>
      <c r="J432" s="68" t="s">
        <v>2555</v>
      </c>
      <c r="K432" s="68" t="s">
        <v>2548</v>
      </c>
      <c r="L432" t="s">
        <v>1825</v>
      </c>
      <c r="M432" t="s">
        <v>3182</v>
      </c>
      <c r="N432" t="s">
        <v>1648</v>
      </c>
      <c r="O432" t="s">
        <v>1949</v>
      </c>
      <c r="R432" t="s">
        <v>3183</v>
      </c>
    </row>
    <row r="433" spans="1:18" x14ac:dyDescent="0.25">
      <c r="A433" t="s">
        <v>1188</v>
      </c>
      <c r="B433" t="s">
        <v>1585</v>
      </c>
      <c r="C433" t="s">
        <v>3262</v>
      </c>
      <c r="D433" t="s">
        <v>3263</v>
      </c>
      <c r="E433" t="s">
        <v>2543</v>
      </c>
      <c r="F433" t="s">
        <v>2544</v>
      </c>
      <c r="G433" t="s">
        <v>3264</v>
      </c>
      <c r="H433" s="74">
        <v>35970</v>
      </c>
      <c r="I433" s="68" t="s">
        <v>2546</v>
      </c>
      <c r="J433" s="68" t="s">
        <v>2555</v>
      </c>
      <c r="K433" s="68" t="s">
        <v>2548</v>
      </c>
      <c r="L433" t="s">
        <v>1735</v>
      </c>
      <c r="M433" t="s">
        <v>3265</v>
      </c>
      <c r="N433" t="s">
        <v>1647</v>
      </c>
      <c r="O433" t="s">
        <v>1949</v>
      </c>
      <c r="R433" t="s">
        <v>3266</v>
      </c>
    </row>
    <row r="434" spans="1:18" x14ac:dyDescent="0.25">
      <c r="A434" t="s">
        <v>1253</v>
      </c>
      <c r="B434" t="s">
        <v>1608</v>
      </c>
      <c r="C434" t="s">
        <v>3431</v>
      </c>
      <c r="D434" t="s">
        <v>3451</v>
      </c>
      <c r="E434" t="s">
        <v>2599</v>
      </c>
      <c r="F434" t="s">
        <v>2584</v>
      </c>
      <c r="G434" t="s">
        <v>3452</v>
      </c>
      <c r="H434" s="74">
        <v>35429</v>
      </c>
      <c r="I434" s="68" t="s">
        <v>2599</v>
      </c>
      <c r="J434" s="68" t="s">
        <v>2555</v>
      </c>
      <c r="K434" s="68" t="s">
        <v>2548</v>
      </c>
      <c r="L434" t="s">
        <v>1742</v>
      </c>
      <c r="M434" t="s">
        <v>3453</v>
      </c>
      <c r="N434" t="s">
        <v>1647</v>
      </c>
      <c r="O434" t="s">
        <v>1949</v>
      </c>
      <c r="R434" t="s">
        <v>3454</v>
      </c>
    </row>
    <row r="435" spans="1:18" x14ac:dyDescent="0.25">
      <c r="A435" t="s">
        <v>1169</v>
      </c>
      <c r="B435" t="s">
        <v>1611</v>
      </c>
      <c r="C435" t="s">
        <v>3492</v>
      </c>
      <c r="D435" t="s">
        <v>3500</v>
      </c>
      <c r="E435" t="s">
        <v>2586</v>
      </c>
      <c r="F435" t="s">
        <v>2560</v>
      </c>
      <c r="G435" t="s">
        <v>3501</v>
      </c>
      <c r="H435" s="74">
        <v>35770</v>
      </c>
      <c r="I435" s="68" t="s">
        <v>2546</v>
      </c>
      <c r="J435" s="68" t="s">
        <v>2555</v>
      </c>
      <c r="K435" s="68" t="s">
        <v>2548</v>
      </c>
      <c r="L435" t="s">
        <v>1663</v>
      </c>
      <c r="M435" t="s">
        <v>2859</v>
      </c>
      <c r="N435" t="s">
        <v>1647</v>
      </c>
      <c r="O435" t="s">
        <v>1949</v>
      </c>
      <c r="R435" t="s">
        <v>3502</v>
      </c>
    </row>
    <row r="436" spans="1:18" x14ac:dyDescent="0.25">
      <c r="A436" t="s">
        <v>10</v>
      </c>
      <c r="B436" t="s">
        <v>1614</v>
      </c>
      <c r="C436" t="s">
        <v>3526</v>
      </c>
      <c r="D436" t="s">
        <v>3538</v>
      </c>
      <c r="E436" t="s">
        <v>2552</v>
      </c>
      <c r="F436" t="s">
        <v>2544</v>
      </c>
      <c r="G436" t="s">
        <v>3539</v>
      </c>
      <c r="H436" s="74">
        <v>37621</v>
      </c>
      <c r="I436" s="68" t="s">
        <v>2554</v>
      </c>
      <c r="J436" s="68" t="s">
        <v>2555</v>
      </c>
      <c r="K436" s="68" t="s">
        <v>2548</v>
      </c>
      <c r="L436" t="s">
        <v>1680</v>
      </c>
      <c r="M436" t="s">
        <v>3517</v>
      </c>
      <c r="N436" t="s">
        <v>1647</v>
      </c>
      <c r="O436" t="s">
        <v>1949</v>
      </c>
      <c r="R436" t="s">
        <v>3540</v>
      </c>
    </row>
    <row r="437" spans="1:18" x14ac:dyDescent="0.25">
      <c r="A437" t="s">
        <v>1178</v>
      </c>
      <c r="B437" t="s">
        <v>1584</v>
      </c>
      <c r="C437" t="s">
        <v>3558</v>
      </c>
      <c r="D437" t="s">
        <v>3581</v>
      </c>
      <c r="E437" t="s">
        <v>2546</v>
      </c>
      <c r="F437" t="s">
        <v>2584</v>
      </c>
      <c r="G437" t="s">
        <v>3582</v>
      </c>
      <c r="H437" s="74">
        <v>36908</v>
      </c>
      <c r="I437" s="68" t="s">
        <v>2586</v>
      </c>
      <c r="J437" s="68" t="s">
        <v>2555</v>
      </c>
      <c r="K437" s="68" t="s">
        <v>2548</v>
      </c>
      <c r="L437" t="s">
        <v>1679</v>
      </c>
      <c r="M437" t="s">
        <v>3583</v>
      </c>
      <c r="N437" t="s">
        <v>1646</v>
      </c>
      <c r="O437" t="s">
        <v>1950</v>
      </c>
      <c r="R437" t="s">
        <v>3584</v>
      </c>
    </row>
    <row r="438" spans="1:18" x14ac:dyDescent="0.25">
      <c r="A438" t="s">
        <v>1180</v>
      </c>
      <c r="B438" t="s">
        <v>1587</v>
      </c>
      <c r="C438" t="s">
        <v>3604</v>
      </c>
      <c r="D438" t="s">
        <v>3627</v>
      </c>
      <c r="E438" t="s">
        <v>2552</v>
      </c>
      <c r="F438" t="s">
        <v>2636</v>
      </c>
      <c r="G438" t="s">
        <v>3628</v>
      </c>
      <c r="H438" s="74">
        <v>37060</v>
      </c>
      <c r="I438" s="68" t="s">
        <v>2586</v>
      </c>
      <c r="J438" s="68" t="s">
        <v>2555</v>
      </c>
      <c r="K438" s="68" t="s">
        <v>2548</v>
      </c>
      <c r="L438" t="s">
        <v>1667</v>
      </c>
      <c r="M438" t="s">
        <v>3550</v>
      </c>
      <c r="N438" t="s">
        <v>43</v>
      </c>
      <c r="O438" t="s">
        <v>1949</v>
      </c>
      <c r="R438" t="s">
        <v>3629</v>
      </c>
    </row>
    <row r="439" spans="1:18" x14ac:dyDescent="0.25">
      <c r="A439" t="s">
        <v>1127</v>
      </c>
      <c r="B439" t="s">
        <v>1591</v>
      </c>
      <c r="C439" t="s">
        <v>3633</v>
      </c>
      <c r="D439" t="s">
        <v>3657</v>
      </c>
      <c r="E439" t="s">
        <v>2546</v>
      </c>
      <c r="F439" t="s">
        <v>2544</v>
      </c>
      <c r="G439" t="s">
        <v>3658</v>
      </c>
      <c r="H439" s="74">
        <v>36584</v>
      </c>
      <c r="I439" s="68" t="s">
        <v>2579</v>
      </c>
      <c r="J439" s="68" t="s">
        <v>2555</v>
      </c>
      <c r="K439" s="68" t="s">
        <v>2548</v>
      </c>
      <c r="L439" t="s">
        <v>1691</v>
      </c>
      <c r="M439" t="s">
        <v>2961</v>
      </c>
      <c r="N439" t="s">
        <v>1627</v>
      </c>
      <c r="O439" t="s">
        <v>1950</v>
      </c>
      <c r="R439" t="s">
        <v>3659</v>
      </c>
    </row>
    <row r="440" spans="1:18" x14ac:dyDescent="0.25">
      <c r="A440" t="s">
        <v>1131</v>
      </c>
      <c r="B440" t="s">
        <v>1594</v>
      </c>
      <c r="C440" t="s">
        <v>3663</v>
      </c>
      <c r="D440" t="s">
        <v>3677</v>
      </c>
      <c r="E440" t="s">
        <v>2627</v>
      </c>
      <c r="F440" t="s">
        <v>2560</v>
      </c>
      <c r="G440" t="s">
        <v>3678</v>
      </c>
      <c r="H440" s="74">
        <v>35929</v>
      </c>
      <c r="I440" s="68" t="s">
        <v>2546</v>
      </c>
      <c r="J440" s="68" t="s">
        <v>2555</v>
      </c>
      <c r="K440" s="68" t="s">
        <v>2548</v>
      </c>
      <c r="L440" t="s">
        <v>1667</v>
      </c>
      <c r="M440" t="s">
        <v>3550</v>
      </c>
      <c r="N440" t="s">
        <v>43</v>
      </c>
      <c r="O440" t="s">
        <v>1949</v>
      </c>
      <c r="R440" t="s">
        <v>3679</v>
      </c>
    </row>
    <row r="441" spans="1:18" x14ac:dyDescent="0.25">
      <c r="A441" t="s">
        <v>1238</v>
      </c>
      <c r="B441" t="s">
        <v>1602</v>
      </c>
      <c r="C441" t="s">
        <v>3732</v>
      </c>
      <c r="D441" t="s">
        <v>3754</v>
      </c>
      <c r="E441" t="s">
        <v>2579</v>
      </c>
      <c r="F441" t="s">
        <v>2560</v>
      </c>
      <c r="G441" t="s">
        <v>3755</v>
      </c>
      <c r="H441" s="74">
        <v>35160</v>
      </c>
      <c r="I441" s="68" t="s">
        <v>2552</v>
      </c>
      <c r="J441" s="68" t="s">
        <v>2555</v>
      </c>
      <c r="K441" s="68" t="s">
        <v>2548</v>
      </c>
      <c r="L441" t="s">
        <v>1752</v>
      </c>
      <c r="M441" t="s">
        <v>3756</v>
      </c>
      <c r="N441" t="s">
        <v>1628</v>
      </c>
      <c r="O441" t="s">
        <v>1950</v>
      </c>
      <c r="R441" t="s">
        <v>3757</v>
      </c>
    </row>
    <row r="442" spans="1:18" x14ac:dyDescent="0.25">
      <c r="A442" t="s">
        <v>1238</v>
      </c>
      <c r="B442" t="s">
        <v>1602</v>
      </c>
      <c r="C442" t="s">
        <v>3732</v>
      </c>
      <c r="D442" t="s">
        <v>3758</v>
      </c>
      <c r="E442" t="s">
        <v>2546</v>
      </c>
      <c r="F442" t="s">
        <v>2544</v>
      </c>
      <c r="G442" t="s">
        <v>3759</v>
      </c>
      <c r="H442" s="74">
        <v>34242</v>
      </c>
      <c r="I442" s="68" t="s">
        <v>2633</v>
      </c>
      <c r="J442" s="68" t="s">
        <v>2555</v>
      </c>
      <c r="K442" s="68" t="s">
        <v>2548</v>
      </c>
      <c r="L442" t="s">
        <v>1912</v>
      </c>
      <c r="M442" t="s">
        <v>3760</v>
      </c>
      <c r="N442" t="s">
        <v>1628</v>
      </c>
      <c r="O442" t="s">
        <v>1950</v>
      </c>
      <c r="R442" t="s">
        <v>3761</v>
      </c>
    </row>
    <row r="443" spans="1:18" x14ac:dyDescent="0.25">
      <c r="A443" t="s">
        <v>1256</v>
      </c>
      <c r="B443" t="s">
        <v>1588</v>
      </c>
      <c r="C443" t="s">
        <v>2640</v>
      </c>
      <c r="D443" t="s">
        <v>3907</v>
      </c>
      <c r="E443" t="s">
        <v>2552</v>
      </c>
      <c r="F443" t="s">
        <v>2584</v>
      </c>
      <c r="G443" t="s">
        <v>3908</v>
      </c>
      <c r="H443" s="74">
        <v>36863</v>
      </c>
      <c r="I443" s="68" t="s">
        <v>2586</v>
      </c>
      <c r="J443" s="68" t="s">
        <v>2555</v>
      </c>
      <c r="K443" s="68" t="s">
        <v>2547</v>
      </c>
      <c r="L443" t="s">
        <v>1845</v>
      </c>
      <c r="M443" t="s">
        <v>3909</v>
      </c>
      <c r="N443" t="s">
        <v>1648</v>
      </c>
      <c r="O443" t="s">
        <v>1949</v>
      </c>
      <c r="R443" t="s">
        <v>3910</v>
      </c>
    </row>
    <row r="444" spans="1:18" x14ac:dyDescent="0.25">
      <c r="A444" t="s">
        <v>1294</v>
      </c>
      <c r="B444" t="s">
        <v>1590</v>
      </c>
      <c r="C444" t="s">
        <v>2717</v>
      </c>
      <c r="D444" t="s">
        <v>3918</v>
      </c>
      <c r="E444" t="s">
        <v>2599</v>
      </c>
      <c r="F444" t="s">
        <v>2584</v>
      </c>
      <c r="G444" t="s">
        <v>3919</v>
      </c>
      <c r="H444" s="74">
        <v>37175</v>
      </c>
      <c r="I444" s="68" t="s">
        <v>2586</v>
      </c>
      <c r="J444" s="68" t="s">
        <v>2555</v>
      </c>
      <c r="K444" s="68" t="s">
        <v>2547</v>
      </c>
      <c r="L444" t="s">
        <v>1911</v>
      </c>
      <c r="M444" t="s">
        <v>3920</v>
      </c>
      <c r="N444" t="s">
        <v>1648</v>
      </c>
      <c r="O444" t="s">
        <v>1949</v>
      </c>
      <c r="R444" t="s">
        <v>3921</v>
      </c>
    </row>
    <row r="445" spans="1:18" x14ac:dyDescent="0.25">
      <c r="A445" t="s">
        <v>1167</v>
      </c>
      <c r="B445" t="s">
        <v>1610</v>
      </c>
      <c r="C445" t="s">
        <v>3301</v>
      </c>
      <c r="D445" t="s">
        <v>3983</v>
      </c>
      <c r="E445" t="s">
        <v>2610</v>
      </c>
      <c r="F445" t="s">
        <v>2544</v>
      </c>
      <c r="G445" t="s">
        <v>3984</v>
      </c>
      <c r="H445" s="74">
        <v>36556</v>
      </c>
      <c r="I445" s="68" t="s">
        <v>2579</v>
      </c>
      <c r="J445" s="68" t="s">
        <v>2555</v>
      </c>
      <c r="K445" s="68" t="s">
        <v>2547</v>
      </c>
      <c r="L445" t="s">
        <v>1721</v>
      </c>
      <c r="M445" t="s">
        <v>3495</v>
      </c>
      <c r="N445" t="s">
        <v>1647</v>
      </c>
      <c r="O445" t="s">
        <v>1949</v>
      </c>
      <c r="R445" t="s">
        <v>3985</v>
      </c>
    </row>
    <row r="446" spans="1:18" x14ac:dyDescent="0.25">
      <c r="A446" t="s">
        <v>1167</v>
      </c>
      <c r="B446" t="s">
        <v>1610</v>
      </c>
      <c r="C446" t="s">
        <v>3301</v>
      </c>
      <c r="D446" t="s">
        <v>4001</v>
      </c>
      <c r="E446" t="s">
        <v>2566</v>
      </c>
      <c r="F446" t="s">
        <v>2636</v>
      </c>
      <c r="G446" t="s">
        <v>4002</v>
      </c>
      <c r="H446" s="74">
        <v>37449</v>
      </c>
      <c r="I446" s="68" t="s">
        <v>2670</v>
      </c>
      <c r="J446" s="68" t="s">
        <v>2555</v>
      </c>
      <c r="K446" s="68" t="s">
        <v>2547</v>
      </c>
      <c r="L446" t="s">
        <v>1726</v>
      </c>
      <c r="M446" t="s">
        <v>2926</v>
      </c>
      <c r="N446" t="s">
        <v>1647</v>
      </c>
      <c r="O446" t="s">
        <v>1949</v>
      </c>
      <c r="R446" t="s">
        <v>4003</v>
      </c>
    </row>
    <row r="447" spans="1:18" x14ac:dyDescent="0.25">
      <c r="A447" t="s">
        <v>1244</v>
      </c>
      <c r="B447" t="s">
        <v>1597</v>
      </c>
      <c r="C447" t="s">
        <v>2876</v>
      </c>
      <c r="D447" t="s">
        <v>4034</v>
      </c>
      <c r="E447" t="s">
        <v>2543</v>
      </c>
      <c r="F447" t="s">
        <v>2544</v>
      </c>
      <c r="G447" t="s">
        <v>4035</v>
      </c>
      <c r="H447" s="74">
        <v>36267</v>
      </c>
      <c r="I447" s="68" t="s">
        <v>2627</v>
      </c>
      <c r="J447" s="68" t="s">
        <v>2555</v>
      </c>
      <c r="K447" s="68" t="s">
        <v>2547</v>
      </c>
      <c r="L447" t="s">
        <v>1802</v>
      </c>
      <c r="M447" t="s">
        <v>2863</v>
      </c>
      <c r="N447" t="s">
        <v>1648</v>
      </c>
      <c r="O447" t="s">
        <v>1949</v>
      </c>
      <c r="R447" t="s">
        <v>4036</v>
      </c>
    </row>
    <row r="448" spans="1:18" x14ac:dyDescent="0.25">
      <c r="A448" t="s">
        <v>10</v>
      </c>
      <c r="B448" t="s">
        <v>1614</v>
      </c>
      <c r="C448" t="s">
        <v>3526</v>
      </c>
      <c r="D448" t="s">
        <v>4245</v>
      </c>
      <c r="E448" t="s">
        <v>2554</v>
      </c>
      <c r="F448" t="s">
        <v>2636</v>
      </c>
      <c r="G448" t="s">
        <v>4246</v>
      </c>
      <c r="H448" s="74">
        <v>35881</v>
      </c>
      <c r="I448" s="68" t="s">
        <v>2546</v>
      </c>
      <c r="J448" s="68" t="s">
        <v>2555</v>
      </c>
      <c r="K448" s="68" t="s">
        <v>2547</v>
      </c>
      <c r="L448" t="s">
        <v>1822</v>
      </c>
      <c r="M448" t="s">
        <v>4247</v>
      </c>
      <c r="N448" t="s">
        <v>1647</v>
      </c>
      <c r="O448" t="s">
        <v>1949</v>
      </c>
      <c r="R448" t="s">
        <v>4248</v>
      </c>
    </row>
    <row r="449" spans="1:18" x14ac:dyDescent="0.25">
      <c r="A449" t="s">
        <v>1291</v>
      </c>
      <c r="B449" t="s">
        <v>1589</v>
      </c>
      <c r="C449" t="s">
        <v>2590</v>
      </c>
      <c r="D449" t="s">
        <v>2631</v>
      </c>
      <c r="E449" t="s">
        <v>2543</v>
      </c>
      <c r="F449" t="s">
        <v>2544</v>
      </c>
      <c r="G449" t="s">
        <v>2632</v>
      </c>
      <c r="H449" s="74">
        <v>35566</v>
      </c>
      <c r="I449" s="68" t="s">
        <v>2599</v>
      </c>
      <c r="J449" s="68" t="s">
        <v>2633</v>
      </c>
      <c r="K449" s="68" t="s">
        <v>2548</v>
      </c>
      <c r="L449" t="s">
        <v>1682</v>
      </c>
      <c r="M449" t="s">
        <v>2596</v>
      </c>
      <c r="N449" t="s">
        <v>1648</v>
      </c>
      <c r="O449" t="s">
        <v>1949</v>
      </c>
      <c r="R449" t="s">
        <v>2634</v>
      </c>
    </row>
    <row r="450" spans="1:18" x14ac:dyDescent="0.25">
      <c r="A450" t="s">
        <v>1124</v>
      </c>
      <c r="B450" t="s">
        <v>1586</v>
      </c>
      <c r="C450" t="s">
        <v>2541</v>
      </c>
      <c r="D450" t="s">
        <v>3861</v>
      </c>
      <c r="E450" t="s">
        <v>2554</v>
      </c>
      <c r="F450" t="s">
        <v>2544</v>
      </c>
      <c r="G450" t="s">
        <v>3862</v>
      </c>
      <c r="H450" s="74">
        <v>34804</v>
      </c>
      <c r="I450" s="68" t="s">
        <v>2653</v>
      </c>
      <c r="J450" s="68" t="s">
        <v>2633</v>
      </c>
      <c r="K450" s="68" t="s">
        <v>2547</v>
      </c>
      <c r="L450" t="s">
        <v>1705</v>
      </c>
      <c r="M450" t="s">
        <v>3572</v>
      </c>
      <c r="N450" t="s">
        <v>1648</v>
      </c>
      <c r="O450" t="s">
        <v>1949</v>
      </c>
      <c r="R450" t="s">
        <v>3863</v>
      </c>
    </row>
    <row r="451" spans="1:18" x14ac:dyDescent="0.25">
      <c r="A451" t="s">
        <v>1211</v>
      </c>
      <c r="B451" t="s">
        <v>1599</v>
      </c>
      <c r="C451" t="s">
        <v>3330</v>
      </c>
      <c r="D451" t="s">
        <v>4080</v>
      </c>
      <c r="E451" t="s">
        <v>2614</v>
      </c>
      <c r="F451" t="s">
        <v>2544</v>
      </c>
      <c r="G451" t="s">
        <v>4081</v>
      </c>
      <c r="H451" s="74">
        <v>36104</v>
      </c>
      <c r="I451" s="68" t="s">
        <v>2546</v>
      </c>
      <c r="J451" s="68" t="s">
        <v>2633</v>
      </c>
      <c r="K451" s="68" t="s">
        <v>2547</v>
      </c>
      <c r="L451" t="s">
        <v>1667</v>
      </c>
      <c r="M451" t="s">
        <v>3550</v>
      </c>
      <c r="N451" t="s">
        <v>1647</v>
      </c>
      <c r="O451" t="s">
        <v>1949</v>
      </c>
      <c r="R451" t="s">
        <v>4082</v>
      </c>
    </row>
    <row r="452" spans="1:18" x14ac:dyDescent="0.25">
      <c r="A452" t="s">
        <v>1164</v>
      </c>
      <c r="B452" t="s">
        <v>1609</v>
      </c>
      <c r="C452" t="s">
        <v>3081</v>
      </c>
      <c r="D452" t="s">
        <v>4194</v>
      </c>
      <c r="E452" t="s">
        <v>2601</v>
      </c>
      <c r="F452" t="s">
        <v>2584</v>
      </c>
      <c r="G452" t="s">
        <v>4195</v>
      </c>
      <c r="H452" s="74">
        <v>35257</v>
      </c>
      <c r="I452" s="68" t="s">
        <v>2552</v>
      </c>
      <c r="J452" s="68" t="s">
        <v>2633</v>
      </c>
      <c r="K452" s="68" t="s">
        <v>2547</v>
      </c>
      <c r="L452" t="s">
        <v>1906</v>
      </c>
      <c r="M452" t="s">
        <v>4196</v>
      </c>
      <c r="N452" t="s">
        <v>1648</v>
      </c>
      <c r="O452" t="s">
        <v>1949</v>
      </c>
      <c r="R452" t="s">
        <v>4197</v>
      </c>
    </row>
    <row r="453" spans="1:18" x14ac:dyDescent="0.25">
      <c r="A453" t="s">
        <v>1135</v>
      </c>
      <c r="B453" t="s">
        <v>1595</v>
      </c>
      <c r="C453" t="s">
        <v>3694</v>
      </c>
      <c r="D453" t="s">
        <v>4432</v>
      </c>
      <c r="E453" t="s">
        <v>2601</v>
      </c>
      <c r="F453" t="s">
        <v>2584</v>
      </c>
      <c r="G453" t="s">
        <v>4433</v>
      </c>
      <c r="H453" s="74">
        <v>34792</v>
      </c>
      <c r="I453" s="68" t="s">
        <v>2653</v>
      </c>
      <c r="J453" s="68" t="s">
        <v>2633</v>
      </c>
      <c r="K453" s="68" t="s">
        <v>2587</v>
      </c>
      <c r="L453" t="s">
        <v>1664</v>
      </c>
      <c r="M453" t="s">
        <v>3397</v>
      </c>
      <c r="N453" t="s">
        <v>1617</v>
      </c>
      <c r="O453" t="s">
        <v>1950</v>
      </c>
      <c r="R453" t="s">
        <v>4434</v>
      </c>
    </row>
    <row r="454" spans="1:18" x14ac:dyDescent="0.25">
      <c r="A454" t="s">
        <v>1153</v>
      </c>
      <c r="B454" t="s">
        <v>1603</v>
      </c>
      <c r="C454" t="s">
        <v>3776</v>
      </c>
      <c r="D454" t="s">
        <v>4510</v>
      </c>
      <c r="E454" t="s">
        <v>2651</v>
      </c>
      <c r="F454" t="s">
        <v>2544</v>
      </c>
      <c r="G454" t="s">
        <v>4511</v>
      </c>
      <c r="H454" s="74">
        <v>34748</v>
      </c>
      <c r="I454" s="68" t="s">
        <v>2653</v>
      </c>
      <c r="J454" s="68" t="s">
        <v>2633</v>
      </c>
      <c r="K454" s="68" t="s">
        <v>2555</v>
      </c>
      <c r="L454" t="s">
        <v>1655</v>
      </c>
      <c r="M454" t="s">
        <v>3607</v>
      </c>
      <c r="N454" t="s">
        <v>43</v>
      </c>
      <c r="O454" t="s">
        <v>1949</v>
      </c>
      <c r="R454" t="s">
        <v>4512</v>
      </c>
    </row>
    <row r="455" spans="1:18" x14ac:dyDescent="0.25">
      <c r="A455" t="s">
        <v>1188</v>
      </c>
      <c r="B455" t="s">
        <v>1585</v>
      </c>
      <c r="C455" t="s">
        <v>3262</v>
      </c>
      <c r="D455" t="s">
        <v>4593</v>
      </c>
      <c r="E455" t="s">
        <v>2681</v>
      </c>
      <c r="F455" t="s">
        <v>2636</v>
      </c>
      <c r="G455" t="s">
        <v>4594</v>
      </c>
      <c r="H455" s="74">
        <v>34957</v>
      </c>
      <c r="I455" s="68" t="s">
        <v>2653</v>
      </c>
      <c r="J455" s="68" t="s">
        <v>2633</v>
      </c>
      <c r="K455" s="68" t="s">
        <v>2608</v>
      </c>
      <c r="L455" t="s">
        <v>1835</v>
      </c>
      <c r="M455" t="s">
        <v>4595</v>
      </c>
      <c r="N455" t="s">
        <v>1647</v>
      </c>
      <c r="O455" t="s">
        <v>1949</v>
      </c>
      <c r="R455" t="s">
        <v>4596</v>
      </c>
    </row>
    <row r="456" spans="1:18" x14ac:dyDescent="0.25">
      <c r="A456" t="s">
        <v>1211</v>
      </c>
      <c r="B456" t="s">
        <v>1599</v>
      </c>
      <c r="C456" t="s">
        <v>3330</v>
      </c>
      <c r="D456" t="s">
        <v>4681</v>
      </c>
      <c r="E456" t="s">
        <v>2608</v>
      </c>
      <c r="F456" t="s">
        <v>2584</v>
      </c>
      <c r="G456" t="s">
        <v>4682</v>
      </c>
      <c r="H456" s="74">
        <v>35962</v>
      </c>
      <c r="I456" s="68" t="s">
        <v>2546</v>
      </c>
      <c r="J456" s="68" t="s">
        <v>2633</v>
      </c>
      <c r="K456" s="68" t="s">
        <v>2555</v>
      </c>
      <c r="L456" t="s">
        <v>1700</v>
      </c>
      <c r="M456" t="s">
        <v>2870</v>
      </c>
      <c r="N456" t="s">
        <v>1647</v>
      </c>
      <c r="O456" t="s">
        <v>1949</v>
      </c>
      <c r="R456" t="s">
        <v>4683</v>
      </c>
    </row>
    <row r="457" spans="1:18" x14ac:dyDescent="0.25">
      <c r="A457" t="s">
        <v>10</v>
      </c>
      <c r="B457" t="s">
        <v>1614</v>
      </c>
      <c r="C457" t="s">
        <v>3526</v>
      </c>
      <c r="D457" t="s">
        <v>4860</v>
      </c>
      <c r="E457" t="s">
        <v>2610</v>
      </c>
      <c r="F457" t="s">
        <v>2544</v>
      </c>
      <c r="G457" t="s">
        <v>4861</v>
      </c>
      <c r="H457" s="74">
        <v>33889</v>
      </c>
      <c r="I457" s="68" t="s">
        <v>2562</v>
      </c>
      <c r="J457" s="68" t="s">
        <v>2633</v>
      </c>
      <c r="K457" s="68" t="s">
        <v>2555</v>
      </c>
      <c r="L457" t="s">
        <v>1897</v>
      </c>
      <c r="M457" t="s">
        <v>4862</v>
      </c>
      <c r="N457" t="s">
        <v>1647</v>
      </c>
      <c r="O457" t="s">
        <v>1949</v>
      </c>
      <c r="R457" t="s">
        <v>4863</v>
      </c>
    </row>
    <row r="458" spans="1:18" x14ac:dyDescent="0.25">
      <c r="A458" t="s">
        <v>10</v>
      </c>
      <c r="B458" t="s">
        <v>1614</v>
      </c>
      <c r="C458" t="s">
        <v>3526</v>
      </c>
      <c r="D458" t="s">
        <v>4881</v>
      </c>
      <c r="E458" t="s">
        <v>2651</v>
      </c>
      <c r="F458" t="s">
        <v>2544</v>
      </c>
      <c r="G458" t="s">
        <v>4882</v>
      </c>
      <c r="H458" s="74">
        <v>35650</v>
      </c>
      <c r="I458" s="68" t="s">
        <v>2599</v>
      </c>
      <c r="J458" s="68" t="s">
        <v>2633</v>
      </c>
      <c r="K458" s="68" t="s">
        <v>2587</v>
      </c>
      <c r="L458" t="s">
        <v>1683</v>
      </c>
      <c r="M458" t="s">
        <v>4258</v>
      </c>
      <c r="N458" t="s">
        <v>1647</v>
      </c>
      <c r="O458" t="s">
        <v>1949</v>
      </c>
      <c r="R458" t="s">
        <v>4883</v>
      </c>
    </row>
    <row r="459" spans="1:18" x14ac:dyDescent="0.25">
      <c r="A459" t="s">
        <v>1230</v>
      </c>
      <c r="B459" t="s">
        <v>1606</v>
      </c>
      <c r="C459" t="s">
        <v>3035</v>
      </c>
      <c r="D459" t="s">
        <v>5313</v>
      </c>
      <c r="E459" t="s">
        <v>2601</v>
      </c>
      <c r="F459" t="s">
        <v>2544</v>
      </c>
      <c r="G459" t="s">
        <v>5314</v>
      </c>
      <c r="H459" s="74">
        <v>36397</v>
      </c>
      <c r="I459" s="68" t="s">
        <v>2627</v>
      </c>
      <c r="J459" s="68" t="s">
        <v>2633</v>
      </c>
      <c r="K459" s="68" t="s">
        <v>2587</v>
      </c>
      <c r="L459" t="s">
        <v>1723</v>
      </c>
      <c r="M459" t="s">
        <v>3063</v>
      </c>
      <c r="N459" t="s">
        <v>1648</v>
      </c>
      <c r="O459" t="s">
        <v>1949</v>
      </c>
      <c r="R459" t="s">
        <v>5315</v>
      </c>
    </row>
    <row r="460" spans="1:18" x14ac:dyDescent="0.25">
      <c r="A460" t="s">
        <v>1164</v>
      </c>
      <c r="B460" t="s">
        <v>1609</v>
      </c>
      <c r="C460" t="s">
        <v>3081</v>
      </c>
      <c r="D460" t="s">
        <v>5353</v>
      </c>
      <c r="E460" t="s">
        <v>2681</v>
      </c>
      <c r="F460" t="s">
        <v>2636</v>
      </c>
      <c r="G460" t="s">
        <v>5354</v>
      </c>
      <c r="H460" s="74">
        <v>35787</v>
      </c>
      <c r="I460" s="68" t="s">
        <v>2546</v>
      </c>
      <c r="J460" s="68" t="s">
        <v>2633</v>
      </c>
      <c r="K460" s="68" t="s">
        <v>2776</v>
      </c>
      <c r="L460" t="s">
        <v>1711</v>
      </c>
      <c r="M460" t="s">
        <v>3401</v>
      </c>
      <c r="N460" t="s">
        <v>1648</v>
      </c>
      <c r="O460" t="s">
        <v>1949</v>
      </c>
      <c r="R460" t="s">
        <v>5355</v>
      </c>
    </row>
    <row r="461" spans="1:18" x14ac:dyDescent="0.25">
      <c r="A461" t="s">
        <v>1239</v>
      </c>
      <c r="B461" t="s">
        <v>1612</v>
      </c>
      <c r="C461" t="s">
        <v>3123</v>
      </c>
      <c r="D461" t="s">
        <v>5381</v>
      </c>
      <c r="E461" t="s">
        <v>2554</v>
      </c>
      <c r="F461" t="s">
        <v>2636</v>
      </c>
      <c r="G461" t="s">
        <v>5382</v>
      </c>
      <c r="H461" s="74">
        <v>34012</v>
      </c>
      <c r="I461" s="68" t="s">
        <v>2633</v>
      </c>
      <c r="J461" s="68" t="s">
        <v>2633</v>
      </c>
      <c r="K461" s="68" t="s">
        <v>2776</v>
      </c>
      <c r="L461" t="s">
        <v>1947</v>
      </c>
      <c r="M461" t="s">
        <v>5383</v>
      </c>
      <c r="N461" t="s">
        <v>1648</v>
      </c>
      <c r="O461" t="s">
        <v>1949</v>
      </c>
      <c r="R461" t="s">
        <v>5384</v>
      </c>
    </row>
    <row r="462" spans="1:18" x14ac:dyDescent="0.25">
      <c r="A462" t="s">
        <v>1164</v>
      </c>
      <c r="B462" t="s">
        <v>1609</v>
      </c>
      <c r="C462" t="s">
        <v>3081</v>
      </c>
      <c r="D462" t="s">
        <v>3090</v>
      </c>
      <c r="E462" t="s">
        <v>2566</v>
      </c>
      <c r="F462" t="s">
        <v>2560</v>
      </c>
      <c r="G462" t="s">
        <v>3091</v>
      </c>
      <c r="H462" s="74">
        <v>35003</v>
      </c>
      <c r="I462" s="68" t="s">
        <v>2653</v>
      </c>
      <c r="J462" s="68" t="s">
        <v>2594</v>
      </c>
      <c r="K462" s="68" t="s">
        <v>2548</v>
      </c>
      <c r="L462" t="s">
        <v>1790</v>
      </c>
      <c r="M462" t="s">
        <v>3092</v>
      </c>
      <c r="N462" t="s">
        <v>1648</v>
      </c>
      <c r="O462" t="s">
        <v>1949</v>
      </c>
      <c r="R462" t="s">
        <v>3093</v>
      </c>
    </row>
    <row r="463" spans="1:18" x14ac:dyDescent="0.25">
      <c r="A463" t="s">
        <v>1180</v>
      </c>
      <c r="B463" t="s">
        <v>1587</v>
      </c>
      <c r="C463" t="s">
        <v>3604</v>
      </c>
      <c r="D463" t="s">
        <v>3617</v>
      </c>
      <c r="E463" t="s">
        <v>2610</v>
      </c>
      <c r="F463" t="s">
        <v>2584</v>
      </c>
      <c r="G463" t="s">
        <v>3618</v>
      </c>
      <c r="H463" s="74">
        <v>34265</v>
      </c>
      <c r="I463" s="68" t="s">
        <v>2633</v>
      </c>
      <c r="J463" s="68" t="s">
        <v>2594</v>
      </c>
      <c r="K463" s="68" t="s">
        <v>2548</v>
      </c>
      <c r="L463" t="s">
        <v>1676</v>
      </c>
      <c r="M463" t="s">
        <v>3615</v>
      </c>
      <c r="N463" t="s">
        <v>43</v>
      </c>
      <c r="O463" t="s">
        <v>1949</v>
      </c>
      <c r="R463" t="s">
        <v>3619</v>
      </c>
    </row>
    <row r="464" spans="1:18" x14ac:dyDescent="0.25">
      <c r="A464" t="s">
        <v>1180</v>
      </c>
      <c r="B464" t="s">
        <v>1587</v>
      </c>
      <c r="C464" t="s">
        <v>3604</v>
      </c>
      <c r="D464" t="s">
        <v>3624</v>
      </c>
      <c r="E464" t="s">
        <v>2608</v>
      </c>
      <c r="F464" t="s">
        <v>2584</v>
      </c>
      <c r="G464" t="s">
        <v>3625</v>
      </c>
      <c r="H464" s="74">
        <v>34033</v>
      </c>
      <c r="I464" s="68" t="s">
        <v>2633</v>
      </c>
      <c r="J464" s="68" t="s">
        <v>2594</v>
      </c>
      <c r="K464" s="68" t="s">
        <v>2548</v>
      </c>
      <c r="L464" t="s">
        <v>1657</v>
      </c>
      <c r="M464" t="s">
        <v>3204</v>
      </c>
      <c r="N464" t="s">
        <v>43</v>
      </c>
      <c r="O464" t="s">
        <v>1949</v>
      </c>
      <c r="R464" t="s">
        <v>3626</v>
      </c>
    </row>
    <row r="465" spans="1:18" x14ac:dyDescent="0.25">
      <c r="A465" t="s">
        <v>1127</v>
      </c>
      <c r="B465" t="s">
        <v>1591</v>
      </c>
      <c r="C465" t="s">
        <v>3633</v>
      </c>
      <c r="D465" t="s">
        <v>3931</v>
      </c>
      <c r="E465" t="s">
        <v>2555</v>
      </c>
      <c r="F465" t="s">
        <v>2544</v>
      </c>
      <c r="G465" t="s">
        <v>3932</v>
      </c>
      <c r="H465" s="74">
        <v>33918</v>
      </c>
      <c r="I465" s="68" t="s">
        <v>2562</v>
      </c>
      <c r="J465" s="68" t="s">
        <v>2594</v>
      </c>
      <c r="K465" s="68" t="s">
        <v>2547</v>
      </c>
      <c r="L465" t="s">
        <v>1913</v>
      </c>
      <c r="M465" t="s">
        <v>3933</v>
      </c>
      <c r="N465" t="s">
        <v>1627</v>
      </c>
      <c r="O465" t="s">
        <v>1950</v>
      </c>
      <c r="R465" t="s">
        <v>3934</v>
      </c>
    </row>
    <row r="466" spans="1:18" x14ac:dyDescent="0.25">
      <c r="A466" t="s">
        <v>1169</v>
      </c>
      <c r="B466" t="s">
        <v>1611</v>
      </c>
      <c r="C466" t="s">
        <v>3492</v>
      </c>
      <c r="D466" t="s">
        <v>4219</v>
      </c>
      <c r="E466" t="s">
        <v>2681</v>
      </c>
      <c r="F466" t="s">
        <v>2544</v>
      </c>
      <c r="G466" t="s">
        <v>4220</v>
      </c>
      <c r="H466" s="74">
        <v>33545</v>
      </c>
      <c r="I466" s="68" t="s">
        <v>2970</v>
      </c>
      <c r="J466" s="68" t="s">
        <v>2594</v>
      </c>
      <c r="K466" s="68" t="s">
        <v>2547</v>
      </c>
      <c r="L466" t="s">
        <v>1886</v>
      </c>
      <c r="M466" t="s">
        <v>4221</v>
      </c>
      <c r="N466" t="s">
        <v>1647</v>
      </c>
      <c r="O466" t="s">
        <v>1949</v>
      </c>
      <c r="R466" t="s">
        <v>4222</v>
      </c>
    </row>
    <row r="467" spans="1:18" x14ac:dyDescent="0.25">
      <c r="A467" t="s">
        <v>1135</v>
      </c>
      <c r="B467" t="s">
        <v>1595</v>
      </c>
      <c r="C467" t="s">
        <v>3694</v>
      </c>
      <c r="D467" t="s">
        <v>4445</v>
      </c>
      <c r="E467" t="s">
        <v>2681</v>
      </c>
      <c r="F467" t="s">
        <v>2636</v>
      </c>
      <c r="G467" t="s">
        <v>4446</v>
      </c>
      <c r="H467" s="74">
        <v>35565</v>
      </c>
      <c r="I467" s="68" t="s">
        <v>2599</v>
      </c>
      <c r="J467" s="68" t="s">
        <v>2594</v>
      </c>
      <c r="K467" s="68" t="s">
        <v>2543</v>
      </c>
      <c r="L467" t="s">
        <v>1653</v>
      </c>
      <c r="M467" t="s">
        <v>2874</v>
      </c>
      <c r="N467" t="s">
        <v>1617</v>
      </c>
      <c r="O467" t="s">
        <v>1950</v>
      </c>
      <c r="R467" t="s">
        <v>4447</v>
      </c>
    </row>
    <row r="468" spans="1:18" x14ac:dyDescent="0.25">
      <c r="A468" t="s">
        <v>1212</v>
      </c>
      <c r="B468" t="s">
        <v>1600</v>
      </c>
      <c r="C468" t="s">
        <v>3357</v>
      </c>
      <c r="D468" t="s">
        <v>4712</v>
      </c>
      <c r="E468" t="s">
        <v>2670</v>
      </c>
      <c r="F468" t="s">
        <v>2544</v>
      </c>
      <c r="G468" t="s">
        <v>4713</v>
      </c>
      <c r="H468" s="74">
        <v>33634</v>
      </c>
      <c r="I468" s="68" t="s">
        <v>2562</v>
      </c>
      <c r="J468" s="68" t="s">
        <v>2594</v>
      </c>
      <c r="K468" s="68" t="s">
        <v>2587</v>
      </c>
      <c r="L468" t="s">
        <v>1862</v>
      </c>
      <c r="M468" t="s">
        <v>4714</v>
      </c>
      <c r="N468" t="s">
        <v>1647</v>
      </c>
      <c r="O468" t="s">
        <v>1949</v>
      </c>
      <c r="R468" t="s">
        <v>4715</v>
      </c>
    </row>
    <row r="469" spans="1:18" x14ac:dyDescent="0.25">
      <c r="A469" t="s">
        <v>1183</v>
      </c>
      <c r="B469" t="s">
        <v>1593</v>
      </c>
      <c r="C469" t="s">
        <v>2789</v>
      </c>
      <c r="D469" t="s">
        <v>5138</v>
      </c>
      <c r="E469" t="s">
        <v>2657</v>
      </c>
      <c r="F469" t="s">
        <v>2544</v>
      </c>
      <c r="G469" t="s">
        <v>5139</v>
      </c>
      <c r="H469" s="74">
        <v>35816</v>
      </c>
      <c r="I469" s="68" t="s">
        <v>2546</v>
      </c>
      <c r="J469" s="68" t="s">
        <v>2594</v>
      </c>
      <c r="K469" s="68" t="s">
        <v>2555</v>
      </c>
      <c r="L469" t="s">
        <v>1669</v>
      </c>
      <c r="M469" t="s">
        <v>2823</v>
      </c>
      <c r="N469" t="s">
        <v>1648</v>
      </c>
      <c r="O469" t="s">
        <v>1949</v>
      </c>
      <c r="R469" t="s">
        <v>5140</v>
      </c>
    </row>
    <row r="470" spans="1:18" x14ac:dyDescent="0.25">
      <c r="A470" t="s">
        <v>1172</v>
      </c>
      <c r="B470" t="s">
        <v>1615</v>
      </c>
      <c r="C470" t="s">
        <v>3206</v>
      </c>
      <c r="D470" t="s">
        <v>5481</v>
      </c>
      <c r="E470" t="s">
        <v>2559</v>
      </c>
      <c r="F470" t="s">
        <v>2636</v>
      </c>
      <c r="G470" t="s">
        <v>5482</v>
      </c>
      <c r="H470" s="74">
        <v>33824</v>
      </c>
      <c r="I470" s="68" t="s">
        <v>2562</v>
      </c>
      <c r="J470" s="68" t="s">
        <v>2594</v>
      </c>
      <c r="K470" s="68" t="s">
        <v>2646</v>
      </c>
      <c r="L470" t="s">
        <v>1767</v>
      </c>
      <c r="M470" t="s">
        <v>3244</v>
      </c>
      <c r="N470" t="s">
        <v>1648</v>
      </c>
      <c r="O470" t="s">
        <v>1949</v>
      </c>
      <c r="R470" t="s">
        <v>5483</v>
      </c>
    </row>
    <row r="471" spans="1:18" x14ac:dyDescent="0.25">
      <c r="A471" t="s">
        <v>1231</v>
      </c>
      <c r="B471" t="s">
        <v>1607</v>
      </c>
      <c r="C471" t="s">
        <v>2963</v>
      </c>
      <c r="D471" t="s">
        <v>2991</v>
      </c>
      <c r="E471" t="s">
        <v>2608</v>
      </c>
      <c r="F471" t="s">
        <v>2584</v>
      </c>
      <c r="G471" t="s">
        <v>2992</v>
      </c>
      <c r="H471" s="74">
        <v>34618</v>
      </c>
      <c r="I471" s="68" t="s">
        <v>2594</v>
      </c>
      <c r="J471" s="68" t="s">
        <v>2653</v>
      </c>
      <c r="K471" s="68" t="s">
        <v>2548</v>
      </c>
      <c r="L471" t="s">
        <v>1659</v>
      </c>
      <c r="M471" t="s">
        <v>2972</v>
      </c>
      <c r="N471" t="s">
        <v>1648</v>
      </c>
      <c r="O471" t="s">
        <v>1949</v>
      </c>
      <c r="R471" t="s">
        <v>2993</v>
      </c>
    </row>
    <row r="472" spans="1:18" x14ac:dyDescent="0.25">
      <c r="A472" t="s">
        <v>1167</v>
      </c>
      <c r="B472" t="s">
        <v>1610</v>
      </c>
      <c r="C472" t="s">
        <v>3301</v>
      </c>
      <c r="D472" t="s">
        <v>3302</v>
      </c>
      <c r="E472" t="s">
        <v>2627</v>
      </c>
      <c r="F472" t="s">
        <v>2560</v>
      </c>
      <c r="G472" t="s">
        <v>3303</v>
      </c>
      <c r="H472" s="74">
        <v>35592</v>
      </c>
      <c r="I472" s="68" t="s">
        <v>2599</v>
      </c>
      <c r="J472" s="68" t="s">
        <v>2653</v>
      </c>
      <c r="K472" s="68" t="s">
        <v>2548</v>
      </c>
      <c r="L472" t="s">
        <v>1726</v>
      </c>
      <c r="M472" t="s">
        <v>2926</v>
      </c>
      <c r="N472" t="s">
        <v>1647</v>
      </c>
      <c r="O472" t="s">
        <v>1949</v>
      </c>
      <c r="R472" t="s">
        <v>3304</v>
      </c>
    </row>
    <row r="473" spans="1:18" x14ac:dyDescent="0.25">
      <c r="A473" t="s">
        <v>1292</v>
      </c>
      <c r="B473" t="s">
        <v>1601</v>
      </c>
      <c r="C473" t="s">
        <v>3005</v>
      </c>
      <c r="D473" t="s">
        <v>4145</v>
      </c>
      <c r="E473" t="s">
        <v>2657</v>
      </c>
      <c r="F473" t="s">
        <v>2584</v>
      </c>
      <c r="G473" t="s">
        <v>4146</v>
      </c>
      <c r="H473" s="74">
        <v>34855</v>
      </c>
      <c r="I473" s="68" t="s">
        <v>2653</v>
      </c>
      <c r="J473" s="68" t="s">
        <v>2653</v>
      </c>
      <c r="K473" s="68" t="s">
        <v>2547</v>
      </c>
      <c r="L473" t="s">
        <v>1695</v>
      </c>
      <c r="M473" t="s">
        <v>4130</v>
      </c>
      <c r="N473" t="s">
        <v>1648</v>
      </c>
      <c r="O473" t="s">
        <v>1949</v>
      </c>
      <c r="R473" t="s">
        <v>4147</v>
      </c>
    </row>
    <row r="474" spans="1:18" x14ac:dyDescent="0.25">
      <c r="A474" t="s">
        <v>1188</v>
      </c>
      <c r="B474" t="s">
        <v>1585</v>
      </c>
      <c r="C474" t="s">
        <v>3262</v>
      </c>
      <c r="D474" t="s">
        <v>4614</v>
      </c>
      <c r="E474" t="s">
        <v>2608</v>
      </c>
      <c r="F474" t="s">
        <v>2544</v>
      </c>
      <c r="G474" t="s">
        <v>4615</v>
      </c>
      <c r="H474" s="74">
        <v>33813</v>
      </c>
      <c r="I474" s="68" t="s">
        <v>2562</v>
      </c>
      <c r="J474" s="68" t="s">
        <v>2653</v>
      </c>
      <c r="K474" s="68" t="s">
        <v>2587</v>
      </c>
      <c r="L474" t="s">
        <v>1805</v>
      </c>
      <c r="M474" t="s">
        <v>4616</v>
      </c>
      <c r="N474" t="s">
        <v>1647</v>
      </c>
      <c r="O474" t="s">
        <v>1949</v>
      </c>
      <c r="R474" t="s">
        <v>4617</v>
      </c>
    </row>
    <row r="475" spans="1:18" x14ac:dyDescent="0.25">
      <c r="A475" t="s">
        <v>1169</v>
      </c>
      <c r="B475" t="s">
        <v>1611</v>
      </c>
      <c r="C475" t="s">
        <v>3492</v>
      </c>
      <c r="D475" t="s">
        <v>4825</v>
      </c>
      <c r="E475" t="s">
        <v>2679</v>
      </c>
      <c r="F475" t="s">
        <v>2636</v>
      </c>
      <c r="G475" t="s">
        <v>4826</v>
      </c>
      <c r="H475" s="74">
        <v>36012</v>
      </c>
      <c r="I475" s="68" t="s">
        <v>2546</v>
      </c>
      <c r="J475" s="68" t="s">
        <v>2653</v>
      </c>
      <c r="K475" s="68" t="s">
        <v>2543</v>
      </c>
      <c r="L475" t="s">
        <v>1732</v>
      </c>
      <c r="M475" t="s">
        <v>3417</v>
      </c>
      <c r="N475" t="s">
        <v>1647</v>
      </c>
      <c r="O475" t="s">
        <v>1949</v>
      </c>
      <c r="R475" t="s">
        <v>4827</v>
      </c>
    </row>
    <row r="476" spans="1:18" x14ac:dyDescent="0.25">
      <c r="A476" t="s">
        <v>1183</v>
      </c>
      <c r="B476" t="s">
        <v>1593</v>
      </c>
      <c r="C476" t="s">
        <v>2789</v>
      </c>
      <c r="D476" t="s">
        <v>5121</v>
      </c>
      <c r="E476" t="s">
        <v>2646</v>
      </c>
      <c r="F476" t="s">
        <v>2584</v>
      </c>
      <c r="G476" t="s">
        <v>5122</v>
      </c>
      <c r="H476" s="74">
        <v>34532</v>
      </c>
      <c r="I476" s="68" t="s">
        <v>2594</v>
      </c>
      <c r="J476" s="68" t="s">
        <v>2653</v>
      </c>
      <c r="K476" s="68" t="s">
        <v>2555</v>
      </c>
      <c r="L476" t="s">
        <v>1799</v>
      </c>
      <c r="M476" t="s">
        <v>5123</v>
      </c>
      <c r="N476" t="s">
        <v>1648</v>
      </c>
      <c r="O476" t="s">
        <v>1949</v>
      </c>
      <c r="R476" t="s">
        <v>5124</v>
      </c>
    </row>
    <row r="477" spans="1:18" x14ac:dyDescent="0.25">
      <c r="A477" t="s">
        <v>1292</v>
      </c>
      <c r="B477" t="s">
        <v>1601</v>
      </c>
      <c r="C477" t="s">
        <v>3005</v>
      </c>
      <c r="D477" t="s">
        <v>5292</v>
      </c>
      <c r="E477" t="s">
        <v>2670</v>
      </c>
      <c r="F477" t="s">
        <v>2636</v>
      </c>
      <c r="G477" t="s">
        <v>5293</v>
      </c>
      <c r="H477" s="74">
        <v>33926</v>
      </c>
      <c r="I477" s="68" t="s">
        <v>2562</v>
      </c>
      <c r="J477" s="68" t="s">
        <v>2653</v>
      </c>
      <c r="K477" s="68" t="s">
        <v>2592</v>
      </c>
      <c r="L477" t="s">
        <v>1724</v>
      </c>
      <c r="M477" t="s">
        <v>3033</v>
      </c>
      <c r="N477" t="s">
        <v>1648</v>
      </c>
      <c r="O477" t="s">
        <v>1949</v>
      </c>
      <c r="R477" t="s">
        <v>5294</v>
      </c>
    </row>
    <row r="478" spans="1:18" x14ac:dyDescent="0.25">
      <c r="A478" t="s">
        <v>1186</v>
      </c>
      <c r="B478" t="s">
        <v>1613</v>
      </c>
      <c r="C478" t="s">
        <v>3156</v>
      </c>
      <c r="D478" t="s">
        <v>5432</v>
      </c>
      <c r="E478" t="s">
        <v>2583</v>
      </c>
      <c r="F478" t="s">
        <v>2636</v>
      </c>
      <c r="G478" t="s">
        <v>5433</v>
      </c>
      <c r="H478" s="74">
        <v>35291</v>
      </c>
      <c r="I478" s="68" t="s">
        <v>2552</v>
      </c>
      <c r="J478" s="68" t="s">
        <v>2653</v>
      </c>
      <c r="K478" s="68" t="s">
        <v>2543</v>
      </c>
      <c r="L478" t="s">
        <v>1806</v>
      </c>
      <c r="M478" t="s">
        <v>5104</v>
      </c>
      <c r="N478" t="s">
        <v>1648</v>
      </c>
      <c r="O478" t="s">
        <v>1949</v>
      </c>
      <c r="R478" t="s">
        <v>5434</v>
      </c>
    </row>
    <row r="479" spans="1:18" x14ac:dyDescent="0.25">
      <c r="A479" t="s">
        <v>1186</v>
      </c>
      <c r="B479" t="s">
        <v>1613</v>
      </c>
      <c r="C479" t="s">
        <v>3156</v>
      </c>
      <c r="D479" t="s">
        <v>3165</v>
      </c>
      <c r="E479" t="s">
        <v>2679</v>
      </c>
      <c r="F479" t="s">
        <v>2544</v>
      </c>
      <c r="G479" t="s">
        <v>3166</v>
      </c>
      <c r="H479" s="74">
        <v>35743</v>
      </c>
      <c r="I479" s="68" t="s">
        <v>2599</v>
      </c>
      <c r="J479" s="68" t="s">
        <v>2552</v>
      </c>
      <c r="K479" s="68" t="s">
        <v>2548</v>
      </c>
      <c r="L479" t="s">
        <v>1718</v>
      </c>
      <c r="M479" t="s">
        <v>3167</v>
      </c>
      <c r="N479" t="s">
        <v>1648</v>
      </c>
      <c r="O479" t="s">
        <v>1949</v>
      </c>
      <c r="R479" t="s">
        <v>3168</v>
      </c>
    </row>
    <row r="480" spans="1:18" x14ac:dyDescent="0.25">
      <c r="A480" t="s">
        <v>1172</v>
      </c>
      <c r="B480" t="s">
        <v>1615</v>
      </c>
      <c r="C480" t="s">
        <v>3206</v>
      </c>
      <c r="D480" t="s">
        <v>3259</v>
      </c>
      <c r="E480" t="s">
        <v>2566</v>
      </c>
      <c r="F480" t="s">
        <v>2560</v>
      </c>
      <c r="G480" t="s">
        <v>3260</v>
      </c>
      <c r="H480" s="74">
        <v>34142</v>
      </c>
      <c r="I480" s="68" t="s">
        <v>2633</v>
      </c>
      <c r="J480" s="68" t="s">
        <v>2552</v>
      </c>
      <c r="K480" s="68" t="s">
        <v>2548</v>
      </c>
      <c r="L480" t="s">
        <v>1675</v>
      </c>
      <c r="M480" t="s">
        <v>2549</v>
      </c>
      <c r="N480" t="s">
        <v>1648</v>
      </c>
      <c r="O480" t="s">
        <v>1949</v>
      </c>
      <c r="R480" t="s">
        <v>3261</v>
      </c>
    </row>
    <row r="481" spans="1:18" x14ac:dyDescent="0.25">
      <c r="A481" t="s">
        <v>1178</v>
      </c>
      <c r="B481" t="s">
        <v>1584</v>
      </c>
      <c r="C481" t="s">
        <v>3558</v>
      </c>
      <c r="D481" t="s">
        <v>3839</v>
      </c>
      <c r="E481" t="s">
        <v>2583</v>
      </c>
      <c r="F481" t="s">
        <v>2584</v>
      </c>
      <c r="G481" t="s">
        <v>3840</v>
      </c>
      <c r="H481" s="74">
        <v>34436</v>
      </c>
      <c r="I481" s="68" t="s">
        <v>2594</v>
      </c>
      <c r="J481" s="68" t="s">
        <v>2552</v>
      </c>
      <c r="K481" s="68" t="s">
        <v>2547</v>
      </c>
      <c r="L481" t="s">
        <v>1699</v>
      </c>
      <c r="M481" t="s">
        <v>3467</v>
      </c>
      <c r="N481" t="s">
        <v>1646</v>
      </c>
      <c r="O481" t="s">
        <v>1950</v>
      </c>
      <c r="R481" t="s">
        <v>3841</v>
      </c>
    </row>
    <row r="482" spans="1:18" x14ac:dyDescent="0.25">
      <c r="A482" t="s">
        <v>1292</v>
      </c>
      <c r="B482" t="s">
        <v>1601</v>
      </c>
      <c r="C482" t="s">
        <v>3005</v>
      </c>
      <c r="D482" t="s">
        <v>4132</v>
      </c>
      <c r="E482" t="s">
        <v>2554</v>
      </c>
      <c r="F482" t="s">
        <v>2544</v>
      </c>
      <c r="G482" t="s">
        <v>4133</v>
      </c>
      <c r="H482" s="74">
        <v>35774</v>
      </c>
      <c r="I482" s="68" t="s">
        <v>2546</v>
      </c>
      <c r="J482" s="68" t="s">
        <v>2552</v>
      </c>
      <c r="K482" s="68" t="s">
        <v>2547</v>
      </c>
      <c r="L482" t="s">
        <v>1662</v>
      </c>
      <c r="M482" t="s">
        <v>3786</v>
      </c>
      <c r="N482" t="s">
        <v>1648</v>
      </c>
      <c r="O482" t="s">
        <v>1949</v>
      </c>
      <c r="R482" t="s">
        <v>4134</v>
      </c>
    </row>
    <row r="483" spans="1:18" x14ac:dyDescent="0.25">
      <c r="A483" t="s">
        <v>1157</v>
      </c>
      <c r="B483" t="s">
        <v>1604</v>
      </c>
      <c r="C483" t="s">
        <v>3391</v>
      </c>
      <c r="D483" t="s">
        <v>4172</v>
      </c>
      <c r="E483" t="s">
        <v>2546</v>
      </c>
      <c r="F483" t="s">
        <v>2584</v>
      </c>
      <c r="G483" t="s">
        <v>4173</v>
      </c>
      <c r="H483" s="74">
        <v>34801</v>
      </c>
      <c r="I483" s="68" t="s">
        <v>2653</v>
      </c>
      <c r="J483" s="68" t="s">
        <v>2552</v>
      </c>
      <c r="K483" s="68" t="s">
        <v>2547</v>
      </c>
      <c r="L483" t="s">
        <v>1737</v>
      </c>
      <c r="M483" t="s">
        <v>2930</v>
      </c>
      <c r="N483" t="s">
        <v>1647</v>
      </c>
      <c r="O483" t="s">
        <v>1949</v>
      </c>
      <c r="R483" t="s">
        <v>4174</v>
      </c>
    </row>
    <row r="484" spans="1:18" x14ac:dyDescent="0.25">
      <c r="A484" t="s">
        <v>1164</v>
      </c>
      <c r="B484" t="s">
        <v>1609</v>
      </c>
      <c r="C484" t="s">
        <v>3081</v>
      </c>
      <c r="D484" t="s">
        <v>4209</v>
      </c>
      <c r="E484" t="s">
        <v>2579</v>
      </c>
      <c r="F484" t="s">
        <v>2584</v>
      </c>
      <c r="G484" t="s">
        <v>4210</v>
      </c>
      <c r="H484" s="74">
        <v>33131</v>
      </c>
      <c r="I484" s="68" t="s">
        <v>2831</v>
      </c>
      <c r="J484" s="68" t="s">
        <v>2552</v>
      </c>
      <c r="K484" s="68" t="s">
        <v>2547</v>
      </c>
      <c r="L484" t="s">
        <v>1713</v>
      </c>
      <c r="M484" t="s">
        <v>2708</v>
      </c>
      <c r="N484" t="s">
        <v>1648</v>
      </c>
      <c r="O484" t="s">
        <v>1949</v>
      </c>
      <c r="R484" t="s">
        <v>4211</v>
      </c>
    </row>
    <row r="485" spans="1:18" x14ac:dyDescent="0.25">
      <c r="A485" t="s">
        <v>1188</v>
      </c>
      <c r="B485" t="s">
        <v>1585</v>
      </c>
      <c r="C485" t="s">
        <v>3262</v>
      </c>
      <c r="D485" t="s">
        <v>4597</v>
      </c>
      <c r="E485" t="s">
        <v>2646</v>
      </c>
      <c r="F485" t="s">
        <v>2636</v>
      </c>
      <c r="G485" t="s">
        <v>4598</v>
      </c>
      <c r="H485" s="74">
        <v>34179</v>
      </c>
      <c r="I485" s="68" t="s">
        <v>2633</v>
      </c>
      <c r="J485" s="68" t="s">
        <v>2552</v>
      </c>
      <c r="K485" s="68" t="s">
        <v>2608</v>
      </c>
      <c r="L485" t="s">
        <v>1791</v>
      </c>
      <c r="M485" t="s">
        <v>4587</v>
      </c>
      <c r="N485" t="s">
        <v>1647</v>
      </c>
      <c r="O485" t="s">
        <v>1949</v>
      </c>
      <c r="R485" t="s">
        <v>4599</v>
      </c>
    </row>
    <row r="486" spans="1:18" x14ac:dyDescent="0.25">
      <c r="A486" t="s">
        <v>1253</v>
      </c>
      <c r="B486" t="s">
        <v>1608</v>
      </c>
      <c r="C486" t="s">
        <v>3431</v>
      </c>
      <c r="D486" t="s">
        <v>4792</v>
      </c>
      <c r="E486" t="s">
        <v>2610</v>
      </c>
      <c r="F486" t="s">
        <v>2584</v>
      </c>
      <c r="G486" t="s">
        <v>4793</v>
      </c>
      <c r="H486" s="74">
        <v>36216</v>
      </c>
      <c r="I486" s="68" t="s">
        <v>2627</v>
      </c>
      <c r="J486" s="68" t="s">
        <v>2552</v>
      </c>
      <c r="K486" s="68" t="s">
        <v>2587</v>
      </c>
      <c r="L486" t="s">
        <v>1687</v>
      </c>
      <c r="M486" t="s">
        <v>3441</v>
      </c>
      <c r="N486" t="s">
        <v>1647</v>
      </c>
      <c r="O486" t="s">
        <v>1949</v>
      </c>
      <c r="R486" t="s">
        <v>4794</v>
      </c>
    </row>
    <row r="487" spans="1:18" x14ac:dyDescent="0.25">
      <c r="A487" t="s">
        <v>1124</v>
      </c>
      <c r="B487" t="s">
        <v>1586</v>
      </c>
      <c r="C487" t="s">
        <v>2541</v>
      </c>
      <c r="D487" t="s">
        <v>4907</v>
      </c>
      <c r="E487" t="s">
        <v>2586</v>
      </c>
      <c r="F487" t="s">
        <v>2584</v>
      </c>
      <c r="G487" t="s">
        <v>4908</v>
      </c>
      <c r="H487" s="74">
        <v>35038</v>
      </c>
      <c r="I487" s="68" t="s">
        <v>2552</v>
      </c>
      <c r="J487" s="68" t="s">
        <v>2552</v>
      </c>
      <c r="K487" s="68" t="s">
        <v>2587</v>
      </c>
      <c r="L487" t="s">
        <v>1675</v>
      </c>
      <c r="M487" t="s">
        <v>2549</v>
      </c>
      <c r="N487" t="s">
        <v>1648</v>
      </c>
      <c r="O487" t="s">
        <v>1949</v>
      </c>
      <c r="R487" t="s">
        <v>4909</v>
      </c>
    </row>
    <row r="488" spans="1:18" x14ac:dyDescent="0.25">
      <c r="A488" t="s">
        <v>1291</v>
      </c>
      <c r="B488" t="s">
        <v>1589</v>
      </c>
      <c r="C488" t="s">
        <v>2590</v>
      </c>
      <c r="D488" t="s">
        <v>4967</v>
      </c>
      <c r="E488" t="s">
        <v>2681</v>
      </c>
      <c r="F488" t="s">
        <v>2636</v>
      </c>
      <c r="G488" t="s">
        <v>4968</v>
      </c>
      <c r="H488" s="74">
        <v>36199</v>
      </c>
      <c r="I488" s="68" t="s">
        <v>2627</v>
      </c>
      <c r="J488" s="68" t="s">
        <v>2552</v>
      </c>
      <c r="K488" s="68" t="s">
        <v>2543</v>
      </c>
      <c r="L488" t="s">
        <v>1670</v>
      </c>
      <c r="M488" t="s">
        <v>2570</v>
      </c>
      <c r="N488" t="s">
        <v>1648</v>
      </c>
      <c r="O488" t="s">
        <v>1949</v>
      </c>
      <c r="R488" t="s">
        <v>4969</v>
      </c>
    </row>
    <row r="489" spans="1:18" x14ac:dyDescent="0.25">
      <c r="A489" t="s">
        <v>1291</v>
      </c>
      <c r="B489" t="s">
        <v>1589</v>
      </c>
      <c r="C489" t="s">
        <v>2590</v>
      </c>
      <c r="D489" t="s">
        <v>4974</v>
      </c>
      <c r="E489" t="s">
        <v>2657</v>
      </c>
      <c r="F489" t="s">
        <v>2584</v>
      </c>
      <c r="G489" t="s">
        <v>4975</v>
      </c>
      <c r="H489" s="74">
        <v>35420</v>
      </c>
      <c r="I489" s="68" t="s">
        <v>2599</v>
      </c>
      <c r="J489" s="68" t="s">
        <v>2552</v>
      </c>
      <c r="K489" s="68" t="s">
        <v>2555</v>
      </c>
      <c r="L489" t="s">
        <v>1688</v>
      </c>
      <c r="M489" t="s">
        <v>3117</v>
      </c>
      <c r="N489" t="s">
        <v>1648</v>
      </c>
      <c r="O489" t="s">
        <v>1949</v>
      </c>
      <c r="R489" t="s">
        <v>4976</v>
      </c>
    </row>
    <row r="490" spans="1:18" x14ac:dyDescent="0.25">
      <c r="A490" t="s">
        <v>1201</v>
      </c>
      <c r="B490" t="s">
        <v>1598</v>
      </c>
      <c r="C490" t="s">
        <v>2932</v>
      </c>
      <c r="D490" t="s">
        <v>5200</v>
      </c>
      <c r="E490" t="s">
        <v>2679</v>
      </c>
      <c r="F490" t="s">
        <v>2584</v>
      </c>
      <c r="G490" t="s">
        <v>5201</v>
      </c>
      <c r="H490" s="74">
        <v>35134</v>
      </c>
      <c r="I490" s="68" t="s">
        <v>2552</v>
      </c>
      <c r="J490" s="68" t="s">
        <v>2552</v>
      </c>
      <c r="K490" s="68" t="s">
        <v>2592</v>
      </c>
      <c r="L490" t="s">
        <v>1839</v>
      </c>
      <c r="M490" t="s">
        <v>5202</v>
      </c>
      <c r="N490" t="s">
        <v>1648</v>
      </c>
      <c r="O490" t="s">
        <v>1949</v>
      </c>
      <c r="R490" t="s">
        <v>5203</v>
      </c>
    </row>
    <row r="491" spans="1:18" x14ac:dyDescent="0.25">
      <c r="A491" t="s">
        <v>1231</v>
      </c>
      <c r="B491" t="s">
        <v>1607</v>
      </c>
      <c r="C491" t="s">
        <v>2963</v>
      </c>
      <c r="D491" t="s">
        <v>5254</v>
      </c>
      <c r="E491" t="s">
        <v>2646</v>
      </c>
      <c r="F491" t="s">
        <v>2636</v>
      </c>
      <c r="G491" t="s">
        <v>5255</v>
      </c>
      <c r="H491" s="74">
        <v>36660</v>
      </c>
      <c r="I491" s="68" t="s">
        <v>2579</v>
      </c>
      <c r="J491" s="68" t="s">
        <v>2552</v>
      </c>
      <c r="K491" s="68" t="s">
        <v>2592</v>
      </c>
      <c r="L491" t="s">
        <v>1817</v>
      </c>
      <c r="M491" t="s">
        <v>5256</v>
      </c>
      <c r="N491" t="s">
        <v>1648</v>
      </c>
      <c r="O491" t="s">
        <v>1949</v>
      </c>
      <c r="R491" t="s">
        <v>5257</v>
      </c>
    </row>
    <row r="492" spans="1:18" x14ac:dyDescent="0.25">
      <c r="A492" t="s">
        <v>1294</v>
      </c>
      <c r="B492" t="s">
        <v>1590</v>
      </c>
      <c r="C492" t="s">
        <v>2717</v>
      </c>
      <c r="D492" t="s">
        <v>2730</v>
      </c>
      <c r="E492" t="s">
        <v>2583</v>
      </c>
      <c r="F492" t="s">
        <v>2560</v>
      </c>
      <c r="G492" t="s">
        <v>2731</v>
      </c>
      <c r="H492" s="74">
        <v>32626</v>
      </c>
      <c r="I492" s="68" t="s">
        <v>2703</v>
      </c>
      <c r="J492" s="68" t="s">
        <v>2599</v>
      </c>
      <c r="K492" s="68" t="s">
        <v>2548</v>
      </c>
      <c r="L492" t="s">
        <v>1684</v>
      </c>
      <c r="M492" t="s">
        <v>2725</v>
      </c>
      <c r="N492" t="s">
        <v>1648</v>
      </c>
      <c r="O492" t="s">
        <v>1949</v>
      </c>
      <c r="R492" t="s">
        <v>2732</v>
      </c>
    </row>
    <row r="493" spans="1:18" x14ac:dyDescent="0.25">
      <c r="A493" t="s">
        <v>1253</v>
      </c>
      <c r="B493" t="s">
        <v>1608</v>
      </c>
      <c r="C493" t="s">
        <v>3431</v>
      </c>
      <c r="D493" t="s">
        <v>3443</v>
      </c>
      <c r="E493" t="s">
        <v>2614</v>
      </c>
      <c r="F493" t="s">
        <v>2560</v>
      </c>
      <c r="G493" t="s">
        <v>3444</v>
      </c>
      <c r="H493" s="74">
        <v>33664</v>
      </c>
      <c r="I493" s="68" t="s">
        <v>2562</v>
      </c>
      <c r="J493" s="68" t="s">
        <v>2599</v>
      </c>
      <c r="K493" s="68" t="s">
        <v>2548</v>
      </c>
      <c r="L493" t="s">
        <v>1661</v>
      </c>
      <c r="M493" t="s">
        <v>3445</v>
      </c>
      <c r="N493" t="s">
        <v>1647</v>
      </c>
      <c r="O493" t="s">
        <v>1949</v>
      </c>
      <c r="R493" t="s">
        <v>3446</v>
      </c>
    </row>
    <row r="494" spans="1:18" x14ac:dyDescent="0.25">
      <c r="A494" t="s">
        <v>1183</v>
      </c>
      <c r="B494" t="s">
        <v>1593</v>
      </c>
      <c r="C494" t="s">
        <v>2789</v>
      </c>
      <c r="D494" t="s">
        <v>3955</v>
      </c>
      <c r="E494" t="s">
        <v>2586</v>
      </c>
      <c r="F494" t="s">
        <v>2584</v>
      </c>
      <c r="G494" t="s">
        <v>3956</v>
      </c>
      <c r="H494" s="74">
        <v>36028</v>
      </c>
      <c r="I494" s="68" t="s">
        <v>2546</v>
      </c>
      <c r="J494" s="68" t="s">
        <v>2599</v>
      </c>
      <c r="K494" s="68" t="s">
        <v>2547</v>
      </c>
      <c r="L494" t="s">
        <v>1935</v>
      </c>
      <c r="M494" t="s">
        <v>3957</v>
      </c>
      <c r="N494" t="s">
        <v>1648</v>
      </c>
      <c r="O494" t="s">
        <v>1949</v>
      </c>
      <c r="R494" t="s">
        <v>3958</v>
      </c>
    </row>
    <row r="495" spans="1:18" x14ac:dyDescent="0.25">
      <c r="A495" t="s">
        <v>1201</v>
      </c>
      <c r="B495" t="s">
        <v>1598</v>
      </c>
      <c r="C495" t="s">
        <v>2932</v>
      </c>
      <c r="D495" t="s">
        <v>4057</v>
      </c>
      <c r="E495" t="s">
        <v>2543</v>
      </c>
      <c r="F495" t="s">
        <v>2544</v>
      </c>
      <c r="G495" t="s">
        <v>4058</v>
      </c>
      <c r="H495" s="74">
        <v>32642</v>
      </c>
      <c r="I495" s="68" t="s">
        <v>2703</v>
      </c>
      <c r="J495" s="68" t="s">
        <v>2599</v>
      </c>
      <c r="K495" s="68" t="s">
        <v>2547</v>
      </c>
      <c r="L495" t="s">
        <v>1757</v>
      </c>
      <c r="M495" t="s">
        <v>4059</v>
      </c>
      <c r="N495" t="s">
        <v>1648</v>
      </c>
      <c r="O495" t="s">
        <v>1949</v>
      </c>
      <c r="R495" t="s">
        <v>4060</v>
      </c>
    </row>
    <row r="496" spans="1:18" x14ac:dyDescent="0.25">
      <c r="A496" t="s">
        <v>1239</v>
      </c>
      <c r="B496" t="s">
        <v>1612</v>
      </c>
      <c r="C496" t="s">
        <v>3123</v>
      </c>
      <c r="D496" t="s">
        <v>4230</v>
      </c>
      <c r="E496" t="s">
        <v>2601</v>
      </c>
      <c r="F496" t="s">
        <v>2584</v>
      </c>
      <c r="G496" t="s">
        <v>4231</v>
      </c>
      <c r="H496" s="74">
        <v>35412</v>
      </c>
      <c r="I496" s="68" t="s">
        <v>2599</v>
      </c>
      <c r="J496" s="68" t="s">
        <v>2599</v>
      </c>
      <c r="K496" s="68" t="s">
        <v>2547</v>
      </c>
      <c r="L496" t="s">
        <v>1860</v>
      </c>
      <c r="M496" t="s">
        <v>4232</v>
      </c>
      <c r="N496" t="s">
        <v>1648</v>
      </c>
      <c r="O496" t="s">
        <v>1949</v>
      </c>
      <c r="R496" t="s">
        <v>4233</v>
      </c>
    </row>
    <row r="497" spans="1:18" x14ac:dyDescent="0.25">
      <c r="A497" t="s">
        <v>1167</v>
      </c>
      <c r="B497" t="s">
        <v>1610</v>
      </c>
      <c r="C497" t="s">
        <v>3301</v>
      </c>
      <c r="D497" t="s">
        <v>4628</v>
      </c>
      <c r="E497" t="s">
        <v>2579</v>
      </c>
      <c r="F497" t="s">
        <v>2636</v>
      </c>
      <c r="G497" t="s">
        <v>4629</v>
      </c>
      <c r="H497" s="74">
        <v>33735</v>
      </c>
      <c r="I497" s="68" t="s">
        <v>2562</v>
      </c>
      <c r="J497" s="68" t="s">
        <v>2599</v>
      </c>
      <c r="K497" s="68" t="s">
        <v>2646</v>
      </c>
      <c r="L497" t="s">
        <v>1665</v>
      </c>
      <c r="M497" t="s">
        <v>2759</v>
      </c>
      <c r="N497" t="s">
        <v>1647</v>
      </c>
      <c r="O497" t="s">
        <v>1949</v>
      </c>
      <c r="R497" t="s">
        <v>4630</v>
      </c>
    </row>
    <row r="498" spans="1:18" x14ac:dyDescent="0.25">
      <c r="A498" t="s">
        <v>1167</v>
      </c>
      <c r="B498" t="s">
        <v>1610</v>
      </c>
      <c r="C498" t="s">
        <v>3301</v>
      </c>
      <c r="D498" t="s">
        <v>4637</v>
      </c>
      <c r="E498" t="s">
        <v>2586</v>
      </c>
      <c r="F498" t="s">
        <v>2636</v>
      </c>
      <c r="G498" t="s">
        <v>4638</v>
      </c>
      <c r="H498" s="74">
        <v>35922</v>
      </c>
      <c r="I498" s="68" t="s">
        <v>2546</v>
      </c>
      <c r="J498" s="68" t="s">
        <v>2599</v>
      </c>
      <c r="K498" s="68" t="s">
        <v>2543</v>
      </c>
      <c r="L498" t="s">
        <v>1678</v>
      </c>
      <c r="M498" t="s">
        <v>2839</v>
      </c>
      <c r="N498" t="s">
        <v>1647</v>
      </c>
      <c r="O498" t="s">
        <v>1949</v>
      </c>
      <c r="R498" t="s">
        <v>4639</v>
      </c>
    </row>
    <row r="499" spans="1:18" x14ac:dyDescent="0.25">
      <c r="A499" t="s">
        <v>1157</v>
      </c>
      <c r="B499" t="s">
        <v>1604</v>
      </c>
      <c r="C499" t="s">
        <v>3391</v>
      </c>
      <c r="D499" t="s">
        <v>4788</v>
      </c>
      <c r="E499" t="s">
        <v>2627</v>
      </c>
      <c r="F499" t="s">
        <v>2636</v>
      </c>
      <c r="G499" t="s">
        <v>4789</v>
      </c>
      <c r="H499" s="74">
        <v>34881</v>
      </c>
      <c r="I499" s="68" t="s">
        <v>2653</v>
      </c>
      <c r="J499" s="68" t="s">
        <v>2599</v>
      </c>
      <c r="K499" s="68" t="s">
        <v>2681</v>
      </c>
      <c r="L499" t="s">
        <v>1744</v>
      </c>
      <c r="M499" t="s">
        <v>4790</v>
      </c>
      <c r="N499" t="s">
        <v>1647</v>
      </c>
      <c r="O499" t="s">
        <v>1949</v>
      </c>
      <c r="R499" t="s">
        <v>4791</v>
      </c>
    </row>
    <row r="500" spans="1:18" x14ac:dyDescent="0.25">
      <c r="A500" t="s">
        <v>1253</v>
      </c>
      <c r="B500" t="s">
        <v>1608</v>
      </c>
      <c r="C500" t="s">
        <v>3431</v>
      </c>
      <c r="D500" t="s">
        <v>4799</v>
      </c>
      <c r="E500" t="s">
        <v>2554</v>
      </c>
      <c r="F500" t="s">
        <v>2636</v>
      </c>
      <c r="G500" t="s">
        <v>4800</v>
      </c>
      <c r="H500" s="74">
        <v>33953</v>
      </c>
      <c r="I500" s="68" t="s">
        <v>2633</v>
      </c>
      <c r="J500" s="68" t="s">
        <v>2599</v>
      </c>
      <c r="K500" s="68" t="s">
        <v>2776</v>
      </c>
      <c r="L500" t="s">
        <v>1814</v>
      </c>
      <c r="M500" t="s">
        <v>4801</v>
      </c>
      <c r="N500" t="s">
        <v>1647</v>
      </c>
      <c r="O500" t="s">
        <v>1949</v>
      </c>
      <c r="R500" t="s">
        <v>4802</v>
      </c>
    </row>
    <row r="501" spans="1:18" x14ac:dyDescent="0.25">
      <c r="A501" t="s">
        <v>10</v>
      </c>
      <c r="B501" t="s">
        <v>1614</v>
      </c>
      <c r="C501" t="s">
        <v>3526</v>
      </c>
      <c r="D501" t="s">
        <v>4874</v>
      </c>
      <c r="E501" t="s">
        <v>2586</v>
      </c>
      <c r="F501" t="s">
        <v>2636</v>
      </c>
      <c r="G501" t="s">
        <v>4875</v>
      </c>
      <c r="H501" s="74">
        <v>36578</v>
      </c>
      <c r="I501" s="68" t="s">
        <v>2579</v>
      </c>
      <c r="J501" s="68" t="s">
        <v>2599</v>
      </c>
      <c r="K501" s="68" t="s">
        <v>2555</v>
      </c>
      <c r="L501" t="s">
        <v>1786</v>
      </c>
      <c r="M501" t="s">
        <v>4876</v>
      </c>
      <c r="N501" t="s">
        <v>1647</v>
      </c>
      <c r="O501" t="s">
        <v>1949</v>
      </c>
      <c r="R501" t="s">
        <v>4877</v>
      </c>
    </row>
    <row r="502" spans="1:18" x14ac:dyDescent="0.25">
      <c r="A502" t="s">
        <v>1183</v>
      </c>
      <c r="B502" t="s">
        <v>1593</v>
      </c>
      <c r="C502" t="s">
        <v>2789</v>
      </c>
      <c r="D502" t="s">
        <v>5115</v>
      </c>
      <c r="E502" t="s">
        <v>2776</v>
      </c>
      <c r="F502" t="s">
        <v>2584</v>
      </c>
      <c r="G502" t="s">
        <v>5116</v>
      </c>
      <c r="H502" s="74">
        <v>34601</v>
      </c>
      <c r="I502" s="68" t="s">
        <v>2594</v>
      </c>
      <c r="J502" s="68" t="s">
        <v>2599</v>
      </c>
      <c r="K502" s="68" t="s">
        <v>2555</v>
      </c>
      <c r="L502" t="s">
        <v>1741</v>
      </c>
      <c r="M502" t="s">
        <v>3013</v>
      </c>
      <c r="N502" t="s">
        <v>1648</v>
      </c>
      <c r="O502" t="s">
        <v>1949</v>
      </c>
      <c r="R502" t="s">
        <v>5117</v>
      </c>
    </row>
    <row r="503" spans="1:18" x14ac:dyDescent="0.25">
      <c r="A503" t="s">
        <v>1183</v>
      </c>
      <c r="B503" t="s">
        <v>1593</v>
      </c>
      <c r="C503" t="s">
        <v>2789</v>
      </c>
      <c r="D503" t="s">
        <v>5128</v>
      </c>
      <c r="E503" t="s">
        <v>2627</v>
      </c>
      <c r="F503" t="s">
        <v>2584</v>
      </c>
      <c r="G503" t="s">
        <v>5129</v>
      </c>
      <c r="H503" s="74">
        <v>37197</v>
      </c>
      <c r="I503" s="68" t="s">
        <v>2586</v>
      </c>
      <c r="J503" s="68" t="s">
        <v>2599</v>
      </c>
      <c r="K503" s="68" t="s">
        <v>2587</v>
      </c>
      <c r="L503" t="s">
        <v>1669</v>
      </c>
      <c r="M503" t="s">
        <v>2823</v>
      </c>
      <c r="N503" t="s">
        <v>1648</v>
      </c>
      <c r="O503" t="s">
        <v>1949</v>
      </c>
      <c r="R503" t="s">
        <v>5130</v>
      </c>
    </row>
    <row r="504" spans="1:18" x14ac:dyDescent="0.25">
      <c r="A504" t="s">
        <v>1201</v>
      </c>
      <c r="B504" t="s">
        <v>1598</v>
      </c>
      <c r="C504" t="s">
        <v>2932</v>
      </c>
      <c r="D504" t="s">
        <v>5216</v>
      </c>
      <c r="E504" t="s">
        <v>2586</v>
      </c>
      <c r="F504" t="s">
        <v>2584</v>
      </c>
      <c r="G504" t="s">
        <v>5217</v>
      </c>
      <c r="H504" s="74">
        <v>34001</v>
      </c>
      <c r="I504" s="68" t="s">
        <v>2633</v>
      </c>
      <c r="J504" s="68" t="s">
        <v>2599</v>
      </c>
      <c r="K504" s="68" t="s">
        <v>2555</v>
      </c>
      <c r="L504" t="s">
        <v>1922</v>
      </c>
      <c r="M504" t="s">
        <v>5218</v>
      </c>
      <c r="N504" t="s">
        <v>1648</v>
      </c>
      <c r="O504" t="s">
        <v>1949</v>
      </c>
      <c r="R504" t="s">
        <v>5219</v>
      </c>
    </row>
    <row r="505" spans="1:18" x14ac:dyDescent="0.25">
      <c r="A505" t="s">
        <v>1239</v>
      </c>
      <c r="B505" t="s">
        <v>1612</v>
      </c>
      <c r="C505" t="s">
        <v>3123</v>
      </c>
      <c r="D505" t="s">
        <v>5396</v>
      </c>
      <c r="E505" t="s">
        <v>2599</v>
      </c>
      <c r="F505" t="s">
        <v>2636</v>
      </c>
      <c r="G505" t="s">
        <v>5397</v>
      </c>
      <c r="H505" s="74">
        <v>36966</v>
      </c>
      <c r="I505" s="68" t="s">
        <v>2586</v>
      </c>
      <c r="J505" s="68" t="s">
        <v>2599</v>
      </c>
      <c r="K505" s="68" t="s">
        <v>2543</v>
      </c>
      <c r="L505" t="s">
        <v>1769</v>
      </c>
      <c r="M505" t="s">
        <v>3953</v>
      </c>
      <c r="N505" t="s">
        <v>1648</v>
      </c>
      <c r="O505" t="s">
        <v>1949</v>
      </c>
      <c r="R505" t="s">
        <v>5398</v>
      </c>
    </row>
    <row r="506" spans="1:18" x14ac:dyDescent="0.25">
      <c r="A506" t="s">
        <v>1183</v>
      </c>
      <c r="B506" t="s">
        <v>1593</v>
      </c>
      <c r="C506" t="s">
        <v>2789</v>
      </c>
      <c r="D506" t="s">
        <v>2794</v>
      </c>
      <c r="E506" t="s">
        <v>2679</v>
      </c>
      <c r="F506" t="s">
        <v>2544</v>
      </c>
      <c r="G506" t="s">
        <v>2795</v>
      </c>
      <c r="H506" s="74">
        <v>35844</v>
      </c>
      <c r="I506" s="68" t="s">
        <v>2546</v>
      </c>
      <c r="J506" s="68" t="s">
        <v>2546</v>
      </c>
      <c r="K506" s="68" t="s">
        <v>2548</v>
      </c>
      <c r="L506" t="s">
        <v>1734</v>
      </c>
      <c r="M506" t="s">
        <v>2796</v>
      </c>
      <c r="N506" t="s">
        <v>1648</v>
      </c>
      <c r="O506" t="s">
        <v>1949</v>
      </c>
      <c r="R506" t="s">
        <v>2797</v>
      </c>
    </row>
    <row r="507" spans="1:18" x14ac:dyDescent="0.25">
      <c r="A507" t="s">
        <v>1231</v>
      </c>
      <c r="B507" t="s">
        <v>1607</v>
      </c>
      <c r="C507" t="s">
        <v>2963</v>
      </c>
      <c r="D507" t="s">
        <v>2981</v>
      </c>
      <c r="E507" t="s">
        <v>2587</v>
      </c>
      <c r="F507" t="s">
        <v>2544</v>
      </c>
      <c r="G507" t="s">
        <v>2982</v>
      </c>
      <c r="H507" s="74">
        <v>34460</v>
      </c>
      <c r="I507" s="68" t="s">
        <v>2594</v>
      </c>
      <c r="J507" s="68" t="s">
        <v>2546</v>
      </c>
      <c r="K507" s="68" t="s">
        <v>2548</v>
      </c>
      <c r="L507" t="s">
        <v>1673</v>
      </c>
      <c r="M507" t="s">
        <v>2983</v>
      </c>
      <c r="N507" t="s">
        <v>1648</v>
      </c>
      <c r="O507" t="s">
        <v>1949</v>
      </c>
      <c r="R507" t="s">
        <v>2984</v>
      </c>
    </row>
    <row r="508" spans="1:18" x14ac:dyDescent="0.25">
      <c r="A508" t="s">
        <v>1253</v>
      </c>
      <c r="B508" t="s">
        <v>1608</v>
      </c>
      <c r="C508" t="s">
        <v>3431</v>
      </c>
      <c r="D508" t="s">
        <v>3465</v>
      </c>
      <c r="E508" t="s">
        <v>2586</v>
      </c>
      <c r="F508" t="s">
        <v>2544</v>
      </c>
      <c r="G508" t="s">
        <v>3466</v>
      </c>
      <c r="H508" s="74">
        <v>34033</v>
      </c>
      <c r="I508" s="68" t="s">
        <v>2633</v>
      </c>
      <c r="J508" s="68" t="s">
        <v>2546</v>
      </c>
      <c r="K508" s="68" t="s">
        <v>2548</v>
      </c>
      <c r="L508" t="s">
        <v>1699</v>
      </c>
      <c r="M508" t="s">
        <v>3467</v>
      </c>
      <c r="N508" t="s">
        <v>1647</v>
      </c>
      <c r="O508" t="s">
        <v>1949</v>
      </c>
      <c r="R508" t="s">
        <v>3468</v>
      </c>
    </row>
    <row r="509" spans="1:18" x14ac:dyDescent="0.25">
      <c r="A509" t="s">
        <v>1131</v>
      </c>
      <c r="B509" t="s">
        <v>1594</v>
      </c>
      <c r="C509" t="s">
        <v>3663</v>
      </c>
      <c r="D509" t="s">
        <v>3980</v>
      </c>
      <c r="E509" t="s">
        <v>2657</v>
      </c>
      <c r="F509" t="s">
        <v>2636</v>
      </c>
      <c r="G509" t="s">
        <v>3981</v>
      </c>
      <c r="H509" s="74">
        <v>34952</v>
      </c>
      <c r="I509" s="68" t="s">
        <v>2653</v>
      </c>
      <c r="J509" s="68" t="s">
        <v>2546</v>
      </c>
      <c r="K509" s="68" t="s">
        <v>2547</v>
      </c>
      <c r="L509" t="s">
        <v>1655</v>
      </c>
      <c r="M509" t="s">
        <v>3607</v>
      </c>
      <c r="N509" t="s">
        <v>43</v>
      </c>
      <c r="O509" t="s">
        <v>1949</v>
      </c>
      <c r="R509" t="s">
        <v>3982</v>
      </c>
    </row>
    <row r="510" spans="1:18" x14ac:dyDescent="0.25">
      <c r="A510" t="s">
        <v>1238</v>
      </c>
      <c r="B510" t="s">
        <v>1602</v>
      </c>
      <c r="C510" t="s">
        <v>3732</v>
      </c>
      <c r="D510" t="s">
        <v>4479</v>
      </c>
      <c r="E510" t="s">
        <v>2610</v>
      </c>
      <c r="F510" t="s">
        <v>2584</v>
      </c>
      <c r="G510" t="s">
        <v>4480</v>
      </c>
      <c r="H510" s="74">
        <v>35384</v>
      </c>
      <c r="I510" s="68" t="s">
        <v>2552</v>
      </c>
      <c r="J510" s="68" t="s">
        <v>2546</v>
      </c>
      <c r="K510" s="68" t="s">
        <v>2543</v>
      </c>
      <c r="L510" t="s">
        <v>1931</v>
      </c>
      <c r="M510" t="s">
        <v>4481</v>
      </c>
      <c r="N510" t="s">
        <v>1628</v>
      </c>
      <c r="O510" t="s">
        <v>1950</v>
      </c>
      <c r="R510" t="s">
        <v>4482</v>
      </c>
    </row>
    <row r="511" spans="1:18" x14ac:dyDescent="0.25">
      <c r="A511" t="s">
        <v>1153</v>
      </c>
      <c r="B511" t="s">
        <v>1603</v>
      </c>
      <c r="C511" t="s">
        <v>3776</v>
      </c>
      <c r="D511" t="s">
        <v>4526</v>
      </c>
      <c r="E511" t="s">
        <v>2657</v>
      </c>
      <c r="F511" t="s">
        <v>2636</v>
      </c>
      <c r="G511" t="s">
        <v>4527</v>
      </c>
      <c r="H511" s="74">
        <v>35711</v>
      </c>
      <c r="I511" s="68" t="s">
        <v>2599</v>
      </c>
      <c r="J511" s="68" t="s">
        <v>2546</v>
      </c>
      <c r="K511" s="68" t="s">
        <v>2657</v>
      </c>
      <c r="L511" t="s">
        <v>1662</v>
      </c>
      <c r="M511" t="s">
        <v>3786</v>
      </c>
      <c r="N511" t="s">
        <v>43</v>
      </c>
      <c r="O511" t="s">
        <v>1949</v>
      </c>
      <c r="R511" t="s">
        <v>4528</v>
      </c>
    </row>
    <row r="512" spans="1:18" x14ac:dyDescent="0.25">
      <c r="A512" t="s">
        <v>1158</v>
      </c>
      <c r="B512" t="s">
        <v>1605</v>
      </c>
      <c r="C512" t="s">
        <v>3809</v>
      </c>
      <c r="D512" t="s">
        <v>4535</v>
      </c>
      <c r="E512" t="s">
        <v>2681</v>
      </c>
      <c r="F512" t="s">
        <v>2636</v>
      </c>
      <c r="G512" t="s">
        <v>4536</v>
      </c>
      <c r="H512" s="74">
        <v>36474</v>
      </c>
      <c r="I512" s="68" t="s">
        <v>2627</v>
      </c>
      <c r="J512" s="68" t="s">
        <v>2546</v>
      </c>
      <c r="K512" s="68" t="s">
        <v>2555</v>
      </c>
      <c r="L512" t="s">
        <v>1660</v>
      </c>
      <c r="M512" t="s">
        <v>3319</v>
      </c>
      <c r="N512" t="s">
        <v>43</v>
      </c>
      <c r="O512" t="s">
        <v>1949</v>
      </c>
      <c r="R512" t="s">
        <v>4537</v>
      </c>
    </row>
    <row r="513" spans="1:18" x14ac:dyDescent="0.25">
      <c r="A513" t="s">
        <v>1212</v>
      </c>
      <c r="B513" t="s">
        <v>1600</v>
      </c>
      <c r="C513" t="s">
        <v>3357</v>
      </c>
      <c r="D513" t="s">
        <v>4719</v>
      </c>
      <c r="E513" t="s">
        <v>2679</v>
      </c>
      <c r="F513" t="s">
        <v>2584</v>
      </c>
      <c r="G513" t="s">
        <v>4720</v>
      </c>
      <c r="H513" s="74">
        <v>35289</v>
      </c>
      <c r="I513" s="68" t="s">
        <v>2552</v>
      </c>
      <c r="J513" s="68" t="s">
        <v>2546</v>
      </c>
      <c r="K513" s="68" t="s">
        <v>2587</v>
      </c>
      <c r="L513" t="s">
        <v>1777</v>
      </c>
      <c r="M513" t="s">
        <v>3382</v>
      </c>
      <c r="N513" t="s">
        <v>1647</v>
      </c>
      <c r="O513" t="s">
        <v>1949</v>
      </c>
      <c r="R513" t="s">
        <v>4721</v>
      </c>
    </row>
    <row r="514" spans="1:18" x14ac:dyDescent="0.25">
      <c r="A514" t="s">
        <v>10</v>
      </c>
      <c r="B514" t="s">
        <v>1614</v>
      </c>
      <c r="C514" t="s">
        <v>3526</v>
      </c>
      <c r="D514" t="s">
        <v>4900</v>
      </c>
      <c r="E514" t="s">
        <v>2681</v>
      </c>
      <c r="F514" t="s">
        <v>2636</v>
      </c>
      <c r="G514" t="s">
        <v>4901</v>
      </c>
      <c r="H514" s="74">
        <v>36821</v>
      </c>
      <c r="I514" s="68" t="s">
        <v>2579</v>
      </c>
      <c r="J514" s="68" t="s">
        <v>2546</v>
      </c>
      <c r="K514" s="68" t="s">
        <v>2592</v>
      </c>
      <c r="L514" t="s">
        <v>1736</v>
      </c>
      <c r="M514" t="s">
        <v>2777</v>
      </c>
      <c r="N514" t="s">
        <v>1647</v>
      </c>
      <c r="O514" t="s">
        <v>1949</v>
      </c>
      <c r="R514" t="s">
        <v>4902</v>
      </c>
    </row>
    <row r="515" spans="1:18" x14ac:dyDescent="0.25">
      <c r="A515" t="s">
        <v>1137</v>
      </c>
      <c r="B515" t="s">
        <v>1596</v>
      </c>
      <c r="C515" t="s">
        <v>2836</v>
      </c>
      <c r="D515" t="s">
        <v>2853</v>
      </c>
      <c r="E515" t="s">
        <v>2651</v>
      </c>
      <c r="F515" t="s">
        <v>2544</v>
      </c>
      <c r="G515" t="s">
        <v>2854</v>
      </c>
      <c r="H515" s="74">
        <v>35329</v>
      </c>
      <c r="I515" s="68" t="s">
        <v>2552</v>
      </c>
      <c r="J515" s="68" t="s">
        <v>2627</v>
      </c>
      <c r="K515" s="68" t="s">
        <v>2548</v>
      </c>
      <c r="L515" t="s">
        <v>1703</v>
      </c>
      <c r="M515" t="s">
        <v>2855</v>
      </c>
      <c r="N515" t="s">
        <v>1648</v>
      </c>
      <c r="O515" t="s">
        <v>1949</v>
      </c>
      <c r="R515" t="s">
        <v>2856</v>
      </c>
    </row>
    <row r="516" spans="1:18" x14ac:dyDescent="0.25">
      <c r="A516" t="s">
        <v>1131</v>
      </c>
      <c r="B516" t="s">
        <v>1594</v>
      </c>
      <c r="C516" t="s">
        <v>3663</v>
      </c>
      <c r="D516" t="s">
        <v>3687</v>
      </c>
      <c r="E516" t="s">
        <v>2601</v>
      </c>
      <c r="F516" t="s">
        <v>2584</v>
      </c>
      <c r="G516" t="s">
        <v>3688</v>
      </c>
      <c r="H516" s="74">
        <v>35035</v>
      </c>
      <c r="I516" s="68" t="s">
        <v>2552</v>
      </c>
      <c r="J516" s="68" t="s">
        <v>2627</v>
      </c>
      <c r="K516" s="68" t="s">
        <v>2548</v>
      </c>
      <c r="L516" t="s">
        <v>1655</v>
      </c>
      <c r="M516" t="s">
        <v>3607</v>
      </c>
      <c r="N516" t="s">
        <v>43</v>
      </c>
      <c r="O516" t="s">
        <v>1949</v>
      </c>
      <c r="R516" t="s">
        <v>3689</v>
      </c>
    </row>
    <row r="517" spans="1:18" x14ac:dyDescent="0.25">
      <c r="A517" t="s">
        <v>1180</v>
      </c>
      <c r="B517" t="s">
        <v>1587</v>
      </c>
      <c r="C517" t="s">
        <v>3604</v>
      </c>
      <c r="D517" t="s">
        <v>3873</v>
      </c>
      <c r="E517" t="s">
        <v>2601</v>
      </c>
      <c r="F517" t="s">
        <v>2544</v>
      </c>
      <c r="G517" t="s">
        <v>3874</v>
      </c>
      <c r="H517" s="74">
        <v>35813</v>
      </c>
      <c r="I517" s="68" t="s">
        <v>2546</v>
      </c>
      <c r="J517" s="68" t="s">
        <v>2627</v>
      </c>
      <c r="K517" s="68" t="s">
        <v>2547</v>
      </c>
      <c r="L517" t="s">
        <v>1658</v>
      </c>
      <c r="M517" t="s">
        <v>2575</v>
      </c>
      <c r="N517" t="s">
        <v>43</v>
      </c>
      <c r="O517" t="s">
        <v>1949</v>
      </c>
      <c r="R517" t="s">
        <v>3875</v>
      </c>
    </row>
    <row r="518" spans="1:18" x14ac:dyDescent="0.25">
      <c r="A518" t="s">
        <v>1231</v>
      </c>
      <c r="B518" t="s">
        <v>1607</v>
      </c>
      <c r="C518" t="s">
        <v>2963</v>
      </c>
      <c r="D518" t="s">
        <v>4110</v>
      </c>
      <c r="E518" t="s">
        <v>2566</v>
      </c>
      <c r="F518" t="s">
        <v>2544</v>
      </c>
      <c r="G518" t="s">
        <v>4111</v>
      </c>
      <c r="H518" s="74">
        <v>36359</v>
      </c>
      <c r="I518" s="68" t="s">
        <v>2627</v>
      </c>
      <c r="J518" s="68" t="s">
        <v>2627</v>
      </c>
      <c r="K518" s="68" t="s">
        <v>2547</v>
      </c>
      <c r="L518" t="s">
        <v>1659</v>
      </c>
      <c r="M518" t="s">
        <v>2972</v>
      </c>
      <c r="N518" t="s">
        <v>1648</v>
      </c>
      <c r="O518" t="s">
        <v>1949</v>
      </c>
      <c r="R518" t="s">
        <v>4112</v>
      </c>
    </row>
    <row r="519" spans="1:18" x14ac:dyDescent="0.25">
      <c r="A519" t="s">
        <v>1239</v>
      </c>
      <c r="B519" t="s">
        <v>1612</v>
      </c>
      <c r="C519" t="s">
        <v>3123</v>
      </c>
      <c r="D519" t="s">
        <v>4227</v>
      </c>
      <c r="E519" t="s">
        <v>2610</v>
      </c>
      <c r="F519" t="s">
        <v>2584</v>
      </c>
      <c r="G519" t="s">
        <v>4228</v>
      </c>
      <c r="H519" s="74">
        <v>36409</v>
      </c>
      <c r="I519" s="68" t="s">
        <v>2627</v>
      </c>
      <c r="J519" s="68" t="s">
        <v>2627</v>
      </c>
      <c r="K519" s="68" t="s">
        <v>2547</v>
      </c>
      <c r="L519" t="s">
        <v>1730</v>
      </c>
      <c r="M519" t="s">
        <v>4225</v>
      </c>
      <c r="N519" t="s">
        <v>1648</v>
      </c>
      <c r="O519" t="s">
        <v>1949</v>
      </c>
      <c r="R519" t="s">
        <v>4229</v>
      </c>
    </row>
    <row r="520" spans="1:18" x14ac:dyDescent="0.25">
      <c r="A520" t="s">
        <v>1239</v>
      </c>
      <c r="B520" t="s">
        <v>1612</v>
      </c>
      <c r="C520" t="s">
        <v>3123</v>
      </c>
      <c r="D520" t="s">
        <v>4234</v>
      </c>
      <c r="E520" t="s">
        <v>2555</v>
      </c>
      <c r="F520" t="s">
        <v>2544</v>
      </c>
      <c r="G520" t="s">
        <v>4235</v>
      </c>
      <c r="H520" s="74">
        <v>35941</v>
      </c>
      <c r="I520" s="68" t="s">
        <v>2546</v>
      </c>
      <c r="J520" s="68" t="s">
        <v>2627</v>
      </c>
      <c r="K520" s="68" t="s">
        <v>2547</v>
      </c>
      <c r="L520" t="s">
        <v>1885</v>
      </c>
      <c r="M520" t="s">
        <v>4236</v>
      </c>
      <c r="N520" t="s">
        <v>1648</v>
      </c>
      <c r="O520" t="s">
        <v>1949</v>
      </c>
      <c r="R520" t="s">
        <v>4237</v>
      </c>
    </row>
    <row r="521" spans="1:18" x14ac:dyDescent="0.25">
      <c r="A521" t="s">
        <v>1127</v>
      </c>
      <c r="B521" t="s">
        <v>1591</v>
      </c>
      <c r="C521" t="s">
        <v>3633</v>
      </c>
      <c r="D521" t="s">
        <v>4381</v>
      </c>
      <c r="E521" t="s">
        <v>2614</v>
      </c>
      <c r="F521" t="s">
        <v>2636</v>
      </c>
      <c r="G521" t="s">
        <v>4382</v>
      </c>
      <c r="H521" s="74">
        <v>34593</v>
      </c>
      <c r="I521" s="68" t="s">
        <v>2594</v>
      </c>
      <c r="J521" s="68" t="s">
        <v>2627</v>
      </c>
      <c r="K521" s="68" t="s">
        <v>2592</v>
      </c>
      <c r="L521" t="s">
        <v>1691</v>
      </c>
      <c r="M521" t="s">
        <v>2961</v>
      </c>
      <c r="N521" t="s">
        <v>1627</v>
      </c>
      <c r="O521" t="s">
        <v>1950</v>
      </c>
      <c r="R521" t="s">
        <v>4383</v>
      </c>
    </row>
    <row r="522" spans="1:18" x14ac:dyDescent="0.25">
      <c r="A522" t="s">
        <v>1131</v>
      </c>
      <c r="B522" t="s">
        <v>1594</v>
      </c>
      <c r="C522" t="s">
        <v>3663</v>
      </c>
      <c r="D522" t="s">
        <v>4423</v>
      </c>
      <c r="E522" t="s">
        <v>2555</v>
      </c>
      <c r="F522" t="s">
        <v>2544</v>
      </c>
      <c r="G522" t="s">
        <v>4424</v>
      </c>
      <c r="H522" s="74">
        <v>34892</v>
      </c>
      <c r="I522" s="68" t="s">
        <v>2653</v>
      </c>
      <c r="J522" s="68" t="s">
        <v>2627</v>
      </c>
      <c r="K522" s="68" t="s">
        <v>2555</v>
      </c>
      <c r="L522" t="s">
        <v>1657</v>
      </c>
      <c r="M522" t="s">
        <v>3204</v>
      </c>
      <c r="N522" t="s">
        <v>43</v>
      </c>
      <c r="O522" t="s">
        <v>1949</v>
      </c>
      <c r="R522" t="s">
        <v>4425</v>
      </c>
    </row>
    <row r="523" spans="1:18" x14ac:dyDescent="0.25">
      <c r="A523" t="s">
        <v>1124</v>
      </c>
      <c r="B523" t="s">
        <v>1586</v>
      </c>
      <c r="C523" t="s">
        <v>2541</v>
      </c>
      <c r="D523" t="s">
        <v>4910</v>
      </c>
      <c r="E523" t="s">
        <v>2670</v>
      </c>
      <c r="F523" t="s">
        <v>2584</v>
      </c>
      <c r="G523" t="s">
        <v>4911</v>
      </c>
      <c r="H523" s="74">
        <v>33840</v>
      </c>
      <c r="I523" s="68" t="s">
        <v>2562</v>
      </c>
      <c r="J523" s="68" t="s">
        <v>2627</v>
      </c>
      <c r="K523" s="68" t="s">
        <v>2651</v>
      </c>
      <c r="L523" t="s">
        <v>1670</v>
      </c>
      <c r="M523" t="s">
        <v>2570</v>
      </c>
      <c r="N523" t="s">
        <v>1648</v>
      </c>
      <c r="O523" t="s">
        <v>1949</v>
      </c>
      <c r="R523" t="s">
        <v>4912</v>
      </c>
    </row>
    <row r="524" spans="1:18" x14ac:dyDescent="0.25">
      <c r="A524" t="s">
        <v>1130</v>
      </c>
      <c r="B524" t="s">
        <v>1592</v>
      </c>
      <c r="C524" t="s">
        <v>2761</v>
      </c>
      <c r="D524" t="s">
        <v>5106</v>
      </c>
      <c r="E524" t="s">
        <v>2681</v>
      </c>
      <c r="F524" t="s">
        <v>2584</v>
      </c>
      <c r="G524" t="s">
        <v>5107</v>
      </c>
      <c r="H524" s="74">
        <v>36523</v>
      </c>
      <c r="I524" s="68" t="s">
        <v>2579</v>
      </c>
      <c r="J524" s="68" t="s">
        <v>2627</v>
      </c>
      <c r="K524" s="68" t="s">
        <v>2608</v>
      </c>
      <c r="L524" t="s">
        <v>1670</v>
      </c>
      <c r="M524" t="s">
        <v>2570</v>
      </c>
      <c r="N524" t="s">
        <v>1648</v>
      </c>
      <c r="O524" t="s">
        <v>1949</v>
      </c>
      <c r="R524" t="s">
        <v>5108</v>
      </c>
    </row>
    <row r="525" spans="1:18" x14ac:dyDescent="0.25">
      <c r="A525" t="s">
        <v>1172</v>
      </c>
      <c r="B525" t="s">
        <v>1615</v>
      </c>
      <c r="C525" t="s">
        <v>3206</v>
      </c>
      <c r="D525" t="s">
        <v>5475</v>
      </c>
      <c r="E525" t="s">
        <v>2555</v>
      </c>
      <c r="F525" t="s">
        <v>2544</v>
      </c>
      <c r="G525" t="s">
        <v>5476</v>
      </c>
      <c r="H525" s="74">
        <v>36994</v>
      </c>
      <c r="I525" s="68" t="s">
        <v>2586</v>
      </c>
      <c r="J525" s="68" t="s">
        <v>2627</v>
      </c>
      <c r="K525" s="68" t="s">
        <v>2587</v>
      </c>
      <c r="L525" t="s">
        <v>1698</v>
      </c>
      <c r="M525" t="s">
        <v>3252</v>
      </c>
      <c r="N525" t="s">
        <v>1648</v>
      </c>
      <c r="O525" t="s">
        <v>1949</v>
      </c>
      <c r="R525" t="s">
        <v>5477</v>
      </c>
    </row>
    <row r="526" spans="1:18" x14ac:dyDescent="0.25">
      <c r="A526" t="s">
        <v>1256</v>
      </c>
      <c r="B526" t="s">
        <v>1588</v>
      </c>
      <c r="C526" t="s">
        <v>2640</v>
      </c>
      <c r="D526" t="s">
        <v>2665</v>
      </c>
      <c r="E526" t="s">
        <v>2601</v>
      </c>
      <c r="F526" t="s">
        <v>2584</v>
      </c>
      <c r="G526" t="s">
        <v>2666</v>
      </c>
      <c r="H526" s="74">
        <v>35778</v>
      </c>
      <c r="I526" s="68" t="s">
        <v>2546</v>
      </c>
      <c r="J526" s="68" t="s">
        <v>2579</v>
      </c>
      <c r="K526" s="68" t="s">
        <v>2548</v>
      </c>
      <c r="L526" t="s">
        <v>1888</v>
      </c>
      <c r="M526" t="s">
        <v>2667</v>
      </c>
      <c r="N526" t="s">
        <v>1648</v>
      </c>
      <c r="O526" t="s">
        <v>1949</v>
      </c>
      <c r="R526" t="s">
        <v>2668</v>
      </c>
    </row>
    <row r="527" spans="1:18" x14ac:dyDescent="0.25">
      <c r="A527" t="s">
        <v>1230</v>
      </c>
      <c r="B527" t="s">
        <v>1606</v>
      </c>
      <c r="C527" t="s">
        <v>3035</v>
      </c>
      <c r="D527" t="s">
        <v>3065</v>
      </c>
      <c r="E527" t="s">
        <v>2670</v>
      </c>
      <c r="F527" t="s">
        <v>2584</v>
      </c>
      <c r="G527" t="s">
        <v>3066</v>
      </c>
      <c r="H527" s="74">
        <v>35165</v>
      </c>
      <c r="I527" s="68" t="s">
        <v>2552</v>
      </c>
      <c r="J527" s="68" t="s">
        <v>2579</v>
      </c>
      <c r="K527" s="68" t="s">
        <v>2548</v>
      </c>
      <c r="L527" t="s">
        <v>1656</v>
      </c>
      <c r="M527" t="s">
        <v>3042</v>
      </c>
      <c r="N527" t="s">
        <v>1648</v>
      </c>
      <c r="O527" t="s">
        <v>1949</v>
      </c>
      <c r="R527" t="s">
        <v>3067</v>
      </c>
    </row>
    <row r="528" spans="1:18" x14ac:dyDescent="0.25">
      <c r="A528" t="s">
        <v>1212</v>
      </c>
      <c r="B528" t="s">
        <v>1600</v>
      </c>
      <c r="C528" t="s">
        <v>3357</v>
      </c>
      <c r="D528" t="s">
        <v>3365</v>
      </c>
      <c r="E528" t="s">
        <v>2610</v>
      </c>
      <c r="F528" t="s">
        <v>2544</v>
      </c>
      <c r="G528" t="s">
        <v>3366</v>
      </c>
      <c r="H528" s="74">
        <v>34912</v>
      </c>
      <c r="I528" s="68" t="s">
        <v>2653</v>
      </c>
      <c r="J528" s="68" t="s">
        <v>2579</v>
      </c>
      <c r="K528" s="68" t="s">
        <v>2548</v>
      </c>
      <c r="L528" t="s">
        <v>1686</v>
      </c>
      <c r="M528" t="s">
        <v>3367</v>
      </c>
      <c r="N528" t="s">
        <v>1647</v>
      </c>
      <c r="O528" t="s">
        <v>1949</v>
      </c>
      <c r="R528" t="s">
        <v>3368</v>
      </c>
    </row>
    <row r="529" spans="1:18" x14ac:dyDescent="0.25">
      <c r="A529" t="s">
        <v>1212</v>
      </c>
      <c r="B529" t="s">
        <v>1600</v>
      </c>
      <c r="C529" t="s">
        <v>3357</v>
      </c>
      <c r="D529" t="s">
        <v>3373</v>
      </c>
      <c r="E529" t="s">
        <v>2586</v>
      </c>
      <c r="F529" t="s">
        <v>2560</v>
      </c>
      <c r="G529" t="s">
        <v>3374</v>
      </c>
      <c r="H529" s="74">
        <v>33506</v>
      </c>
      <c r="I529" s="68" t="s">
        <v>2970</v>
      </c>
      <c r="J529" s="68" t="s">
        <v>2579</v>
      </c>
      <c r="K529" s="68" t="s">
        <v>2548</v>
      </c>
      <c r="L529" t="s">
        <v>1749</v>
      </c>
      <c r="M529" t="s">
        <v>3375</v>
      </c>
      <c r="N529" t="s">
        <v>1647</v>
      </c>
      <c r="O529" t="s">
        <v>1949</v>
      </c>
      <c r="R529" t="s">
        <v>3376</v>
      </c>
    </row>
    <row r="530" spans="1:18" x14ac:dyDescent="0.25">
      <c r="A530" t="s">
        <v>1167</v>
      </c>
      <c r="B530" t="s">
        <v>1610</v>
      </c>
      <c r="C530" t="s">
        <v>3301</v>
      </c>
      <c r="D530" t="s">
        <v>3995</v>
      </c>
      <c r="E530" t="s">
        <v>2543</v>
      </c>
      <c r="F530" t="s">
        <v>2544</v>
      </c>
      <c r="G530" t="s">
        <v>3996</v>
      </c>
      <c r="H530" s="74">
        <v>35446</v>
      </c>
      <c r="I530" s="68" t="s">
        <v>2599</v>
      </c>
      <c r="J530" s="68" t="s">
        <v>2579</v>
      </c>
      <c r="K530" s="68" t="s">
        <v>2547</v>
      </c>
      <c r="L530" t="s">
        <v>1702</v>
      </c>
      <c r="M530" t="s">
        <v>3490</v>
      </c>
      <c r="N530" t="s">
        <v>1647</v>
      </c>
      <c r="O530" t="s">
        <v>1949</v>
      </c>
      <c r="R530" t="s">
        <v>3997</v>
      </c>
    </row>
    <row r="531" spans="1:18" x14ac:dyDescent="0.25">
      <c r="A531" t="s">
        <v>1238</v>
      </c>
      <c r="B531" t="s">
        <v>1602</v>
      </c>
      <c r="C531" t="s">
        <v>3732</v>
      </c>
      <c r="D531" t="s">
        <v>4125</v>
      </c>
      <c r="E531" t="s">
        <v>2651</v>
      </c>
      <c r="F531" t="s">
        <v>2544</v>
      </c>
      <c r="G531" t="s">
        <v>4126</v>
      </c>
      <c r="H531" s="74">
        <v>35154</v>
      </c>
      <c r="I531" s="68" t="s">
        <v>2552</v>
      </c>
      <c r="J531" s="68" t="s">
        <v>2579</v>
      </c>
      <c r="K531" s="68" t="s">
        <v>2547</v>
      </c>
      <c r="L531" t="s">
        <v>1703</v>
      </c>
      <c r="M531" t="s">
        <v>2855</v>
      </c>
      <c r="N531" t="s">
        <v>1628</v>
      </c>
      <c r="O531" t="s">
        <v>1950</v>
      </c>
      <c r="R531" t="s">
        <v>4127</v>
      </c>
    </row>
    <row r="532" spans="1:18" x14ac:dyDescent="0.25">
      <c r="A532" t="s">
        <v>1164</v>
      </c>
      <c r="B532" t="s">
        <v>1609</v>
      </c>
      <c r="C532" t="s">
        <v>3081</v>
      </c>
      <c r="D532" t="s">
        <v>4206</v>
      </c>
      <c r="E532" t="s">
        <v>2587</v>
      </c>
      <c r="F532" t="s">
        <v>2544</v>
      </c>
      <c r="G532" t="s">
        <v>4207</v>
      </c>
      <c r="H532" s="74">
        <v>37035</v>
      </c>
      <c r="I532" s="68" t="s">
        <v>2586</v>
      </c>
      <c r="J532" s="68" t="s">
        <v>2579</v>
      </c>
      <c r="K532" s="68" t="s">
        <v>2547</v>
      </c>
      <c r="L532" t="s">
        <v>1717</v>
      </c>
      <c r="M532" t="s">
        <v>3512</v>
      </c>
      <c r="N532" t="s">
        <v>1648</v>
      </c>
      <c r="O532" t="s">
        <v>1949</v>
      </c>
      <c r="R532" t="s">
        <v>4208</v>
      </c>
    </row>
    <row r="533" spans="1:18" x14ac:dyDescent="0.25">
      <c r="A533" t="s">
        <v>1178</v>
      </c>
      <c r="B533" t="s">
        <v>1584</v>
      </c>
      <c r="C533" t="s">
        <v>3558</v>
      </c>
      <c r="D533" t="s">
        <v>4272</v>
      </c>
      <c r="E533" t="s">
        <v>2610</v>
      </c>
      <c r="F533" t="s">
        <v>2636</v>
      </c>
      <c r="G533" t="s">
        <v>4273</v>
      </c>
      <c r="H533" s="74">
        <v>34767</v>
      </c>
      <c r="I533" s="68" t="s">
        <v>2653</v>
      </c>
      <c r="J533" s="68" t="s">
        <v>2579</v>
      </c>
      <c r="K533" s="68" t="s">
        <v>2555</v>
      </c>
      <c r="L533" t="s">
        <v>1660</v>
      </c>
      <c r="M533" t="s">
        <v>3319</v>
      </c>
      <c r="N533" t="s">
        <v>1646</v>
      </c>
      <c r="O533" t="s">
        <v>1950</v>
      </c>
      <c r="R533" t="s">
        <v>4274</v>
      </c>
    </row>
    <row r="534" spans="1:18" x14ac:dyDescent="0.25">
      <c r="A534" t="s">
        <v>1211</v>
      </c>
      <c r="B534" t="s">
        <v>1599</v>
      </c>
      <c r="C534" t="s">
        <v>3330</v>
      </c>
      <c r="D534" t="s">
        <v>4655</v>
      </c>
      <c r="E534" t="s">
        <v>2610</v>
      </c>
      <c r="F534" t="s">
        <v>2584</v>
      </c>
      <c r="G534" t="s">
        <v>4656</v>
      </c>
      <c r="H534" s="74">
        <v>35282</v>
      </c>
      <c r="I534" s="68" t="s">
        <v>2552</v>
      </c>
      <c r="J534" s="68" t="s">
        <v>2579</v>
      </c>
      <c r="K534" s="68" t="s">
        <v>2592</v>
      </c>
      <c r="L534" t="s">
        <v>1674</v>
      </c>
      <c r="M534" t="s">
        <v>2851</v>
      </c>
      <c r="N534" t="s">
        <v>1647</v>
      </c>
      <c r="O534" t="s">
        <v>1949</v>
      </c>
      <c r="R534" t="s">
        <v>4657</v>
      </c>
    </row>
    <row r="535" spans="1:18" x14ac:dyDescent="0.25">
      <c r="A535" t="s">
        <v>1169</v>
      </c>
      <c r="B535" t="s">
        <v>1611</v>
      </c>
      <c r="C535" t="s">
        <v>3492</v>
      </c>
      <c r="D535" t="s">
        <v>4816</v>
      </c>
      <c r="E535" t="s">
        <v>2670</v>
      </c>
      <c r="F535" t="s">
        <v>2584</v>
      </c>
      <c r="G535" t="s">
        <v>4817</v>
      </c>
      <c r="H535" s="74">
        <v>32516</v>
      </c>
      <c r="I535" s="68" t="s">
        <v>2703</v>
      </c>
      <c r="J535" s="68" t="s">
        <v>2579</v>
      </c>
      <c r="K535" s="68" t="s">
        <v>2555</v>
      </c>
      <c r="L535" t="s">
        <v>1764</v>
      </c>
      <c r="M535" t="s">
        <v>2629</v>
      </c>
      <c r="N535" t="s">
        <v>1647</v>
      </c>
      <c r="O535" t="s">
        <v>1949</v>
      </c>
      <c r="R535" t="s">
        <v>4818</v>
      </c>
    </row>
    <row r="536" spans="1:18" x14ac:dyDescent="0.25">
      <c r="A536" t="s">
        <v>1169</v>
      </c>
      <c r="B536" t="s">
        <v>1611</v>
      </c>
      <c r="C536" t="s">
        <v>3492</v>
      </c>
      <c r="D536" t="s">
        <v>4841</v>
      </c>
      <c r="E536" t="s">
        <v>2587</v>
      </c>
      <c r="F536" t="s">
        <v>2544</v>
      </c>
      <c r="G536" t="s">
        <v>4842</v>
      </c>
      <c r="H536" s="74">
        <v>35170</v>
      </c>
      <c r="I536" s="68" t="s">
        <v>2552</v>
      </c>
      <c r="J536" s="68" t="s">
        <v>2579</v>
      </c>
      <c r="K536" s="68" t="s">
        <v>2587</v>
      </c>
      <c r="L536" t="s">
        <v>1739</v>
      </c>
      <c r="M536" t="s">
        <v>4757</v>
      </c>
      <c r="N536" t="s">
        <v>1647</v>
      </c>
      <c r="O536" t="s">
        <v>1949</v>
      </c>
      <c r="R536" t="s">
        <v>4843</v>
      </c>
    </row>
    <row r="537" spans="1:18" x14ac:dyDescent="0.25">
      <c r="A537" t="s">
        <v>1292</v>
      </c>
      <c r="B537" t="s">
        <v>1601</v>
      </c>
      <c r="C537" t="s">
        <v>3005</v>
      </c>
      <c r="D537" t="s">
        <v>5301</v>
      </c>
      <c r="E537" t="s">
        <v>2776</v>
      </c>
      <c r="F537" t="s">
        <v>2636</v>
      </c>
      <c r="G537" t="s">
        <v>5302</v>
      </c>
      <c r="H537" s="74">
        <v>35759</v>
      </c>
      <c r="I537" s="68" t="s">
        <v>2546</v>
      </c>
      <c r="J537" s="68" t="s">
        <v>2579</v>
      </c>
      <c r="K537" s="68" t="s">
        <v>2592</v>
      </c>
      <c r="L537" t="s">
        <v>1780</v>
      </c>
      <c r="M537" t="s">
        <v>5287</v>
      </c>
      <c r="N537" t="s">
        <v>1648</v>
      </c>
      <c r="O537" t="s">
        <v>1949</v>
      </c>
      <c r="R537" t="s">
        <v>5303</v>
      </c>
    </row>
    <row r="538" spans="1:18" x14ac:dyDescent="0.25">
      <c r="A538" t="s">
        <v>1201</v>
      </c>
      <c r="B538" t="s">
        <v>1598</v>
      </c>
      <c r="C538" t="s">
        <v>2932</v>
      </c>
      <c r="D538" t="s">
        <v>2959</v>
      </c>
      <c r="E538" t="s">
        <v>2587</v>
      </c>
      <c r="F538" t="s">
        <v>2544</v>
      </c>
      <c r="G538" t="s">
        <v>2960</v>
      </c>
      <c r="H538" s="74">
        <v>35125</v>
      </c>
      <c r="I538" s="68" t="s">
        <v>2552</v>
      </c>
      <c r="J538" s="68" t="s">
        <v>2586</v>
      </c>
      <c r="K538" s="68" t="s">
        <v>2548</v>
      </c>
      <c r="L538" t="s">
        <v>1691</v>
      </c>
      <c r="M538" t="s">
        <v>2961</v>
      </c>
      <c r="N538" t="s">
        <v>1648</v>
      </c>
      <c r="O538" t="s">
        <v>1949</v>
      </c>
      <c r="R538" t="s">
        <v>2962</v>
      </c>
    </row>
    <row r="539" spans="1:18" x14ac:dyDescent="0.25">
      <c r="A539" t="s">
        <v>1230</v>
      </c>
      <c r="B539" t="s">
        <v>1606</v>
      </c>
      <c r="C539" t="s">
        <v>3035</v>
      </c>
      <c r="D539" t="s">
        <v>3044</v>
      </c>
      <c r="E539" t="s">
        <v>2543</v>
      </c>
      <c r="F539" t="s">
        <v>2544</v>
      </c>
      <c r="G539" t="s">
        <v>3045</v>
      </c>
      <c r="H539" s="74">
        <v>36421</v>
      </c>
      <c r="I539" s="68" t="s">
        <v>2627</v>
      </c>
      <c r="J539" s="68" t="s">
        <v>2586</v>
      </c>
      <c r="K539" s="68" t="s">
        <v>2548</v>
      </c>
      <c r="L539" t="s">
        <v>1656</v>
      </c>
      <c r="M539" t="s">
        <v>3042</v>
      </c>
      <c r="N539" t="s">
        <v>1648</v>
      </c>
      <c r="O539" t="s">
        <v>1949</v>
      </c>
      <c r="R539" t="s">
        <v>3046</v>
      </c>
    </row>
    <row r="540" spans="1:18" x14ac:dyDescent="0.25">
      <c r="A540" t="s">
        <v>1164</v>
      </c>
      <c r="B540" t="s">
        <v>1609</v>
      </c>
      <c r="C540" t="s">
        <v>3081</v>
      </c>
      <c r="D540" t="s">
        <v>3101</v>
      </c>
      <c r="E540" t="s">
        <v>2651</v>
      </c>
      <c r="F540" t="s">
        <v>2544</v>
      </c>
      <c r="G540" t="s">
        <v>3102</v>
      </c>
      <c r="H540" s="74">
        <v>34968</v>
      </c>
      <c r="I540" s="68" t="s">
        <v>2653</v>
      </c>
      <c r="J540" s="68" t="s">
        <v>2586</v>
      </c>
      <c r="K540" s="68" t="s">
        <v>2548</v>
      </c>
      <c r="L540" t="s">
        <v>1809</v>
      </c>
      <c r="M540" t="s">
        <v>3103</v>
      </c>
      <c r="N540" t="s">
        <v>1648</v>
      </c>
      <c r="O540" t="s">
        <v>1949</v>
      </c>
      <c r="R540" t="s">
        <v>3104</v>
      </c>
    </row>
    <row r="541" spans="1:18" x14ac:dyDescent="0.25">
      <c r="A541" t="s">
        <v>1127</v>
      </c>
      <c r="B541" t="s">
        <v>1591</v>
      </c>
      <c r="C541" t="s">
        <v>3633</v>
      </c>
      <c r="D541" t="s">
        <v>3641</v>
      </c>
      <c r="E541" t="s">
        <v>2579</v>
      </c>
      <c r="F541" t="s">
        <v>2544</v>
      </c>
      <c r="G541" t="s">
        <v>3642</v>
      </c>
      <c r="H541" s="74">
        <v>34927</v>
      </c>
      <c r="I541" s="68" t="s">
        <v>2653</v>
      </c>
      <c r="J541" s="68" t="s">
        <v>2586</v>
      </c>
      <c r="K541" s="68" t="s">
        <v>2548</v>
      </c>
      <c r="L541" t="s">
        <v>1709</v>
      </c>
      <c r="M541" t="s">
        <v>3529</v>
      </c>
      <c r="N541" t="s">
        <v>1627</v>
      </c>
      <c r="O541" t="s">
        <v>1950</v>
      </c>
      <c r="R541" t="s">
        <v>3643</v>
      </c>
    </row>
    <row r="542" spans="1:18" x14ac:dyDescent="0.25">
      <c r="A542" t="s">
        <v>1127</v>
      </c>
      <c r="B542" t="s">
        <v>1591</v>
      </c>
      <c r="C542" t="s">
        <v>3633</v>
      </c>
      <c r="D542" t="s">
        <v>3935</v>
      </c>
      <c r="E542" t="s">
        <v>2583</v>
      </c>
      <c r="F542" t="s">
        <v>2636</v>
      </c>
      <c r="G542" t="s">
        <v>3936</v>
      </c>
      <c r="H542" s="74">
        <v>33967</v>
      </c>
      <c r="I542" s="68" t="s">
        <v>2633</v>
      </c>
      <c r="J542" s="68" t="s">
        <v>2586</v>
      </c>
      <c r="K542" s="68" t="s">
        <v>2547</v>
      </c>
      <c r="L542" t="s">
        <v>1691</v>
      </c>
      <c r="M542" t="s">
        <v>2961</v>
      </c>
      <c r="N542" t="s">
        <v>1627</v>
      </c>
      <c r="O542" t="s">
        <v>1950</v>
      </c>
      <c r="R542" t="s">
        <v>3937</v>
      </c>
    </row>
    <row r="543" spans="1:18" x14ac:dyDescent="0.25">
      <c r="A543" t="s">
        <v>1183</v>
      </c>
      <c r="B543" t="s">
        <v>1593</v>
      </c>
      <c r="C543" t="s">
        <v>2789</v>
      </c>
      <c r="D543" t="s">
        <v>3965</v>
      </c>
      <c r="E543" t="s">
        <v>2555</v>
      </c>
      <c r="F543" t="s">
        <v>2544</v>
      </c>
      <c r="G543" t="s">
        <v>3966</v>
      </c>
      <c r="H543" s="74">
        <v>37265</v>
      </c>
      <c r="I543" s="68" t="s">
        <v>2670</v>
      </c>
      <c r="J543" s="68" t="s">
        <v>2586</v>
      </c>
      <c r="K543" s="68" t="s">
        <v>2547</v>
      </c>
      <c r="L543" t="s">
        <v>1707</v>
      </c>
      <c r="M543" t="s">
        <v>3565</v>
      </c>
      <c r="N543" t="s">
        <v>1648</v>
      </c>
      <c r="O543" t="s">
        <v>1949</v>
      </c>
      <c r="R543" t="s">
        <v>3967</v>
      </c>
    </row>
    <row r="544" spans="1:18" x14ac:dyDescent="0.25">
      <c r="A544" t="s">
        <v>1180</v>
      </c>
      <c r="B544" t="s">
        <v>1587</v>
      </c>
      <c r="C544" t="s">
        <v>3604</v>
      </c>
      <c r="D544" t="s">
        <v>4326</v>
      </c>
      <c r="E544" t="s">
        <v>2579</v>
      </c>
      <c r="F544" t="s">
        <v>2584</v>
      </c>
      <c r="G544" t="s">
        <v>4327</v>
      </c>
      <c r="H544" s="74">
        <v>32608</v>
      </c>
      <c r="I544" s="68" t="s">
        <v>2703</v>
      </c>
      <c r="J544" s="68" t="s">
        <v>2586</v>
      </c>
      <c r="K544" s="68" t="s">
        <v>2555</v>
      </c>
      <c r="L544" t="s">
        <v>1712</v>
      </c>
      <c r="M544" t="s">
        <v>3200</v>
      </c>
      <c r="N544" t="s">
        <v>43</v>
      </c>
      <c r="O544" t="s">
        <v>1949</v>
      </c>
      <c r="R544" t="s">
        <v>4328</v>
      </c>
    </row>
    <row r="545" spans="1:18" x14ac:dyDescent="0.25">
      <c r="A545" t="s">
        <v>1188</v>
      </c>
      <c r="B545" t="s">
        <v>1585</v>
      </c>
      <c r="C545" t="s">
        <v>3262</v>
      </c>
      <c r="D545" t="s">
        <v>4603</v>
      </c>
      <c r="E545" t="s">
        <v>2610</v>
      </c>
      <c r="F545" t="s">
        <v>2636</v>
      </c>
      <c r="G545" t="s">
        <v>4604</v>
      </c>
      <c r="H545" s="74">
        <v>33256</v>
      </c>
      <c r="I545" s="68" t="s">
        <v>2970</v>
      </c>
      <c r="J545" s="68" t="s">
        <v>2586</v>
      </c>
      <c r="K545" s="68" t="s">
        <v>2608</v>
      </c>
      <c r="L545" t="s">
        <v>1855</v>
      </c>
      <c r="M545" t="s">
        <v>4605</v>
      </c>
      <c r="N545" t="s">
        <v>1647</v>
      </c>
      <c r="O545" t="s">
        <v>1949</v>
      </c>
      <c r="R545" t="s">
        <v>4606</v>
      </c>
    </row>
    <row r="546" spans="1:18" x14ac:dyDescent="0.25">
      <c r="A546" t="s">
        <v>1124</v>
      </c>
      <c r="B546" t="s">
        <v>1586</v>
      </c>
      <c r="C546" t="s">
        <v>2541</v>
      </c>
      <c r="D546" t="s">
        <v>4933</v>
      </c>
      <c r="E546" t="s">
        <v>2679</v>
      </c>
      <c r="F546" t="s">
        <v>2636</v>
      </c>
      <c r="G546" t="s">
        <v>4934</v>
      </c>
      <c r="H546" s="74">
        <v>34672</v>
      </c>
      <c r="I546" s="68" t="s">
        <v>2653</v>
      </c>
      <c r="J546" s="68" t="s">
        <v>2586</v>
      </c>
      <c r="K546" s="68" t="s">
        <v>2651</v>
      </c>
      <c r="L546" t="s">
        <v>1669</v>
      </c>
      <c r="M546" t="s">
        <v>2823</v>
      </c>
      <c r="N546" t="s">
        <v>1648</v>
      </c>
      <c r="O546" t="s">
        <v>1949</v>
      </c>
      <c r="R546" t="s">
        <v>4935</v>
      </c>
    </row>
    <row r="547" spans="1:18" x14ac:dyDescent="0.25">
      <c r="A547" t="s">
        <v>1230</v>
      </c>
      <c r="B547" t="s">
        <v>1606</v>
      </c>
      <c r="C547" t="s">
        <v>3035</v>
      </c>
      <c r="D547" t="s">
        <v>3058</v>
      </c>
      <c r="E547" t="s">
        <v>2579</v>
      </c>
      <c r="F547" t="s">
        <v>2560</v>
      </c>
      <c r="G547" t="s">
        <v>3059</v>
      </c>
      <c r="H547" s="74">
        <v>35840</v>
      </c>
      <c r="I547" s="68" t="s">
        <v>2546</v>
      </c>
      <c r="J547" s="68" t="s">
        <v>2670</v>
      </c>
      <c r="K547" s="68" t="s">
        <v>2548</v>
      </c>
      <c r="L547" t="s">
        <v>1656</v>
      </c>
      <c r="M547" t="s">
        <v>3042</v>
      </c>
      <c r="N547" t="s">
        <v>1648</v>
      </c>
      <c r="O547" t="s">
        <v>1949</v>
      </c>
      <c r="R547" t="s">
        <v>3060</v>
      </c>
    </row>
    <row r="548" spans="1:18" x14ac:dyDescent="0.25">
      <c r="A548" t="s">
        <v>1239</v>
      </c>
      <c r="B548" t="s">
        <v>1612</v>
      </c>
      <c r="C548" t="s">
        <v>3123</v>
      </c>
      <c r="D548" t="s">
        <v>3128</v>
      </c>
      <c r="E548" t="s">
        <v>2552</v>
      </c>
      <c r="F548" t="s">
        <v>2560</v>
      </c>
      <c r="G548" t="s">
        <v>3129</v>
      </c>
      <c r="H548" s="74">
        <v>34763</v>
      </c>
      <c r="I548" s="68" t="s">
        <v>2653</v>
      </c>
      <c r="J548" s="68" t="s">
        <v>2670</v>
      </c>
      <c r="K548" s="68" t="s">
        <v>2548</v>
      </c>
      <c r="L548" t="s">
        <v>1774</v>
      </c>
      <c r="M548" t="s">
        <v>3130</v>
      </c>
      <c r="N548" t="s">
        <v>1648</v>
      </c>
      <c r="O548" t="s">
        <v>1949</v>
      </c>
      <c r="R548" t="s">
        <v>3131</v>
      </c>
    </row>
    <row r="549" spans="1:18" x14ac:dyDescent="0.25">
      <c r="A549" t="s">
        <v>10</v>
      </c>
      <c r="B549" t="s">
        <v>1614</v>
      </c>
      <c r="C549" t="s">
        <v>3526</v>
      </c>
      <c r="D549" t="s">
        <v>3548</v>
      </c>
      <c r="E549" t="s">
        <v>2547</v>
      </c>
      <c r="F549" t="s">
        <v>2560</v>
      </c>
      <c r="G549" t="s">
        <v>3549</v>
      </c>
      <c r="H549" s="74">
        <v>34509</v>
      </c>
      <c r="I549" s="68" t="s">
        <v>2594</v>
      </c>
      <c r="J549" s="68" t="s">
        <v>2670</v>
      </c>
      <c r="K549" s="68" t="s">
        <v>2548</v>
      </c>
      <c r="L549" t="s">
        <v>1667</v>
      </c>
      <c r="M549" t="s">
        <v>3550</v>
      </c>
      <c r="N549" t="s">
        <v>1647</v>
      </c>
      <c r="O549" t="s">
        <v>1949</v>
      </c>
      <c r="R549" t="s">
        <v>3551</v>
      </c>
    </row>
    <row r="550" spans="1:18" x14ac:dyDescent="0.25">
      <c r="A550" t="s">
        <v>1178</v>
      </c>
      <c r="B550" t="s">
        <v>1584</v>
      </c>
      <c r="C550" t="s">
        <v>3558</v>
      </c>
      <c r="D550" t="s">
        <v>3563</v>
      </c>
      <c r="E550" t="s">
        <v>2601</v>
      </c>
      <c r="F550" t="s">
        <v>2584</v>
      </c>
      <c r="G550" t="s">
        <v>3564</v>
      </c>
      <c r="H550" s="74">
        <v>36073</v>
      </c>
      <c r="I550" s="68" t="s">
        <v>2546</v>
      </c>
      <c r="J550" s="68" t="s">
        <v>2670</v>
      </c>
      <c r="K550" s="68" t="s">
        <v>2548</v>
      </c>
      <c r="L550" t="s">
        <v>1707</v>
      </c>
      <c r="M550" t="s">
        <v>3565</v>
      </c>
      <c r="N550" t="s">
        <v>1646</v>
      </c>
      <c r="O550" t="s">
        <v>1950</v>
      </c>
      <c r="R550" t="s">
        <v>3566</v>
      </c>
    </row>
    <row r="551" spans="1:18" x14ac:dyDescent="0.25">
      <c r="A551" t="s">
        <v>1178</v>
      </c>
      <c r="B551" t="s">
        <v>1584</v>
      </c>
      <c r="C551" t="s">
        <v>3558</v>
      </c>
      <c r="D551" t="s">
        <v>3567</v>
      </c>
      <c r="E551" t="s">
        <v>2552</v>
      </c>
      <c r="F551" t="s">
        <v>2544</v>
      </c>
      <c r="G551" t="s">
        <v>3568</v>
      </c>
      <c r="H551" s="74">
        <v>35891</v>
      </c>
      <c r="I551" s="68" t="s">
        <v>2546</v>
      </c>
      <c r="J551" s="68" t="s">
        <v>2670</v>
      </c>
      <c r="K551" s="68" t="s">
        <v>2548</v>
      </c>
      <c r="L551" t="s">
        <v>1660</v>
      </c>
      <c r="M551" t="s">
        <v>3319</v>
      </c>
      <c r="N551" t="s">
        <v>1646</v>
      </c>
      <c r="O551" t="s">
        <v>1950</v>
      </c>
      <c r="R551" t="s">
        <v>3569</v>
      </c>
    </row>
    <row r="552" spans="1:18" x14ac:dyDescent="0.25">
      <c r="A552" t="s">
        <v>1130</v>
      </c>
      <c r="B552" t="s">
        <v>1592</v>
      </c>
      <c r="C552" t="s">
        <v>2761</v>
      </c>
      <c r="D552" t="s">
        <v>3947</v>
      </c>
      <c r="E552" t="s">
        <v>2657</v>
      </c>
      <c r="F552" t="s">
        <v>2584</v>
      </c>
      <c r="G552" t="s">
        <v>3948</v>
      </c>
      <c r="H552" s="74">
        <v>35065</v>
      </c>
      <c r="I552" s="68" t="s">
        <v>2552</v>
      </c>
      <c r="J552" s="68" t="s">
        <v>2670</v>
      </c>
      <c r="K552" s="68" t="s">
        <v>2547</v>
      </c>
      <c r="L552" t="s">
        <v>1681</v>
      </c>
      <c r="M552" t="s">
        <v>2672</v>
      </c>
      <c r="N552" t="s">
        <v>1648</v>
      </c>
      <c r="O552" t="s">
        <v>1949</v>
      </c>
      <c r="R552" t="s">
        <v>3949</v>
      </c>
    </row>
    <row r="553" spans="1:18" x14ac:dyDescent="0.25">
      <c r="A553" t="s">
        <v>1211</v>
      </c>
      <c r="B553" t="s">
        <v>1599</v>
      </c>
      <c r="C553" t="s">
        <v>3330</v>
      </c>
      <c r="D553" t="s">
        <v>4073</v>
      </c>
      <c r="E553" t="s">
        <v>2681</v>
      </c>
      <c r="F553" t="s">
        <v>2584</v>
      </c>
      <c r="G553" t="s">
        <v>4074</v>
      </c>
      <c r="H553" s="74">
        <v>37046</v>
      </c>
      <c r="I553" s="68" t="s">
        <v>2586</v>
      </c>
      <c r="J553" s="68" t="s">
        <v>2670</v>
      </c>
      <c r="K553" s="68" t="s">
        <v>2547</v>
      </c>
      <c r="L553" t="s">
        <v>1916</v>
      </c>
      <c r="M553" t="s">
        <v>4075</v>
      </c>
      <c r="N553" t="s">
        <v>1647</v>
      </c>
      <c r="O553" t="s">
        <v>1949</v>
      </c>
      <c r="R553" t="s">
        <v>4076</v>
      </c>
    </row>
    <row r="554" spans="1:18" x14ac:dyDescent="0.25">
      <c r="A554" t="s">
        <v>1231</v>
      </c>
      <c r="B554" t="s">
        <v>1607</v>
      </c>
      <c r="C554" t="s">
        <v>2963</v>
      </c>
      <c r="D554" t="s">
        <v>4107</v>
      </c>
      <c r="E554" t="s">
        <v>2543</v>
      </c>
      <c r="F554" t="s">
        <v>2544</v>
      </c>
      <c r="G554" t="s">
        <v>4108</v>
      </c>
      <c r="H554" s="74">
        <v>35445</v>
      </c>
      <c r="I554" s="68" t="s">
        <v>2599</v>
      </c>
      <c r="J554" s="68" t="s">
        <v>2670</v>
      </c>
      <c r="K554" s="68" t="s">
        <v>2547</v>
      </c>
      <c r="L554" t="s">
        <v>1673</v>
      </c>
      <c r="M554" t="s">
        <v>2983</v>
      </c>
      <c r="N554" t="s">
        <v>1648</v>
      </c>
      <c r="O554" t="s">
        <v>1949</v>
      </c>
      <c r="R554" t="s">
        <v>4109</v>
      </c>
    </row>
    <row r="555" spans="1:18" x14ac:dyDescent="0.25">
      <c r="A555" t="s">
        <v>1164</v>
      </c>
      <c r="B555" t="s">
        <v>1609</v>
      </c>
      <c r="C555" t="s">
        <v>3081</v>
      </c>
      <c r="D555" t="s">
        <v>4202</v>
      </c>
      <c r="E555" t="s">
        <v>2599</v>
      </c>
      <c r="F555" t="s">
        <v>2544</v>
      </c>
      <c r="G555" t="s">
        <v>4203</v>
      </c>
      <c r="H555" s="74">
        <v>33465</v>
      </c>
      <c r="I555" s="68" t="s">
        <v>2970</v>
      </c>
      <c r="J555" s="68" t="s">
        <v>2670</v>
      </c>
      <c r="K555" s="68" t="s">
        <v>2547</v>
      </c>
      <c r="L555" t="s">
        <v>1785</v>
      </c>
      <c r="M555" t="s">
        <v>4204</v>
      </c>
      <c r="N555" t="s">
        <v>1648</v>
      </c>
      <c r="O555" t="s">
        <v>1949</v>
      </c>
      <c r="R555" t="s">
        <v>4205</v>
      </c>
    </row>
    <row r="556" spans="1:18" x14ac:dyDescent="0.25">
      <c r="A556" t="s">
        <v>1131</v>
      </c>
      <c r="B556" t="s">
        <v>1594</v>
      </c>
      <c r="C556" t="s">
        <v>3663</v>
      </c>
      <c r="D556" t="s">
        <v>4398</v>
      </c>
      <c r="E556" t="s">
        <v>2679</v>
      </c>
      <c r="F556" t="s">
        <v>2636</v>
      </c>
      <c r="G556" t="s">
        <v>4399</v>
      </c>
      <c r="H556" s="74">
        <v>37139</v>
      </c>
      <c r="I556" s="68" t="s">
        <v>2586</v>
      </c>
      <c r="J556" s="68" t="s">
        <v>2670</v>
      </c>
      <c r="K556" s="68" t="s">
        <v>2543</v>
      </c>
      <c r="L556" t="s">
        <v>1667</v>
      </c>
      <c r="M556" t="s">
        <v>3550</v>
      </c>
      <c r="N556" t="s">
        <v>43</v>
      </c>
      <c r="O556" t="s">
        <v>1949</v>
      </c>
      <c r="R556" t="s">
        <v>4400</v>
      </c>
    </row>
    <row r="557" spans="1:18" x14ac:dyDescent="0.25">
      <c r="A557" t="s">
        <v>1153</v>
      </c>
      <c r="B557" t="s">
        <v>1603</v>
      </c>
      <c r="C557" t="s">
        <v>3776</v>
      </c>
      <c r="D557" t="s">
        <v>4495</v>
      </c>
      <c r="E557" t="s">
        <v>2583</v>
      </c>
      <c r="F557" t="s">
        <v>2636</v>
      </c>
      <c r="G557" t="s">
        <v>4496</v>
      </c>
      <c r="H557" s="74">
        <v>34500</v>
      </c>
      <c r="I557" s="68" t="s">
        <v>2594</v>
      </c>
      <c r="J557" s="68" t="s">
        <v>2670</v>
      </c>
      <c r="K557" s="68" t="s">
        <v>2657</v>
      </c>
      <c r="L557" t="s">
        <v>1725</v>
      </c>
      <c r="M557" t="s">
        <v>2819</v>
      </c>
      <c r="N557" t="s">
        <v>43</v>
      </c>
      <c r="O557" t="s">
        <v>1949</v>
      </c>
      <c r="R557" t="s">
        <v>4497</v>
      </c>
    </row>
    <row r="558" spans="1:18" x14ac:dyDescent="0.25">
      <c r="A558" t="s">
        <v>1188</v>
      </c>
      <c r="B558" t="s">
        <v>1585</v>
      </c>
      <c r="C558" t="s">
        <v>3262</v>
      </c>
      <c r="D558" t="s">
        <v>4611</v>
      </c>
      <c r="E558" t="s">
        <v>2776</v>
      </c>
      <c r="F558" t="s">
        <v>2584</v>
      </c>
      <c r="G558" t="s">
        <v>4612</v>
      </c>
      <c r="H558" s="74">
        <v>35251</v>
      </c>
      <c r="I558" s="68" t="s">
        <v>2552</v>
      </c>
      <c r="J558" s="68" t="s">
        <v>2670</v>
      </c>
      <c r="K558" s="68" t="s">
        <v>2555</v>
      </c>
      <c r="L558" t="s">
        <v>1713</v>
      </c>
      <c r="M558" t="s">
        <v>2708</v>
      </c>
      <c r="N558" t="s">
        <v>1647</v>
      </c>
      <c r="O558" t="s">
        <v>1949</v>
      </c>
      <c r="R558" t="s">
        <v>4613</v>
      </c>
    </row>
    <row r="559" spans="1:18" x14ac:dyDescent="0.25">
      <c r="A559" t="s">
        <v>10</v>
      </c>
      <c r="B559" t="s">
        <v>1614</v>
      </c>
      <c r="C559" t="s">
        <v>3526</v>
      </c>
      <c r="D559" t="s">
        <v>4870</v>
      </c>
      <c r="E559" t="s">
        <v>2546</v>
      </c>
      <c r="F559" t="s">
        <v>2636</v>
      </c>
      <c r="G559" t="s">
        <v>4871</v>
      </c>
      <c r="H559" s="74">
        <v>36576</v>
      </c>
      <c r="I559" s="68" t="s">
        <v>2579</v>
      </c>
      <c r="J559" s="68" t="s">
        <v>2670</v>
      </c>
      <c r="K559" s="68" t="s">
        <v>2651</v>
      </c>
      <c r="L559" t="s">
        <v>1899</v>
      </c>
      <c r="M559" t="s">
        <v>4872</v>
      </c>
      <c r="N559" t="s">
        <v>1647</v>
      </c>
      <c r="O559" t="s">
        <v>1949</v>
      </c>
      <c r="R559" t="s">
        <v>4873</v>
      </c>
    </row>
    <row r="560" spans="1:18" x14ac:dyDescent="0.25">
      <c r="A560" t="s">
        <v>1231</v>
      </c>
      <c r="B560" t="s">
        <v>1607</v>
      </c>
      <c r="C560" t="s">
        <v>2963</v>
      </c>
      <c r="D560" t="s">
        <v>5261</v>
      </c>
      <c r="E560" t="s">
        <v>2681</v>
      </c>
      <c r="F560" t="s">
        <v>2636</v>
      </c>
      <c r="G560" t="s">
        <v>5262</v>
      </c>
      <c r="H560" s="74">
        <v>34274</v>
      </c>
      <c r="I560" s="68" t="s">
        <v>2633</v>
      </c>
      <c r="J560" s="68" t="s">
        <v>2670</v>
      </c>
      <c r="K560" s="68" t="s">
        <v>2776</v>
      </c>
      <c r="L560" t="s">
        <v>1659</v>
      </c>
      <c r="M560" t="s">
        <v>2972</v>
      </c>
      <c r="N560" t="s">
        <v>1648</v>
      </c>
      <c r="O560" t="s">
        <v>1949</v>
      </c>
      <c r="R560" t="s">
        <v>5263</v>
      </c>
    </row>
    <row r="561" spans="1:18" x14ac:dyDescent="0.25">
      <c r="A561" t="s">
        <v>1124</v>
      </c>
      <c r="B561" t="s">
        <v>1586</v>
      </c>
      <c r="C561" t="s">
        <v>2541</v>
      </c>
      <c r="D561" t="s">
        <v>2582</v>
      </c>
      <c r="E561" t="s">
        <v>2583</v>
      </c>
      <c r="F561" t="s">
        <v>2584</v>
      </c>
      <c r="G561" t="s">
        <v>2585</v>
      </c>
      <c r="H561" s="74">
        <v>37119</v>
      </c>
      <c r="I561" s="68" t="s">
        <v>2586</v>
      </c>
      <c r="J561" s="68" t="s">
        <v>2587</v>
      </c>
      <c r="K561" s="68" t="s">
        <v>2548</v>
      </c>
      <c r="L561" t="s">
        <v>1710</v>
      </c>
      <c r="M561" t="s">
        <v>2588</v>
      </c>
      <c r="N561" t="s">
        <v>1648</v>
      </c>
      <c r="O561" t="s">
        <v>1949</v>
      </c>
      <c r="R561" t="s">
        <v>2589</v>
      </c>
    </row>
    <row r="562" spans="1:18" x14ac:dyDescent="0.25">
      <c r="A562" t="s">
        <v>1291</v>
      </c>
      <c r="B562" t="s">
        <v>1589</v>
      </c>
      <c r="C562" t="s">
        <v>2590</v>
      </c>
      <c r="D562" t="s">
        <v>2604</v>
      </c>
      <c r="E562" t="s">
        <v>2552</v>
      </c>
      <c r="F562" t="s">
        <v>2544</v>
      </c>
      <c r="G562" t="s">
        <v>2605</v>
      </c>
      <c r="H562" s="74">
        <v>35088</v>
      </c>
      <c r="I562" s="68" t="s">
        <v>2552</v>
      </c>
      <c r="J562" s="68" t="s">
        <v>2587</v>
      </c>
      <c r="K562" s="68" t="s">
        <v>2548</v>
      </c>
      <c r="L562" t="s">
        <v>1682</v>
      </c>
      <c r="M562" t="s">
        <v>2596</v>
      </c>
      <c r="N562" t="s">
        <v>1648</v>
      </c>
      <c r="O562" t="s">
        <v>1949</v>
      </c>
      <c r="R562" t="s">
        <v>2606</v>
      </c>
    </row>
    <row r="563" spans="1:18" x14ac:dyDescent="0.25">
      <c r="A563" t="s">
        <v>1291</v>
      </c>
      <c r="B563" t="s">
        <v>1589</v>
      </c>
      <c r="C563" t="s">
        <v>2590</v>
      </c>
      <c r="D563" t="s">
        <v>2617</v>
      </c>
      <c r="E563" t="s">
        <v>2547</v>
      </c>
      <c r="F563" t="s">
        <v>2560</v>
      </c>
      <c r="G563" t="s">
        <v>2618</v>
      </c>
      <c r="H563" s="74">
        <v>35559</v>
      </c>
      <c r="I563" s="68" t="s">
        <v>2599</v>
      </c>
      <c r="J563" s="68" t="s">
        <v>2587</v>
      </c>
      <c r="K563" s="68" t="s">
        <v>2548</v>
      </c>
      <c r="L563" t="s">
        <v>1892</v>
      </c>
      <c r="M563" t="s">
        <v>2619</v>
      </c>
      <c r="N563" t="s">
        <v>1648</v>
      </c>
      <c r="O563" t="s">
        <v>1949</v>
      </c>
      <c r="R563" t="s">
        <v>2620</v>
      </c>
    </row>
    <row r="564" spans="1:18" x14ac:dyDescent="0.25">
      <c r="A564" t="s">
        <v>1256</v>
      </c>
      <c r="B564" t="s">
        <v>1588</v>
      </c>
      <c r="C564" t="s">
        <v>2640</v>
      </c>
      <c r="D564" t="s">
        <v>2641</v>
      </c>
      <c r="E564" t="s">
        <v>2546</v>
      </c>
      <c r="F564" t="s">
        <v>2544</v>
      </c>
      <c r="G564" t="s">
        <v>2642</v>
      </c>
      <c r="H564" s="74">
        <v>36230</v>
      </c>
      <c r="I564" s="68" t="s">
        <v>2627</v>
      </c>
      <c r="J564" s="68" t="s">
        <v>2587</v>
      </c>
      <c r="K564" s="68" t="s">
        <v>2548</v>
      </c>
      <c r="L564" t="s">
        <v>1937</v>
      </c>
      <c r="M564" t="s">
        <v>2643</v>
      </c>
      <c r="N564" t="s">
        <v>1648</v>
      </c>
      <c r="O564" t="s">
        <v>1949</v>
      </c>
      <c r="R564" t="s">
        <v>2644</v>
      </c>
    </row>
    <row r="565" spans="1:18" x14ac:dyDescent="0.25">
      <c r="A565" t="s">
        <v>1256</v>
      </c>
      <c r="B565" t="s">
        <v>1588</v>
      </c>
      <c r="C565" t="s">
        <v>2640</v>
      </c>
      <c r="D565" t="s">
        <v>2656</v>
      </c>
      <c r="E565" t="s">
        <v>2657</v>
      </c>
      <c r="F565" t="s">
        <v>2584</v>
      </c>
      <c r="G565" t="s">
        <v>2658</v>
      </c>
      <c r="H565" s="74">
        <v>34743</v>
      </c>
      <c r="I565" s="68" t="s">
        <v>2653</v>
      </c>
      <c r="J565" s="68" t="s">
        <v>2587</v>
      </c>
      <c r="K565" s="68" t="s">
        <v>2548</v>
      </c>
      <c r="L565" t="s">
        <v>1708</v>
      </c>
      <c r="M565" t="s">
        <v>2659</v>
      </c>
      <c r="N565" t="s">
        <v>1648</v>
      </c>
      <c r="O565" t="s">
        <v>1949</v>
      </c>
      <c r="R565" t="s">
        <v>2660</v>
      </c>
    </row>
    <row r="566" spans="1:18" x14ac:dyDescent="0.25">
      <c r="A566" t="s">
        <v>1256</v>
      </c>
      <c r="B566" t="s">
        <v>1588</v>
      </c>
      <c r="C566" t="s">
        <v>2640</v>
      </c>
      <c r="D566" t="s">
        <v>2684</v>
      </c>
      <c r="E566" t="s">
        <v>2587</v>
      </c>
      <c r="F566" t="s">
        <v>2544</v>
      </c>
      <c r="G566" t="s">
        <v>2685</v>
      </c>
      <c r="H566" s="74">
        <v>36068</v>
      </c>
      <c r="I566" s="68" t="s">
        <v>2546</v>
      </c>
      <c r="J566" s="68" t="s">
        <v>2587</v>
      </c>
      <c r="K566" s="68" t="s">
        <v>2548</v>
      </c>
      <c r="L566" t="s">
        <v>1843</v>
      </c>
      <c r="M566" t="s">
        <v>2686</v>
      </c>
      <c r="N566" t="s">
        <v>1648</v>
      </c>
      <c r="O566" t="s">
        <v>1949</v>
      </c>
      <c r="R566" t="s">
        <v>2687</v>
      </c>
    </row>
    <row r="567" spans="1:18" x14ac:dyDescent="0.25">
      <c r="A567" t="s">
        <v>1294</v>
      </c>
      <c r="B567" t="s">
        <v>1590</v>
      </c>
      <c r="C567" t="s">
        <v>2717</v>
      </c>
      <c r="D567" t="s">
        <v>2745</v>
      </c>
      <c r="E567" t="s">
        <v>2627</v>
      </c>
      <c r="F567" t="s">
        <v>2560</v>
      </c>
      <c r="G567" t="s">
        <v>2746</v>
      </c>
      <c r="H567" s="74">
        <v>36220</v>
      </c>
      <c r="I567" s="68" t="s">
        <v>2627</v>
      </c>
      <c r="J567" s="68" t="s">
        <v>2587</v>
      </c>
      <c r="K567" s="68" t="s">
        <v>2548</v>
      </c>
      <c r="L567" t="s">
        <v>1887</v>
      </c>
      <c r="M567" t="s">
        <v>2747</v>
      </c>
      <c r="N567" t="s">
        <v>1648</v>
      </c>
      <c r="O567" t="s">
        <v>1949</v>
      </c>
      <c r="R567" t="s">
        <v>2748</v>
      </c>
    </row>
    <row r="568" spans="1:18" x14ac:dyDescent="0.25">
      <c r="A568" t="s">
        <v>1183</v>
      </c>
      <c r="B568" t="s">
        <v>1593</v>
      </c>
      <c r="C568" t="s">
        <v>2789</v>
      </c>
      <c r="D568" t="s">
        <v>2806</v>
      </c>
      <c r="E568" t="s">
        <v>2566</v>
      </c>
      <c r="F568" t="s">
        <v>2560</v>
      </c>
      <c r="G568" t="s">
        <v>2807</v>
      </c>
      <c r="H568" s="74">
        <v>36778</v>
      </c>
      <c r="I568" s="68" t="s">
        <v>2579</v>
      </c>
      <c r="J568" s="68" t="s">
        <v>2587</v>
      </c>
      <c r="K568" s="68" t="s">
        <v>2548</v>
      </c>
      <c r="L568" t="s">
        <v>1877</v>
      </c>
      <c r="M568" t="s">
        <v>2808</v>
      </c>
      <c r="N568" t="s">
        <v>1648</v>
      </c>
      <c r="O568" t="s">
        <v>1949</v>
      </c>
      <c r="R568" t="s">
        <v>2809</v>
      </c>
    </row>
    <row r="569" spans="1:18" x14ac:dyDescent="0.25">
      <c r="A569" t="s">
        <v>1137</v>
      </c>
      <c r="B569" t="s">
        <v>1596</v>
      </c>
      <c r="C569" t="s">
        <v>2836</v>
      </c>
      <c r="D569" t="s">
        <v>2861</v>
      </c>
      <c r="E569" t="s">
        <v>2599</v>
      </c>
      <c r="F569" t="s">
        <v>2544</v>
      </c>
      <c r="G569" t="s">
        <v>2862</v>
      </c>
      <c r="H569" s="74">
        <v>37236</v>
      </c>
      <c r="I569" s="68" t="s">
        <v>2670</v>
      </c>
      <c r="J569" s="68" t="s">
        <v>2587</v>
      </c>
      <c r="K569" s="68" t="s">
        <v>2548</v>
      </c>
      <c r="L569" t="s">
        <v>1802</v>
      </c>
      <c r="M569" t="s">
        <v>2863</v>
      </c>
      <c r="N569" t="s">
        <v>1648</v>
      </c>
      <c r="O569" t="s">
        <v>1949</v>
      </c>
      <c r="R569" t="s">
        <v>2864</v>
      </c>
    </row>
    <row r="570" spans="1:18" x14ac:dyDescent="0.25">
      <c r="A570" t="s">
        <v>1244</v>
      </c>
      <c r="B570" t="s">
        <v>1597</v>
      </c>
      <c r="C570" t="s">
        <v>2876</v>
      </c>
      <c r="D570" t="s">
        <v>2884</v>
      </c>
      <c r="E570" t="s">
        <v>2587</v>
      </c>
      <c r="F570" t="s">
        <v>2544</v>
      </c>
      <c r="G570" t="s">
        <v>2885</v>
      </c>
      <c r="H570" s="74">
        <v>36799</v>
      </c>
      <c r="I570" s="68" t="s">
        <v>2579</v>
      </c>
      <c r="J570" s="68" t="s">
        <v>2587</v>
      </c>
      <c r="K570" s="68" t="s">
        <v>2548</v>
      </c>
      <c r="L570" t="s">
        <v>1669</v>
      </c>
      <c r="M570" t="s">
        <v>2823</v>
      </c>
      <c r="N570" t="s">
        <v>1648</v>
      </c>
      <c r="O570" t="s">
        <v>1949</v>
      </c>
      <c r="R570" t="s">
        <v>2886</v>
      </c>
    </row>
    <row r="571" spans="1:18" x14ac:dyDescent="0.25">
      <c r="A571" t="s">
        <v>1244</v>
      </c>
      <c r="B571" t="s">
        <v>1597</v>
      </c>
      <c r="C571" t="s">
        <v>2876</v>
      </c>
      <c r="D571" t="s">
        <v>2895</v>
      </c>
      <c r="E571" t="s">
        <v>2614</v>
      </c>
      <c r="F571" t="s">
        <v>2560</v>
      </c>
      <c r="G571" t="s">
        <v>2896</v>
      </c>
      <c r="H571" s="74">
        <v>36199</v>
      </c>
      <c r="I571" s="68" t="s">
        <v>2627</v>
      </c>
      <c r="J571" s="68" t="s">
        <v>2587</v>
      </c>
      <c r="K571" s="68" t="s">
        <v>2548</v>
      </c>
      <c r="L571" t="s">
        <v>1854</v>
      </c>
      <c r="M571" t="s">
        <v>2897</v>
      </c>
      <c r="N571" t="s">
        <v>1648</v>
      </c>
      <c r="O571" t="s">
        <v>1949</v>
      </c>
      <c r="R571" t="s">
        <v>2898</v>
      </c>
    </row>
    <row r="572" spans="1:18" x14ac:dyDescent="0.25">
      <c r="A572" t="s">
        <v>1230</v>
      </c>
      <c r="B572" t="s">
        <v>1606</v>
      </c>
      <c r="C572" t="s">
        <v>3035</v>
      </c>
      <c r="D572" t="s">
        <v>3036</v>
      </c>
      <c r="E572" t="s">
        <v>2583</v>
      </c>
      <c r="F572" t="s">
        <v>2636</v>
      </c>
      <c r="G572" t="s">
        <v>3037</v>
      </c>
      <c r="H572" s="74">
        <v>35850</v>
      </c>
      <c r="I572" s="68" t="s">
        <v>2546</v>
      </c>
      <c r="J572" s="68" t="s">
        <v>2587</v>
      </c>
      <c r="K572" s="68" t="s">
        <v>2548</v>
      </c>
      <c r="L572" t="s">
        <v>1820</v>
      </c>
      <c r="M572" t="s">
        <v>3038</v>
      </c>
      <c r="N572" t="s">
        <v>1648</v>
      </c>
      <c r="O572" t="s">
        <v>1949</v>
      </c>
      <c r="R572" t="s">
        <v>3039</v>
      </c>
    </row>
    <row r="573" spans="1:18" x14ac:dyDescent="0.25">
      <c r="A573" t="s">
        <v>1164</v>
      </c>
      <c r="B573" t="s">
        <v>1609</v>
      </c>
      <c r="C573" t="s">
        <v>3081</v>
      </c>
      <c r="D573" t="s">
        <v>3094</v>
      </c>
      <c r="E573" t="s">
        <v>2610</v>
      </c>
      <c r="F573" t="s">
        <v>2544</v>
      </c>
      <c r="G573" t="s">
        <v>3095</v>
      </c>
      <c r="H573" s="74">
        <v>35177</v>
      </c>
      <c r="I573" s="68" t="s">
        <v>2552</v>
      </c>
      <c r="J573" s="68" t="s">
        <v>2587</v>
      </c>
      <c r="K573" s="68" t="s">
        <v>2548</v>
      </c>
      <c r="L573" t="s">
        <v>1818</v>
      </c>
      <c r="M573" t="s">
        <v>3096</v>
      </c>
      <c r="N573" t="s">
        <v>1648</v>
      </c>
      <c r="O573" t="s">
        <v>1949</v>
      </c>
      <c r="R573" t="s">
        <v>3097</v>
      </c>
    </row>
    <row r="574" spans="1:18" x14ac:dyDescent="0.25">
      <c r="A574" t="s">
        <v>1164</v>
      </c>
      <c r="B574" t="s">
        <v>1609</v>
      </c>
      <c r="C574" t="s">
        <v>3081</v>
      </c>
      <c r="D574" t="s">
        <v>3112</v>
      </c>
      <c r="E574" t="s">
        <v>2555</v>
      </c>
      <c r="F574" t="s">
        <v>2544</v>
      </c>
      <c r="G574" t="s">
        <v>3113</v>
      </c>
      <c r="H574" s="74">
        <v>36913</v>
      </c>
      <c r="I574" s="68" t="s">
        <v>2586</v>
      </c>
      <c r="J574" s="68" t="s">
        <v>2587</v>
      </c>
      <c r="K574" s="68" t="s">
        <v>2548</v>
      </c>
      <c r="L574" t="s">
        <v>1743</v>
      </c>
      <c r="M574" t="s">
        <v>2624</v>
      </c>
      <c r="N574" t="s">
        <v>1648</v>
      </c>
      <c r="O574" t="s">
        <v>1949</v>
      </c>
      <c r="R574" t="s">
        <v>3114</v>
      </c>
    </row>
    <row r="575" spans="1:18" x14ac:dyDescent="0.25">
      <c r="A575" t="s">
        <v>1188</v>
      </c>
      <c r="B575" t="s">
        <v>1585</v>
      </c>
      <c r="C575" t="s">
        <v>3262</v>
      </c>
      <c r="D575" t="s">
        <v>3293</v>
      </c>
      <c r="E575" t="s">
        <v>2670</v>
      </c>
      <c r="F575" t="s">
        <v>2544</v>
      </c>
      <c r="G575" t="s">
        <v>3294</v>
      </c>
      <c r="H575" s="74">
        <v>35509</v>
      </c>
      <c r="I575" s="68" t="s">
        <v>2599</v>
      </c>
      <c r="J575" s="68" t="s">
        <v>2587</v>
      </c>
      <c r="K575" s="68" t="s">
        <v>2548</v>
      </c>
      <c r="L575" t="s">
        <v>1815</v>
      </c>
      <c r="M575" t="s">
        <v>3295</v>
      </c>
      <c r="N575" t="s">
        <v>1647</v>
      </c>
      <c r="O575" t="s">
        <v>1949</v>
      </c>
      <c r="R575" t="s">
        <v>3296</v>
      </c>
    </row>
    <row r="576" spans="1:18" x14ac:dyDescent="0.25">
      <c r="A576" t="s">
        <v>1167</v>
      </c>
      <c r="B576" t="s">
        <v>1610</v>
      </c>
      <c r="C576" t="s">
        <v>3301</v>
      </c>
      <c r="D576" t="s">
        <v>3311</v>
      </c>
      <c r="E576" t="s">
        <v>2547</v>
      </c>
      <c r="F576" t="s">
        <v>2560</v>
      </c>
      <c r="G576" t="s">
        <v>3312</v>
      </c>
      <c r="H576" s="74">
        <v>35752</v>
      </c>
      <c r="I576" s="68" t="s">
        <v>2599</v>
      </c>
      <c r="J576" s="68" t="s">
        <v>2587</v>
      </c>
      <c r="K576" s="68" t="s">
        <v>2548</v>
      </c>
      <c r="L576" t="s">
        <v>1669</v>
      </c>
      <c r="M576" t="s">
        <v>2823</v>
      </c>
      <c r="N576" t="s">
        <v>1647</v>
      </c>
      <c r="O576" t="s">
        <v>1949</v>
      </c>
      <c r="R576" t="s">
        <v>3313</v>
      </c>
    </row>
    <row r="577" spans="1:18" x14ac:dyDescent="0.25">
      <c r="A577" t="s">
        <v>1167</v>
      </c>
      <c r="B577" t="s">
        <v>1610</v>
      </c>
      <c r="C577" t="s">
        <v>3301</v>
      </c>
      <c r="D577" t="s">
        <v>3324</v>
      </c>
      <c r="E577" t="s">
        <v>2559</v>
      </c>
      <c r="F577" t="s">
        <v>2560</v>
      </c>
      <c r="G577" t="s">
        <v>3325</v>
      </c>
      <c r="H577" s="74">
        <v>34957</v>
      </c>
      <c r="I577" s="68" t="s">
        <v>2653</v>
      </c>
      <c r="J577" s="68" t="s">
        <v>2587</v>
      </c>
      <c r="K577" s="68" t="s">
        <v>2548</v>
      </c>
      <c r="L577" t="s">
        <v>1681</v>
      </c>
      <c r="M577" t="s">
        <v>2672</v>
      </c>
      <c r="N577" t="s">
        <v>1647</v>
      </c>
      <c r="O577" t="s">
        <v>1949</v>
      </c>
      <c r="R577" t="s">
        <v>3326</v>
      </c>
    </row>
    <row r="578" spans="1:18" x14ac:dyDescent="0.25">
      <c r="A578" t="s">
        <v>1157</v>
      </c>
      <c r="B578" t="s">
        <v>1604</v>
      </c>
      <c r="C578" t="s">
        <v>3391</v>
      </c>
      <c r="D578" t="s">
        <v>3392</v>
      </c>
      <c r="E578" t="s">
        <v>2543</v>
      </c>
      <c r="F578" t="s">
        <v>2544</v>
      </c>
      <c r="G578" t="s">
        <v>3393</v>
      </c>
      <c r="H578" s="74">
        <v>35472</v>
      </c>
      <c r="I578" s="68" t="s">
        <v>2599</v>
      </c>
      <c r="J578" s="68" t="s">
        <v>2587</v>
      </c>
      <c r="K578" s="68" t="s">
        <v>2548</v>
      </c>
      <c r="L578" t="s">
        <v>1773</v>
      </c>
      <c r="M578" t="s">
        <v>2915</v>
      </c>
      <c r="N578" t="s">
        <v>1647</v>
      </c>
      <c r="O578" t="s">
        <v>1949</v>
      </c>
      <c r="R578" t="s">
        <v>3394</v>
      </c>
    </row>
    <row r="579" spans="1:18" x14ac:dyDescent="0.25">
      <c r="A579" t="s">
        <v>1253</v>
      </c>
      <c r="B579" t="s">
        <v>1608</v>
      </c>
      <c r="C579" t="s">
        <v>3431</v>
      </c>
      <c r="D579" t="s">
        <v>3436</v>
      </c>
      <c r="E579" t="s">
        <v>2559</v>
      </c>
      <c r="F579" t="s">
        <v>2636</v>
      </c>
      <c r="G579" t="s">
        <v>3437</v>
      </c>
      <c r="H579" s="74">
        <v>36591</v>
      </c>
      <c r="I579" s="68" t="s">
        <v>2579</v>
      </c>
      <c r="J579" s="68" t="s">
        <v>2587</v>
      </c>
      <c r="K579" s="68" t="s">
        <v>2548</v>
      </c>
      <c r="L579" t="s">
        <v>1801</v>
      </c>
      <c r="M579" t="s">
        <v>3232</v>
      </c>
      <c r="N579" t="s">
        <v>1647</v>
      </c>
      <c r="O579" t="s">
        <v>1949</v>
      </c>
      <c r="R579" t="s">
        <v>3438</v>
      </c>
    </row>
    <row r="580" spans="1:18" x14ac:dyDescent="0.25">
      <c r="A580" t="s">
        <v>1253</v>
      </c>
      <c r="B580" t="s">
        <v>1608</v>
      </c>
      <c r="C580" t="s">
        <v>3431</v>
      </c>
      <c r="D580" t="s">
        <v>3439</v>
      </c>
      <c r="E580" t="s">
        <v>2601</v>
      </c>
      <c r="F580" t="s">
        <v>2544</v>
      </c>
      <c r="G580" t="s">
        <v>3440</v>
      </c>
      <c r="H580" s="74">
        <v>36389</v>
      </c>
      <c r="I580" s="68" t="s">
        <v>2627</v>
      </c>
      <c r="J580" s="68" t="s">
        <v>2587</v>
      </c>
      <c r="K580" s="68" t="s">
        <v>2548</v>
      </c>
      <c r="L580" t="s">
        <v>1687</v>
      </c>
      <c r="M580" t="s">
        <v>3441</v>
      </c>
      <c r="N580" t="s">
        <v>1647</v>
      </c>
      <c r="O580" t="s">
        <v>1949</v>
      </c>
      <c r="R580" t="s">
        <v>3442</v>
      </c>
    </row>
    <row r="581" spans="1:18" x14ac:dyDescent="0.25">
      <c r="A581" t="s">
        <v>1253</v>
      </c>
      <c r="B581" t="s">
        <v>1608</v>
      </c>
      <c r="C581" t="s">
        <v>3431</v>
      </c>
      <c r="D581" t="s">
        <v>3473</v>
      </c>
      <c r="E581" t="s">
        <v>2587</v>
      </c>
      <c r="F581" t="s">
        <v>2544</v>
      </c>
      <c r="G581" t="s">
        <v>3474</v>
      </c>
      <c r="H581" s="74">
        <v>36893</v>
      </c>
      <c r="I581" s="68" t="s">
        <v>2586</v>
      </c>
      <c r="J581" s="68" t="s">
        <v>2587</v>
      </c>
      <c r="K581" s="68" t="s">
        <v>2548</v>
      </c>
      <c r="L581" t="s">
        <v>1821</v>
      </c>
      <c r="M581" t="s">
        <v>3475</v>
      </c>
      <c r="N581" t="s">
        <v>1647</v>
      </c>
      <c r="O581" t="s">
        <v>1949</v>
      </c>
      <c r="R581" t="s">
        <v>3476</v>
      </c>
    </row>
    <row r="582" spans="1:18" x14ac:dyDescent="0.25">
      <c r="A582" t="s">
        <v>1127</v>
      </c>
      <c r="B582" t="s">
        <v>1591</v>
      </c>
      <c r="C582" t="s">
        <v>3633</v>
      </c>
      <c r="D582" t="s">
        <v>3647</v>
      </c>
      <c r="E582" t="s">
        <v>2566</v>
      </c>
      <c r="F582" t="s">
        <v>2560</v>
      </c>
      <c r="G582" t="s">
        <v>3648</v>
      </c>
      <c r="H582" s="74">
        <v>35082</v>
      </c>
      <c r="I582" s="68" t="s">
        <v>2552</v>
      </c>
      <c r="J582" s="68" t="s">
        <v>2587</v>
      </c>
      <c r="K582" s="68" t="s">
        <v>2548</v>
      </c>
      <c r="L582" t="s">
        <v>1660</v>
      </c>
      <c r="M582" t="s">
        <v>3319</v>
      </c>
      <c r="N582" t="s">
        <v>1627</v>
      </c>
      <c r="O582" t="s">
        <v>1950</v>
      </c>
      <c r="R582" t="s">
        <v>3649</v>
      </c>
    </row>
    <row r="583" spans="1:18" x14ac:dyDescent="0.25">
      <c r="A583" t="s">
        <v>1135</v>
      </c>
      <c r="B583" t="s">
        <v>1595</v>
      </c>
      <c r="C583" t="s">
        <v>3694</v>
      </c>
      <c r="D583" t="s">
        <v>3704</v>
      </c>
      <c r="E583" t="s">
        <v>2546</v>
      </c>
      <c r="F583" t="s">
        <v>2544</v>
      </c>
      <c r="G583" t="s">
        <v>3705</v>
      </c>
      <c r="H583" s="74">
        <v>36305</v>
      </c>
      <c r="I583" s="68" t="s">
        <v>2627</v>
      </c>
      <c r="J583" s="68" t="s">
        <v>2587</v>
      </c>
      <c r="K583" s="68" t="s">
        <v>2548</v>
      </c>
      <c r="L583" t="s">
        <v>1676</v>
      </c>
      <c r="M583" t="s">
        <v>3615</v>
      </c>
      <c r="N583" t="s">
        <v>1617</v>
      </c>
      <c r="O583" t="s">
        <v>1950</v>
      </c>
      <c r="R583" t="s">
        <v>3706</v>
      </c>
    </row>
    <row r="584" spans="1:18" x14ac:dyDescent="0.25">
      <c r="A584" t="s">
        <v>1135</v>
      </c>
      <c r="B584" t="s">
        <v>1595</v>
      </c>
      <c r="C584" t="s">
        <v>3694</v>
      </c>
      <c r="D584" t="s">
        <v>3719</v>
      </c>
      <c r="E584" t="s">
        <v>2566</v>
      </c>
      <c r="F584" t="s">
        <v>2636</v>
      </c>
      <c r="G584" t="s">
        <v>3720</v>
      </c>
      <c r="H584" s="74">
        <v>36134</v>
      </c>
      <c r="I584" s="68" t="s">
        <v>2627</v>
      </c>
      <c r="J584" s="68" t="s">
        <v>2587</v>
      </c>
      <c r="K584" s="68" t="s">
        <v>2548</v>
      </c>
      <c r="L584" t="s">
        <v>1674</v>
      </c>
      <c r="M584" t="s">
        <v>2851</v>
      </c>
      <c r="N584" t="s">
        <v>1617</v>
      </c>
      <c r="O584" t="s">
        <v>1950</v>
      </c>
      <c r="R584" t="s">
        <v>3721</v>
      </c>
    </row>
    <row r="585" spans="1:18" x14ac:dyDescent="0.25">
      <c r="A585" t="s">
        <v>1135</v>
      </c>
      <c r="B585" t="s">
        <v>1595</v>
      </c>
      <c r="C585" t="s">
        <v>3694</v>
      </c>
      <c r="D585" t="s">
        <v>3725</v>
      </c>
      <c r="E585" t="s">
        <v>2559</v>
      </c>
      <c r="F585" t="s">
        <v>2584</v>
      </c>
      <c r="G585" t="s">
        <v>3726</v>
      </c>
      <c r="H585" s="74">
        <v>36170</v>
      </c>
      <c r="I585" s="68" t="s">
        <v>2627</v>
      </c>
      <c r="J585" s="68" t="s">
        <v>2587</v>
      </c>
      <c r="K585" s="68" t="s">
        <v>2548</v>
      </c>
      <c r="L585" t="s">
        <v>1687</v>
      </c>
      <c r="M585" t="s">
        <v>3441</v>
      </c>
      <c r="N585" t="s">
        <v>1617</v>
      </c>
      <c r="O585" t="s">
        <v>1950</v>
      </c>
      <c r="R585" t="s">
        <v>3727</v>
      </c>
    </row>
    <row r="586" spans="1:18" x14ac:dyDescent="0.25">
      <c r="A586" t="s">
        <v>1238</v>
      </c>
      <c r="B586" t="s">
        <v>1602</v>
      </c>
      <c r="C586" t="s">
        <v>3732</v>
      </c>
      <c r="D586" t="s">
        <v>3744</v>
      </c>
      <c r="E586" t="s">
        <v>2614</v>
      </c>
      <c r="F586" t="s">
        <v>2636</v>
      </c>
      <c r="G586" t="s">
        <v>3745</v>
      </c>
      <c r="H586" s="74">
        <v>37242</v>
      </c>
      <c r="I586" s="68" t="s">
        <v>2670</v>
      </c>
      <c r="J586" s="68" t="s">
        <v>2587</v>
      </c>
      <c r="K586" s="68" t="s">
        <v>2548</v>
      </c>
      <c r="L586" t="s">
        <v>1796</v>
      </c>
      <c r="M586" t="s">
        <v>3746</v>
      </c>
      <c r="N586" t="s">
        <v>1628</v>
      </c>
      <c r="O586" t="s">
        <v>1950</v>
      </c>
      <c r="R586" t="s">
        <v>3747</v>
      </c>
    </row>
    <row r="587" spans="1:18" x14ac:dyDescent="0.25">
      <c r="A587" t="s">
        <v>1238</v>
      </c>
      <c r="B587" t="s">
        <v>1602</v>
      </c>
      <c r="C587" t="s">
        <v>3732</v>
      </c>
      <c r="D587" t="s">
        <v>3765</v>
      </c>
      <c r="E587" t="s">
        <v>2599</v>
      </c>
      <c r="F587" t="s">
        <v>2544</v>
      </c>
      <c r="G587" t="s">
        <v>3766</v>
      </c>
      <c r="H587" s="74">
        <v>34760</v>
      </c>
      <c r="I587" s="68" t="s">
        <v>2653</v>
      </c>
      <c r="J587" s="68" t="s">
        <v>2587</v>
      </c>
      <c r="K587" s="68" t="s">
        <v>2548</v>
      </c>
      <c r="L587" t="s">
        <v>1752</v>
      </c>
      <c r="M587" t="s">
        <v>3756</v>
      </c>
      <c r="N587" t="s">
        <v>1628</v>
      </c>
      <c r="O587" t="s">
        <v>1950</v>
      </c>
      <c r="R587" t="s">
        <v>3767</v>
      </c>
    </row>
    <row r="588" spans="1:18" x14ac:dyDescent="0.25">
      <c r="A588" t="s">
        <v>1238</v>
      </c>
      <c r="B588" t="s">
        <v>1602</v>
      </c>
      <c r="C588" t="s">
        <v>3732</v>
      </c>
      <c r="D588" t="s">
        <v>3768</v>
      </c>
      <c r="E588" t="s">
        <v>2586</v>
      </c>
      <c r="F588" t="s">
        <v>2636</v>
      </c>
      <c r="G588" t="s">
        <v>3769</v>
      </c>
      <c r="H588" s="74">
        <v>35817</v>
      </c>
      <c r="I588" s="68" t="s">
        <v>2546</v>
      </c>
      <c r="J588" s="68" t="s">
        <v>2587</v>
      </c>
      <c r="K588" s="68" t="s">
        <v>2548</v>
      </c>
      <c r="L588" t="s">
        <v>1830</v>
      </c>
      <c r="M588" t="s">
        <v>3770</v>
      </c>
      <c r="N588" t="s">
        <v>1628</v>
      </c>
      <c r="O588" t="s">
        <v>1950</v>
      </c>
      <c r="R588" t="s">
        <v>3771</v>
      </c>
    </row>
    <row r="589" spans="1:18" x14ac:dyDescent="0.25">
      <c r="A589" t="s">
        <v>1153</v>
      </c>
      <c r="B589" t="s">
        <v>1603</v>
      </c>
      <c r="C589" t="s">
        <v>3776</v>
      </c>
      <c r="D589" t="s">
        <v>3784</v>
      </c>
      <c r="E589" t="s">
        <v>2546</v>
      </c>
      <c r="F589" t="s">
        <v>2584</v>
      </c>
      <c r="G589" t="s">
        <v>3785</v>
      </c>
      <c r="H589" s="74">
        <v>37392</v>
      </c>
      <c r="I589" s="68" t="s">
        <v>2670</v>
      </c>
      <c r="J589" s="68" t="s">
        <v>2587</v>
      </c>
      <c r="K589" s="68" t="s">
        <v>2548</v>
      </c>
      <c r="L589" t="s">
        <v>1662</v>
      </c>
      <c r="M589" t="s">
        <v>3786</v>
      </c>
      <c r="N589" t="s">
        <v>43</v>
      </c>
      <c r="O589" t="s">
        <v>1949</v>
      </c>
      <c r="R589" t="s">
        <v>3787</v>
      </c>
    </row>
    <row r="590" spans="1:18" x14ac:dyDescent="0.25">
      <c r="A590" t="s">
        <v>1153</v>
      </c>
      <c r="B590" t="s">
        <v>1603</v>
      </c>
      <c r="C590" t="s">
        <v>3776</v>
      </c>
      <c r="D590" t="s">
        <v>3803</v>
      </c>
      <c r="E590" t="s">
        <v>2547</v>
      </c>
      <c r="F590" t="s">
        <v>2560</v>
      </c>
      <c r="G590" t="s">
        <v>3804</v>
      </c>
      <c r="H590" s="74">
        <v>30628</v>
      </c>
      <c r="I590" s="68" t="s">
        <v>3333</v>
      </c>
      <c r="J590" s="68" t="s">
        <v>2587</v>
      </c>
      <c r="K590" s="68" t="s">
        <v>2548</v>
      </c>
      <c r="L590" t="s">
        <v>1662</v>
      </c>
      <c r="M590" t="s">
        <v>3786</v>
      </c>
      <c r="N590" t="s">
        <v>43</v>
      </c>
      <c r="O590" t="s">
        <v>1949</v>
      </c>
      <c r="R590" t="s">
        <v>3805</v>
      </c>
    </row>
    <row r="591" spans="1:18" x14ac:dyDescent="0.25">
      <c r="A591" t="s">
        <v>1180</v>
      </c>
      <c r="B591" t="s">
        <v>1587</v>
      </c>
      <c r="C591" t="s">
        <v>3604</v>
      </c>
      <c r="D591" t="s">
        <v>3879</v>
      </c>
      <c r="E591" t="s">
        <v>2599</v>
      </c>
      <c r="F591" t="s">
        <v>2636</v>
      </c>
      <c r="G591" t="s">
        <v>3880</v>
      </c>
      <c r="H591" s="74">
        <v>35601</v>
      </c>
      <c r="I591" s="68" t="s">
        <v>2599</v>
      </c>
      <c r="J591" s="68" t="s">
        <v>2587</v>
      </c>
      <c r="K591" s="68" t="s">
        <v>2547</v>
      </c>
      <c r="L591" t="s">
        <v>1712</v>
      </c>
      <c r="M591" t="s">
        <v>3200</v>
      </c>
      <c r="N591" t="s">
        <v>43</v>
      </c>
      <c r="O591" t="s">
        <v>1949</v>
      </c>
      <c r="R591" t="s">
        <v>3881</v>
      </c>
    </row>
    <row r="592" spans="1:18" x14ac:dyDescent="0.25">
      <c r="A592" t="s">
        <v>1238</v>
      </c>
      <c r="B592" t="s">
        <v>1602</v>
      </c>
      <c r="C592" t="s">
        <v>3732</v>
      </c>
      <c r="D592" t="s">
        <v>4119</v>
      </c>
      <c r="E592" t="s">
        <v>2681</v>
      </c>
      <c r="F592" t="s">
        <v>2636</v>
      </c>
      <c r="G592" t="s">
        <v>4120</v>
      </c>
      <c r="H592" s="74">
        <v>35397</v>
      </c>
      <c r="I592" s="68" t="s">
        <v>2599</v>
      </c>
      <c r="J592" s="68" t="s">
        <v>2587</v>
      </c>
      <c r="K592" s="68" t="s">
        <v>2547</v>
      </c>
      <c r="L592" t="s">
        <v>1745</v>
      </c>
      <c r="M592" t="s">
        <v>3405</v>
      </c>
      <c r="N592" t="s">
        <v>1628</v>
      </c>
      <c r="O592" t="s">
        <v>1950</v>
      </c>
      <c r="R592" t="s">
        <v>4121</v>
      </c>
    </row>
    <row r="593" spans="1:18" x14ac:dyDescent="0.25">
      <c r="A593" t="s">
        <v>1158</v>
      </c>
      <c r="B593" t="s">
        <v>1605</v>
      </c>
      <c r="C593" t="s">
        <v>3809</v>
      </c>
      <c r="D593" t="s">
        <v>4567</v>
      </c>
      <c r="E593" t="s">
        <v>2657</v>
      </c>
      <c r="F593" t="s">
        <v>2636</v>
      </c>
      <c r="G593" t="s">
        <v>4568</v>
      </c>
      <c r="H593" s="74">
        <v>31083</v>
      </c>
      <c r="I593" s="68" t="s">
        <v>2999</v>
      </c>
      <c r="J593" s="68" t="s">
        <v>4569</v>
      </c>
      <c r="K593" s="68" t="s">
        <v>4570</v>
      </c>
      <c r="L593" t="s">
        <v>1657</v>
      </c>
      <c r="M593" t="s">
        <v>3204</v>
      </c>
      <c r="N593" t="s">
        <v>43</v>
      </c>
      <c r="O593" t="s">
        <v>1949</v>
      </c>
      <c r="R593" t="s">
        <v>4571</v>
      </c>
    </row>
    <row r="594" spans="1:18" x14ac:dyDescent="0.25">
      <c r="A594" t="s">
        <v>1256</v>
      </c>
      <c r="B594" t="s">
        <v>1588</v>
      </c>
      <c r="C594" t="s">
        <v>2640</v>
      </c>
      <c r="D594" t="s">
        <v>2706</v>
      </c>
      <c r="E594" t="s">
        <v>2583</v>
      </c>
      <c r="F594" t="s">
        <v>2584</v>
      </c>
      <c r="G594" t="s">
        <v>2707</v>
      </c>
      <c r="H594" s="74">
        <v>35870</v>
      </c>
      <c r="I594" s="68" t="s">
        <v>2546</v>
      </c>
      <c r="J594" s="68" t="s">
        <v>2554</v>
      </c>
      <c r="K594" s="68" t="s">
        <v>2548</v>
      </c>
      <c r="L594" t="s">
        <v>1713</v>
      </c>
      <c r="M594" t="s">
        <v>2708</v>
      </c>
      <c r="N594" t="s">
        <v>1648</v>
      </c>
      <c r="O594" t="s">
        <v>1949</v>
      </c>
      <c r="R594" t="s">
        <v>2709</v>
      </c>
    </row>
    <row r="595" spans="1:18" x14ac:dyDescent="0.25">
      <c r="A595" t="s">
        <v>1130</v>
      </c>
      <c r="B595" t="s">
        <v>1592</v>
      </c>
      <c r="C595" t="s">
        <v>2761</v>
      </c>
      <c r="D595" t="s">
        <v>2762</v>
      </c>
      <c r="E595" t="s">
        <v>2587</v>
      </c>
      <c r="F595" t="s">
        <v>2544</v>
      </c>
      <c r="G595" t="s">
        <v>2763</v>
      </c>
      <c r="H595" s="74">
        <v>35216</v>
      </c>
      <c r="I595" s="68" t="s">
        <v>2552</v>
      </c>
      <c r="J595" s="68" t="s">
        <v>2554</v>
      </c>
      <c r="K595" s="68" t="s">
        <v>2548</v>
      </c>
      <c r="L595" t="s">
        <v>1775</v>
      </c>
      <c r="M595" t="s">
        <v>2764</v>
      </c>
      <c r="N595" t="s">
        <v>1648</v>
      </c>
      <c r="O595" t="s">
        <v>1949</v>
      </c>
      <c r="R595" t="s">
        <v>2765</v>
      </c>
    </row>
    <row r="596" spans="1:18" x14ac:dyDescent="0.25">
      <c r="A596" t="s">
        <v>1137</v>
      </c>
      <c r="B596" t="s">
        <v>1596</v>
      </c>
      <c r="C596" t="s">
        <v>2836</v>
      </c>
      <c r="D596" t="s">
        <v>2846</v>
      </c>
      <c r="E596" t="s">
        <v>2614</v>
      </c>
      <c r="F596" t="s">
        <v>2544</v>
      </c>
      <c r="G596" t="s">
        <v>2847</v>
      </c>
      <c r="H596" s="74">
        <v>35219</v>
      </c>
      <c r="I596" s="68" t="s">
        <v>2552</v>
      </c>
      <c r="J596" s="68" t="s">
        <v>2554</v>
      </c>
      <c r="K596" s="68" t="s">
        <v>2548</v>
      </c>
      <c r="L596" t="s">
        <v>1678</v>
      </c>
      <c r="M596" t="s">
        <v>2839</v>
      </c>
      <c r="N596" t="s">
        <v>1648</v>
      </c>
      <c r="O596" t="s">
        <v>1949</v>
      </c>
      <c r="R596" t="s">
        <v>2848</v>
      </c>
    </row>
    <row r="597" spans="1:18" x14ac:dyDescent="0.25">
      <c r="A597" t="s">
        <v>1231</v>
      </c>
      <c r="B597" t="s">
        <v>1607</v>
      </c>
      <c r="C597" t="s">
        <v>2963</v>
      </c>
      <c r="D597" t="s">
        <v>2974</v>
      </c>
      <c r="E597" t="s">
        <v>2679</v>
      </c>
      <c r="F597" t="s">
        <v>2544</v>
      </c>
      <c r="G597" t="s">
        <v>2975</v>
      </c>
      <c r="H597" s="74">
        <v>36200</v>
      </c>
      <c r="I597" s="68" t="s">
        <v>2627</v>
      </c>
      <c r="J597" s="68" t="s">
        <v>2554</v>
      </c>
      <c r="K597" s="68" t="s">
        <v>2548</v>
      </c>
      <c r="L597" t="s">
        <v>1690</v>
      </c>
      <c r="M597" t="s">
        <v>2976</v>
      </c>
      <c r="N597" t="s">
        <v>1648</v>
      </c>
      <c r="O597" t="s">
        <v>1949</v>
      </c>
      <c r="R597" t="s">
        <v>2977</v>
      </c>
    </row>
    <row r="598" spans="1:18" x14ac:dyDescent="0.25">
      <c r="A598" t="s">
        <v>1164</v>
      </c>
      <c r="B598" t="s">
        <v>1609</v>
      </c>
      <c r="C598" t="s">
        <v>3081</v>
      </c>
      <c r="D598" t="s">
        <v>3082</v>
      </c>
      <c r="E598" t="s">
        <v>2547</v>
      </c>
      <c r="F598" t="s">
        <v>2560</v>
      </c>
      <c r="G598" t="s">
        <v>3083</v>
      </c>
      <c r="H598" s="74">
        <v>33627</v>
      </c>
      <c r="I598" s="68" t="s">
        <v>2562</v>
      </c>
      <c r="J598" s="68" t="s">
        <v>2554</v>
      </c>
      <c r="K598" s="68" t="s">
        <v>2548</v>
      </c>
      <c r="L598" t="s">
        <v>1668</v>
      </c>
      <c r="M598" t="s">
        <v>3084</v>
      </c>
      <c r="N598" t="s">
        <v>1648</v>
      </c>
      <c r="O598" t="s">
        <v>1949</v>
      </c>
      <c r="R598" t="s">
        <v>3085</v>
      </c>
    </row>
    <row r="599" spans="1:18" x14ac:dyDescent="0.25">
      <c r="A599" t="s">
        <v>1239</v>
      </c>
      <c r="B599" t="s">
        <v>1612</v>
      </c>
      <c r="C599" t="s">
        <v>3123</v>
      </c>
      <c r="D599" t="s">
        <v>3132</v>
      </c>
      <c r="E599" t="s">
        <v>2586</v>
      </c>
      <c r="F599" t="s">
        <v>2544</v>
      </c>
      <c r="G599" t="s">
        <v>3133</v>
      </c>
      <c r="H599" s="74">
        <v>35008</v>
      </c>
      <c r="I599" s="68" t="s">
        <v>2653</v>
      </c>
      <c r="J599" s="68" t="s">
        <v>2554</v>
      </c>
      <c r="K599" s="68" t="s">
        <v>2548</v>
      </c>
      <c r="L599" t="s">
        <v>1827</v>
      </c>
      <c r="M599" t="s">
        <v>3134</v>
      </c>
      <c r="N599" t="s">
        <v>1648</v>
      </c>
      <c r="O599" t="s">
        <v>1949</v>
      </c>
      <c r="R599" t="s">
        <v>3135</v>
      </c>
    </row>
    <row r="600" spans="1:18" x14ac:dyDescent="0.25">
      <c r="A600" t="s">
        <v>1239</v>
      </c>
      <c r="B600" t="s">
        <v>1612</v>
      </c>
      <c r="C600" t="s">
        <v>3123</v>
      </c>
      <c r="D600" t="s">
        <v>3152</v>
      </c>
      <c r="E600" t="s">
        <v>2608</v>
      </c>
      <c r="F600" t="s">
        <v>2584</v>
      </c>
      <c r="G600" t="s">
        <v>3153</v>
      </c>
      <c r="H600" s="74">
        <v>37642</v>
      </c>
      <c r="I600" s="68" t="s">
        <v>2554</v>
      </c>
      <c r="J600" s="68" t="s">
        <v>2554</v>
      </c>
      <c r="K600" s="68" t="s">
        <v>2548</v>
      </c>
      <c r="L600" t="s">
        <v>1765</v>
      </c>
      <c r="M600" t="s">
        <v>3154</v>
      </c>
      <c r="N600" t="s">
        <v>1648</v>
      </c>
      <c r="O600" t="s">
        <v>1949</v>
      </c>
      <c r="R600" t="s">
        <v>3155</v>
      </c>
    </row>
    <row r="601" spans="1:18" x14ac:dyDescent="0.25">
      <c r="A601" t="s">
        <v>1172</v>
      </c>
      <c r="B601" t="s">
        <v>1615</v>
      </c>
      <c r="C601" t="s">
        <v>3206</v>
      </c>
      <c r="D601" t="s">
        <v>3223</v>
      </c>
      <c r="E601" t="s">
        <v>2552</v>
      </c>
      <c r="F601" t="s">
        <v>2584</v>
      </c>
      <c r="G601" t="s">
        <v>3224</v>
      </c>
      <c r="H601" s="74">
        <v>36486</v>
      </c>
      <c r="I601" s="68" t="s">
        <v>2579</v>
      </c>
      <c r="J601" s="68" t="s">
        <v>2554</v>
      </c>
      <c r="K601" s="68" t="s">
        <v>2548</v>
      </c>
      <c r="L601" t="s">
        <v>1891</v>
      </c>
      <c r="M601" t="s">
        <v>3225</v>
      </c>
      <c r="N601" t="s">
        <v>1648</v>
      </c>
      <c r="O601" t="s">
        <v>1949</v>
      </c>
      <c r="R601" t="s">
        <v>3226</v>
      </c>
    </row>
    <row r="602" spans="1:18" x14ac:dyDescent="0.25">
      <c r="A602" t="s">
        <v>1167</v>
      </c>
      <c r="B602" t="s">
        <v>1610</v>
      </c>
      <c r="C602" t="s">
        <v>3301</v>
      </c>
      <c r="D602" t="s">
        <v>3327</v>
      </c>
      <c r="E602" t="s">
        <v>2555</v>
      </c>
      <c r="F602" t="s">
        <v>2544</v>
      </c>
      <c r="G602" t="s">
        <v>3328</v>
      </c>
      <c r="H602" s="74">
        <v>36900</v>
      </c>
      <c r="I602" s="68" t="s">
        <v>2586</v>
      </c>
      <c r="J602" s="68" t="s">
        <v>2554</v>
      </c>
      <c r="K602" s="68" t="s">
        <v>2548</v>
      </c>
      <c r="L602" t="s">
        <v>1653</v>
      </c>
      <c r="M602" t="s">
        <v>2874</v>
      </c>
      <c r="N602" t="s">
        <v>1647</v>
      </c>
      <c r="O602" t="s">
        <v>1949</v>
      </c>
      <c r="R602" t="s">
        <v>3329</v>
      </c>
    </row>
    <row r="603" spans="1:18" x14ac:dyDescent="0.25">
      <c r="A603" t="s">
        <v>1212</v>
      </c>
      <c r="B603" t="s">
        <v>1600</v>
      </c>
      <c r="C603" t="s">
        <v>3357</v>
      </c>
      <c r="D603" t="s">
        <v>3377</v>
      </c>
      <c r="E603" t="s">
        <v>2627</v>
      </c>
      <c r="F603" t="s">
        <v>2544</v>
      </c>
      <c r="G603" t="s">
        <v>3378</v>
      </c>
      <c r="H603" s="74">
        <v>32713</v>
      </c>
      <c r="I603" s="68" t="s">
        <v>2703</v>
      </c>
      <c r="J603" s="68" t="s">
        <v>2554</v>
      </c>
      <c r="K603" s="68" t="s">
        <v>2548</v>
      </c>
      <c r="L603" t="s">
        <v>1749</v>
      </c>
      <c r="M603" t="s">
        <v>3375</v>
      </c>
      <c r="N603" t="s">
        <v>1647</v>
      </c>
      <c r="O603" t="s">
        <v>1949</v>
      </c>
      <c r="R603" t="s">
        <v>3379</v>
      </c>
    </row>
    <row r="604" spans="1:18" x14ac:dyDescent="0.25">
      <c r="A604" t="s">
        <v>1253</v>
      </c>
      <c r="B604" t="s">
        <v>1608</v>
      </c>
      <c r="C604" t="s">
        <v>3431</v>
      </c>
      <c r="D604" t="s">
        <v>3485</v>
      </c>
      <c r="E604" t="s">
        <v>2592</v>
      </c>
      <c r="F604" t="s">
        <v>2584</v>
      </c>
      <c r="G604" t="s">
        <v>3486</v>
      </c>
      <c r="H604" s="74">
        <v>33778</v>
      </c>
      <c r="I604" s="68" t="s">
        <v>2562</v>
      </c>
      <c r="J604" s="68" t="s">
        <v>2554</v>
      </c>
      <c r="K604" s="68" t="s">
        <v>2548</v>
      </c>
      <c r="L604" t="s">
        <v>1675</v>
      </c>
      <c r="M604" t="s">
        <v>2549</v>
      </c>
      <c r="N604" t="s">
        <v>1647</v>
      </c>
      <c r="O604" t="s">
        <v>1949</v>
      </c>
      <c r="R604" t="s">
        <v>3487</v>
      </c>
    </row>
    <row r="605" spans="1:18" x14ac:dyDescent="0.25">
      <c r="A605" t="s">
        <v>10</v>
      </c>
      <c r="B605" t="s">
        <v>1614</v>
      </c>
      <c r="C605" t="s">
        <v>3526</v>
      </c>
      <c r="D605" t="s">
        <v>3545</v>
      </c>
      <c r="E605" t="s">
        <v>2592</v>
      </c>
      <c r="F605" t="s">
        <v>2584</v>
      </c>
      <c r="G605" t="s">
        <v>3546</v>
      </c>
      <c r="H605" s="74">
        <v>37589</v>
      </c>
      <c r="I605" s="68" t="s">
        <v>2554</v>
      </c>
      <c r="J605" s="68" t="s">
        <v>2554</v>
      </c>
      <c r="K605" s="68" t="s">
        <v>2548</v>
      </c>
      <c r="L605" t="s">
        <v>1721</v>
      </c>
      <c r="M605" t="s">
        <v>3495</v>
      </c>
      <c r="N605" t="s">
        <v>1647</v>
      </c>
      <c r="O605" t="s">
        <v>1949</v>
      </c>
      <c r="R605" t="s">
        <v>3547</v>
      </c>
    </row>
    <row r="606" spans="1:18" x14ac:dyDescent="0.25">
      <c r="A606" t="s">
        <v>1178</v>
      </c>
      <c r="B606" t="s">
        <v>1584</v>
      </c>
      <c r="C606" t="s">
        <v>3558</v>
      </c>
      <c r="D606" t="s">
        <v>3570</v>
      </c>
      <c r="E606" t="s">
        <v>2627</v>
      </c>
      <c r="F606" t="s">
        <v>2560</v>
      </c>
      <c r="G606" t="s">
        <v>3571</v>
      </c>
      <c r="H606" s="74">
        <v>33849</v>
      </c>
      <c r="I606" s="68" t="s">
        <v>2562</v>
      </c>
      <c r="J606" s="68" t="s">
        <v>2554</v>
      </c>
      <c r="K606" s="68" t="s">
        <v>2548</v>
      </c>
      <c r="L606" t="s">
        <v>1705</v>
      </c>
      <c r="M606" t="s">
        <v>3572</v>
      </c>
      <c r="N606" t="s">
        <v>1646</v>
      </c>
      <c r="O606" t="s">
        <v>1950</v>
      </c>
      <c r="R606" t="s">
        <v>3573</v>
      </c>
    </row>
    <row r="607" spans="1:18" x14ac:dyDescent="0.25">
      <c r="A607" t="s">
        <v>1201</v>
      </c>
      <c r="B607" t="s">
        <v>1598</v>
      </c>
      <c r="C607" t="s">
        <v>2932</v>
      </c>
      <c r="D607" t="s">
        <v>4054</v>
      </c>
      <c r="E607" t="s">
        <v>2610</v>
      </c>
      <c r="F607" t="s">
        <v>2544</v>
      </c>
      <c r="G607" t="s">
        <v>4055</v>
      </c>
      <c r="H607" s="74">
        <v>34174</v>
      </c>
      <c r="I607" s="68" t="s">
        <v>2633</v>
      </c>
      <c r="J607" s="68" t="s">
        <v>2554</v>
      </c>
      <c r="K607" s="68" t="s">
        <v>2547</v>
      </c>
      <c r="L607" t="s">
        <v>1731</v>
      </c>
      <c r="M607" t="s">
        <v>2939</v>
      </c>
      <c r="N607" t="s">
        <v>1648</v>
      </c>
      <c r="O607" t="s">
        <v>1949</v>
      </c>
      <c r="R607" t="s">
        <v>4056</v>
      </c>
    </row>
    <row r="608" spans="1:18" x14ac:dyDescent="0.25">
      <c r="A608" t="s">
        <v>1188</v>
      </c>
      <c r="B608" t="s">
        <v>1585</v>
      </c>
      <c r="C608" t="s">
        <v>3262</v>
      </c>
      <c r="D608" t="s">
        <v>4589</v>
      </c>
      <c r="E608" t="s">
        <v>2592</v>
      </c>
      <c r="F608" t="s">
        <v>2636</v>
      </c>
      <c r="G608" t="s">
        <v>4590</v>
      </c>
      <c r="H608" s="74">
        <v>34084</v>
      </c>
      <c r="I608" s="68" t="s">
        <v>2633</v>
      </c>
      <c r="J608" s="68" t="s">
        <v>2554</v>
      </c>
      <c r="K608" s="68" t="s">
        <v>2651</v>
      </c>
      <c r="L608" t="s">
        <v>1872</v>
      </c>
      <c r="M608" t="s">
        <v>4591</v>
      </c>
      <c r="N608" t="s">
        <v>1647</v>
      </c>
      <c r="O608" t="s">
        <v>1949</v>
      </c>
      <c r="R608" t="s">
        <v>4592</v>
      </c>
    </row>
    <row r="609" spans="1:18" x14ac:dyDescent="0.25">
      <c r="A609" t="s">
        <v>1253</v>
      </c>
      <c r="B609" t="s">
        <v>1608</v>
      </c>
      <c r="C609" t="s">
        <v>3431</v>
      </c>
      <c r="D609" t="s">
        <v>4809</v>
      </c>
      <c r="E609" t="s">
        <v>2646</v>
      </c>
      <c r="F609" t="s">
        <v>2636</v>
      </c>
      <c r="G609" t="s">
        <v>4810</v>
      </c>
      <c r="H609" s="74">
        <v>35385</v>
      </c>
      <c r="I609" s="68" t="s">
        <v>2552</v>
      </c>
      <c r="J609" s="68" t="s">
        <v>2554</v>
      </c>
      <c r="K609" s="68" t="s">
        <v>2555</v>
      </c>
      <c r="L609" t="s">
        <v>1744</v>
      </c>
      <c r="M609" t="s">
        <v>4790</v>
      </c>
      <c r="N609" t="s">
        <v>1647</v>
      </c>
      <c r="O609" t="s">
        <v>1949</v>
      </c>
      <c r="R609" t="s">
        <v>4811</v>
      </c>
    </row>
    <row r="610" spans="1:18" x14ac:dyDescent="0.25">
      <c r="A610" t="s">
        <v>10</v>
      </c>
      <c r="B610" t="s">
        <v>1614</v>
      </c>
      <c r="C610" t="s">
        <v>3526</v>
      </c>
      <c r="D610" t="s">
        <v>4884</v>
      </c>
      <c r="E610" t="s">
        <v>2587</v>
      </c>
      <c r="F610" t="s">
        <v>2544</v>
      </c>
      <c r="G610" t="s">
        <v>4885</v>
      </c>
      <c r="H610" s="74">
        <v>36833</v>
      </c>
      <c r="I610" s="68" t="s">
        <v>2579</v>
      </c>
      <c r="J610" s="68" t="s">
        <v>2554</v>
      </c>
      <c r="K610" s="68" t="s">
        <v>2587</v>
      </c>
      <c r="L610" t="s">
        <v>1677</v>
      </c>
      <c r="M610" t="s">
        <v>3483</v>
      </c>
      <c r="N610" t="s">
        <v>1647</v>
      </c>
      <c r="O610" t="s">
        <v>1949</v>
      </c>
      <c r="R610" t="s">
        <v>4886</v>
      </c>
    </row>
    <row r="611" spans="1:18" x14ac:dyDescent="0.25">
      <c r="A611" t="s">
        <v>1256</v>
      </c>
      <c r="B611" t="s">
        <v>1588</v>
      </c>
      <c r="C611" t="s">
        <v>2640</v>
      </c>
      <c r="D611" t="s">
        <v>2713</v>
      </c>
      <c r="E611" t="s">
        <v>2599</v>
      </c>
      <c r="F611" t="s">
        <v>2544</v>
      </c>
      <c r="G611" t="s">
        <v>2714</v>
      </c>
      <c r="H611" s="74">
        <v>35604</v>
      </c>
      <c r="I611" s="68" t="s">
        <v>2599</v>
      </c>
      <c r="J611" s="68" t="s">
        <v>2583</v>
      </c>
      <c r="K611" s="68" t="s">
        <v>2548</v>
      </c>
      <c r="L611" t="s">
        <v>1719</v>
      </c>
      <c r="M611" t="s">
        <v>2715</v>
      </c>
      <c r="N611" t="s">
        <v>1648</v>
      </c>
      <c r="O611" t="s">
        <v>1949</v>
      </c>
      <c r="R611" t="s">
        <v>2716</v>
      </c>
    </row>
    <row r="612" spans="1:18" x14ac:dyDescent="0.25">
      <c r="A612" t="s">
        <v>1201</v>
      </c>
      <c r="B612" t="s">
        <v>1598</v>
      </c>
      <c r="C612" t="s">
        <v>2932</v>
      </c>
      <c r="D612" t="s">
        <v>2948</v>
      </c>
      <c r="E612" t="s">
        <v>2554</v>
      </c>
      <c r="F612" t="s">
        <v>2544</v>
      </c>
      <c r="G612" t="s">
        <v>2949</v>
      </c>
      <c r="H612" s="74">
        <v>35236</v>
      </c>
      <c r="I612" s="68" t="s">
        <v>2552</v>
      </c>
      <c r="J612" s="68" t="s">
        <v>2583</v>
      </c>
      <c r="K612" s="68" t="s">
        <v>2548</v>
      </c>
      <c r="L612" t="s">
        <v>1782</v>
      </c>
      <c r="M612" t="s">
        <v>2935</v>
      </c>
      <c r="N612" t="s">
        <v>1648</v>
      </c>
      <c r="O612" t="s">
        <v>1949</v>
      </c>
      <c r="R612" t="s">
        <v>2950</v>
      </c>
    </row>
    <row r="613" spans="1:18" x14ac:dyDescent="0.25">
      <c r="A613" t="s">
        <v>1164</v>
      </c>
      <c r="B613" t="s">
        <v>1609</v>
      </c>
      <c r="C613" t="s">
        <v>3081</v>
      </c>
      <c r="D613" t="s">
        <v>3115</v>
      </c>
      <c r="E613" t="s">
        <v>2552</v>
      </c>
      <c r="F613" t="s">
        <v>2584</v>
      </c>
      <c r="G613" t="s">
        <v>3116</v>
      </c>
      <c r="H613" s="74">
        <v>35168</v>
      </c>
      <c r="I613" s="68" t="s">
        <v>2552</v>
      </c>
      <c r="J613" s="68" t="s">
        <v>2583</v>
      </c>
      <c r="K613" s="68" t="s">
        <v>2548</v>
      </c>
      <c r="L613" t="s">
        <v>1688</v>
      </c>
      <c r="M613" t="s">
        <v>3117</v>
      </c>
      <c r="N613" t="s">
        <v>1648</v>
      </c>
      <c r="O613" t="s">
        <v>1949</v>
      </c>
      <c r="R613" t="s">
        <v>3118</v>
      </c>
    </row>
    <row r="614" spans="1:18" x14ac:dyDescent="0.25">
      <c r="A614" t="s">
        <v>1178</v>
      </c>
      <c r="B614" t="s">
        <v>1584</v>
      </c>
      <c r="C614" t="s">
        <v>3558</v>
      </c>
      <c r="D614" t="s">
        <v>3574</v>
      </c>
      <c r="E614" t="s">
        <v>2547</v>
      </c>
      <c r="F614" t="s">
        <v>2560</v>
      </c>
      <c r="G614" t="s">
        <v>3575</v>
      </c>
      <c r="H614" s="74">
        <v>31701</v>
      </c>
      <c r="I614" s="68" t="s">
        <v>2781</v>
      </c>
      <c r="J614" s="68" t="s">
        <v>2583</v>
      </c>
      <c r="K614" s="68" t="s">
        <v>2548</v>
      </c>
      <c r="L614" t="s">
        <v>1798</v>
      </c>
      <c r="M614" t="s">
        <v>3576</v>
      </c>
      <c r="N614" t="s">
        <v>1646</v>
      </c>
      <c r="O614" t="s">
        <v>1950</v>
      </c>
      <c r="R614" t="s">
        <v>3577</v>
      </c>
    </row>
    <row r="615" spans="1:18" x14ac:dyDescent="0.25">
      <c r="A615" t="s">
        <v>1178</v>
      </c>
      <c r="B615" t="s">
        <v>1584</v>
      </c>
      <c r="C615" t="s">
        <v>3558</v>
      </c>
      <c r="D615" t="s">
        <v>3588</v>
      </c>
      <c r="E615" t="s">
        <v>2543</v>
      </c>
      <c r="F615" t="s">
        <v>2544</v>
      </c>
      <c r="G615" t="s">
        <v>3589</v>
      </c>
      <c r="H615" s="74">
        <v>35431</v>
      </c>
      <c r="I615" s="68" t="s">
        <v>2599</v>
      </c>
      <c r="J615" s="68" t="s">
        <v>2583</v>
      </c>
      <c r="K615" s="68" t="s">
        <v>2548</v>
      </c>
      <c r="L615" t="s">
        <v>1668</v>
      </c>
      <c r="M615" t="s">
        <v>3084</v>
      </c>
      <c r="N615" t="s">
        <v>1646</v>
      </c>
      <c r="O615" t="s">
        <v>1950</v>
      </c>
      <c r="R615" t="s">
        <v>3590</v>
      </c>
    </row>
    <row r="616" spans="1:18" x14ac:dyDescent="0.25">
      <c r="A616" t="s">
        <v>1180</v>
      </c>
      <c r="B616" t="s">
        <v>1587</v>
      </c>
      <c r="C616" t="s">
        <v>3604</v>
      </c>
      <c r="D616" t="s">
        <v>3605</v>
      </c>
      <c r="E616" t="s">
        <v>2627</v>
      </c>
      <c r="F616" t="s">
        <v>2560</v>
      </c>
      <c r="G616" t="s">
        <v>3606</v>
      </c>
      <c r="H616" s="74">
        <v>34198</v>
      </c>
      <c r="I616" s="68" t="s">
        <v>2633</v>
      </c>
      <c r="J616" s="68" t="s">
        <v>2583</v>
      </c>
      <c r="K616" s="68" t="s">
        <v>2548</v>
      </c>
      <c r="L616" t="s">
        <v>1655</v>
      </c>
      <c r="M616" t="s">
        <v>3607</v>
      </c>
      <c r="N616" t="s">
        <v>43</v>
      </c>
      <c r="O616" t="s">
        <v>1949</v>
      </c>
      <c r="R616" t="s">
        <v>3608</v>
      </c>
    </row>
    <row r="617" spans="1:18" x14ac:dyDescent="0.25">
      <c r="A617" t="s">
        <v>1183</v>
      </c>
      <c r="B617" t="s">
        <v>1593</v>
      </c>
      <c r="C617" t="s">
        <v>2789</v>
      </c>
      <c r="D617" t="s">
        <v>3959</v>
      </c>
      <c r="E617" t="s">
        <v>2601</v>
      </c>
      <c r="F617" t="s">
        <v>2544</v>
      </c>
      <c r="G617" t="s">
        <v>3960</v>
      </c>
      <c r="H617" s="74">
        <v>34605</v>
      </c>
      <c r="I617" s="68" t="s">
        <v>2594</v>
      </c>
      <c r="J617" s="68" t="s">
        <v>2583</v>
      </c>
      <c r="K617" s="68" t="s">
        <v>2547</v>
      </c>
      <c r="L617" t="s">
        <v>1719</v>
      </c>
      <c r="M617" t="s">
        <v>2715</v>
      </c>
      <c r="N617" t="s">
        <v>1648</v>
      </c>
      <c r="O617" t="s">
        <v>1949</v>
      </c>
      <c r="R617" t="s">
        <v>3961</v>
      </c>
    </row>
    <row r="618" spans="1:18" x14ac:dyDescent="0.25">
      <c r="A618" t="s">
        <v>1244</v>
      </c>
      <c r="B618" t="s">
        <v>1597</v>
      </c>
      <c r="C618" t="s">
        <v>2876</v>
      </c>
      <c r="D618" t="s">
        <v>4043</v>
      </c>
      <c r="E618" t="s">
        <v>2627</v>
      </c>
      <c r="F618" t="s">
        <v>2544</v>
      </c>
      <c r="G618" t="s">
        <v>4044</v>
      </c>
      <c r="H618" s="74">
        <v>34555</v>
      </c>
      <c r="I618" s="68" t="s">
        <v>2594</v>
      </c>
      <c r="J618" s="68" t="s">
        <v>2583</v>
      </c>
      <c r="K618" s="68" t="s">
        <v>2547</v>
      </c>
      <c r="L618" t="s">
        <v>1804</v>
      </c>
      <c r="M618" t="s">
        <v>3335</v>
      </c>
      <c r="N618" t="s">
        <v>1648</v>
      </c>
      <c r="O618" t="s">
        <v>1949</v>
      </c>
      <c r="R618" t="s">
        <v>4045</v>
      </c>
    </row>
    <row r="619" spans="1:18" x14ac:dyDescent="0.25">
      <c r="A619" t="s">
        <v>1157</v>
      </c>
      <c r="B619" t="s">
        <v>1604</v>
      </c>
      <c r="C619" t="s">
        <v>3391</v>
      </c>
      <c r="D619" t="s">
        <v>4169</v>
      </c>
      <c r="E619" t="s">
        <v>2554</v>
      </c>
      <c r="F619" t="s">
        <v>2584</v>
      </c>
      <c r="G619" t="s">
        <v>4170</v>
      </c>
      <c r="H619" s="74">
        <v>36290</v>
      </c>
      <c r="I619" s="68" t="s">
        <v>2627</v>
      </c>
      <c r="J619" s="68" t="s">
        <v>2583</v>
      </c>
      <c r="K619" s="68" t="s">
        <v>2547</v>
      </c>
      <c r="L619" t="s">
        <v>1733</v>
      </c>
      <c r="M619" t="s">
        <v>3801</v>
      </c>
      <c r="N619" t="s">
        <v>1647</v>
      </c>
      <c r="O619" t="s">
        <v>1949</v>
      </c>
      <c r="R619" t="s">
        <v>4171</v>
      </c>
    </row>
    <row r="620" spans="1:18" x14ac:dyDescent="0.25">
      <c r="A620" t="s">
        <v>1131</v>
      </c>
      <c r="B620" t="s">
        <v>1594</v>
      </c>
      <c r="C620" t="s">
        <v>3663</v>
      </c>
      <c r="D620" t="s">
        <v>4407</v>
      </c>
      <c r="E620" t="s">
        <v>2670</v>
      </c>
      <c r="F620" t="s">
        <v>2584</v>
      </c>
      <c r="G620" t="s">
        <v>4408</v>
      </c>
      <c r="H620" s="74">
        <v>36674</v>
      </c>
      <c r="I620" s="68" t="s">
        <v>2579</v>
      </c>
      <c r="J620" s="68" t="s">
        <v>2583</v>
      </c>
      <c r="K620" s="68" t="s">
        <v>2587</v>
      </c>
      <c r="L620" t="s">
        <v>1655</v>
      </c>
      <c r="M620" t="s">
        <v>3607</v>
      </c>
      <c r="N620" t="s">
        <v>43</v>
      </c>
      <c r="O620" t="s">
        <v>1949</v>
      </c>
      <c r="R620" t="s">
        <v>4409</v>
      </c>
    </row>
    <row r="621" spans="1:18" x14ac:dyDescent="0.25">
      <c r="A621" t="s">
        <v>1238</v>
      </c>
      <c r="B621" t="s">
        <v>1602</v>
      </c>
      <c r="C621" t="s">
        <v>3732</v>
      </c>
      <c r="D621" t="s">
        <v>4455</v>
      </c>
      <c r="E621" t="s">
        <v>2646</v>
      </c>
      <c r="F621" t="s">
        <v>2636</v>
      </c>
      <c r="G621" t="s">
        <v>4456</v>
      </c>
      <c r="H621" s="74">
        <v>33224</v>
      </c>
      <c r="I621" s="68" t="s">
        <v>2970</v>
      </c>
      <c r="J621" s="68" t="s">
        <v>2583</v>
      </c>
      <c r="K621" s="68" t="s">
        <v>2592</v>
      </c>
      <c r="L621" t="s">
        <v>1759</v>
      </c>
      <c r="M621" t="s">
        <v>2966</v>
      </c>
      <c r="N621" t="s">
        <v>1628</v>
      </c>
      <c r="O621" t="s">
        <v>1950</v>
      </c>
      <c r="R621" t="s">
        <v>4457</v>
      </c>
    </row>
    <row r="622" spans="1:18" x14ac:dyDescent="0.25">
      <c r="A622" t="s">
        <v>1157</v>
      </c>
      <c r="B622" t="s">
        <v>1604</v>
      </c>
      <c r="C622" t="s">
        <v>3391</v>
      </c>
      <c r="D622" t="s">
        <v>4762</v>
      </c>
      <c r="E622" t="s">
        <v>2614</v>
      </c>
      <c r="F622" t="s">
        <v>2636</v>
      </c>
      <c r="G622" t="s">
        <v>4763</v>
      </c>
      <c r="H622" s="74">
        <v>35453</v>
      </c>
      <c r="I622" s="68" t="s">
        <v>2599</v>
      </c>
      <c r="J622" s="68" t="s">
        <v>2583</v>
      </c>
      <c r="K622" s="68" t="s">
        <v>2608</v>
      </c>
      <c r="L622" t="s">
        <v>1840</v>
      </c>
      <c r="M622" t="s">
        <v>4764</v>
      </c>
      <c r="N622" t="s">
        <v>1647</v>
      </c>
      <c r="O622" t="s">
        <v>1949</v>
      </c>
      <c r="R622" t="s">
        <v>4765</v>
      </c>
    </row>
    <row r="623" spans="1:18" x14ac:dyDescent="0.25">
      <c r="A623" t="s">
        <v>1253</v>
      </c>
      <c r="B623" t="s">
        <v>1608</v>
      </c>
      <c r="C623" t="s">
        <v>3431</v>
      </c>
      <c r="D623" t="s">
        <v>4803</v>
      </c>
      <c r="E623" t="s">
        <v>2579</v>
      </c>
      <c r="F623" t="s">
        <v>2544</v>
      </c>
      <c r="G623" t="s">
        <v>4804</v>
      </c>
      <c r="H623" s="74">
        <v>35189</v>
      </c>
      <c r="I623" s="68" t="s">
        <v>2552</v>
      </c>
      <c r="J623" s="68" t="s">
        <v>2583</v>
      </c>
      <c r="K623" s="68" t="s">
        <v>2587</v>
      </c>
      <c r="L623" t="s">
        <v>1678</v>
      </c>
      <c r="M623" t="s">
        <v>2839</v>
      </c>
      <c r="N623" t="s">
        <v>1647</v>
      </c>
      <c r="O623" t="s">
        <v>1949</v>
      </c>
      <c r="R623" t="s">
        <v>4805</v>
      </c>
    </row>
    <row r="624" spans="1:18" x14ac:dyDescent="0.25">
      <c r="A624" t="s">
        <v>1130</v>
      </c>
      <c r="B624" t="s">
        <v>1592</v>
      </c>
      <c r="C624" t="s">
        <v>2761</v>
      </c>
      <c r="D624" t="s">
        <v>5081</v>
      </c>
      <c r="E624" t="s">
        <v>2601</v>
      </c>
      <c r="F624" t="s">
        <v>2584</v>
      </c>
      <c r="G624" t="s">
        <v>5082</v>
      </c>
      <c r="H624" s="74">
        <v>36710</v>
      </c>
      <c r="I624" s="68" t="s">
        <v>2579</v>
      </c>
      <c r="J624" s="68" t="s">
        <v>2583</v>
      </c>
      <c r="K624" s="68" t="s">
        <v>2543</v>
      </c>
      <c r="L624" t="s">
        <v>1681</v>
      </c>
      <c r="M624" t="s">
        <v>2672</v>
      </c>
      <c r="N624" t="s">
        <v>1648</v>
      </c>
      <c r="O624" t="s">
        <v>1949</v>
      </c>
      <c r="R624" t="s">
        <v>5083</v>
      </c>
    </row>
    <row r="625" spans="1:18" x14ac:dyDescent="0.25">
      <c r="A625" t="s">
        <v>1244</v>
      </c>
      <c r="B625" t="s">
        <v>1597</v>
      </c>
      <c r="C625" t="s">
        <v>2876</v>
      </c>
      <c r="D625" t="s">
        <v>5194</v>
      </c>
      <c r="E625" t="s">
        <v>2670</v>
      </c>
      <c r="F625" t="s">
        <v>2584</v>
      </c>
      <c r="G625" t="s">
        <v>5195</v>
      </c>
      <c r="H625" s="74">
        <v>36740</v>
      </c>
      <c r="I625" s="68" t="s">
        <v>2579</v>
      </c>
      <c r="J625" s="68" t="s">
        <v>2583</v>
      </c>
      <c r="K625" s="68" t="s">
        <v>2543</v>
      </c>
      <c r="L625" t="s">
        <v>1662</v>
      </c>
      <c r="M625" t="s">
        <v>3786</v>
      </c>
      <c r="N625" t="s">
        <v>1648</v>
      </c>
      <c r="O625" t="s">
        <v>1949</v>
      </c>
      <c r="R625" t="s">
        <v>5196</v>
      </c>
    </row>
    <row r="626" spans="1:18" x14ac:dyDescent="0.25">
      <c r="A626" t="s">
        <v>1292</v>
      </c>
      <c r="B626" t="s">
        <v>1601</v>
      </c>
      <c r="C626" t="s">
        <v>3005</v>
      </c>
      <c r="D626" t="s">
        <v>5267</v>
      </c>
      <c r="E626" t="s">
        <v>2583</v>
      </c>
      <c r="F626" t="s">
        <v>2584</v>
      </c>
      <c r="G626" t="s">
        <v>5268</v>
      </c>
      <c r="H626" s="74">
        <v>31683</v>
      </c>
      <c r="I626" s="68" t="s">
        <v>2781</v>
      </c>
      <c r="J626" s="68" t="s">
        <v>5269</v>
      </c>
      <c r="K626" s="68" t="s">
        <v>2594</v>
      </c>
      <c r="L626" t="s">
        <v>1699</v>
      </c>
      <c r="M626" t="s">
        <v>3467</v>
      </c>
      <c r="N626" t="s">
        <v>1648</v>
      </c>
      <c r="O626" t="s">
        <v>1949</v>
      </c>
      <c r="R626" t="s">
        <v>5270</v>
      </c>
    </row>
    <row r="627" spans="1:18" x14ac:dyDescent="0.25">
      <c r="A627" t="s">
        <v>1167</v>
      </c>
      <c r="B627" t="s">
        <v>1610</v>
      </c>
      <c r="C627" t="s">
        <v>3301</v>
      </c>
      <c r="D627" t="s">
        <v>3317</v>
      </c>
      <c r="E627" t="s">
        <v>2592</v>
      </c>
      <c r="F627" t="s">
        <v>2584</v>
      </c>
      <c r="G627" t="s">
        <v>3318</v>
      </c>
      <c r="H627" s="74">
        <v>34729</v>
      </c>
      <c r="I627" s="68" t="s">
        <v>2653</v>
      </c>
      <c r="J627" s="68" t="s">
        <v>2679</v>
      </c>
      <c r="K627" s="68" t="s">
        <v>2548</v>
      </c>
      <c r="L627" t="s">
        <v>1660</v>
      </c>
      <c r="M627" t="s">
        <v>3319</v>
      </c>
      <c r="N627" t="s">
        <v>1647</v>
      </c>
      <c r="O627" t="s">
        <v>1949</v>
      </c>
      <c r="R627" t="s">
        <v>3320</v>
      </c>
    </row>
    <row r="628" spans="1:18" x14ac:dyDescent="0.25">
      <c r="A628" t="s">
        <v>1131</v>
      </c>
      <c r="B628" t="s">
        <v>1594</v>
      </c>
      <c r="C628" t="s">
        <v>3663</v>
      </c>
      <c r="D628" t="s">
        <v>3667</v>
      </c>
      <c r="E628" t="s">
        <v>2579</v>
      </c>
      <c r="F628" t="s">
        <v>2584</v>
      </c>
      <c r="G628" t="s">
        <v>3668</v>
      </c>
      <c r="H628" s="74">
        <v>37801</v>
      </c>
      <c r="I628" s="68" t="s">
        <v>2554</v>
      </c>
      <c r="J628" s="68" t="s">
        <v>2679</v>
      </c>
      <c r="K628" s="68" t="s">
        <v>2548</v>
      </c>
      <c r="L628" t="s">
        <v>1663</v>
      </c>
      <c r="M628" t="s">
        <v>2859</v>
      </c>
      <c r="N628" t="s">
        <v>43</v>
      </c>
      <c r="O628" t="s">
        <v>1949</v>
      </c>
      <c r="R628" t="s">
        <v>3669</v>
      </c>
    </row>
    <row r="629" spans="1:18" x14ac:dyDescent="0.25">
      <c r="A629" t="s">
        <v>1158</v>
      </c>
      <c r="B629" t="s">
        <v>1605</v>
      </c>
      <c r="C629" t="s">
        <v>3809</v>
      </c>
      <c r="D629" t="s">
        <v>3833</v>
      </c>
      <c r="E629" t="s">
        <v>2554</v>
      </c>
      <c r="F629" t="s">
        <v>2544</v>
      </c>
      <c r="G629" t="s">
        <v>3834</v>
      </c>
      <c r="H629" s="74">
        <v>37426</v>
      </c>
      <c r="I629" s="68" t="s">
        <v>2670</v>
      </c>
      <c r="J629" s="68" t="s">
        <v>2679</v>
      </c>
      <c r="K629" s="68" t="s">
        <v>2548</v>
      </c>
      <c r="L629" t="s">
        <v>1665</v>
      </c>
      <c r="M629" t="s">
        <v>2759</v>
      </c>
      <c r="N629" t="s">
        <v>43</v>
      </c>
      <c r="O629" t="s">
        <v>1949</v>
      </c>
      <c r="R629" t="s">
        <v>3835</v>
      </c>
    </row>
    <row r="630" spans="1:18" x14ac:dyDescent="0.25">
      <c r="A630" t="s">
        <v>1130</v>
      </c>
      <c r="B630" t="s">
        <v>1592</v>
      </c>
      <c r="C630" t="s">
        <v>2761</v>
      </c>
      <c r="D630" t="s">
        <v>3941</v>
      </c>
      <c r="E630" t="s">
        <v>2610</v>
      </c>
      <c r="F630" t="s">
        <v>2584</v>
      </c>
      <c r="G630" t="s">
        <v>3942</v>
      </c>
      <c r="H630" s="74">
        <v>34403</v>
      </c>
      <c r="I630" s="68" t="s">
        <v>2594</v>
      </c>
      <c r="J630" s="68" t="s">
        <v>2679</v>
      </c>
      <c r="K630" s="68" t="s">
        <v>2547</v>
      </c>
      <c r="L630" t="s">
        <v>1681</v>
      </c>
      <c r="M630" t="s">
        <v>2672</v>
      </c>
      <c r="N630" t="s">
        <v>1648</v>
      </c>
      <c r="O630" t="s">
        <v>1949</v>
      </c>
      <c r="R630" t="s">
        <v>3943</v>
      </c>
    </row>
    <row r="631" spans="1:18" x14ac:dyDescent="0.25">
      <c r="A631" t="s">
        <v>1131</v>
      </c>
      <c r="B631" t="s">
        <v>1594</v>
      </c>
      <c r="C631" t="s">
        <v>3663</v>
      </c>
      <c r="D631" t="s">
        <v>3968</v>
      </c>
      <c r="E631" t="s">
        <v>2583</v>
      </c>
      <c r="F631" t="s">
        <v>2544</v>
      </c>
      <c r="G631" t="s">
        <v>3969</v>
      </c>
      <c r="H631" s="74">
        <v>36075</v>
      </c>
      <c r="I631" s="68" t="s">
        <v>2546</v>
      </c>
      <c r="J631" s="68" t="s">
        <v>2679</v>
      </c>
      <c r="K631" s="68" t="s">
        <v>2547</v>
      </c>
      <c r="L631" t="s">
        <v>1676</v>
      </c>
      <c r="M631" t="s">
        <v>3615</v>
      </c>
      <c r="N631" t="s">
        <v>43</v>
      </c>
      <c r="O631" t="s">
        <v>1949</v>
      </c>
      <c r="R631" t="s">
        <v>3970</v>
      </c>
    </row>
    <row r="632" spans="1:18" x14ac:dyDescent="0.25">
      <c r="A632" t="s">
        <v>1137</v>
      </c>
      <c r="B632" t="s">
        <v>1596</v>
      </c>
      <c r="C632" t="s">
        <v>2836</v>
      </c>
      <c r="D632" t="s">
        <v>4025</v>
      </c>
      <c r="E632" t="s">
        <v>2601</v>
      </c>
      <c r="F632" t="s">
        <v>2584</v>
      </c>
      <c r="G632" t="s">
        <v>4026</v>
      </c>
      <c r="H632" s="74">
        <v>37678</v>
      </c>
      <c r="I632" s="68" t="s">
        <v>2554</v>
      </c>
      <c r="J632" s="68" t="s">
        <v>2679</v>
      </c>
      <c r="K632" s="68" t="s">
        <v>2547</v>
      </c>
      <c r="L632" t="s">
        <v>1654</v>
      </c>
      <c r="M632" t="s">
        <v>2844</v>
      </c>
      <c r="N632" t="s">
        <v>1648</v>
      </c>
      <c r="O632" t="s">
        <v>1949</v>
      </c>
      <c r="R632" t="s">
        <v>4027</v>
      </c>
    </row>
    <row r="633" spans="1:18" x14ac:dyDescent="0.25">
      <c r="A633" t="s">
        <v>1292</v>
      </c>
      <c r="B633" t="s">
        <v>1601</v>
      </c>
      <c r="C633" t="s">
        <v>3005</v>
      </c>
      <c r="D633" t="s">
        <v>4142</v>
      </c>
      <c r="E633" t="s">
        <v>2592</v>
      </c>
      <c r="F633" t="s">
        <v>2544</v>
      </c>
      <c r="G633" t="s">
        <v>4143</v>
      </c>
      <c r="H633" s="74">
        <v>36045</v>
      </c>
      <c r="I633" s="68" t="s">
        <v>2546</v>
      </c>
      <c r="J633" s="68" t="s">
        <v>2679</v>
      </c>
      <c r="K633" s="68" t="s">
        <v>2547</v>
      </c>
      <c r="L633" t="s">
        <v>1734</v>
      </c>
      <c r="M633" t="s">
        <v>2796</v>
      </c>
      <c r="N633" t="s">
        <v>1648</v>
      </c>
      <c r="O633" t="s">
        <v>1949</v>
      </c>
      <c r="R633" t="s">
        <v>4144</v>
      </c>
    </row>
    <row r="634" spans="1:18" x14ac:dyDescent="0.25">
      <c r="A634" t="s">
        <v>1211</v>
      </c>
      <c r="B634" t="s">
        <v>1599</v>
      </c>
      <c r="C634" t="s">
        <v>3330</v>
      </c>
      <c r="D634" t="s">
        <v>4652</v>
      </c>
      <c r="E634" t="s">
        <v>2559</v>
      </c>
      <c r="F634" t="s">
        <v>2584</v>
      </c>
      <c r="G634" t="s">
        <v>4653</v>
      </c>
      <c r="H634" s="74">
        <v>34829</v>
      </c>
      <c r="I634" s="68" t="s">
        <v>2653</v>
      </c>
      <c r="J634" s="68" t="s">
        <v>2679</v>
      </c>
      <c r="K634" s="68" t="s">
        <v>2587</v>
      </c>
      <c r="L634" t="s">
        <v>1720</v>
      </c>
      <c r="M634" t="s">
        <v>3171</v>
      </c>
      <c r="N634" t="s">
        <v>1647</v>
      </c>
      <c r="O634" t="s">
        <v>1949</v>
      </c>
      <c r="R634" t="s">
        <v>4654</v>
      </c>
    </row>
    <row r="635" spans="1:18" x14ac:dyDescent="0.25">
      <c r="A635" t="s">
        <v>1183</v>
      </c>
      <c r="B635" t="s">
        <v>1593</v>
      </c>
      <c r="C635" t="s">
        <v>2789</v>
      </c>
      <c r="D635" t="s">
        <v>5135</v>
      </c>
      <c r="E635" t="s">
        <v>2587</v>
      </c>
      <c r="F635" t="s">
        <v>2544</v>
      </c>
      <c r="G635" t="s">
        <v>5136</v>
      </c>
      <c r="H635" s="74">
        <v>35441</v>
      </c>
      <c r="I635" s="68" t="s">
        <v>2599</v>
      </c>
      <c r="J635" s="68" t="s">
        <v>2679</v>
      </c>
      <c r="K635" s="68" t="s">
        <v>2587</v>
      </c>
      <c r="L635" t="s">
        <v>1799</v>
      </c>
      <c r="M635" t="s">
        <v>5123</v>
      </c>
      <c r="N635" t="s">
        <v>1648</v>
      </c>
      <c r="O635" t="s">
        <v>1949</v>
      </c>
      <c r="R635" t="s">
        <v>5137</v>
      </c>
    </row>
    <row r="636" spans="1:18" x14ac:dyDescent="0.25">
      <c r="A636" t="s">
        <v>1137</v>
      </c>
      <c r="B636" t="s">
        <v>1596</v>
      </c>
      <c r="C636" t="s">
        <v>2836</v>
      </c>
      <c r="D636" t="s">
        <v>5175</v>
      </c>
      <c r="E636" t="s">
        <v>2583</v>
      </c>
      <c r="F636" t="s">
        <v>2584</v>
      </c>
      <c r="G636" t="s">
        <v>5176</v>
      </c>
      <c r="H636" s="74">
        <v>33799</v>
      </c>
      <c r="I636" s="68" t="s">
        <v>2562</v>
      </c>
      <c r="J636" s="68" t="s">
        <v>2679</v>
      </c>
      <c r="K636" s="68" t="s">
        <v>2543</v>
      </c>
      <c r="L636" t="s">
        <v>1680</v>
      </c>
      <c r="M636" t="s">
        <v>3517</v>
      </c>
      <c r="N636" t="s">
        <v>1648</v>
      </c>
      <c r="O636" t="s">
        <v>1949</v>
      </c>
      <c r="R636" t="s">
        <v>5177</v>
      </c>
    </row>
    <row r="637" spans="1:18" x14ac:dyDescent="0.25">
      <c r="A637" t="s">
        <v>1231</v>
      </c>
      <c r="B637" t="s">
        <v>1607</v>
      </c>
      <c r="C637" t="s">
        <v>2963</v>
      </c>
      <c r="D637" t="s">
        <v>5242</v>
      </c>
      <c r="E637" t="s">
        <v>2614</v>
      </c>
      <c r="F637" t="s">
        <v>2584</v>
      </c>
      <c r="G637" t="s">
        <v>5243</v>
      </c>
      <c r="H637" s="74">
        <v>35468</v>
      </c>
      <c r="I637" s="68" t="s">
        <v>2599</v>
      </c>
      <c r="J637" s="68" t="s">
        <v>2679</v>
      </c>
      <c r="K637" s="68" t="s">
        <v>2587</v>
      </c>
      <c r="L637" t="s">
        <v>1673</v>
      </c>
      <c r="M637" t="s">
        <v>2983</v>
      </c>
      <c r="N637" t="s">
        <v>1648</v>
      </c>
      <c r="O637" t="s">
        <v>1949</v>
      </c>
      <c r="R637" t="s">
        <v>5244</v>
      </c>
    </row>
    <row r="638" spans="1:18" x14ac:dyDescent="0.25">
      <c r="A638" t="s">
        <v>1164</v>
      </c>
      <c r="B638" t="s">
        <v>1609</v>
      </c>
      <c r="C638" t="s">
        <v>3081</v>
      </c>
      <c r="D638" t="s">
        <v>5368</v>
      </c>
      <c r="E638" t="s">
        <v>2583</v>
      </c>
      <c r="F638" t="s">
        <v>2636</v>
      </c>
      <c r="G638" t="s">
        <v>5369</v>
      </c>
      <c r="H638" s="74">
        <v>36553</v>
      </c>
      <c r="I638" s="68" t="s">
        <v>2579</v>
      </c>
      <c r="J638" s="68" t="s">
        <v>2679</v>
      </c>
      <c r="K638" s="68" t="s">
        <v>2646</v>
      </c>
      <c r="L638" t="s">
        <v>1664</v>
      </c>
      <c r="M638" t="s">
        <v>3397</v>
      </c>
      <c r="N638" t="s">
        <v>1648</v>
      </c>
      <c r="O638" t="s">
        <v>1949</v>
      </c>
      <c r="R638" t="s">
        <v>5370</v>
      </c>
    </row>
    <row r="639" spans="1:18" x14ac:dyDescent="0.25">
      <c r="A639" t="s">
        <v>1186</v>
      </c>
      <c r="B639" t="s">
        <v>1613</v>
      </c>
      <c r="C639" t="s">
        <v>3156</v>
      </c>
      <c r="D639" t="s">
        <v>5453</v>
      </c>
      <c r="E639" t="s">
        <v>2657</v>
      </c>
      <c r="F639" t="s">
        <v>2584</v>
      </c>
      <c r="G639" t="s">
        <v>5454</v>
      </c>
      <c r="H639" s="74">
        <v>35582</v>
      </c>
      <c r="I639" s="68" t="s">
        <v>2599</v>
      </c>
      <c r="J639" s="68" t="s">
        <v>2679</v>
      </c>
      <c r="K639" s="68" t="s">
        <v>2587</v>
      </c>
      <c r="L639" t="s">
        <v>1798</v>
      </c>
      <c r="M639" t="s">
        <v>3576</v>
      </c>
      <c r="N639" t="s">
        <v>1648</v>
      </c>
      <c r="O639" t="s">
        <v>1949</v>
      </c>
      <c r="R639" t="s">
        <v>5455</v>
      </c>
    </row>
    <row r="640" spans="1:18" x14ac:dyDescent="0.25">
      <c r="A640" t="s">
        <v>1230</v>
      </c>
      <c r="B640" t="s">
        <v>1606</v>
      </c>
      <c r="C640" t="s">
        <v>3035</v>
      </c>
      <c r="D640" t="s">
        <v>5339</v>
      </c>
      <c r="E640" t="s">
        <v>2776</v>
      </c>
      <c r="F640" t="s">
        <v>2584</v>
      </c>
      <c r="G640" t="s">
        <v>5340</v>
      </c>
      <c r="H640" s="74">
        <v>33218</v>
      </c>
      <c r="I640" s="68" t="s">
        <v>2970</v>
      </c>
      <c r="J640" s="68" t="s">
        <v>5341</v>
      </c>
      <c r="K640" s="68" t="s">
        <v>2781</v>
      </c>
      <c r="L640" t="s">
        <v>1656</v>
      </c>
      <c r="M640" t="s">
        <v>3042</v>
      </c>
      <c r="N640" t="s">
        <v>1648</v>
      </c>
      <c r="O640" t="s">
        <v>1949</v>
      </c>
      <c r="R640" t="s">
        <v>5342</v>
      </c>
    </row>
    <row r="641" spans="1:18" x14ac:dyDescent="0.25">
      <c r="A641" t="s">
        <v>1178</v>
      </c>
      <c r="B641" t="s">
        <v>1584</v>
      </c>
      <c r="C641" t="s">
        <v>3558</v>
      </c>
      <c r="D641" t="s">
        <v>4267</v>
      </c>
      <c r="E641" t="s">
        <v>2776</v>
      </c>
      <c r="F641" t="s">
        <v>2636</v>
      </c>
      <c r="G641" t="s">
        <v>4268</v>
      </c>
      <c r="H641" s="74">
        <v>31952</v>
      </c>
      <c r="I641" s="68" t="s">
        <v>2569</v>
      </c>
      <c r="J641" s="68" t="s">
        <v>4269</v>
      </c>
      <c r="K641" s="68" t="s">
        <v>4270</v>
      </c>
      <c r="L641" t="s">
        <v>1665</v>
      </c>
      <c r="M641" t="s">
        <v>2759</v>
      </c>
      <c r="N641" t="s">
        <v>1646</v>
      </c>
      <c r="O641" t="s">
        <v>1950</v>
      </c>
      <c r="R641" t="s">
        <v>4271</v>
      </c>
    </row>
    <row r="642" spans="1:18" x14ac:dyDescent="0.25">
      <c r="A642" t="s">
        <v>1291</v>
      </c>
      <c r="B642" t="s">
        <v>1589</v>
      </c>
      <c r="C642" t="s">
        <v>2590</v>
      </c>
      <c r="D642" t="s">
        <v>2626</v>
      </c>
      <c r="E642" t="s">
        <v>2627</v>
      </c>
      <c r="F642" t="s">
        <v>2584</v>
      </c>
      <c r="G642" t="s">
        <v>2628</v>
      </c>
      <c r="H642" s="74">
        <v>36430</v>
      </c>
      <c r="I642" s="68" t="s">
        <v>2627</v>
      </c>
      <c r="J642" s="68" t="s">
        <v>2614</v>
      </c>
      <c r="K642" s="68" t="s">
        <v>2548</v>
      </c>
      <c r="L642" t="s">
        <v>1764</v>
      </c>
      <c r="M642" t="s">
        <v>2629</v>
      </c>
      <c r="N642" t="s">
        <v>1648</v>
      </c>
      <c r="O642" t="s">
        <v>1949</v>
      </c>
      <c r="R642" t="s">
        <v>2630</v>
      </c>
    </row>
    <row r="643" spans="1:18" x14ac:dyDescent="0.25">
      <c r="A643" t="s">
        <v>1178</v>
      </c>
      <c r="B643" t="s">
        <v>1584</v>
      </c>
      <c r="C643" t="s">
        <v>3558</v>
      </c>
      <c r="D643" t="s">
        <v>3601</v>
      </c>
      <c r="E643" t="s">
        <v>2587</v>
      </c>
      <c r="F643" t="s">
        <v>2544</v>
      </c>
      <c r="G643" t="s">
        <v>3602</v>
      </c>
      <c r="H643" s="74">
        <v>35807</v>
      </c>
      <c r="I643" s="68" t="s">
        <v>2546</v>
      </c>
      <c r="J643" s="68" t="s">
        <v>2614</v>
      </c>
      <c r="K643" s="68" t="s">
        <v>2548</v>
      </c>
      <c r="L643" t="s">
        <v>1702</v>
      </c>
      <c r="M643" t="s">
        <v>3490</v>
      </c>
      <c r="N643" t="s">
        <v>1646</v>
      </c>
      <c r="O643" t="s">
        <v>1950</v>
      </c>
      <c r="R643" t="s">
        <v>3603</v>
      </c>
    </row>
    <row r="644" spans="1:18" x14ac:dyDescent="0.25">
      <c r="A644" t="s">
        <v>1180</v>
      </c>
      <c r="B644" t="s">
        <v>1587</v>
      </c>
      <c r="C644" t="s">
        <v>3604</v>
      </c>
      <c r="D644" t="s">
        <v>3876</v>
      </c>
      <c r="E644" t="s">
        <v>2670</v>
      </c>
      <c r="F644" t="s">
        <v>2636</v>
      </c>
      <c r="G644" t="s">
        <v>3877</v>
      </c>
      <c r="H644" s="74">
        <v>36719</v>
      </c>
      <c r="I644" s="68" t="s">
        <v>2579</v>
      </c>
      <c r="J644" s="68" t="s">
        <v>2614</v>
      </c>
      <c r="K644" s="68" t="s">
        <v>2547</v>
      </c>
      <c r="L644" t="s">
        <v>1658</v>
      </c>
      <c r="M644" t="s">
        <v>2575</v>
      </c>
      <c r="N644" t="s">
        <v>43</v>
      </c>
      <c r="O644" t="s">
        <v>1949</v>
      </c>
      <c r="R644" t="s">
        <v>3878</v>
      </c>
    </row>
    <row r="645" spans="1:18" x14ac:dyDescent="0.25">
      <c r="A645" t="s">
        <v>1167</v>
      </c>
      <c r="B645" t="s">
        <v>1610</v>
      </c>
      <c r="C645" t="s">
        <v>3301</v>
      </c>
      <c r="D645" t="s">
        <v>3992</v>
      </c>
      <c r="E645" t="s">
        <v>2546</v>
      </c>
      <c r="F645" t="s">
        <v>2544</v>
      </c>
      <c r="G645" t="s">
        <v>3993</v>
      </c>
      <c r="H645" s="74">
        <v>34481</v>
      </c>
      <c r="I645" s="68" t="s">
        <v>2594</v>
      </c>
      <c r="J645" s="68" t="s">
        <v>2614</v>
      </c>
      <c r="K645" s="68" t="s">
        <v>2547</v>
      </c>
      <c r="L645" t="s">
        <v>1655</v>
      </c>
      <c r="M645" t="s">
        <v>3607</v>
      </c>
      <c r="N645" t="s">
        <v>1647</v>
      </c>
      <c r="O645" t="s">
        <v>1949</v>
      </c>
      <c r="R645" t="s">
        <v>3994</v>
      </c>
    </row>
    <row r="646" spans="1:18" x14ac:dyDescent="0.25">
      <c r="A646" t="s">
        <v>1212</v>
      </c>
      <c r="B646" t="s">
        <v>1600</v>
      </c>
      <c r="C646" t="s">
        <v>3357</v>
      </c>
      <c r="D646" t="s">
        <v>4752</v>
      </c>
      <c r="E646" t="s">
        <v>2646</v>
      </c>
      <c r="F646" t="s">
        <v>2636</v>
      </c>
      <c r="G646" t="s">
        <v>4753</v>
      </c>
      <c r="H646" s="74">
        <v>35820</v>
      </c>
      <c r="I646" s="68" t="s">
        <v>2546</v>
      </c>
      <c r="J646" s="68" t="s">
        <v>2614</v>
      </c>
      <c r="K646" s="68" t="s">
        <v>2543</v>
      </c>
      <c r="L646" t="s">
        <v>1686</v>
      </c>
      <c r="M646" t="s">
        <v>3367</v>
      </c>
      <c r="N646" t="s">
        <v>1647</v>
      </c>
      <c r="O646" t="s">
        <v>1949</v>
      </c>
      <c r="R646" t="s">
        <v>4754</v>
      </c>
    </row>
    <row r="647" spans="1:18" x14ac:dyDescent="0.25">
      <c r="A647" t="s">
        <v>1169</v>
      </c>
      <c r="B647" t="s">
        <v>1611</v>
      </c>
      <c r="C647" t="s">
        <v>3492</v>
      </c>
      <c r="D647" t="s">
        <v>4822</v>
      </c>
      <c r="E647" t="s">
        <v>2614</v>
      </c>
      <c r="F647" t="s">
        <v>2584</v>
      </c>
      <c r="G647" t="s">
        <v>4823</v>
      </c>
      <c r="H647" s="74">
        <v>34284</v>
      </c>
      <c r="I647" s="68" t="s">
        <v>2633</v>
      </c>
      <c r="J647" s="68" t="s">
        <v>2614</v>
      </c>
      <c r="K647" s="68" t="s">
        <v>2543</v>
      </c>
      <c r="L647" t="s">
        <v>1753</v>
      </c>
      <c r="M647" t="s">
        <v>2648</v>
      </c>
      <c r="N647" t="s">
        <v>1647</v>
      </c>
      <c r="O647" t="s">
        <v>1949</v>
      </c>
      <c r="R647" t="s">
        <v>4824</v>
      </c>
    </row>
    <row r="648" spans="1:18" x14ac:dyDescent="0.25">
      <c r="A648" t="s">
        <v>1292</v>
      </c>
      <c r="B648" t="s">
        <v>1601</v>
      </c>
      <c r="C648" t="s">
        <v>3005</v>
      </c>
      <c r="D648" t="s">
        <v>5298</v>
      </c>
      <c r="E648" t="s">
        <v>2681</v>
      </c>
      <c r="F648" t="s">
        <v>2636</v>
      </c>
      <c r="G648" t="s">
        <v>5299</v>
      </c>
      <c r="H648" s="74">
        <v>33302</v>
      </c>
      <c r="I648" s="68" t="s">
        <v>2970</v>
      </c>
      <c r="J648" s="68" t="s">
        <v>2614</v>
      </c>
      <c r="K648" s="68" t="s">
        <v>2592</v>
      </c>
      <c r="L648" t="s">
        <v>1695</v>
      </c>
      <c r="M648" t="s">
        <v>4130</v>
      </c>
      <c r="N648" t="s">
        <v>1648</v>
      </c>
      <c r="O648" t="s">
        <v>1949</v>
      </c>
      <c r="R648" t="s">
        <v>5300</v>
      </c>
    </row>
    <row r="649" spans="1:18" x14ac:dyDescent="0.25">
      <c r="A649" t="s">
        <v>1186</v>
      </c>
      <c r="B649" t="s">
        <v>1613</v>
      </c>
      <c r="C649" t="s">
        <v>3156</v>
      </c>
      <c r="D649" t="s">
        <v>5448</v>
      </c>
      <c r="E649" t="s">
        <v>2555</v>
      </c>
      <c r="F649" t="s">
        <v>2544</v>
      </c>
      <c r="G649" t="s">
        <v>5449</v>
      </c>
      <c r="H649" s="74">
        <v>31459</v>
      </c>
      <c r="I649" s="68" t="s">
        <v>2781</v>
      </c>
      <c r="J649" s="68" t="s">
        <v>5450</v>
      </c>
      <c r="K649" s="68" t="s">
        <v>2608</v>
      </c>
      <c r="L649" t="s">
        <v>1944</v>
      </c>
      <c r="M649" t="s">
        <v>5451</v>
      </c>
      <c r="N649" t="s">
        <v>1648</v>
      </c>
      <c r="O649" t="s">
        <v>1949</v>
      </c>
      <c r="R649" t="s">
        <v>5452</v>
      </c>
    </row>
    <row r="650" spans="1:18" x14ac:dyDescent="0.25">
      <c r="A650" t="s">
        <v>1127</v>
      </c>
      <c r="B650" t="s">
        <v>1591</v>
      </c>
      <c r="C650" t="s">
        <v>3633</v>
      </c>
      <c r="D650" t="s">
        <v>4353</v>
      </c>
      <c r="E650" t="s">
        <v>2776</v>
      </c>
      <c r="F650" t="s">
        <v>2584</v>
      </c>
      <c r="G650" t="s">
        <v>4354</v>
      </c>
      <c r="H650" s="74">
        <v>31299</v>
      </c>
      <c r="I650" s="68" t="s">
        <v>2999</v>
      </c>
      <c r="J650" s="68" t="s">
        <v>4355</v>
      </c>
      <c r="K650" s="68" t="s">
        <v>2627</v>
      </c>
      <c r="L650" t="s">
        <v>1658</v>
      </c>
      <c r="M650" t="s">
        <v>2575</v>
      </c>
      <c r="N650" t="s">
        <v>1627</v>
      </c>
      <c r="O650" t="s">
        <v>1950</v>
      </c>
      <c r="R650" t="s">
        <v>4356</v>
      </c>
    </row>
    <row r="651" spans="1:18" x14ac:dyDescent="0.25">
      <c r="A651" t="s">
        <v>1294</v>
      </c>
      <c r="B651" t="s">
        <v>1590</v>
      </c>
      <c r="C651" t="s">
        <v>2717</v>
      </c>
      <c r="D651" t="s">
        <v>5021</v>
      </c>
      <c r="E651" t="s">
        <v>2651</v>
      </c>
      <c r="F651" t="s">
        <v>2584</v>
      </c>
      <c r="G651" t="s">
        <v>5022</v>
      </c>
      <c r="H651" s="74">
        <v>32290</v>
      </c>
      <c r="I651" s="68" t="s">
        <v>2568</v>
      </c>
      <c r="J651" s="68" t="s">
        <v>4355</v>
      </c>
      <c r="K651" s="68" t="s">
        <v>2653</v>
      </c>
      <c r="L651" t="s">
        <v>1722</v>
      </c>
      <c r="M651" t="s">
        <v>5023</v>
      </c>
      <c r="N651" t="s">
        <v>1648</v>
      </c>
      <c r="O651" t="s">
        <v>1949</v>
      </c>
      <c r="R651" t="s">
        <v>5024</v>
      </c>
    </row>
    <row r="652" spans="1:18" x14ac:dyDescent="0.25">
      <c r="A652" t="s">
        <v>1291</v>
      </c>
      <c r="B652" t="s">
        <v>1589</v>
      </c>
      <c r="C652" t="s">
        <v>2590</v>
      </c>
      <c r="D652" t="s">
        <v>2607</v>
      </c>
      <c r="E652" t="s">
        <v>2608</v>
      </c>
      <c r="F652" t="s">
        <v>2584</v>
      </c>
      <c r="G652" t="s">
        <v>2609</v>
      </c>
      <c r="H652" s="74">
        <v>35839</v>
      </c>
      <c r="I652" s="68" t="s">
        <v>2546</v>
      </c>
      <c r="J652" s="68" t="s">
        <v>2610</v>
      </c>
      <c r="K652" s="68" t="s">
        <v>2548</v>
      </c>
      <c r="L652" t="s">
        <v>1850</v>
      </c>
      <c r="M652" t="s">
        <v>2611</v>
      </c>
      <c r="N652" t="s">
        <v>1648</v>
      </c>
      <c r="O652" t="s">
        <v>1949</v>
      </c>
      <c r="R652" t="s">
        <v>2612</v>
      </c>
    </row>
    <row r="653" spans="1:18" x14ac:dyDescent="0.25">
      <c r="A653" t="s">
        <v>1244</v>
      </c>
      <c r="B653" t="s">
        <v>1597</v>
      </c>
      <c r="C653" t="s">
        <v>2876</v>
      </c>
      <c r="D653" t="s">
        <v>2907</v>
      </c>
      <c r="E653" t="s">
        <v>2608</v>
      </c>
      <c r="F653" t="s">
        <v>2584</v>
      </c>
      <c r="G653" t="s">
        <v>2908</v>
      </c>
      <c r="H653" s="74">
        <v>35132</v>
      </c>
      <c r="I653" s="68" t="s">
        <v>2552</v>
      </c>
      <c r="J653" s="68" t="s">
        <v>2610</v>
      </c>
      <c r="K653" s="68" t="s">
        <v>2548</v>
      </c>
      <c r="L653" t="s">
        <v>1700</v>
      </c>
      <c r="M653" t="s">
        <v>2870</v>
      </c>
      <c r="N653" t="s">
        <v>1648</v>
      </c>
      <c r="O653" t="s">
        <v>1949</v>
      </c>
      <c r="R653" t="s">
        <v>2909</v>
      </c>
    </row>
    <row r="654" spans="1:18" x14ac:dyDescent="0.25">
      <c r="A654" t="s">
        <v>1231</v>
      </c>
      <c r="B654" t="s">
        <v>1607</v>
      </c>
      <c r="C654" t="s">
        <v>2963</v>
      </c>
      <c r="D654" t="s">
        <v>2994</v>
      </c>
      <c r="E654" t="s">
        <v>2555</v>
      </c>
      <c r="F654" t="s">
        <v>2544</v>
      </c>
      <c r="G654" t="s">
        <v>2995</v>
      </c>
      <c r="H654" s="74">
        <v>34165</v>
      </c>
      <c r="I654" s="68" t="s">
        <v>2633</v>
      </c>
      <c r="J654" s="68" t="s">
        <v>2610</v>
      </c>
      <c r="K654" s="68" t="s">
        <v>2548</v>
      </c>
      <c r="L654" t="s">
        <v>1673</v>
      </c>
      <c r="M654" t="s">
        <v>2983</v>
      </c>
      <c r="N654" t="s">
        <v>1648</v>
      </c>
      <c r="O654" t="s">
        <v>1949</v>
      </c>
      <c r="R654" t="s">
        <v>2996</v>
      </c>
    </row>
    <row r="655" spans="1:18" x14ac:dyDescent="0.25">
      <c r="A655" t="s">
        <v>1212</v>
      </c>
      <c r="B655" t="s">
        <v>1600</v>
      </c>
      <c r="C655" t="s">
        <v>3357</v>
      </c>
      <c r="D655" t="s">
        <v>3387</v>
      </c>
      <c r="E655" t="s">
        <v>2559</v>
      </c>
      <c r="F655" t="s">
        <v>2584</v>
      </c>
      <c r="G655" t="s">
        <v>3388</v>
      </c>
      <c r="H655" s="74">
        <v>33736</v>
      </c>
      <c r="I655" s="68" t="s">
        <v>2562</v>
      </c>
      <c r="J655" s="68" t="s">
        <v>2610</v>
      </c>
      <c r="K655" s="68" t="s">
        <v>2548</v>
      </c>
      <c r="L655" t="s">
        <v>1923</v>
      </c>
      <c r="M655" t="s">
        <v>3389</v>
      </c>
      <c r="N655" t="s">
        <v>1647</v>
      </c>
      <c r="O655" t="s">
        <v>1949</v>
      </c>
      <c r="R655" t="s">
        <v>3390</v>
      </c>
    </row>
    <row r="656" spans="1:18" x14ac:dyDescent="0.25">
      <c r="A656" t="s">
        <v>1127</v>
      </c>
      <c r="B656" t="s">
        <v>1591</v>
      </c>
      <c r="C656" t="s">
        <v>3633</v>
      </c>
      <c r="D656" t="s">
        <v>3928</v>
      </c>
      <c r="E656" t="s">
        <v>2679</v>
      </c>
      <c r="F656" t="s">
        <v>2636</v>
      </c>
      <c r="G656" t="s">
        <v>3929</v>
      </c>
      <c r="H656" s="74">
        <v>33441</v>
      </c>
      <c r="I656" s="68" t="s">
        <v>2970</v>
      </c>
      <c r="J656" s="68" t="s">
        <v>2610</v>
      </c>
      <c r="K656" s="68" t="s">
        <v>2547</v>
      </c>
      <c r="L656" t="s">
        <v>1796</v>
      </c>
      <c r="M656" t="s">
        <v>3746</v>
      </c>
      <c r="N656" t="s">
        <v>1627</v>
      </c>
      <c r="O656" t="s">
        <v>1950</v>
      </c>
      <c r="R656" t="s">
        <v>3930</v>
      </c>
    </row>
    <row r="657" spans="1:18" x14ac:dyDescent="0.25">
      <c r="A657" t="s">
        <v>10</v>
      </c>
      <c r="B657" t="s">
        <v>1614</v>
      </c>
      <c r="C657" t="s">
        <v>3526</v>
      </c>
      <c r="D657" t="s">
        <v>4249</v>
      </c>
      <c r="E657" t="s">
        <v>2583</v>
      </c>
      <c r="F657" t="s">
        <v>2544</v>
      </c>
      <c r="G657" t="s">
        <v>4250</v>
      </c>
      <c r="H657" s="74">
        <v>35371</v>
      </c>
      <c r="I657" s="68" t="s">
        <v>2552</v>
      </c>
      <c r="J657" s="68" t="s">
        <v>2610</v>
      </c>
      <c r="K657" s="68" t="s">
        <v>2547</v>
      </c>
      <c r="L657" t="s">
        <v>1793</v>
      </c>
      <c r="M657" t="s">
        <v>4251</v>
      </c>
      <c r="N657" t="s">
        <v>1647</v>
      </c>
      <c r="O657" t="s">
        <v>1949</v>
      </c>
      <c r="R657" t="s">
        <v>4252</v>
      </c>
    </row>
    <row r="658" spans="1:18" x14ac:dyDescent="0.25">
      <c r="A658" t="s">
        <v>1178</v>
      </c>
      <c r="B658" t="s">
        <v>1584</v>
      </c>
      <c r="C658" t="s">
        <v>3558</v>
      </c>
      <c r="D658" t="s">
        <v>4298</v>
      </c>
      <c r="E658" t="s">
        <v>2679</v>
      </c>
      <c r="F658" t="s">
        <v>2584</v>
      </c>
      <c r="G658" t="s">
        <v>4299</v>
      </c>
      <c r="H658" s="74">
        <v>32188</v>
      </c>
      <c r="I658" s="68" t="s">
        <v>2568</v>
      </c>
      <c r="J658" s="68" t="s">
        <v>2610</v>
      </c>
      <c r="K658" s="68" t="s">
        <v>2555</v>
      </c>
      <c r="L658" t="s">
        <v>1668</v>
      </c>
      <c r="M658" t="s">
        <v>3084</v>
      </c>
      <c r="N658" t="s">
        <v>1646</v>
      </c>
      <c r="O658" t="s">
        <v>1950</v>
      </c>
      <c r="R658" t="s">
        <v>4300</v>
      </c>
    </row>
    <row r="659" spans="1:18" x14ac:dyDescent="0.25">
      <c r="A659" t="s">
        <v>1238</v>
      </c>
      <c r="B659" t="s">
        <v>1602</v>
      </c>
      <c r="C659" t="s">
        <v>3732</v>
      </c>
      <c r="D659" t="s">
        <v>4469</v>
      </c>
      <c r="E659" t="s">
        <v>2555</v>
      </c>
      <c r="F659" t="s">
        <v>2544</v>
      </c>
      <c r="G659" t="s">
        <v>4470</v>
      </c>
      <c r="H659" s="74">
        <v>35748</v>
      </c>
      <c r="I659" s="68" t="s">
        <v>2599</v>
      </c>
      <c r="J659" s="68" t="s">
        <v>2610</v>
      </c>
      <c r="K659" s="68" t="s">
        <v>2587</v>
      </c>
      <c r="L659" t="s">
        <v>1654</v>
      </c>
      <c r="M659" t="s">
        <v>2844</v>
      </c>
      <c r="N659" t="s">
        <v>1628</v>
      </c>
      <c r="O659" t="s">
        <v>1950</v>
      </c>
      <c r="R659" t="s">
        <v>4471</v>
      </c>
    </row>
    <row r="660" spans="1:18" x14ac:dyDescent="0.25">
      <c r="A660" t="s">
        <v>1153</v>
      </c>
      <c r="B660" t="s">
        <v>1603</v>
      </c>
      <c r="C660" t="s">
        <v>3776</v>
      </c>
      <c r="D660" t="s">
        <v>4498</v>
      </c>
      <c r="E660" t="s">
        <v>2554</v>
      </c>
      <c r="F660" t="s">
        <v>2636</v>
      </c>
      <c r="G660" t="s">
        <v>4499</v>
      </c>
      <c r="H660" s="74">
        <v>33823</v>
      </c>
      <c r="I660" s="68" t="s">
        <v>2562</v>
      </c>
      <c r="J660" s="68" t="s">
        <v>2610</v>
      </c>
      <c r="K660" s="68" t="s">
        <v>2555</v>
      </c>
      <c r="L660" t="s">
        <v>1708</v>
      </c>
      <c r="M660" t="s">
        <v>2659</v>
      </c>
      <c r="N660" t="s">
        <v>43</v>
      </c>
      <c r="O660" t="s">
        <v>1949</v>
      </c>
      <c r="R660" t="s">
        <v>4500</v>
      </c>
    </row>
    <row r="661" spans="1:18" x14ac:dyDescent="0.25">
      <c r="A661" t="s">
        <v>1158</v>
      </c>
      <c r="B661" t="s">
        <v>1605</v>
      </c>
      <c r="C661" t="s">
        <v>3809</v>
      </c>
      <c r="D661" t="s">
        <v>4561</v>
      </c>
      <c r="E661" t="s">
        <v>2592</v>
      </c>
      <c r="F661" t="s">
        <v>2584</v>
      </c>
      <c r="G661" t="s">
        <v>4562</v>
      </c>
      <c r="H661" s="74">
        <v>34889</v>
      </c>
      <c r="I661" s="68" t="s">
        <v>2653</v>
      </c>
      <c r="J661" s="68" t="s">
        <v>2610</v>
      </c>
      <c r="K661" s="68" t="s">
        <v>2587</v>
      </c>
      <c r="L661" t="s">
        <v>1683</v>
      </c>
      <c r="M661" t="s">
        <v>4258</v>
      </c>
      <c r="N661" t="s">
        <v>43</v>
      </c>
      <c r="O661" t="s">
        <v>1949</v>
      </c>
      <c r="R661" t="s">
        <v>4563</v>
      </c>
    </row>
    <row r="662" spans="1:18" x14ac:dyDescent="0.25">
      <c r="A662" t="s">
        <v>1211</v>
      </c>
      <c r="B662" t="s">
        <v>1599</v>
      </c>
      <c r="C662" t="s">
        <v>3330</v>
      </c>
      <c r="D662" t="s">
        <v>4688</v>
      </c>
      <c r="E662" t="s">
        <v>2587</v>
      </c>
      <c r="F662" t="s">
        <v>2544</v>
      </c>
      <c r="G662" t="s">
        <v>4689</v>
      </c>
      <c r="H662" s="74">
        <v>34325</v>
      </c>
      <c r="I662" s="68" t="s">
        <v>2594</v>
      </c>
      <c r="J662" s="68" t="s">
        <v>2610</v>
      </c>
      <c r="K662" s="68" t="s">
        <v>2587</v>
      </c>
      <c r="L662" t="s">
        <v>1781</v>
      </c>
      <c r="M662" t="s">
        <v>3343</v>
      </c>
      <c r="N662" t="s">
        <v>1647</v>
      </c>
      <c r="O662" t="s">
        <v>1949</v>
      </c>
      <c r="R662" t="s">
        <v>4690</v>
      </c>
    </row>
    <row r="663" spans="1:18" x14ac:dyDescent="0.25">
      <c r="A663" t="s">
        <v>1211</v>
      </c>
      <c r="B663" t="s">
        <v>1599</v>
      </c>
      <c r="C663" t="s">
        <v>3330</v>
      </c>
      <c r="D663" t="s">
        <v>4695</v>
      </c>
      <c r="E663" t="s">
        <v>2679</v>
      </c>
      <c r="F663" t="s">
        <v>2584</v>
      </c>
      <c r="G663" t="s">
        <v>4696</v>
      </c>
      <c r="H663" s="74">
        <v>36048</v>
      </c>
      <c r="I663" s="68" t="s">
        <v>2546</v>
      </c>
      <c r="J663" s="68" t="s">
        <v>2610</v>
      </c>
      <c r="K663" s="68" t="s">
        <v>2587</v>
      </c>
      <c r="L663" t="s">
        <v>1861</v>
      </c>
      <c r="M663" t="s">
        <v>4697</v>
      </c>
      <c r="N663" t="s">
        <v>1647</v>
      </c>
      <c r="O663" t="s">
        <v>1949</v>
      </c>
      <c r="R663" t="s">
        <v>4698</v>
      </c>
    </row>
    <row r="664" spans="1:18" x14ac:dyDescent="0.25">
      <c r="A664" t="s">
        <v>10</v>
      </c>
      <c r="B664" t="s">
        <v>1614</v>
      </c>
      <c r="C664" t="s">
        <v>3526</v>
      </c>
      <c r="D664" t="s">
        <v>4893</v>
      </c>
      <c r="E664" t="s">
        <v>2646</v>
      </c>
      <c r="F664" t="s">
        <v>2636</v>
      </c>
      <c r="G664" t="s">
        <v>4894</v>
      </c>
      <c r="H664" s="74">
        <v>36884</v>
      </c>
      <c r="I664" s="68" t="s">
        <v>2586</v>
      </c>
      <c r="J664" s="68" t="s">
        <v>2610</v>
      </c>
      <c r="K664" s="68" t="s">
        <v>2657</v>
      </c>
      <c r="L664" t="s">
        <v>1857</v>
      </c>
      <c r="M664" t="s">
        <v>4895</v>
      </c>
      <c r="N664" t="s">
        <v>1647</v>
      </c>
      <c r="O664" t="s">
        <v>1949</v>
      </c>
      <c r="R664" t="s">
        <v>4896</v>
      </c>
    </row>
    <row r="665" spans="1:18" x14ac:dyDescent="0.25">
      <c r="A665" t="s">
        <v>1130</v>
      </c>
      <c r="B665" t="s">
        <v>1592</v>
      </c>
      <c r="C665" t="s">
        <v>2761</v>
      </c>
      <c r="D665" t="s">
        <v>5096</v>
      </c>
      <c r="E665" t="s">
        <v>2554</v>
      </c>
      <c r="F665" t="s">
        <v>2636</v>
      </c>
      <c r="G665" t="s">
        <v>5097</v>
      </c>
      <c r="H665" s="74">
        <v>36198</v>
      </c>
      <c r="I665" s="68" t="s">
        <v>2627</v>
      </c>
      <c r="J665" s="68" t="s">
        <v>2610</v>
      </c>
      <c r="K665" s="68" t="s">
        <v>2651</v>
      </c>
      <c r="L665" t="s">
        <v>1751</v>
      </c>
      <c r="M665" t="s">
        <v>2563</v>
      </c>
      <c r="N665" t="s">
        <v>1648</v>
      </c>
      <c r="O665" t="s">
        <v>1949</v>
      </c>
      <c r="R665" t="s">
        <v>5098</v>
      </c>
    </row>
    <row r="666" spans="1:18" x14ac:dyDescent="0.25">
      <c r="A666" t="s">
        <v>1172</v>
      </c>
      <c r="B666" t="s">
        <v>1615</v>
      </c>
      <c r="C666" t="s">
        <v>3206</v>
      </c>
      <c r="D666" t="s">
        <v>5487</v>
      </c>
      <c r="E666" t="s">
        <v>2646</v>
      </c>
      <c r="F666" t="s">
        <v>2636</v>
      </c>
      <c r="G666" t="s">
        <v>5488</v>
      </c>
      <c r="H666" s="74">
        <v>37034</v>
      </c>
      <c r="I666" s="68" t="s">
        <v>2586</v>
      </c>
      <c r="J666" s="68" t="s">
        <v>2610</v>
      </c>
      <c r="K666" s="68" t="s">
        <v>2587</v>
      </c>
      <c r="L666" t="s">
        <v>1698</v>
      </c>
      <c r="M666" t="s">
        <v>3252</v>
      </c>
      <c r="N666" t="s">
        <v>1648</v>
      </c>
      <c r="O666" t="s">
        <v>1949</v>
      </c>
      <c r="R666" t="s">
        <v>5489</v>
      </c>
    </row>
    <row r="667" spans="1:18" x14ac:dyDescent="0.25">
      <c r="A667" t="s">
        <v>1294</v>
      </c>
      <c r="B667" t="s">
        <v>1590</v>
      </c>
      <c r="C667" t="s">
        <v>2717</v>
      </c>
      <c r="D667" t="s">
        <v>5029</v>
      </c>
      <c r="E667" t="s">
        <v>2776</v>
      </c>
      <c r="F667" t="s">
        <v>2584</v>
      </c>
      <c r="G667" t="s">
        <v>5030</v>
      </c>
      <c r="H667" s="74">
        <v>31277</v>
      </c>
      <c r="I667" s="68" t="s">
        <v>2999</v>
      </c>
      <c r="J667" s="68" t="s">
        <v>5031</v>
      </c>
      <c r="K667" s="68" t="s">
        <v>2633</v>
      </c>
      <c r="L667" t="s">
        <v>1722</v>
      </c>
      <c r="M667" t="s">
        <v>5023</v>
      </c>
      <c r="N667" t="s">
        <v>1648</v>
      </c>
      <c r="O667" t="s">
        <v>1949</v>
      </c>
      <c r="R667" t="s">
        <v>5032</v>
      </c>
    </row>
    <row r="668" spans="1:18" x14ac:dyDescent="0.25">
      <c r="A668" t="s">
        <v>1124</v>
      </c>
      <c r="B668" t="s">
        <v>1586</v>
      </c>
      <c r="C668" t="s">
        <v>2541</v>
      </c>
      <c r="D668" t="s">
        <v>4903</v>
      </c>
      <c r="E668" t="s">
        <v>2651</v>
      </c>
      <c r="F668" t="s">
        <v>2544</v>
      </c>
      <c r="G668" t="s">
        <v>4904</v>
      </c>
      <c r="H668" s="74">
        <v>31891</v>
      </c>
      <c r="I668" s="68" t="s">
        <v>2569</v>
      </c>
      <c r="J668" s="68" t="s">
        <v>4905</v>
      </c>
      <c r="K668" s="68" t="s">
        <v>2646</v>
      </c>
      <c r="L668" t="s">
        <v>1762</v>
      </c>
      <c r="M668" t="s">
        <v>2556</v>
      </c>
      <c r="N668" t="s">
        <v>1648</v>
      </c>
      <c r="O668" t="s">
        <v>1949</v>
      </c>
      <c r="R668" t="s">
        <v>4906</v>
      </c>
    </row>
    <row r="669" spans="1:18" x14ac:dyDescent="0.25">
      <c r="A669" t="s">
        <v>1291</v>
      </c>
      <c r="B669" t="s">
        <v>1589</v>
      </c>
      <c r="C669" t="s">
        <v>2590</v>
      </c>
      <c r="D669" t="s">
        <v>2598</v>
      </c>
      <c r="E669" t="s">
        <v>2599</v>
      </c>
      <c r="F669" t="s">
        <v>2544</v>
      </c>
      <c r="G669" t="s">
        <v>2600</v>
      </c>
      <c r="H669" s="74">
        <v>35759</v>
      </c>
      <c r="I669" s="68" t="s">
        <v>2546</v>
      </c>
      <c r="J669" s="68" t="s">
        <v>2601</v>
      </c>
      <c r="K669" s="68" t="s">
        <v>2548</v>
      </c>
      <c r="L669" t="s">
        <v>1905</v>
      </c>
      <c r="M669" t="s">
        <v>2602</v>
      </c>
      <c r="N669" t="s">
        <v>1648</v>
      </c>
      <c r="O669" t="s">
        <v>1949</v>
      </c>
      <c r="R669" t="s">
        <v>2603</v>
      </c>
    </row>
    <row r="670" spans="1:18" x14ac:dyDescent="0.25">
      <c r="A670" t="s">
        <v>1256</v>
      </c>
      <c r="B670" t="s">
        <v>1588</v>
      </c>
      <c r="C670" t="s">
        <v>2640</v>
      </c>
      <c r="D670" t="s">
        <v>2674</v>
      </c>
      <c r="E670" t="s">
        <v>2586</v>
      </c>
      <c r="F670" t="s">
        <v>2544</v>
      </c>
      <c r="G670" t="s">
        <v>2675</v>
      </c>
      <c r="H670" s="74">
        <v>34725</v>
      </c>
      <c r="I670" s="68" t="s">
        <v>2653</v>
      </c>
      <c r="J670" s="68" t="s">
        <v>2601</v>
      </c>
      <c r="K670" s="68" t="s">
        <v>2548</v>
      </c>
      <c r="L670" t="s">
        <v>1895</v>
      </c>
      <c r="M670" t="s">
        <v>2676</v>
      </c>
      <c r="N670" t="s">
        <v>1648</v>
      </c>
      <c r="O670" t="s">
        <v>1949</v>
      </c>
      <c r="R670" t="s">
        <v>2677</v>
      </c>
    </row>
    <row r="671" spans="1:18" x14ac:dyDescent="0.25">
      <c r="A671" t="s">
        <v>1172</v>
      </c>
      <c r="B671" t="s">
        <v>1615</v>
      </c>
      <c r="C671" t="s">
        <v>3206</v>
      </c>
      <c r="D671" t="s">
        <v>3219</v>
      </c>
      <c r="E671" t="s">
        <v>2679</v>
      </c>
      <c r="F671" t="s">
        <v>2544</v>
      </c>
      <c r="G671" t="s">
        <v>3220</v>
      </c>
      <c r="H671" s="74">
        <v>34671</v>
      </c>
      <c r="I671" s="68" t="s">
        <v>2653</v>
      </c>
      <c r="J671" s="68" t="s">
        <v>2601</v>
      </c>
      <c r="K671" s="68" t="s">
        <v>2548</v>
      </c>
      <c r="L671" t="s">
        <v>1787</v>
      </c>
      <c r="M671" t="s">
        <v>3221</v>
      </c>
      <c r="N671" t="s">
        <v>1648</v>
      </c>
      <c r="O671" t="s">
        <v>1949</v>
      </c>
      <c r="R671" t="s">
        <v>3222</v>
      </c>
    </row>
    <row r="672" spans="1:18" x14ac:dyDescent="0.25">
      <c r="A672" t="s">
        <v>1167</v>
      </c>
      <c r="B672" t="s">
        <v>1610</v>
      </c>
      <c r="C672" t="s">
        <v>3301</v>
      </c>
      <c r="D672" t="s">
        <v>3305</v>
      </c>
      <c r="E672" t="s">
        <v>2552</v>
      </c>
      <c r="F672" t="s">
        <v>2584</v>
      </c>
      <c r="G672" t="s">
        <v>3306</v>
      </c>
      <c r="H672" s="74">
        <v>37585</v>
      </c>
      <c r="I672" s="68" t="s">
        <v>2554</v>
      </c>
      <c r="J672" s="68" t="s">
        <v>2601</v>
      </c>
      <c r="K672" s="68" t="s">
        <v>2548</v>
      </c>
      <c r="L672" t="s">
        <v>1653</v>
      </c>
      <c r="M672" t="s">
        <v>2874</v>
      </c>
      <c r="N672" t="s">
        <v>1647</v>
      </c>
      <c r="O672" t="s">
        <v>1949</v>
      </c>
      <c r="R672" t="s">
        <v>3307</v>
      </c>
    </row>
    <row r="673" spans="1:18" x14ac:dyDescent="0.25">
      <c r="A673" t="s">
        <v>1211</v>
      </c>
      <c r="B673" t="s">
        <v>1599</v>
      </c>
      <c r="C673" t="s">
        <v>3330</v>
      </c>
      <c r="D673" t="s">
        <v>3341</v>
      </c>
      <c r="E673" t="s">
        <v>2555</v>
      </c>
      <c r="F673" t="s">
        <v>2544</v>
      </c>
      <c r="G673" t="s">
        <v>3342</v>
      </c>
      <c r="H673" s="74">
        <v>33434</v>
      </c>
      <c r="I673" s="68" t="s">
        <v>2970</v>
      </c>
      <c r="J673" s="68" t="s">
        <v>2601</v>
      </c>
      <c r="K673" s="68" t="s">
        <v>2548</v>
      </c>
      <c r="L673" t="s">
        <v>1781</v>
      </c>
      <c r="M673" t="s">
        <v>3343</v>
      </c>
      <c r="N673" t="s">
        <v>1647</v>
      </c>
      <c r="O673" t="s">
        <v>1949</v>
      </c>
      <c r="R673" t="s">
        <v>3344</v>
      </c>
    </row>
    <row r="674" spans="1:18" x14ac:dyDescent="0.25">
      <c r="A674" t="s">
        <v>1253</v>
      </c>
      <c r="B674" t="s">
        <v>1608</v>
      </c>
      <c r="C674" t="s">
        <v>3431</v>
      </c>
      <c r="D674" t="s">
        <v>3458</v>
      </c>
      <c r="E674" t="s">
        <v>2627</v>
      </c>
      <c r="F674" t="s">
        <v>2560</v>
      </c>
      <c r="G674" t="s">
        <v>3459</v>
      </c>
      <c r="H674" s="74">
        <v>34217</v>
      </c>
      <c r="I674" s="68" t="s">
        <v>2633</v>
      </c>
      <c r="J674" s="68" t="s">
        <v>2601</v>
      </c>
      <c r="K674" s="68" t="s">
        <v>2548</v>
      </c>
      <c r="L674" t="s">
        <v>1671</v>
      </c>
      <c r="M674" t="s">
        <v>2580</v>
      </c>
      <c r="N674" t="s">
        <v>1647</v>
      </c>
      <c r="O674" t="s">
        <v>1949</v>
      </c>
      <c r="R674" t="s">
        <v>3460</v>
      </c>
    </row>
    <row r="675" spans="1:18" x14ac:dyDescent="0.25">
      <c r="A675" t="s">
        <v>1253</v>
      </c>
      <c r="B675" t="s">
        <v>1608</v>
      </c>
      <c r="C675" t="s">
        <v>3431</v>
      </c>
      <c r="D675" t="s">
        <v>3481</v>
      </c>
      <c r="E675" t="s">
        <v>2566</v>
      </c>
      <c r="F675" t="s">
        <v>2544</v>
      </c>
      <c r="G675" t="s">
        <v>3482</v>
      </c>
      <c r="H675" s="74">
        <v>35433</v>
      </c>
      <c r="I675" s="68" t="s">
        <v>2599</v>
      </c>
      <c r="J675" s="68" t="s">
        <v>2601</v>
      </c>
      <c r="K675" s="68" t="s">
        <v>2548</v>
      </c>
      <c r="L675" t="s">
        <v>1677</v>
      </c>
      <c r="M675" t="s">
        <v>3483</v>
      </c>
      <c r="N675" t="s">
        <v>1647</v>
      </c>
      <c r="O675" t="s">
        <v>1949</v>
      </c>
      <c r="R675" t="s">
        <v>3484</v>
      </c>
    </row>
    <row r="676" spans="1:18" x14ac:dyDescent="0.25">
      <c r="A676" t="s">
        <v>1135</v>
      </c>
      <c r="B676" t="s">
        <v>1595</v>
      </c>
      <c r="C676" t="s">
        <v>3694</v>
      </c>
      <c r="D676" t="s">
        <v>4019</v>
      </c>
      <c r="E676" t="s">
        <v>2608</v>
      </c>
      <c r="F676" t="s">
        <v>2584</v>
      </c>
      <c r="G676" t="s">
        <v>4020</v>
      </c>
      <c r="H676" s="74">
        <v>36552</v>
      </c>
      <c r="I676" s="68" t="s">
        <v>2579</v>
      </c>
      <c r="J676" s="68" t="s">
        <v>2601</v>
      </c>
      <c r="K676" s="68" t="s">
        <v>2547</v>
      </c>
      <c r="L676" t="s">
        <v>1658</v>
      </c>
      <c r="M676" t="s">
        <v>2575</v>
      </c>
      <c r="N676" t="s">
        <v>1617</v>
      </c>
      <c r="O676" t="s">
        <v>1950</v>
      </c>
      <c r="R676" t="s">
        <v>4021</v>
      </c>
    </row>
    <row r="677" spans="1:18" x14ac:dyDescent="0.25">
      <c r="A677" t="s">
        <v>1127</v>
      </c>
      <c r="B677" t="s">
        <v>1591</v>
      </c>
      <c r="C677" t="s">
        <v>3633</v>
      </c>
      <c r="D677" t="s">
        <v>4374</v>
      </c>
      <c r="E677" t="s">
        <v>2601</v>
      </c>
      <c r="F677" t="s">
        <v>2636</v>
      </c>
      <c r="G677" t="s">
        <v>4375</v>
      </c>
      <c r="H677" s="74">
        <v>34207</v>
      </c>
      <c r="I677" s="68" t="s">
        <v>2633</v>
      </c>
      <c r="J677" s="68" t="s">
        <v>2601</v>
      </c>
      <c r="K677" s="68" t="s">
        <v>2555</v>
      </c>
      <c r="L677" t="s">
        <v>1866</v>
      </c>
      <c r="M677" t="s">
        <v>4376</v>
      </c>
      <c r="N677" t="s">
        <v>1627</v>
      </c>
      <c r="O677" t="s">
        <v>1950</v>
      </c>
      <c r="R677" t="s">
        <v>4377</v>
      </c>
    </row>
    <row r="678" spans="1:18" x14ac:dyDescent="0.25">
      <c r="A678" t="s">
        <v>1212</v>
      </c>
      <c r="B678" t="s">
        <v>1600</v>
      </c>
      <c r="C678" t="s">
        <v>3357</v>
      </c>
      <c r="D678" t="s">
        <v>4749</v>
      </c>
      <c r="E678" t="s">
        <v>2608</v>
      </c>
      <c r="F678" t="s">
        <v>2584</v>
      </c>
      <c r="G678" t="s">
        <v>4750</v>
      </c>
      <c r="H678" s="74">
        <v>35506</v>
      </c>
      <c r="I678" s="68" t="s">
        <v>2599</v>
      </c>
      <c r="J678" s="68" t="s">
        <v>2601</v>
      </c>
      <c r="K678" s="68" t="s">
        <v>2587</v>
      </c>
      <c r="L678" t="s">
        <v>1686</v>
      </c>
      <c r="M678" t="s">
        <v>3367</v>
      </c>
      <c r="N678" t="s">
        <v>1647</v>
      </c>
      <c r="O678" t="s">
        <v>1949</v>
      </c>
      <c r="R678" t="s">
        <v>4751</v>
      </c>
    </row>
    <row r="679" spans="1:18" x14ac:dyDescent="0.25">
      <c r="A679" t="s">
        <v>10</v>
      </c>
      <c r="B679" t="s">
        <v>1614</v>
      </c>
      <c r="C679" t="s">
        <v>3526</v>
      </c>
      <c r="D679" t="s">
        <v>4890</v>
      </c>
      <c r="E679" t="s">
        <v>2657</v>
      </c>
      <c r="F679" t="s">
        <v>2636</v>
      </c>
      <c r="G679" t="s">
        <v>4891</v>
      </c>
      <c r="H679" s="74">
        <v>37573</v>
      </c>
      <c r="I679" s="68" t="s">
        <v>2670</v>
      </c>
      <c r="J679" s="68" t="s">
        <v>2601</v>
      </c>
      <c r="K679" s="68" t="s">
        <v>2543</v>
      </c>
      <c r="L679" t="s">
        <v>1663</v>
      </c>
      <c r="M679" t="s">
        <v>2859</v>
      </c>
      <c r="N679" t="s">
        <v>1647</v>
      </c>
      <c r="O679" t="s">
        <v>1949</v>
      </c>
      <c r="R679" t="s">
        <v>4892</v>
      </c>
    </row>
    <row r="680" spans="1:18" x14ac:dyDescent="0.25">
      <c r="A680" t="s">
        <v>1135</v>
      </c>
      <c r="B680" t="s">
        <v>1595</v>
      </c>
      <c r="C680" t="s">
        <v>3694</v>
      </c>
      <c r="D680" t="s">
        <v>3728</v>
      </c>
      <c r="E680" t="s">
        <v>2547</v>
      </c>
      <c r="F680" t="s">
        <v>2560</v>
      </c>
      <c r="G680" t="s">
        <v>3729</v>
      </c>
      <c r="H680" s="74">
        <v>31772</v>
      </c>
      <c r="I680" s="68" t="s">
        <v>2569</v>
      </c>
      <c r="J680" s="68" t="s">
        <v>3730</v>
      </c>
      <c r="K680" s="68" t="s">
        <v>2548</v>
      </c>
      <c r="L680" t="s">
        <v>1666</v>
      </c>
      <c r="M680" t="s">
        <v>3434</v>
      </c>
      <c r="N680" t="s">
        <v>1617</v>
      </c>
      <c r="O680" t="s">
        <v>1950</v>
      </c>
      <c r="R680" t="s">
        <v>3731</v>
      </c>
    </row>
    <row r="681" spans="1:18" x14ac:dyDescent="0.25">
      <c r="A681" t="s">
        <v>1167</v>
      </c>
      <c r="B681" t="s">
        <v>1610</v>
      </c>
      <c r="C681" t="s">
        <v>3301</v>
      </c>
      <c r="D681" t="s">
        <v>4640</v>
      </c>
      <c r="E681" t="s">
        <v>2651</v>
      </c>
      <c r="F681" t="s">
        <v>2584</v>
      </c>
      <c r="G681" t="s">
        <v>4641</v>
      </c>
      <c r="H681" s="74">
        <v>32340</v>
      </c>
      <c r="I681" s="68" t="s">
        <v>2568</v>
      </c>
      <c r="J681" s="68" t="s">
        <v>3730</v>
      </c>
      <c r="K681" s="68" t="s">
        <v>2587</v>
      </c>
      <c r="L681" t="s">
        <v>1653</v>
      </c>
      <c r="M681" t="s">
        <v>2874</v>
      </c>
      <c r="N681" t="s">
        <v>1647</v>
      </c>
      <c r="O681" t="s">
        <v>1949</v>
      </c>
      <c r="R681" t="s">
        <v>4642</v>
      </c>
    </row>
    <row r="682" spans="1:18" x14ac:dyDescent="0.25">
      <c r="A682" t="s">
        <v>1211</v>
      </c>
      <c r="B682" t="s">
        <v>1599</v>
      </c>
      <c r="C682" t="s">
        <v>3330</v>
      </c>
      <c r="D682" t="s">
        <v>4670</v>
      </c>
      <c r="E682" t="s">
        <v>2651</v>
      </c>
      <c r="F682" t="s">
        <v>2544</v>
      </c>
      <c r="G682" t="s">
        <v>4671</v>
      </c>
      <c r="H682" s="74">
        <v>31667</v>
      </c>
      <c r="I682" s="68" t="s">
        <v>2781</v>
      </c>
      <c r="J682" s="68" t="s">
        <v>4672</v>
      </c>
      <c r="K682" s="68" t="s">
        <v>2543</v>
      </c>
      <c r="L682" t="s">
        <v>1859</v>
      </c>
      <c r="M682" t="s">
        <v>4673</v>
      </c>
      <c r="N682" t="s">
        <v>1647</v>
      </c>
      <c r="O682" t="s">
        <v>1949</v>
      </c>
      <c r="R682" t="s">
        <v>4674</v>
      </c>
    </row>
    <row r="683" spans="1:18" x14ac:dyDescent="0.25">
      <c r="A683" t="s">
        <v>1157</v>
      </c>
      <c r="B683" t="s">
        <v>1604</v>
      </c>
      <c r="C683" t="s">
        <v>3391</v>
      </c>
      <c r="D683" t="s">
        <v>4777</v>
      </c>
      <c r="E683" t="s">
        <v>2646</v>
      </c>
      <c r="F683" t="s">
        <v>2636</v>
      </c>
      <c r="G683" t="s">
        <v>4778</v>
      </c>
      <c r="H683" s="74">
        <v>32376</v>
      </c>
      <c r="I683" s="68" t="s">
        <v>2568</v>
      </c>
      <c r="J683" s="68" t="s">
        <v>4779</v>
      </c>
      <c r="K683" s="68" t="s">
        <v>3053</v>
      </c>
      <c r="L683" t="s">
        <v>1653</v>
      </c>
      <c r="M683" t="s">
        <v>2874</v>
      </c>
      <c r="N683" t="s">
        <v>1647</v>
      </c>
      <c r="O683" t="s">
        <v>1949</v>
      </c>
      <c r="R683" t="s">
        <v>4780</v>
      </c>
    </row>
    <row r="684" spans="1:18" x14ac:dyDescent="0.25">
      <c r="A684" t="s">
        <v>1186</v>
      </c>
      <c r="B684" t="s">
        <v>1613</v>
      </c>
      <c r="C684" t="s">
        <v>3156</v>
      </c>
      <c r="D684" t="s">
        <v>5459</v>
      </c>
      <c r="E684" t="s">
        <v>2646</v>
      </c>
      <c r="F684" t="s">
        <v>2636</v>
      </c>
      <c r="G684" t="s">
        <v>5460</v>
      </c>
      <c r="H684" s="74">
        <v>31801</v>
      </c>
      <c r="I684" s="68" t="s">
        <v>2569</v>
      </c>
      <c r="J684" s="68" t="s">
        <v>4779</v>
      </c>
      <c r="K684" s="68" t="s">
        <v>2623</v>
      </c>
      <c r="L684" t="s">
        <v>1740</v>
      </c>
      <c r="M684" t="s">
        <v>3175</v>
      </c>
      <c r="N684" t="s">
        <v>1648</v>
      </c>
      <c r="O684" t="s">
        <v>1949</v>
      </c>
      <c r="R684" t="s">
        <v>5461</v>
      </c>
    </row>
    <row r="685" spans="1:18" x14ac:dyDescent="0.25">
      <c r="A685" t="s">
        <v>1186</v>
      </c>
      <c r="B685" t="s">
        <v>1613</v>
      </c>
      <c r="C685" t="s">
        <v>3156</v>
      </c>
      <c r="D685" t="s">
        <v>3190</v>
      </c>
      <c r="E685" t="s">
        <v>2547</v>
      </c>
      <c r="F685" t="s">
        <v>2560</v>
      </c>
      <c r="G685" t="s">
        <v>3191</v>
      </c>
      <c r="H685" s="74">
        <v>31579</v>
      </c>
      <c r="I685" s="68" t="s">
        <v>2781</v>
      </c>
      <c r="J685" s="68" t="s">
        <v>3192</v>
      </c>
      <c r="K685" s="68" t="s">
        <v>2548</v>
      </c>
      <c r="L685" t="s">
        <v>1692</v>
      </c>
      <c r="M685" t="s">
        <v>2772</v>
      </c>
      <c r="N685" t="s">
        <v>1648</v>
      </c>
      <c r="O685" t="s">
        <v>1949</v>
      </c>
      <c r="R685" t="s">
        <v>3193</v>
      </c>
    </row>
    <row r="686" spans="1:18" x14ac:dyDescent="0.25">
      <c r="A686" t="s">
        <v>1186</v>
      </c>
      <c r="B686" t="s">
        <v>1613</v>
      </c>
      <c r="C686" t="s">
        <v>3156</v>
      </c>
      <c r="D686" t="s">
        <v>5435</v>
      </c>
      <c r="E686" t="s">
        <v>2586</v>
      </c>
      <c r="F686" t="s">
        <v>2636</v>
      </c>
      <c r="G686" t="s">
        <v>5436</v>
      </c>
      <c r="H686" s="74">
        <v>31822</v>
      </c>
      <c r="I686" s="68" t="s">
        <v>2569</v>
      </c>
      <c r="J686" s="68" t="s">
        <v>3192</v>
      </c>
      <c r="K686" s="68" t="s">
        <v>3049</v>
      </c>
      <c r="L686" t="s">
        <v>1721</v>
      </c>
      <c r="M686" t="s">
        <v>3495</v>
      </c>
      <c r="N686" t="s">
        <v>1648</v>
      </c>
      <c r="O686" t="s">
        <v>1949</v>
      </c>
      <c r="R686" t="s">
        <v>5437</v>
      </c>
    </row>
    <row r="687" spans="1:18" x14ac:dyDescent="0.25">
      <c r="A687" t="s">
        <v>1292</v>
      </c>
      <c r="B687" t="s">
        <v>1601</v>
      </c>
      <c r="C687" t="s">
        <v>3005</v>
      </c>
      <c r="D687" t="s">
        <v>3030</v>
      </c>
      <c r="E687" t="s">
        <v>2559</v>
      </c>
      <c r="F687" t="s">
        <v>2560</v>
      </c>
      <c r="G687" t="s">
        <v>3031</v>
      </c>
      <c r="H687" s="74">
        <v>31241</v>
      </c>
      <c r="I687" s="68" t="s">
        <v>2999</v>
      </c>
      <c r="J687" s="68" t="s">
        <v>3032</v>
      </c>
      <c r="K687" s="68" t="s">
        <v>2548</v>
      </c>
      <c r="L687" t="s">
        <v>1724</v>
      </c>
      <c r="M687" t="s">
        <v>3033</v>
      </c>
      <c r="N687" t="s">
        <v>1648</v>
      </c>
      <c r="O687" t="s">
        <v>1949</v>
      </c>
      <c r="R687" t="s">
        <v>3034</v>
      </c>
    </row>
    <row r="688" spans="1:18" x14ac:dyDescent="0.25">
      <c r="A688" t="s">
        <v>1230</v>
      </c>
      <c r="B688" t="s">
        <v>1606</v>
      </c>
      <c r="C688" t="s">
        <v>3035</v>
      </c>
      <c r="D688" t="s">
        <v>5346</v>
      </c>
      <c r="E688" t="s">
        <v>2555</v>
      </c>
      <c r="F688" t="s">
        <v>2584</v>
      </c>
      <c r="G688" t="s">
        <v>5347</v>
      </c>
      <c r="H688" s="74">
        <v>34209</v>
      </c>
      <c r="I688" s="68" t="s">
        <v>2633</v>
      </c>
      <c r="J688" s="68" t="s">
        <v>5348</v>
      </c>
      <c r="K688" s="68" t="s">
        <v>2610</v>
      </c>
      <c r="L688" t="s">
        <v>1656</v>
      </c>
      <c r="M688" t="s">
        <v>3042</v>
      </c>
      <c r="N688" t="s">
        <v>1648</v>
      </c>
      <c r="O688" t="s">
        <v>1949</v>
      </c>
      <c r="R688" t="s">
        <v>5349</v>
      </c>
    </row>
    <row r="689" spans="1:18" x14ac:dyDescent="0.25">
      <c r="A689" t="s">
        <v>1244</v>
      </c>
      <c r="B689" t="s">
        <v>1597</v>
      </c>
      <c r="C689" t="s">
        <v>2876</v>
      </c>
      <c r="D689" t="s">
        <v>2917</v>
      </c>
      <c r="E689" t="s">
        <v>2579</v>
      </c>
      <c r="F689" t="s">
        <v>2584</v>
      </c>
      <c r="G689" t="s">
        <v>2918</v>
      </c>
      <c r="H689" s="74">
        <v>37302</v>
      </c>
      <c r="I689" s="68" t="s">
        <v>2670</v>
      </c>
      <c r="J689" s="68" t="s">
        <v>2559</v>
      </c>
      <c r="K689" s="68" t="s">
        <v>2548</v>
      </c>
      <c r="L689" t="s">
        <v>1671</v>
      </c>
      <c r="M689" t="s">
        <v>2580</v>
      </c>
      <c r="N689" t="s">
        <v>1648</v>
      </c>
      <c r="O689" t="s">
        <v>1949</v>
      </c>
      <c r="R689" t="s">
        <v>2919</v>
      </c>
    </row>
    <row r="690" spans="1:18" x14ac:dyDescent="0.25">
      <c r="A690" t="s">
        <v>1201</v>
      </c>
      <c r="B690" t="s">
        <v>1598</v>
      </c>
      <c r="C690" t="s">
        <v>2932</v>
      </c>
      <c r="D690" t="s">
        <v>2933</v>
      </c>
      <c r="E690" t="s">
        <v>2583</v>
      </c>
      <c r="F690" t="s">
        <v>2584</v>
      </c>
      <c r="G690" t="s">
        <v>2934</v>
      </c>
      <c r="H690" s="74">
        <v>34376</v>
      </c>
      <c r="I690" s="68" t="s">
        <v>2594</v>
      </c>
      <c r="J690" s="68" t="s">
        <v>2559</v>
      </c>
      <c r="K690" s="68" t="s">
        <v>2548</v>
      </c>
      <c r="L690" t="s">
        <v>1782</v>
      </c>
      <c r="M690" t="s">
        <v>2935</v>
      </c>
      <c r="N690" t="s">
        <v>1648</v>
      </c>
      <c r="O690" t="s">
        <v>1949</v>
      </c>
      <c r="R690" t="s">
        <v>2936</v>
      </c>
    </row>
    <row r="691" spans="1:18" x14ac:dyDescent="0.25">
      <c r="A691" t="s">
        <v>1172</v>
      </c>
      <c r="B691" t="s">
        <v>1615</v>
      </c>
      <c r="C691" t="s">
        <v>3206</v>
      </c>
      <c r="D691" t="s">
        <v>3238</v>
      </c>
      <c r="E691" t="s">
        <v>2627</v>
      </c>
      <c r="F691" t="s">
        <v>2584</v>
      </c>
      <c r="G691" t="s">
        <v>3239</v>
      </c>
      <c r="H691" s="74">
        <v>36847</v>
      </c>
      <c r="I691" s="68" t="s">
        <v>2579</v>
      </c>
      <c r="J691" s="68" t="s">
        <v>2559</v>
      </c>
      <c r="K691" s="68" t="s">
        <v>2548</v>
      </c>
      <c r="L691" t="s">
        <v>1776</v>
      </c>
      <c r="M691" t="s">
        <v>3240</v>
      </c>
      <c r="N691" t="s">
        <v>1648</v>
      </c>
      <c r="O691" t="s">
        <v>1949</v>
      </c>
      <c r="R691" t="s">
        <v>3241</v>
      </c>
    </row>
    <row r="692" spans="1:18" x14ac:dyDescent="0.25">
      <c r="A692" t="s">
        <v>1294</v>
      </c>
      <c r="B692" t="s">
        <v>1590</v>
      </c>
      <c r="C692" t="s">
        <v>2717</v>
      </c>
      <c r="D692" t="s">
        <v>3915</v>
      </c>
      <c r="E692" t="s">
        <v>2559</v>
      </c>
      <c r="F692" t="s">
        <v>2584</v>
      </c>
      <c r="G692" t="s">
        <v>3916</v>
      </c>
      <c r="H692" s="74">
        <v>35670</v>
      </c>
      <c r="I692" s="68" t="s">
        <v>2599</v>
      </c>
      <c r="J692" s="68" t="s">
        <v>2559</v>
      </c>
      <c r="K692" s="68" t="s">
        <v>2547</v>
      </c>
      <c r="L692" t="s">
        <v>1684</v>
      </c>
      <c r="M692" t="s">
        <v>2725</v>
      </c>
      <c r="N692" t="s">
        <v>1648</v>
      </c>
      <c r="O692" t="s">
        <v>1949</v>
      </c>
      <c r="R692" t="s">
        <v>3917</v>
      </c>
    </row>
    <row r="693" spans="1:18" x14ac:dyDescent="0.25">
      <c r="A693" t="s">
        <v>1244</v>
      </c>
      <c r="B693" t="s">
        <v>1597</v>
      </c>
      <c r="C693" t="s">
        <v>2876</v>
      </c>
      <c r="D693" t="s">
        <v>4040</v>
      </c>
      <c r="E693" t="s">
        <v>2657</v>
      </c>
      <c r="F693" t="s">
        <v>2584</v>
      </c>
      <c r="G693" t="s">
        <v>4041</v>
      </c>
      <c r="H693" s="74">
        <v>38054</v>
      </c>
      <c r="I693" s="68" t="s">
        <v>2583</v>
      </c>
      <c r="J693" s="68" t="s">
        <v>2559</v>
      </c>
      <c r="K693" s="68" t="s">
        <v>2547</v>
      </c>
      <c r="L693" t="s">
        <v>1720</v>
      </c>
      <c r="M693" t="s">
        <v>3171</v>
      </c>
      <c r="N693" t="s">
        <v>1648</v>
      </c>
      <c r="O693" t="s">
        <v>1949</v>
      </c>
      <c r="R693" t="s">
        <v>4042</v>
      </c>
    </row>
    <row r="694" spans="1:18" x14ac:dyDescent="0.25">
      <c r="A694" t="s">
        <v>1211</v>
      </c>
      <c r="B694" t="s">
        <v>1599</v>
      </c>
      <c r="C694" t="s">
        <v>3330</v>
      </c>
      <c r="D694" t="s">
        <v>4070</v>
      </c>
      <c r="E694" t="s">
        <v>2543</v>
      </c>
      <c r="F694" t="s">
        <v>2544</v>
      </c>
      <c r="G694" t="s">
        <v>4071</v>
      </c>
      <c r="H694" s="74">
        <v>35457</v>
      </c>
      <c r="I694" s="68" t="s">
        <v>2599</v>
      </c>
      <c r="J694" s="68" t="s">
        <v>2559</v>
      </c>
      <c r="K694" s="68" t="s">
        <v>2547</v>
      </c>
      <c r="L694" t="s">
        <v>1680</v>
      </c>
      <c r="M694" t="s">
        <v>3517</v>
      </c>
      <c r="N694" t="s">
        <v>1647</v>
      </c>
      <c r="O694" t="s">
        <v>1949</v>
      </c>
      <c r="R694" t="s">
        <v>4072</v>
      </c>
    </row>
    <row r="695" spans="1:18" x14ac:dyDescent="0.25">
      <c r="A695" t="s">
        <v>1212</v>
      </c>
      <c r="B695" t="s">
        <v>1600</v>
      </c>
      <c r="C695" t="s">
        <v>3357</v>
      </c>
      <c r="D695" t="s">
        <v>4088</v>
      </c>
      <c r="E695" t="s">
        <v>2552</v>
      </c>
      <c r="F695" t="s">
        <v>2584</v>
      </c>
      <c r="G695" t="s">
        <v>4089</v>
      </c>
      <c r="H695" s="74">
        <v>36415</v>
      </c>
      <c r="I695" s="68" t="s">
        <v>2627</v>
      </c>
      <c r="J695" s="68" t="s">
        <v>2559</v>
      </c>
      <c r="K695" s="68" t="s">
        <v>2547</v>
      </c>
      <c r="L695" t="s">
        <v>1686</v>
      </c>
      <c r="M695" t="s">
        <v>3367</v>
      </c>
      <c r="N695" t="s">
        <v>1647</v>
      </c>
      <c r="O695" t="s">
        <v>1949</v>
      </c>
      <c r="R695" t="s">
        <v>4090</v>
      </c>
    </row>
    <row r="696" spans="1:18" x14ac:dyDescent="0.25">
      <c r="A696" t="s">
        <v>1231</v>
      </c>
      <c r="B696" t="s">
        <v>1607</v>
      </c>
      <c r="C696" t="s">
        <v>2963</v>
      </c>
      <c r="D696" t="s">
        <v>4101</v>
      </c>
      <c r="E696" t="s">
        <v>2610</v>
      </c>
      <c r="F696" t="s">
        <v>2584</v>
      </c>
      <c r="G696" t="s">
        <v>4102</v>
      </c>
      <c r="H696" s="74">
        <v>35493</v>
      </c>
      <c r="I696" s="68" t="s">
        <v>2599</v>
      </c>
      <c r="J696" s="68" t="s">
        <v>2559</v>
      </c>
      <c r="K696" s="68" t="s">
        <v>2547</v>
      </c>
      <c r="L696" t="s">
        <v>1673</v>
      </c>
      <c r="M696" t="s">
        <v>2983</v>
      </c>
      <c r="N696" t="s">
        <v>1648</v>
      </c>
      <c r="O696" t="s">
        <v>1949</v>
      </c>
      <c r="R696" t="s">
        <v>4103</v>
      </c>
    </row>
    <row r="697" spans="1:18" x14ac:dyDescent="0.25">
      <c r="A697" t="s">
        <v>1253</v>
      </c>
      <c r="B697" t="s">
        <v>1608</v>
      </c>
      <c r="C697" t="s">
        <v>3431</v>
      </c>
      <c r="D697" t="s">
        <v>4188</v>
      </c>
      <c r="E697" t="s">
        <v>2670</v>
      </c>
      <c r="F697" t="s">
        <v>2636</v>
      </c>
      <c r="G697" t="s">
        <v>4189</v>
      </c>
      <c r="H697" s="74">
        <v>36608</v>
      </c>
      <c r="I697" s="68" t="s">
        <v>2579</v>
      </c>
      <c r="J697" s="68" t="s">
        <v>2559</v>
      </c>
      <c r="K697" s="68" t="s">
        <v>2547</v>
      </c>
      <c r="L697" t="s">
        <v>1694</v>
      </c>
      <c r="M697" t="s">
        <v>2694</v>
      </c>
      <c r="N697" t="s">
        <v>1647</v>
      </c>
      <c r="O697" t="s">
        <v>1949</v>
      </c>
      <c r="R697" t="s">
        <v>4190</v>
      </c>
    </row>
    <row r="698" spans="1:18" x14ac:dyDescent="0.25">
      <c r="A698" t="s">
        <v>1253</v>
      </c>
      <c r="B698" t="s">
        <v>1608</v>
      </c>
      <c r="C698" t="s">
        <v>3431</v>
      </c>
      <c r="D698" t="s">
        <v>4191</v>
      </c>
      <c r="E698" t="s">
        <v>2543</v>
      </c>
      <c r="F698" t="s">
        <v>2544</v>
      </c>
      <c r="G698" t="s">
        <v>4192</v>
      </c>
      <c r="H698" s="74">
        <v>34956</v>
      </c>
      <c r="I698" s="68" t="s">
        <v>2653</v>
      </c>
      <c r="J698" s="68" t="s">
        <v>2559</v>
      </c>
      <c r="K698" s="68" t="s">
        <v>2547</v>
      </c>
      <c r="L698" t="s">
        <v>1714</v>
      </c>
      <c r="M698" t="s">
        <v>3905</v>
      </c>
      <c r="N698" t="s">
        <v>1647</v>
      </c>
      <c r="O698" t="s">
        <v>1949</v>
      </c>
      <c r="R698" t="s">
        <v>4193</v>
      </c>
    </row>
    <row r="699" spans="1:18" x14ac:dyDescent="0.25">
      <c r="A699" t="s">
        <v>1167</v>
      </c>
      <c r="B699" t="s">
        <v>1610</v>
      </c>
      <c r="C699" t="s">
        <v>3301</v>
      </c>
      <c r="D699" t="s">
        <v>4646</v>
      </c>
      <c r="E699" t="s">
        <v>2646</v>
      </c>
      <c r="F699" t="s">
        <v>2584</v>
      </c>
      <c r="G699" t="s">
        <v>4647</v>
      </c>
      <c r="H699" s="74">
        <v>38204</v>
      </c>
      <c r="I699" s="68" t="s">
        <v>2583</v>
      </c>
      <c r="J699" s="68" t="s">
        <v>2559</v>
      </c>
      <c r="K699" s="68" t="s">
        <v>2587</v>
      </c>
      <c r="L699" t="s">
        <v>1653</v>
      </c>
      <c r="M699" t="s">
        <v>2874</v>
      </c>
      <c r="N699" t="s">
        <v>1647</v>
      </c>
      <c r="O699" t="s">
        <v>1949</v>
      </c>
      <c r="R699" t="s">
        <v>4648</v>
      </c>
    </row>
    <row r="700" spans="1:18" x14ac:dyDescent="0.25">
      <c r="A700" t="s">
        <v>1186</v>
      </c>
      <c r="B700" t="s">
        <v>1613</v>
      </c>
      <c r="C700" t="s">
        <v>3156</v>
      </c>
      <c r="D700" t="s">
        <v>5456</v>
      </c>
      <c r="E700" t="s">
        <v>2681</v>
      </c>
      <c r="F700" t="s">
        <v>2636</v>
      </c>
      <c r="G700" t="s">
        <v>5457</v>
      </c>
      <c r="H700" s="74">
        <v>36335</v>
      </c>
      <c r="I700" s="68" t="s">
        <v>2627</v>
      </c>
      <c r="J700" s="68" t="s">
        <v>2559</v>
      </c>
      <c r="K700" s="68" t="s">
        <v>2555</v>
      </c>
      <c r="L700" t="s">
        <v>1676</v>
      </c>
      <c r="M700" t="s">
        <v>3615</v>
      </c>
      <c r="N700" t="s">
        <v>1648</v>
      </c>
      <c r="O700" t="s">
        <v>1949</v>
      </c>
      <c r="R700" t="s">
        <v>5458</v>
      </c>
    </row>
    <row r="701" spans="1:18" x14ac:dyDescent="0.25">
      <c r="A701" t="s">
        <v>1158</v>
      </c>
      <c r="B701" t="s">
        <v>1605</v>
      </c>
      <c r="C701" t="s">
        <v>3809</v>
      </c>
      <c r="D701" t="s">
        <v>4557</v>
      </c>
      <c r="E701" t="s">
        <v>2555</v>
      </c>
      <c r="F701" t="s">
        <v>2544</v>
      </c>
      <c r="G701" t="s">
        <v>4558</v>
      </c>
      <c r="H701" s="74">
        <v>30373</v>
      </c>
      <c r="I701" s="68" t="s">
        <v>3333</v>
      </c>
      <c r="J701" s="68" t="s">
        <v>4559</v>
      </c>
      <c r="K701" s="68" t="s">
        <v>2657</v>
      </c>
      <c r="L701" t="s">
        <v>1688</v>
      </c>
      <c r="M701" t="s">
        <v>3117</v>
      </c>
      <c r="N701" t="s">
        <v>43</v>
      </c>
      <c r="O701" t="s">
        <v>1949</v>
      </c>
      <c r="R701" t="s">
        <v>4560</v>
      </c>
    </row>
    <row r="702" spans="1:18" x14ac:dyDescent="0.25">
      <c r="A702" t="s">
        <v>1292</v>
      </c>
      <c r="B702" t="s">
        <v>1601</v>
      </c>
      <c r="C702" t="s">
        <v>3005</v>
      </c>
      <c r="D702" t="s">
        <v>5274</v>
      </c>
      <c r="E702" t="s">
        <v>2610</v>
      </c>
      <c r="F702" t="s">
        <v>2544</v>
      </c>
      <c r="G702" t="s">
        <v>5275</v>
      </c>
      <c r="H702" s="74">
        <v>32159</v>
      </c>
      <c r="I702" s="68" t="s">
        <v>2568</v>
      </c>
      <c r="J702" s="68" t="s">
        <v>5276</v>
      </c>
      <c r="K702" s="68" t="s">
        <v>2651</v>
      </c>
      <c r="L702" t="s">
        <v>1695</v>
      </c>
      <c r="M702" t="s">
        <v>4130</v>
      </c>
      <c r="N702" t="s">
        <v>1648</v>
      </c>
      <c r="O702" t="s">
        <v>1949</v>
      </c>
      <c r="R702" t="s">
        <v>5277</v>
      </c>
    </row>
    <row r="703" spans="1:18" x14ac:dyDescent="0.25">
      <c r="A703" t="s">
        <v>1124</v>
      </c>
      <c r="B703" t="s">
        <v>1586</v>
      </c>
      <c r="C703" t="s">
        <v>2541</v>
      </c>
      <c r="D703" t="s">
        <v>4916</v>
      </c>
      <c r="E703" t="s">
        <v>2592</v>
      </c>
      <c r="F703" t="s">
        <v>2584</v>
      </c>
      <c r="G703" t="s">
        <v>4917</v>
      </c>
      <c r="H703" s="74">
        <v>32520</v>
      </c>
      <c r="I703" s="68" t="s">
        <v>2703</v>
      </c>
      <c r="J703" s="68" t="s">
        <v>4918</v>
      </c>
      <c r="K703" s="68" t="s">
        <v>2566</v>
      </c>
      <c r="L703" t="s">
        <v>1660</v>
      </c>
      <c r="M703" t="s">
        <v>3319</v>
      </c>
      <c r="N703" t="s">
        <v>1648</v>
      </c>
      <c r="O703" t="s">
        <v>1949</v>
      </c>
      <c r="R703" t="s">
        <v>4919</v>
      </c>
    </row>
    <row r="704" spans="1:18" x14ac:dyDescent="0.25">
      <c r="A704" t="s">
        <v>1178</v>
      </c>
      <c r="B704" t="s">
        <v>1584</v>
      </c>
      <c r="C704" t="s">
        <v>3558</v>
      </c>
      <c r="D704" t="s">
        <v>4294</v>
      </c>
      <c r="E704" t="s">
        <v>2681</v>
      </c>
      <c r="F704" t="s">
        <v>2636</v>
      </c>
      <c r="G704" t="s">
        <v>4295</v>
      </c>
      <c r="H704" s="74">
        <v>32187</v>
      </c>
      <c r="I704" s="68" t="s">
        <v>2568</v>
      </c>
      <c r="J704" s="68" t="s">
        <v>4296</v>
      </c>
      <c r="K704" s="68" t="s">
        <v>2653</v>
      </c>
      <c r="L704" t="s">
        <v>1664</v>
      </c>
      <c r="M704" t="s">
        <v>3397</v>
      </c>
      <c r="N704" t="s">
        <v>1646</v>
      </c>
      <c r="O704" t="s">
        <v>1950</v>
      </c>
      <c r="R704" t="s">
        <v>4297</v>
      </c>
    </row>
    <row r="705" spans="1:18" x14ac:dyDescent="0.25">
      <c r="A705" t="s">
        <v>1180</v>
      </c>
      <c r="B705" t="s">
        <v>1587</v>
      </c>
      <c r="C705" t="s">
        <v>3604</v>
      </c>
      <c r="D705" t="s">
        <v>4333</v>
      </c>
      <c r="E705" t="s">
        <v>2559</v>
      </c>
      <c r="F705" t="s">
        <v>2544</v>
      </c>
      <c r="G705" t="s">
        <v>4334</v>
      </c>
      <c r="H705" s="74">
        <v>30442</v>
      </c>
      <c r="I705" s="68" t="s">
        <v>3333</v>
      </c>
      <c r="J705" s="68" t="s">
        <v>4296</v>
      </c>
      <c r="K705" s="68" t="s">
        <v>2608</v>
      </c>
      <c r="L705" t="s">
        <v>1938</v>
      </c>
      <c r="M705" t="s">
        <v>4335</v>
      </c>
      <c r="N705" t="s">
        <v>43</v>
      </c>
      <c r="O705" t="s">
        <v>1949</v>
      </c>
      <c r="R705" t="s">
        <v>4336</v>
      </c>
    </row>
    <row r="706" spans="1:18" x14ac:dyDescent="0.25">
      <c r="A706" t="s">
        <v>1124</v>
      </c>
      <c r="B706" t="s">
        <v>1586</v>
      </c>
      <c r="C706" t="s">
        <v>2541</v>
      </c>
      <c r="D706" t="s">
        <v>4926</v>
      </c>
      <c r="E706" t="s">
        <v>2587</v>
      </c>
      <c r="F706" t="s">
        <v>2544</v>
      </c>
      <c r="G706" t="s">
        <v>4927</v>
      </c>
      <c r="H706" s="74">
        <v>32569</v>
      </c>
      <c r="I706" s="68" t="s">
        <v>2703</v>
      </c>
      <c r="J706" s="68" t="s">
        <v>4296</v>
      </c>
      <c r="K706" s="68" t="s">
        <v>2651</v>
      </c>
      <c r="L706" t="s">
        <v>1725</v>
      </c>
      <c r="M706" t="s">
        <v>2819</v>
      </c>
      <c r="N706" t="s">
        <v>1648</v>
      </c>
      <c r="O706" t="s">
        <v>1949</v>
      </c>
      <c r="R706" t="s">
        <v>4928</v>
      </c>
    </row>
    <row r="707" spans="1:18" x14ac:dyDescent="0.25">
      <c r="A707" t="s">
        <v>1124</v>
      </c>
      <c r="B707" t="s">
        <v>1586</v>
      </c>
      <c r="C707" t="s">
        <v>2541</v>
      </c>
      <c r="D707" t="s">
        <v>4929</v>
      </c>
      <c r="E707" t="s">
        <v>2776</v>
      </c>
      <c r="F707" t="s">
        <v>2636</v>
      </c>
      <c r="G707" t="s">
        <v>4930</v>
      </c>
      <c r="H707" s="74">
        <v>33245</v>
      </c>
      <c r="I707" s="68" t="s">
        <v>2970</v>
      </c>
      <c r="J707" s="68" t="s">
        <v>4931</v>
      </c>
      <c r="K707" s="68" t="s">
        <v>2703</v>
      </c>
      <c r="L707" t="s">
        <v>1658</v>
      </c>
      <c r="M707" t="s">
        <v>2575</v>
      </c>
      <c r="N707" t="s">
        <v>1648</v>
      </c>
      <c r="O707" t="s">
        <v>1949</v>
      </c>
      <c r="R707" t="s">
        <v>4932</v>
      </c>
    </row>
    <row r="708" spans="1:18" x14ac:dyDescent="0.25">
      <c r="A708" t="s">
        <v>1211</v>
      </c>
      <c r="B708" t="s">
        <v>1599</v>
      </c>
      <c r="C708" t="s">
        <v>3330</v>
      </c>
      <c r="D708" t="s">
        <v>4699</v>
      </c>
      <c r="E708" t="s">
        <v>2579</v>
      </c>
      <c r="F708" t="s">
        <v>2544</v>
      </c>
      <c r="G708" t="s">
        <v>4700</v>
      </c>
      <c r="H708" s="74">
        <v>32379</v>
      </c>
      <c r="I708" s="68" t="s">
        <v>2568</v>
      </c>
      <c r="J708" s="68" t="s">
        <v>4701</v>
      </c>
      <c r="K708" s="68" t="s">
        <v>2566</v>
      </c>
      <c r="L708" t="s">
        <v>1921</v>
      </c>
      <c r="M708" t="s">
        <v>4702</v>
      </c>
      <c r="N708" t="s">
        <v>1647</v>
      </c>
      <c r="O708" t="s">
        <v>1949</v>
      </c>
      <c r="R708" t="s">
        <v>4703</v>
      </c>
    </row>
    <row r="709" spans="1:18" x14ac:dyDescent="0.25">
      <c r="A709" t="s">
        <v>1180</v>
      </c>
      <c r="B709" t="s">
        <v>1587</v>
      </c>
      <c r="C709" t="s">
        <v>3604</v>
      </c>
      <c r="D709" t="s">
        <v>4341</v>
      </c>
      <c r="E709" t="s">
        <v>2776</v>
      </c>
      <c r="F709" t="s">
        <v>2636</v>
      </c>
      <c r="G709" t="s">
        <v>4342</v>
      </c>
      <c r="H709" s="74">
        <v>33639</v>
      </c>
      <c r="I709" s="68" t="s">
        <v>2562</v>
      </c>
      <c r="J709" s="68" t="s">
        <v>4343</v>
      </c>
      <c r="K709" s="68" t="s">
        <v>3283</v>
      </c>
      <c r="L709" t="s">
        <v>1665</v>
      </c>
      <c r="M709" t="s">
        <v>2759</v>
      </c>
      <c r="N709" t="s">
        <v>43</v>
      </c>
      <c r="O709" t="s">
        <v>1949</v>
      </c>
      <c r="R709" t="s">
        <v>4344</v>
      </c>
    </row>
    <row r="710" spans="1:18" x14ac:dyDescent="0.25">
      <c r="A710" t="s">
        <v>1130</v>
      </c>
      <c r="B710" t="s">
        <v>1592</v>
      </c>
      <c r="C710" t="s">
        <v>2761</v>
      </c>
      <c r="D710" t="s">
        <v>5099</v>
      </c>
      <c r="E710" t="s">
        <v>2543</v>
      </c>
      <c r="F710" t="s">
        <v>2544</v>
      </c>
      <c r="G710" t="s">
        <v>5100</v>
      </c>
      <c r="H710" s="74">
        <v>32593</v>
      </c>
      <c r="I710" s="68" t="s">
        <v>2703</v>
      </c>
      <c r="J710" s="68" t="s">
        <v>4343</v>
      </c>
      <c r="K710" s="68" t="s">
        <v>2651</v>
      </c>
      <c r="L710" t="s">
        <v>1677</v>
      </c>
      <c r="M710" t="s">
        <v>3483</v>
      </c>
      <c r="N710" t="s">
        <v>1648</v>
      </c>
      <c r="O710" t="s">
        <v>1949</v>
      </c>
      <c r="R710" t="s">
        <v>5101</v>
      </c>
    </row>
    <row r="711" spans="1:18" x14ac:dyDescent="0.25">
      <c r="A711" t="s">
        <v>1201</v>
      </c>
      <c r="B711" t="s">
        <v>1598</v>
      </c>
      <c r="C711" t="s">
        <v>2932</v>
      </c>
      <c r="D711" t="s">
        <v>5220</v>
      </c>
      <c r="E711" t="s">
        <v>2555</v>
      </c>
      <c r="F711" t="s">
        <v>2544</v>
      </c>
      <c r="G711" t="s">
        <v>5221</v>
      </c>
      <c r="H711" s="74">
        <v>32929</v>
      </c>
      <c r="I711" s="68" t="s">
        <v>2831</v>
      </c>
      <c r="J711" s="68" t="s">
        <v>4343</v>
      </c>
      <c r="K711" s="68" t="s">
        <v>2657</v>
      </c>
      <c r="L711" t="s">
        <v>1689</v>
      </c>
      <c r="M711" t="s">
        <v>4063</v>
      </c>
      <c r="N711" t="s">
        <v>1648</v>
      </c>
      <c r="O711" t="s">
        <v>1949</v>
      </c>
      <c r="R711" t="s">
        <v>5222</v>
      </c>
    </row>
    <row r="712" spans="1:18" x14ac:dyDescent="0.25">
      <c r="A712" t="s">
        <v>1183</v>
      </c>
      <c r="B712" t="s">
        <v>1593</v>
      </c>
      <c r="C712" t="s">
        <v>2789</v>
      </c>
      <c r="D712" t="s">
        <v>2813</v>
      </c>
      <c r="E712" t="s">
        <v>2547</v>
      </c>
      <c r="F712" t="s">
        <v>2560</v>
      </c>
      <c r="G712" t="s">
        <v>2814</v>
      </c>
      <c r="H712" s="74">
        <v>31866</v>
      </c>
      <c r="I712" s="68" t="s">
        <v>2569</v>
      </c>
      <c r="J712" s="68" t="s">
        <v>2566</v>
      </c>
      <c r="K712" s="68" t="s">
        <v>2548</v>
      </c>
      <c r="L712" t="s">
        <v>1828</v>
      </c>
      <c r="M712" t="s">
        <v>2815</v>
      </c>
      <c r="N712" t="s">
        <v>1648</v>
      </c>
      <c r="O712" t="s">
        <v>1949</v>
      </c>
      <c r="R712" t="s">
        <v>2816</v>
      </c>
    </row>
    <row r="713" spans="1:18" x14ac:dyDescent="0.25">
      <c r="A713" t="s">
        <v>1183</v>
      </c>
      <c r="B713" t="s">
        <v>1593</v>
      </c>
      <c r="C713" t="s">
        <v>2789</v>
      </c>
      <c r="D713" t="s">
        <v>2825</v>
      </c>
      <c r="E713" t="s">
        <v>2583</v>
      </c>
      <c r="F713" t="s">
        <v>2544</v>
      </c>
      <c r="G713" t="s">
        <v>2826</v>
      </c>
      <c r="H713" s="74">
        <v>36353</v>
      </c>
      <c r="I713" s="68" t="s">
        <v>2627</v>
      </c>
      <c r="J713" s="68" t="s">
        <v>2566</v>
      </c>
      <c r="K713" s="68" t="s">
        <v>2548</v>
      </c>
      <c r="L713" t="s">
        <v>1693</v>
      </c>
      <c r="M713" t="s">
        <v>2827</v>
      </c>
      <c r="N713" t="s">
        <v>1648</v>
      </c>
      <c r="O713" t="s">
        <v>1949</v>
      </c>
      <c r="R713" t="s">
        <v>2828</v>
      </c>
    </row>
    <row r="714" spans="1:18" x14ac:dyDescent="0.25">
      <c r="A714" t="s">
        <v>1137</v>
      </c>
      <c r="B714" t="s">
        <v>1596</v>
      </c>
      <c r="C714" t="s">
        <v>2836</v>
      </c>
      <c r="D714" t="s">
        <v>2837</v>
      </c>
      <c r="E714" t="s">
        <v>2555</v>
      </c>
      <c r="F714" t="s">
        <v>2544</v>
      </c>
      <c r="G714" t="s">
        <v>2838</v>
      </c>
      <c r="H714" s="74">
        <v>35907</v>
      </c>
      <c r="I714" s="68" t="s">
        <v>2546</v>
      </c>
      <c r="J714" s="68" t="s">
        <v>2566</v>
      </c>
      <c r="K714" s="68" t="s">
        <v>2548</v>
      </c>
      <c r="L714" t="s">
        <v>1678</v>
      </c>
      <c r="M714" t="s">
        <v>2839</v>
      </c>
      <c r="N714" t="s">
        <v>1648</v>
      </c>
      <c r="O714" t="s">
        <v>1949</v>
      </c>
      <c r="R714" t="s">
        <v>2840</v>
      </c>
    </row>
    <row r="715" spans="1:18" x14ac:dyDescent="0.25">
      <c r="A715" t="s">
        <v>1244</v>
      </c>
      <c r="B715" t="s">
        <v>1597</v>
      </c>
      <c r="C715" t="s">
        <v>2876</v>
      </c>
      <c r="D715" t="s">
        <v>2891</v>
      </c>
      <c r="E715" t="s">
        <v>2601</v>
      </c>
      <c r="F715" t="s">
        <v>2544</v>
      </c>
      <c r="G715" t="s">
        <v>2892</v>
      </c>
      <c r="H715" s="74">
        <v>35994</v>
      </c>
      <c r="I715" s="68" t="s">
        <v>2546</v>
      </c>
      <c r="J715" s="68" t="s">
        <v>2566</v>
      </c>
      <c r="K715" s="68" t="s">
        <v>2548</v>
      </c>
      <c r="L715" t="s">
        <v>1829</v>
      </c>
      <c r="M715" t="s">
        <v>2893</v>
      </c>
      <c r="N715" t="s">
        <v>1648</v>
      </c>
      <c r="O715" t="s">
        <v>1949</v>
      </c>
      <c r="R715" t="s">
        <v>2894</v>
      </c>
    </row>
    <row r="716" spans="1:18" x14ac:dyDescent="0.25">
      <c r="A716" t="s">
        <v>1186</v>
      </c>
      <c r="B716" t="s">
        <v>1613</v>
      </c>
      <c r="C716" t="s">
        <v>3156</v>
      </c>
      <c r="D716" t="s">
        <v>3187</v>
      </c>
      <c r="E716" t="s">
        <v>2543</v>
      </c>
      <c r="F716" t="s">
        <v>2544</v>
      </c>
      <c r="G716" t="s">
        <v>3188</v>
      </c>
      <c r="H716" s="74">
        <v>36226</v>
      </c>
      <c r="I716" s="68" t="s">
        <v>2627</v>
      </c>
      <c r="J716" s="68" t="s">
        <v>2566</v>
      </c>
      <c r="K716" s="68" t="s">
        <v>2548</v>
      </c>
      <c r="L716" t="s">
        <v>1653</v>
      </c>
      <c r="M716" t="s">
        <v>2874</v>
      </c>
      <c r="N716" t="s">
        <v>1648</v>
      </c>
      <c r="O716" t="s">
        <v>1949</v>
      </c>
      <c r="R716" t="s">
        <v>3189</v>
      </c>
    </row>
    <row r="717" spans="1:18" x14ac:dyDescent="0.25">
      <c r="A717" t="s">
        <v>1253</v>
      </c>
      <c r="B717" t="s">
        <v>1608</v>
      </c>
      <c r="C717" t="s">
        <v>3431</v>
      </c>
      <c r="D717" t="s">
        <v>3455</v>
      </c>
      <c r="E717" t="s">
        <v>2552</v>
      </c>
      <c r="F717" t="s">
        <v>2584</v>
      </c>
      <c r="G717" t="s">
        <v>3456</v>
      </c>
      <c r="H717" s="74">
        <v>36184</v>
      </c>
      <c r="I717" s="68" t="s">
        <v>2627</v>
      </c>
      <c r="J717" s="68" t="s">
        <v>2566</v>
      </c>
      <c r="K717" s="68" t="s">
        <v>2548</v>
      </c>
      <c r="L717" t="s">
        <v>1694</v>
      </c>
      <c r="M717" t="s">
        <v>2694</v>
      </c>
      <c r="N717" t="s">
        <v>1647</v>
      </c>
      <c r="O717" t="s">
        <v>1949</v>
      </c>
      <c r="R717" t="s">
        <v>3457</v>
      </c>
    </row>
    <row r="718" spans="1:18" x14ac:dyDescent="0.25">
      <c r="A718" t="s">
        <v>1169</v>
      </c>
      <c r="B718" t="s">
        <v>1611</v>
      </c>
      <c r="C718" t="s">
        <v>3492</v>
      </c>
      <c r="D718" t="s">
        <v>3523</v>
      </c>
      <c r="E718" t="s">
        <v>2601</v>
      </c>
      <c r="F718" t="s">
        <v>2584</v>
      </c>
      <c r="G718" t="s">
        <v>3524</v>
      </c>
      <c r="H718" s="74">
        <v>35436</v>
      </c>
      <c r="I718" s="68" t="s">
        <v>2599</v>
      </c>
      <c r="J718" s="68" t="s">
        <v>2566</v>
      </c>
      <c r="K718" s="68" t="s">
        <v>2548</v>
      </c>
      <c r="L718" t="s">
        <v>1766</v>
      </c>
      <c r="M718" t="s">
        <v>3409</v>
      </c>
      <c r="N718" t="s">
        <v>1647</v>
      </c>
      <c r="O718" t="s">
        <v>1949</v>
      </c>
      <c r="R718" t="s">
        <v>3525</v>
      </c>
    </row>
    <row r="719" spans="1:18" x14ac:dyDescent="0.25">
      <c r="A719" t="s">
        <v>10</v>
      </c>
      <c r="B719" t="s">
        <v>1614</v>
      </c>
      <c r="C719" t="s">
        <v>3526</v>
      </c>
      <c r="D719" t="s">
        <v>3555</v>
      </c>
      <c r="E719" t="s">
        <v>2601</v>
      </c>
      <c r="F719" t="s">
        <v>2584</v>
      </c>
      <c r="G719" t="s">
        <v>3556</v>
      </c>
      <c r="H719" s="74">
        <v>35938</v>
      </c>
      <c r="I719" s="68" t="s">
        <v>2546</v>
      </c>
      <c r="J719" s="68" t="s">
        <v>2566</v>
      </c>
      <c r="K719" s="68" t="s">
        <v>2548</v>
      </c>
      <c r="L719" t="s">
        <v>1772</v>
      </c>
      <c r="M719" t="s">
        <v>2901</v>
      </c>
      <c r="N719" t="s">
        <v>1647</v>
      </c>
      <c r="O719" t="s">
        <v>1949</v>
      </c>
      <c r="R719" t="s">
        <v>3557</v>
      </c>
    </row>
    <row r="720" spans="1:18" x14ac:dyDescent="0.25">
      <c r="A720" t="s">
        <v>1135</v>
      </c>
      <c r="B720" t="s">
        <v>1595</v>
      </c>
      <c r="C720" t="s">
        <v>3694</v>
      </c>
      <c r="D720" t="s">
        <v>3716</v>
      </c>
      <c r="E720" t="s">
        <v>2651</v>
      </c>
      <c r="F720" t="s">
        <v>2544</v>
      </c>
      <c r="G720" t="s">
        <v>3717</v>
      </c>
      <c r="H720" s="74">
        <v>36111</v>
      </c>
      <c r="I720" s="68" t="s">
        <v>2546</v>
      </c>
      <c r="J720" s="68" t="s">
        <v>2566</v>
      </c>
      <c r="K720" s="68" t="s">
        <v>2548</v>
      </c>
      <c r="L720" t="s">
        <v>1653</v>
      </c>
      <c r="M720" t="s">
        <v>2874</v>
      </c>
      <c r="N720" t="s">
        <v>1617</v>
      </c>
      <c r="O720" t="s">
        <v>1950</v>
      </c>
      <c r="R720" t="s">
        <v>3718</v>
      </c>
    </row>
    <row r="721" spans="1:18" x14ac:dyDescent="0.25">
      <c r="A721" t="s">
        <v>1178</v>
      </c>
      <c r="B721" t="s">
        <v>1584</v>
      </c>
      <c r="C721" t="s">
        <v>3558</v>
      </c>
      <c r="D721" t="s">
        <v>3836</v>
      </c>
      <c r="E721" t="s">
        <v>2559</v>
      </c>
      <c r="F721" t="s">
        <v>2544</v>
      </c>
      <c r="G721" t="s">
        <v>3837</v>
      </c>
      <c r="H721" s="74">
        <v>35912</v>
      </c>
      <c r="I721" s="68" t="s">
        <v>2546</v>
      </c>
      <c r="J721" s="68" t="s">
        <v>2566</v>
      </c>
      <c r="K721" s="68" t="s">
        <v>2547</v>
      </c>
      <c r="L721" t="s">
        <v>1666</v>
      </c>
      <c r="M721" t="s">
        <v>3434</v>
      </c>
      <c r="N721" t="s">
        <v>1646</v>
      </c>
      <c r="O721" t="s">
        <v>1950</v>
      </c>
      <c r="R721" t="s">
        <v>3838</v>
      </c>
    </row>
    <row r="722" spans="1:18" x14ac:dyDescent="0.25">
      <c r="A722" t="s">
        <v>1294</v>
      </c>
      <c r="B722" t="s">
        <v>1590</v>
      </c>
      <c r="C722" t="s">
        <v>2717</v>
      </c>
      <c r="D722" t="s">
        <v>3911</v>
      </c>
      <c r="E722" t="s">
        <v>2555</v>
      </c>
      <c r="F722" t="s">
        <v>2544</v>
      </c>
      <c r="G722" t="s">
        <v>3912</v>
      </c>
      <c r="H722" s="74">
        <v>34856</v>
      </c>
      <c r="I722" s="68" t="s">
        <v>2653</v>
      </c>
      <c r="J722" s="68" t="s">
        <v>2566</v>
      </c>
      <c r="K722" s="68" t="s">
        <v>2547</v>
      </c>
      <c r="L722" t="s">
        <v>1890</v>
      </c>
      <c r="M722" t="s">
        <v>3913</v>
      </c>
      <c r="N722" t="s">
        <v>1648</v>
      </c>
      <c r="O722" t="s">
        <v>1949</v>
      </c>
      <c r="R722" t="s">
        <v>3914</v>
      </c>
    </row>
    <row r="723" spans="1:18" x14ac:dyDescent="0.25">
      <c r="A723" t="s">
        <v>1127</v>
      </c>
      <c r="B723" t="s">
        <v>1591</v>
      </c>
      <c r="C723" t="s">
        <v>3633</v>
      </c>
      <c r="D723" t="s">
        <v>3922</v>
      </c>
      <c r="E723" t="s">
        <v>2670</v>
      </c>
      <c r="F723" t="s">
        <v>2544</v>
      </c>
      <c r="G723" t="s">
        <v>3923</v>
      </c>
      <c r="H723" s="74">
        <v>37279</v>
      </c>
      <c r="I723" s="68" t="s">
        <v>2670</v>
      </c>
      <c r="J723" s="68" t="s">
        <v>2566</v>
      </c>
      <c r="K723" s="68" t="s">
        <v>2547</v>
      </c>
      <c r="L723" t="s">
        <v>1678</v>
      </c>
      <c r="M723" t="s">
        <v>2839</v>
      </c>
      <c r="N723" t="s">
        <v>1627</v>
      </c>
      <c r="O723" t="s">
        <v>1950</v>
      </c>
      <c r="R723" t="s">
        <v>3924</v>
      </c>
    </row>
    <row r="724" spans="1:18" x14ac:dyDescent="0.25">
      <c r="A724" t="s">
        <v>1178</v>
      </c>
      <c r="B724" t="s">
        <v>1584</v>
      </c>
      <c r="C724" t="s">
        <v>3558</v>
      </c>
      <c r="D724" t="s">
        <v>4278</v>
      </c>
      <c r="E724" t="s">
        <v>2646</v>
      </c>
      <c r="F724" t="s">
        <v>2636</v>
      </c>
      <c r="G724" t="s">
        <v>4279</v>
      </c>
      <c r="H724" s="74">
        <v>36556</v>
      </c>
      <c r="I724" s="68" t="s">
        <v>2579</v>
      </c>
      <c r="J724" s="68" t="s">
        <v>2566</v>
      </c>
      <c r="K724" s="68" t="s">
        <v>2555</v>
      </c>
      <c r="L724" t="s">
        <v>1655</v>
      </c>
      <c r="M724" t="s">
        <v>3607</v>
      </c>
      <c r="N724" t="s">
        <v>1646</v>
      </c>
      <c r="O724" t="s">
        <v>1950</v>
      </c>
      <c r="R724" t="s">
        <v>4280</v>
      </c>
    </row>
    <row r="725" spans="1:18" x14ac:dyDescent="0.25">
      <c r="A725" t="s">
        <v>1238</v>
      </c>
      <c r="B725" t="s">
        <v>1602</v>
      </c>
      <c r="C725" t="s">
        <v>3732</v>
      </c>
      <c r="D725" t="s">
        <v>4472</v>
      </c>
      <c r="E725" t="s">
        <v>2601</v>
      </c>
      <c r="F725" t="s">
        <v>2584</v>
      </c>
      <c r="G725" t="s">
        <v>4473</v>
      </c>
      <c r="H725" s="74">
        <v>36574</v>
      </c>
      <c r="I725" s="68" t="s">
        <v>2579</v>
      </c>
      <c r="J725" s="68" t="s">
        <v>2566</v>
      </c>
      <c r="K725" s="68" t="s">
        <v>2587</v>
      </c>
      <c r="L725" t="s">
        <v>1936</v>
      </c>
      <c r="M725" t="s">
        <v>4474</v>
      </c>
      <c r="N725" t="s">
        <v>1628</v>
      </c>
      <c r="O725" t="s">
        <v>1950</v>
      </c>
      <c r="R725" t="s">
        <v>4475</v>
      </c>
    </row>
    <row r="726" spans="1:18" x14ac:dyDescent="0.25">
      <c r="A726" t="s">
        <v>1238</v>
      </c>
      <c r="B726" t="s">
        <v>1602</v>
      </c>
      <c r="C726" t="s">
        <v>3732</v>
      </c>
      <c r="D726" t="s">
        <v>4483</v>
      </c>
      <c r="E726" t="s">
        <v>2583</v>
      </c>
      <c r="F726" t="s">
        <v>2544</v>
      </c>
      <c r="G726" t="s">
        <v>4484</v>
      </c>
      <c r="H726" s="74">
        <v>33663</v>
      </c>
      <c r="I726" s="68" t="s">
        <v>2562</v>
      </c>
      <c r="J726" s="68" t="s">
        <v>2566</v>
      </c>
      <c r="K726" s="68" t="s">
        <v>2587</v>
      </c>
      <c r="L726" t="s">
        <v>1808</v>
      </c>
      <c r="M726" t="s">
        <v>4485</v>
      </c>
      <c r="N726" t="s">
        <v>1628</v>
      </c>
      <c r="O726" t="s">
        <v>1950</v>
      </c>
      <c r="R726" t="s">
        <v>4486</v>
      </c>
    </row>
    <row r="727" spans="1:18" x14ac:dyDescent="0.25">
      <c r="A727" t="s">
        <v>1167</v>
      </c>
      <c r="B727" t="s">
        <v>1610</v>
      </c>
      <c r="C727" t="s">
        <v>3301</v>
      </c>
      <c r="D727" t="s">
        <v>4634</v>
      </c>
      <c r="E727" t="s">
        <v>2554</v>
      </c>
      <c r="F727" t="s">
        <v>2584</v>
      </c>
      <c r="G727" t="s">
        <v>4635</v>
      </c>
      <c r="H727" s="74">
        <v>35432</v>
      </c>
      <c r="I727" s="68" t="s">
        <v>2599</v>
      </c>
      <c r="J727" s="68" t="s">
        <v>2566</v>
      </c>
      <c r="K727" s="68" t="s">
        <v>2555</v>
      </c>
      <c r="L727" t="s">
        <v>1665</v>
      </c>
      <c r="M727" t="s">
        <v>2759</v>
      </c>
      <c r="N727" t="s">
        <v>1647</v>
      </c>
      <c r="O727" t="s">
        <v>1949</v>
      </c>
      <c r="R727" t="s">
        <v>4636</v>
      </c>
    </row>
    <row r="728" spans="1:18" x14ac:dyDescent="0.25">
      <c r="A728" t="s">
        <v>1294</v>
      </c>
      <c r="B728" t="s">
        <v>1590</v>
      </c>
      <c r="C728" t="s">
        <v>2717</v>
      </c>
      <c r="D728" t="s">
        <v>5047</v>
      </c>
      <c r="E728" t="s">
        <v>2566</v>
      </c>
      <c r="F728" t="s">
        <v>2636</v>
      </c>
      <c r="G728" t="s">
        <v>5048</v>
      </c>
      <c r="H728" s="74">
        <v>33781</v>
      </c>
      <c r="I728" s="68" t="s">
        <v>2562</v>
      </c>
      <c r="J728" s="68" t="s">
        <v>5049</v>
      </c>
      <c r="K728" s="68" t="s">
        <v>2599</v>
      </c>
      <c r="L728" t="s">
        <v>1738</v>
      </c>
      <c r="M728" t="s">
        <v>3028</v>
      </c>
      <c r="N728" t="s">
        <v>1648</v>
      </c>
      <c r="O728" t="s">
        <v>1949</v>
      </c>
      <c r="R728" t="s">
        <v>5050</v>
      </c>
    </row>
    <row r="729" spans="1:18" x14ac:dyDescent="0.25">
      <c r="A729" t="s">
        <v>1137</v>
      </c>
      <c r="B729" t="s">
        <v>1596</v>
      </c>
      <c r="C729" t="s">
        <v>2836</v>
      </c>
      <c r="D729" t="s">
        <v>5147</v>
      </c>
      <c r="E729" t="s">
        <v>2559</v>
      </c>
      <c r="F729" t="s">
        <v>2584</v>
      </c>
      <c r="G729" t="s">
        <v>5148</v>
      </c>
      <c r="H729" s="74">
        <v>32764</v>
      </c>
      <c r="I729" s="68" t="s">
        <v>2703</v>
      </c>
      <c r="J729" s="68" t="s">
        <v>5149</v>
      </c>
      <c r="K729" s="68" t="s">
        <v>3952</v>
      </c>
      <c r="L729" t="s">
        <v>1654</v>
      </c>
      <c r="M729" t="s">
        <v>2844</v>
      </c>
      <c r="N729" t="s">
        <v>1648</v>
      </c>
      <c r="O729" t="s">
        <v>1949</v>
      </c>
      <c r="R729" t="s">
        <v>5150</v>
      </c>
    </row>
    <row r="730" spans="1:18" x14ac:dyDescent="0.25">
      <c r="A730" t="s">
        <v>1130</v>
      </c>
      <c r="B730" t="s">
        <v>1592</v>
      </c>
      <c r="C730" t="s">
        <v>2761</v>
      </c>
      <c r="D730" t="s">
        <v>5075</v>
      </c>
      <c r="E730" t="s">
        <v>2776</v>
      </c>
      <c r="F730" t="s">
        <v>2584</v>
      </c>
      <c r="G730" t="s">
        <v>5076</v>
      </c>
      <c r="H730" s="74">
        <v>33648</v>
      </c>
      <c r="I730" s="68" t="s">
        <v>2562</v>
      </c>
      <c r="J730" s="68" t="s">
        <v>4570</v>
      </c>
      <c r="K730" s="68" t="s">
        <v>3333</v>
      </c>
      <c r="L730" t="s">
        <v>1657</v>
      </c>
      <c r="M730" t="s">
        <v>3204</v>
      </c>
      <c r="N730" t="s">
        <v>1648</v>
      </c>
      <c r="O730" t="s">
        <v>1949</v>
      </c>
      <c r="R730" t="s">
        <v>5077</v>
      </c>
    </row>
    <row r="731" spans="1:18" x14ac:dyDescent="0.25">
      <c r="A731" t="s">
        <v>1127</v>
      </c>
      <c r="B731" t="s">
        <v>1591</v>
      </c>
      <c r="C731" t="s">
        <v>3633</v>
      </c>
      <c r="D731" t="s">
        <v>4345</v>
      </c>
      <c r="E731" t="s">
        <v>2543</v>
      </c>
      <c r="F731" t="s">
        <v>2636</v>
      </c>
      <c r="G731" t="s">
        <v>4346</v>
      </c>
      <c r="H731" s="74">
        <v>32541</v>
      </c>
      <c r="I731" s="68" t="s">
        <v>2703</v>
      </c>
      <c r="J731" s="68" t="s">
        <v>4347</v>
      </c>
      <c r="K731" s="68" t="s">
        <v>2831</v>
      </c>
      <c r="L731" t="s">
        <v>1666</v>
      </c>
      <c r="M731" t="s">
        <v>3434</v>
      </c>
      <c r="N731" t="s">
        <v>1627</v>
      </c>
      <c r="O731" t="s">
        <v>1950</v>
      </c>
      <c r="R731" t="s">
        <v>4348</v>
      </c>
    </row>
    <row r="732" spans="1:18" x14ac:dyDescent="0.25">
      <c r="A732" t="s">
        <v>1230</v>
      </c>
      <c r="B732" t="s">
        <v>1606</v>
      </c>
      <c r="C732" t="s">
        <v>3035</v>
      </c>
      <c r="D732" t="s">
        <v>5332</v>
      </c>
      <c r="E732" t="s">
        <v>2566</v>
      </c>
      <c r="F732" t="s">
        <v>2584</v>
      </c>
      <c r="G732" t="s">
        <v>5333</v>
      </c>
      <c r="H732" s="74">
        <v>33132</v>
      </c>
      <c r="I732" s="68" t="s">
        <v>2831</v>
      </c>
      <c r="J732" s="68" t="s">
        <v>5334</v>
      </c>
      <c r="K732" s="68" t="s">
        <v>2592</v>
      </c>
      <c r="L732" t="s">
        <v>1672</v>
      </c>
      <c r="M732" t="s">
        <v>3079</v>
      </c>
      <c r="N732" t="s">
        <v>1648</v>
      </c>
      <c r="O732" t="s">
        <v>1949</v>
      </c>
      <c r="R732" t="s">
        <v>5335</v>
      </c>
    </row>
    <row r="733" spans="1:18" x14ac:dyDescent="0.25">
      <c r="A733" t="s">
        <v>1186</v>
      </c>
      <c r="B733" t="s">
        <v>1613</v>
      </c>
      <c r="C733" t="s">
        <v>3156</v>
      </c>
      <c r="D733" t="s">
        <v>5438</v>
      </c>
      <c r="E733" t="s">
        <v>2579</v>
      </c>
      <c r="F733" t="s">
        <v>2544</v>
      </c>
      <c r="G733" t="s">
        <v>5439</v>
      </c>
      <c r="H733" s="74">
        <v>31874</v>
      </c>
      <c r="I733" s="68" t="s">
        <v>2569</v>
      </c>
      <c r="J733" s="68" t="s">
        <v>5334</v>
      </c>
      <c r="K733" s="68" t="s">
        <v>2543</v>
      </c>
      <c r="L733" t="s">
        <v>1881</v>
      </c>
      <c r="M733" t="s">
        <v>5440</v>
      </c>
      <c r="N733" t="s">
        <v>1648</v>
      </c>
      <c r="O733" t="s">
        <v>1949</v>
      </c>
      <c r="R733" t="s">
        <v>5441</v>
      </c>
    </row>
    <row r="734" spans="1:18" x14ac:dyDescent="0.25">
      <c r="A734" t="s">
        <v>1137</v>
      </c>
      <c r="B734" t="s">
        <v>1596</v>
      </c>
      <c r="C734" t="s">
        <v>2836</v>
      </c>
      <c r="D734" t="s">
        <v>2841</v>
      </c>
      <c r="E734" t="s">
        <v>2547</v>
      </c>
      <c r="F734" t="s">
        <v>2560</v>
      </c>
      <c r="G734" t="s">
        <v>2842</v>
      </c>
      <c r="H734" s="74">
        <v>31498</v>
      </c>
      <c r="I734" s="68" t="s">
        <v>2781</v>
      </c>
      <c r="J734" s="68" t="s">
        <v>2843</v>
      </c>
      <c r="K734" s="68" t="s">
        <v>2548</v>
      </c>
      <c r="L734" t="s">
        <v>1654</v>
      </c>
      <c r="M734" t="s">
        <v>2844</v>
      </c>
      <c r="N734" t="s">
        <v>1648</v>
      </c>
      <c r="O734" t="s">
        <v>1949</v>
      </c>
      <c r="R734" t="s">
        <v>2845</v>
      </c>
    </row>
    <row r="735" spans="1:18" x14ac:dyDescent="0.25">
      <c r="A735" t="s">
        <v>1135</v>
      </c>
      <c r="B735" t="s">
        <v>1595</v>
      </c>
      <c r="C735" t="s">
        <v>3694</v>
      </c>
      <c r="D735" t="s">
        <v>4435</v>
      </c>
      <c r="E735" t="s">
        <v>2646</v>
      </c>
      <c r="F735" t="s">
        <v>2636</v>
      </c>
      <c r="G735" t="s">
        <v>4436</v>
      </c>
      <c r="H735" s="74">
        <v>31685</v>
      </c>
      <c r="I735" s="68" t="s">
        <v>2781</v>
      </c>
      <c r="J735" s="68" t="s">
        <v>2843</v>
      </c>
      <c r="K735" s="68" t="s">
        <v>4200</v>
      </c>
      <c r="L735" t="s">
        <v>1677</v>
      </c>
      <c r="M735" t="s">
        <v>3483</v>
      </c>
      <c r="N735" t="s">
        <v>1617</v>
      </c>
      <c r="O735" t="s">
        <v>1950</v>
      </c>
      <c r="R735" t="s">
        <v>4437</v>
      </c>
    </row>
    <row r="736" spans="1:18" x14ac:dyDescent="0.25">
      <c r="A736" t="s">
        <v>1135</v>
      </c>
      <c r="B736" t="s">
        <v>1595</v>
      </c>
      <c r="C736" t="s">
        <v>3694</v>
      </c>
      <c r="D736" t="s">
        <v>4451</v>
      </c>
      <c r="E736" t="s">
        <v>2657</v>
      </c>
      <c r="F736" t="s">
        <v>2636</v>
      </c>
      <c r="G736" t="s">
        <v>4452</v>
      </c>
      <c r="H736" s="74">
        <v>33318</v>
      </c>
      <c r="I736" s="68" t="s">
        <v>2970</v>
      </c>
      <c r="J736" s="68" t="s">
        <v>4453</v>
      </c>
      <c r="K736" s="68" t="s">
        <v>2971</v>
      </c>
      <c r="L736" t="s">
        <v>1660</v>
      </c>
      <c r="M736" t="s">
        <v>3319</v>
      </c>
      <c r="N736" t="s">
        <v>1617</v>
      </c>
      <c r="O736" t="s">
        <v>1950</v>
      </c>
      <c r="R736" t="s">
        <v>4454</v>
      </c>
    </row>
    <row r="737" spans="1:18" x14ac:dyDescent="0.25">
      <c r="A737" t="s">
        <v>1244</v>
      </c>
      <c r="B737" t="s">
        <v>1597</v>
      </c>
      <c r="C737" t="s">
        <v>2876</v>
      </c>
      <c r="D737" t="s">
        <v>5185</v>
      </c>
      <c r="E737" t="s">
        <v>2776</v>
      </c>
      <c r="F737" t="s">
        <v>2636</v>
      </c>
      <c r="G737" t="s">
        <v>5186</v>
      </c>
      <c r="H737" s="74">
        <v>32859</v>
      </c>
      <c r="I737" s="68" t="s">
        <v>2831</v>
      </c>
      <c r="J737" s="68" t="s">
        <v>4453</v>
      </c>
      <c r="K737" s="68" t="s">
        <v>2627</v>
      </c>
      <c r="L737" t="s">
        <v>1656</v>
      </c>
      <c r="M737" t="s">
        <v>3042</v>
      </c>
      <c r="N737" t="s">
        <v>1648</v>
      </c>
      <c r="O737" t="s">
        <v>1949</v>
      </c>
      <c r="R737" t="s">
        <v>5187</v>
      </c>
    </row>
    <row r="738" spans="1:18" x14ac:dyDescent="0.25">
      <c r="A738" t="s">
        <v>1256</v>
      </c>
      <c r="B738" t="s">
        <v>1588</v>
      </c>
      <c r="C738" t="s">
        <v>2640</v>
      </c>
      <c r="D738" t="s">
        <v>2678</v>
      </c>
      <c r="E738" t="s">
        <v>2679</v>
      </c>
      <c r="F738" t="s">
        <v>2544</v>
      </c>
      <c r="G738" t="s">
        <v>2680</v>
      </c>
      <c r="H738" s="74">
        <v>35657</v>
      </c>
      <c r="I738" s="68" t="s">
        <v>2599</v>
      </c>
      <c r="J738" s="68" t="s">
        <v>2681</v>
      </c>
      <c r="K738" s="68" t="s">
        <v>2548</v>
      </c>
      <c r="L738" t="s">
        <v>1907</v>
      </c>
      <c r="M738" t="s">
        <v>2682</v>
      </c>
      <c r="N738" t="s">
        <v>1648</v>
      </c>
      <c r="O738" t="s">
        <v>1949</v>
      </c>
      <c r="R738" t="s">
        <v>2683</v>
      </c>
    </row>
    <row r="739" spans="1:18" x14ac:dyDescent="0.25">
      <c r="A739" t="s">
        <v>1183</v>
      </c>
      <c r="B739" t="s">
        <v>1593</v>
      </c>
      <c r="C739" t="s">
        <v>2789</v>
      </c>
      <c r="D739" t="s">
        <v>2833</v>
      </c>
      <c r="E739" t="s">
        <v>2651</v>
      </c>
      <c r="F739" t="s">
        <v>2584</v>
      </c>
      <c r="G739" t="s">
        <v>2834</v>
      </c>
      <c r="H739" s="74">
        <v>36231</v>
      </c>
      <c r="I739" s="68" t="s">
        <v>2627</v>
      </c>
      <c r="J739" s="68" t="s">
        <v>2681</v>
      </c>
      <c r="K739" s="68" t="s">
        <v>2548</v>
      </c>
      <c r="L739" t="s">
        <v>1693</v>
      </c>
      <c r="M739" t="s">
        <v>2827</v>
      </c>
      <c r="N739" t="s">
        <v>1648</v>
      </c>
      <c r="O739" t="s">
        <v>1949</v>
      </c>
      <c r="R739" t="s">
        <v>2835</v>
      </c>
    </row>
    <row r="740" spans="1:18" x14ac:dyDescent="0.25">
      <c r="A740" t="s">
        <v>1244</v>
      </c>
      <c r="B740" t="s">
        <v>1597</v>
      </c>
      <c r="C740" t="s">
        <v>2876</v>
      </c>
      <c r="D740" t="s">
        <v>2880</v>
      </c>
      <c r="E740" t="s">
        <v>2547</v>
      </c>
      <c r="F740" t="s">
        <v>2560</v>
      </c>
      <c r="G740" t="s">
        <v>2881</v>
      </c>
      <c r="H740" s="74">
        <v>35398</v>
      </c>
      <c r="I740" s="68" t="s">
        <v>2599</v>
      </c>
      <c r="J740" s="68" t="s">
        <v>2681</v>
      </c>
      <c r="K740" s="68" t="s">
        <v>2548</v>
      </c>
      <c r="L740" t="s">
        <v>1930</v>
      </c>
      <c r="M740" t="s">
        <v>2882</v>
      </c>
      <c r="N740" t="s">
        <v>1648</v>
      </c>
      <c r="O740" t="s">
        <v>1949</v>
      </c>
      <c r="R740" t="s">
        <v>2883</v>
      </c>
    </row>
    <row r="741" spans="1:18" x14ac:dyDescent="0.25">
      <c r="A741" t="s">
        <v>1244</v>
      </c>
      <c r="B741" t="s">
        <v>1597</v>
      </c>
      <c r="C741" t="s">
        <v>2876</v>
      </c>
      <c r="D741" t="s">
        <v>2899</v>
      </c>
      <c r="E741" t="s">
        <v>2610</v>
      </c>
      <c r="F741" t="s">
        <v>2544</v>
      </c>
      <c r="G741" t="s">
        <v>2900</v>
      </c>
      <c r="H741" s="74">
        <v>34971</v>
      </c>
      <c r="I741" s="68" t="s">
        <v>2653</v>
      </c>
      <c r="J741" s="68" t="s">
        <v>2681</v>
      </c>
      <c r="K741" s="68" t="s">
        <v>2548</v>
      </c>
      <c r="L741" t="s">
        <v>1772</v>
      </c>
      <c r="M741" t="s">
        <v>2901</v>
      </c>
      <c r="N741" t="s">
        <v>1648</v>
      </c>
      <c r="O741" t="s">
        <v>1949</v>
      </c>
      <c r="R741" t="s">
        <v>2902</v>
      </c>
    </row>
    <row r="742" spans="1:18" x14ac:dyDescent="0.25">
      <c r="A742" t="s">
        <v>1201</v>
      </c>
      <c r="B742" t="s">
        <v>1598</v>
      </c>
      <c r="C742" t="s">
        <v>2932</v>
      </c>
      <c r="D742" t="s">
        <v>2941</v>
      </c>
      <c r="E742" t="s">
        <v>2579</v>
      </c>
      <c r="F742" t="s">
        <v>2560</v>
      </c>
      <c r="G742" t="s">
        <v>2942</v>
      </c>
      <c r="H742" s="74">
        <v>34085</v>
      </c>
      <c r="I742" s="68" t="s">
        <v>2633</v>
      </c>
      <c r="J742" s="68" t="s">
        <v>2681</v>
      </c>
      <c r="K742" s="68" t="s">
        <v>2548</v>
      </c>
      <c r="L742" t="s">
        <v>1909</v>
      </c>
      <c r="M742" t="s">
        <v>2943</v>
      </c>
      <c r="N742" t="s">
        <v>1648</v>
      </c>
      <c r="O742" t="s">
        <v>1949</v>
      </c>
      <c r="R742" t="s">
        <v>2944</v>
      </c>
    </row>
    <row r="743" spans="1:18" x14ac:dyDescent="0.25">
      <c r="A743" t="s">
        <v>1211</v>
      </c>
      <c r="B743" t="s">
        <v>1599</v>
      </c>
      <c r="C743" t="s">
        <v>3330</v>
      </c>
      <c r="D743" t="s">
        <v>3345</v>
      </c>
      <c r="E743" t="s">
        <v>2627</v>
      </c>
      <c r="F743" t="s">
        <v>2560</v>
      </c>
      <c r="G743" t="s">
        <v>3346</v>
      </c>
      <c r="H743" s="74">
        <v>33637</v>
      </c>
      <c r="I743" s="68" t="s">
        <v>2562</v>
      </c>
      <c r="J743" s="68" t="s">
        <v>2681</v>
      </c>
      <c r="K743" s="68" t="s">
        <v>2548</v>
      </c>
      <c r="L743" t="s">
        <v>1927</v>
      </c>
      <c r="M743" t="s">
        <v>3347</v>
      </c>
      <c r="N743" t="s">
        <v>1647</v>
      </c>
      <c r="O743" t="s">
        <v>1949</v>
      </c>
      <c r="R743" t="s">
        <v>3348</v>
      </c>
    </row>
    <row r="744" spans="1:18" x14ac:dyDescent="0.25">
      <c r="A744" t="s">
        <v>1211</v>
      </c>
      <c r="B744" t="s">
        <v>1599</v>
      </c>
      <c r="C744" t="s">
        <v>3330</v>
      </c>
      <c r="D744" t="s">
        <v>3353</v>
      </c>
      <c r="E744" t="s">
        <v>2586</v>
      </c>
      <c r="F744" t="s">
        <v>2636</v>
      </c>
      <c r="G744" t="s">
        <v>3354</v>
      </c>
      <c r="H744" s="74">
        <v>36035</v>
      </c>
      <c r="I744" s="68" t="s">
        <v>2546</v>
      </c>
      <c r="J744" s="68" t="s">
        <v>2681</v>
      </c>
      <c r="K744" s="68" t="s">
        <v>2548</v>
      </c>
      <c r="L744" t="s">
        <v>1838</v>
      </c>
      <c r="M744" t="s">
        <v>3355</v>
      </c>
      <c r="N744" t="s">
        <v>1647</v>
      </c>
      <c r="O744" t="s">
        <v>1949</v>
      </c>
      <c r="R744" t="s">
        <v>3356</v>
      </c>
    </row>
    <row r="745" spans="1:18" x14ac:dyDescent="0.25">
      <c r="A745" t="s">
        <v>10</v>
      </c>
      <c r="B745" t="s">
        <v>1614</v>
      </c>
      <c r="C745" t="s">
        <v>3526</v>
      </c>
      <c r="D745" t="s">
        <v>3527</v>
      </c>
      <c r="E745" t="s">
        <v>2670</v>
      </c>
      <c r="F745" t="s">
        <v>2544</v>
      </c>
      <c r="G745" t="s">
        <v>3528</v>
      </c>
      <c r="H745" s="74">
        <v>35795</v>
      </c>
      <c r="I745" s="68" t="s">
        <v>2546</v>
      </c>
      <c r="J745" s="68" t="s">
        <v>2681</v>
      </c>
      <c r="K745" s="68" t="s">
        <v>2548</v>
      </c>
      <c r="L745" t="s">
        <v>1709</v>
      </c>
      <c r="M745" t="s">
        <v>3529</v>
      </c>
      <c r="N745" t="s">
        <v>1647</v>
      </c>
      <c r="O745" t="s">
        <v>1949</v>
      </c>
      <c r="R745" t="s">
        <v>3530</v>
      </c>
    </row>
    <row r="746" spans="1:18" x14ac:dyDescent="0.25">
      <c r="A746" t="s">
        <v>1158</v>
      </c>
      <c r="B746" t="s">
        <v>1605</v>
      </c>
      <c r="C746" t="s">
        <v>3809</v>
      </c>
      <c r="D746" t="s">
        <v>3810</v>
      </c>
      <c r="E746" t="s">
        <v>2610</v>
      </c>
      <c r="F746" t="s">
        <v>2636</v>
      </c>
      <c r="G746" t="s">
        <v>3811</v>
      </c>
      <c r="H746" s="74">
        <v>36321</v>
      </c>
      <c r="I746" s="68" t="s">
        <v>2627</v>
      </c>
      <c r="J746" s="68" t="s">
        <v>2681</v>
      </c>
      <c r="K746" s="68" t="s">
        <v>2548</v>
      </c>
      <c r="L746" t="s">
        <v>1677</v>
      </c>
      <c r="M746" t="s">
        <v>3483</v>
      </c>
      <c r="N746" t="s">
        <v>43</v>
      </c>
      <c r="O746" t="s">
        <v>1949</v>
      </c>
      <c r="R746" t="s">
        <v>3812</v>
      </c>
    </row>
    <row r="747" spans="1:18" x14ac:dyDescent="0.25">
      <c r="A747" t="s">
        <v>1188</v>
      </c>
      <c r="B747" t="s">
        <v>1585</v>
      </c>
      <c r="C747" t="s">
        <v>3262</v>
      </c>
      <c r="D747" t="s">
        <v>3842</v>
      </c>
      <c r="E747" t="s">
        <v>2651</v>
      </c>
      <c r="F747" t="s">
        <v>2544</v>
      </c>
      <c r="G747" t="s">
        <v>3843</v>
      </c>
      <c r="H747" s="74">
        <v>35197</v>
      </c>
      <c r="I747" s="68" t="s">
        <v>2552</v>
      </c>
      <c r="J747" s="68" t="s">
        <v>2681</v>
      </c>
      <c r="K747" s="68" t="s">
        <v>2547</v>
      </c>
      <c r="L747" t="s">
        <v>1832</v>
      </c>
      <c r="M747" t="s">
        <v>3844</v>
      </c>
      <c r="N747" t="s">
        <v>1647</v>
      </c>
      <c r="O747" t="s">
        <v>1949</v>
      </c>
      <c r="R747" t="s">
        <v>3845</v>
      </c>
    </row>
    <row r="748" spans="1:18" x14ac:dyDescent="0.25">
      <c r="A748" t="s">
        <v>1188</v>
      </c>
      <c r="B748" t="s">
        <v>1585</v>
      </c>
      <c r="C748" t="s">
        <v>3262</v>
      </c>
      <c r="D748" t="s">
        <v>3857</v>
      </c>
      <c r="E748" t="s">
        <v>2601</v>
      </c>
      <c r="F748" t="s">
        <v>2584</v>
      </c>
      <c r="G748" t="s">
        <v>3858</v>
      </c>
      <c r="H748" s="74">
        <v>36101</v>
      </c>
      <c r="I748" s="68" t="s">
        <v>2546</v>
      </c>
      <c r="J748" s="68" t="s">
        <v>2681</v>
      </c>
      <c r="K748" s="68" t="s">
        <v>2547</v>
      </c>
      <c r="L748" t="s">
        <v>1889</v>
      </c>
      <c r="M748" t="s">
        <v>3859</v>
      </c>
      <c r="N748" t="s">
        <v>1647</v>
      </c>
      <c r="O748" t="s">
        <v>1949</v>
      </c>
      <c r="R748" t="s">
        <v>3860</v>
      </c>
    </row>
    <row r="749" spans="1:18" x14ac:dyDescent="0.25">
      <c r="A749" t="s">
        <v>1238</v>
      </c>
      <c r="B749" t="s">
        <v>1602</v>
      </c>
      <c r="C749" t="s">
        <v>3732</v>
      </c>
      <c r="D749" t="s">
        <v>4116</v>
      </c>
      <c r="E749" t="s">
        <v>2559</v>
      </c>
      <c r="F749" t="s">
        <v>2584</v>
      </c>
      <c r="G749" t="s">
        <v>4117</v>
      </c>
      <c r="H749" s="74">
        <v>35733</v>
      </c>
      <c r="I749" s="68" t="s">
        <v>2599</v>
      </c>
      <c r="J749" s="68" t="s">
        <v>2681</v>
      </c>
      <c r="K749" s="68" t="s">
        <v>2547</v>
      </c>
      <c r="L749" t="s">
        <v>1797</v>
      </c>
      <c r="M749" t="s">
        <v>3471</v>
      </c>
      <c r="N749" t="s">
        <v>1628</v>
      </c>
      <c r="O749" t="s">
        <v>1950</v>
      </c>
      <c r="R749" t="s">
        <v>4118</v>
      </c>
    </row>
    <row r="750" spans="1:18" x14ac:dyDescent="0.25">
      <c r="A750" t="s">
        <v>1180</v>
      </c>
      <c r="B750" t="s">
        <v>1587</v>
      </c>
      <c r="C750" t="s">
        <v>3604</v>
      </c>
      <c r="D750" t="s">
        <v>4313</v>
      </c>
      <c r="E750" t="s">
        <v>2681</v>
      </c>
      <c r="F750" t="s">
        <v>2636</v>
      </c>
      <c r="G750" t="s">
        <v>4314</v>
      </c>
      <c r="H750" s="74">
        <v>35413</v>
      </c>
      <c r="I750" s="68" t="s">
        <v>2599</v>
      </c>
      <c r="J750" s="68" t="s">
        <v>2681</v>
      </c>
      <c r="K750" s="68" t="s">
        <v>2651</v>
      </c>
      <c r="L750" t="s">
        <v>1653</v>
      </c>
      <c r="M750" t="s">
        <v>2874</v>
      </c>
      <c r="N750" t="s">
        <v>43</v>
      </c>
      <c r="O750" t="s">
        <v>1949</v>
      </c>
      <c r="R750" t="s">
        <v>4315</v>
      </c>
    </row>
    <row r="751" spans="1:18" x14ac:dyDescent="0.25">
      <c r="A751" t="s">
        <v>1180</v>
      </c>
      <c r="B751" t="s">
        <v>1587</v>
      </c>
      <c r="C751" t="s">
        <v>3604</v>
      </c>
      <c r="D751" t="s">
        <v>4316</v>
      </c>
      <c r="E751" t="s">
        <v>2554</v>
      </c>
      <c r="F751" t="s">
        <v>2636</v>
      </c>
      <c r="G751" t="s">
        <v>4317</v>
      </c>
      <c r="H751" s="74">
        <v>36580</v>
      </c>
      <c r="I751" s="68" t="s">
        <v>2579</v>
      </c>
      <c r="J751" s="68" t="s">
        <v>2681</v>
      </c>
      <c r="K751" s="68" t="s">
        <v>2587</v>
      </c>
      <c r="L751" t="s">
        <v>1657</v>
      </c>
      <c r="M751" t="s">
        <v>3204</v>
      </c>
      <c r="N751" t="s">
        <v>43</v>
      </c>
      <c r="O751" t="s">
        <v>1949</v>
      </c>
      <c r="R751" t="s">
        <v>4318</v>
      </c>
    </row>
    <row r="752" spans="1:18" x14ac:dyDescent="0.25">
      <c r="A752" t="s">
        <v>1127</v>
      </c>
      <c r="B752" t="s">
        <v>1591</v>
      </c>
      <c r="C752" t="s">
        <v>3633</v>
      </c>
      <c r="D752" t="s">
        <v>4357</v>
      </c>
      <c r="E752" t="s">
        <v>2657</v>
      </c>
      <c r="F752" t="s">
        <v>2584</v>
      </c>
      <c r="G752" t="s">
        <v>4358</v>
      </c>
      <c r="H752" s="74">
        <v>35812</v>
      </c>
      <c r="I752" s="68" t="s">
        <v>2546</v>
      </c>
      <c r="J752" s="68" t="s">
        <v>2681</v>
      </c>
      <c r="K752" s="68" t="s">
        <v>2555</v>
      </c>
      <c r="L752" t="s">
        <v>1671</v>
      </c>
      <c r="M752" t="s">
        <v>2580</v>
      </c>
      <c r="N752" t="s">
        <v>1627</v>
      </c>
      <c r="O752" t="s">
        <v>1950</v>
      </c>
      <c r="R752" t="s">
        <v>4359</v>
      </c>
    </row>
    <row r="753" spans="1:18" x14ac:dyDescent="0.25">
      <c r="A753" t="s">
        <v>1124</v>
      </c>
      <c r="B753" t="s">
        <v>1586</v>
      </c>
      <c r="C753" t="s">
        <v>2541</v>
      </c>
      <c r="D753" t="s">
        <v>4913</v>
      </c>
      <c r="E753" t="s">
        <v>2599</v>
      </c>
      <c r="F753" t="s">
        <v>2636</v>
      </c>
      <c r="G753" t="s">
        <v>4914</v>
      </c>
      <c r="H753" s="74">
        <v>37403</v>
      </c>
      <c r="I753" s="68" t="s">
        <v>2670</v>
      </c>
      <c r="J753" s="68" t="s">
        <v>2681</v>
      </c>
      <c r="K753" s="68" t="s">
        <v>2587</v>
      </c>
      <c r="L753" t="s">
        <v>1671</v>
      </c>
      <c r="M753" t="s">
        <v>2580</v>
      </c>
      <c r="N753" t="s">
        <v>1648</v>
      </c>
      <c r="O753" t="s">
        <v>1949</v>
      </c>
      <c r="R753" t="s">
        <v>4915</v>
      </c>
    </row>
    <row r="754" spans="1:18" x14ac:dyDescent="0.25">
      <c r="A754" t="s">
        <v>1130</v>
      </c>
      <c r="B754" t="s">
        <v>1592</v>
      </c>
      <c r="C754" t="s">
        <v>2761</v>
      </c>
      <c r="D754" t="s">
        <v>5093</v>
      </c>
      <c r="E754" t="s">
        <v>2546</v>
      </c>
      <c r="F754" t="s">
        <v>2584</v>
      </c>
      <c r="G754" t="s">
        <v>5094</v>
      </c>
      <c r="H754" s="74">
        <v>35205</v>
      </c>
      <c r="I754" s="68" t="s">
        <v>2552</v>
      </c>
      <c r="J754" s="68" t="s">
        <v>2681</v>
      </c>
      <c r="K754" s="68" t="s">
        <v>2651</v>
      </c>
      <c r="L754" t="s">
        <v>1754</v>
      </c>
      <c r="M754" t="s">
        <v>4365</v>
      </c>
      <c r="N754" t="s">
        <v>1648</v>
      </c>
      <c r="O754" t="s">
        <v>1949</v>
      </c>
      <c r="R754" t="s">
        <v>5095</v>
      </c>
    </row>
    <row r="755" spans="1:18" x14ac:dyDescent="0.25">
      <c r="A755" t="s">
        <v>1172</v>
      </c>
      <c r="B755" t="s">
        <v>1615</v>
      </c>
      <c r="C755" t="s">
        <v>3206</v>
      </c>
      <c r="D755" t="s">
        <v>3254</v>
      </c>
      <c r="E755" t="s">
        <v>2587</v>
      </c>
      <c r="F755" t="s">
        <v>2544</v>
      </c>
      <c r="G755" t="s">
        <v>3255</v>
      </c>
      <c r="H755" s="74">
        <v>32710</v>
      </c>
      <c r="I755" s="68" t="s">
        <v>2703</v>
      </c>
      <c r="J755" s="68" t="s">
        <v>3256</v>
      </c>
      <c r="K755" s="68" t="s">
        <v>2548</v>
      </c>
      <c r="L755" t="s">
        <v>1812</v>
      </c>
      <c r="M755" t="s">
        <v>3257</v>
      </c>
      <c r="N755" t="s">
        <v>1648</v>
      </c>
      <c r="O755" t="s">
        <v>1949</v>
      </c>
      <c r="R755" t="s">
        <v>3258</v>
      </c>
    </row>
    <row r="756" spans="1:18" x14ac:dyDescent="0.25">
      <c r="A756" t="s">
        <v>1180</v>
      </c>
      <c r="B756" t="s">
        <v>1587</v>
      </c>
      <c r="C756" t="s">
        <v>3604</v>
      </c>
      <c r="D756" t="s">
        <v>4307</v>
      </c>
      <c r="E756" t="s">
        <v>2555</v>
      </c>
      <c r="F756" t="s">
        <v>2544</v>
      </c>
      <c r="G756" t="s">
        <v>4308</v>
      </c>
      <c r="H756" s="74">
        <v>30947</v>
      </c>
      <c r="I756" s="68" t="s">
        <v>3145</v>
      </c>
      <c r="J756" s="68" t="s">
        <v>3256</v>
      </c>
      <c r="K756" s="68" t="s">
        <v>2657</v>
      </c>
      <c r="L756" t="s">
        <v>1661</v>
      </c>
      <c r="M756" t="s">
        <v>3445</v>
      </c>
      <c r="N756" t="s">
        <v>43</v>
      </c>
      <c r="O756" t="s">
        <v>1949</v>
      </c>
      <c r="R756" t="s">
        <v>4309</v>
      </c>
    </row>
    <row r="757" spans="1:18" x14ac:dyDescent="0.25">
      <c r="A757" t="s">
        <v>1169</v>
      </c>
      <c r="B757" t="s">
        <v>1611</v>
      </c>
      <c r="C757" t="s">
        <v>3492</v>
      </c>
      <c r="D757" t="s">
        <v>4831</v>
      </c>
      <c r="E757" t="s">
        <v>2627</v>
      </c>
      <c r="F757" t="s">
        <v>2584</v>
      </c>
      <c r="G757" t="s">
        <v>4832</v>
      </c>
      <c r="H757" s="74">
        <v>33521</v>
      </c>
      <c r="I757" s="68" t="s">
        <v>2970</v>
      </c>
      <c r="J757" s="68" t="s">
        <v>3256</v>
      </c>
      <c r="K757" s="68" t="s">
        <v>2552</v>
      </c>
      <c r="L757" t="s">
        <v>1842</v>
      </c>
      <c r="M757" t="s">
        <v>4833</v>
      </c>
      <c r="N757" t="s">
        <v>1647</v>
      </c>
      <c r="O757" t="s">
        <v>1949</v>
      </c>
      <c r="R757" t="s">
        <v>4834</v>
      </c>
    </row>
    <row r="758" spans="1:18" x14ac:dyDescent="0.25">
      <c r="A758" t="s">
        <v>1172</v>
      </c>
      <c r="B758" t="s">
        <v>1615</v>
      </c>
      <c r="C758" t="s">
        <v>3206</v>
      </c>
      <c r="D758" t="s">
        <v>5493</v>
      </c>
      <c r="E758" t="s">
        <v>2681</v>
      </c>
      <c r="F758" t="s">
        <v>2636</v>
      </c>
      <c r="G758" t="s">
        <v>5494</v>
      </c>
      <c r="H758" s="74">
        <v>32705</v>
      </c>
      <c r="I758" s="68" t="s">
        <v>2703</v>
      </c>
      <c r="J758" s="68" t="s">
        <v>5495</v>
      </c>
      <c r="K758" s="68" t="s">
        <v>3008</v>
      </c>
      <c r="L758" t="s">
        <v>1693</v>
      </c>
      <c r="M758" t="s">
        <v>2827</v>
      </c>
      <c r="N758" t="s">
        <v>1648</v>
      </c>
      <c r="O758" t="s">
        <v>1949</v>
      </c>
      <c r="R758" t="s">
        <v>5496</v>
      </c>
    </row>
    <row r="759" spans="1:18" x14ac:dyDescent="0.25">
      <c r="A759" t="s">
        <v>1294</v>
      </c>
      <c r="B759" t="s">
        <v>1590</v>
      </c>
      <c r="C759" t="s">
        <v>2717</v>
      </c>
      <c r="D759" t="s">
        <v>2756</v>
      </c>
      <c r="E759" t="s">
        <v>2547</v>
      </c>
      <c r="F759" t="s">
        <v>2560</v>
      </c>
      <c r="G759" t="s">
        <v>2757</v>
      </c>
      <c r="H759" s="74">
        <v>31761</v>
      </c>
      <c r="I759" s="68" t="s">
        <v>2569</v>
      </c>
      <c r="J759" s="68" t="s">
        <v>2758</v>
      </c>
      <c r="K759" s="68" t="s">
        <v>2548</v>
      </c>
      <c r="L759" t="s">
        <v>1665</v>
      </c>
      <c r="M759" t="s">
        <v>2759</v>
      </c>
      <c r="N759" t="s">
        <v>1648</v>
      </c>
      <c r="O759" t="s">
        <v>1949</v>
      </c>
      <c r="R759" t="s">
        <v>2760</v>
      </c>
    </row>
    <row r="760" spans="1:18" x14ac:dyDescent="0.25">
      <c r="A760" t="s">
        <v>1169</v>
      </c>
      <c r="B760" t="s">
        <v>1611</v>
      </c>
      <c r="C760" t="s">
        <v>3492</v>
      </c>
      <c r="D760" t="s">
        <v>4857</v>
      </c>
      <c r="E760" t="s">
        <v>2776</v>
      </c>
      <c r="F760" t="s">
        <v>2584</v>
      </c>
      <c r="G760" t="s">
        <v>4858</v>
      </c>
      <c r="H760" s="74">
        <v>33874</v>
      </c>
      <c r="I760" s="68" t="s">
        <v>2562</v>
      </c>
      <c r="J760" s="68" t="s">
        <v>2758</v>
      </c>
      <c r="K760" s="68" t="s">
        <v>2566</v>
      </c>
      <c r="L760" t="s">
        <v>1667</v>
      </c>
      <c r="M760" t="s">
        <v>3550</v>
      </c>
      <c r="N760" t="s">
        <v>1647</v>
      </c>
      <c r="O760" t="s">
        <v>1949</v>
      </c>
      <c r="R760" t="s">
        <v>4859</v>
      </c>
    </row>
    <row r="761" spans="1:18" x14ac:dyDescent="0.25">
      <c r="A761" t="s">
        <v>1124</v>
      </c>
      <c r="B761" t="s">
        <v>1586</v>
      </c>
      <c r="C761" t="s">
        <v>2541</v>
      </c>
      <c r="D761" t="s">
        <v>4954</v>
      </c>
      <c r="E761" t="s">
        <v>2601</v>
      </c>
      <c r="F761" t="s">
        <v>2636</v>
      </c>
      <c r="G761" t="s">
        <v>4955</v>
      </c>
      <c r="H761" s="74">
        <v>31903</v>
      </c>
      <c r="I761" s="68" t="s">
        <v>2569</v>
      </c>
      <c r="J761" s="68" t="s">
        <v>2758</v>
      </c>
      <c r="K761" s="68" t="s">
        <v>2586</v>
      </c>
      <c r="L761" t="s">
        <v>1692</v>
      </c>
      <c r="M761" t="s">
        <v>2772</v>
      </c>
      <c r="N761" t="s">
        <v>1648</v>
      </c>
      <c r="O761" t="s">
        <v>1949</v>
      </c>
      <c r="R761" t="s">
        <v>4956</v>
      </c>
    </row>
    <row r="762" spans="1:18" x14ac:dyDescent="0.25">
      <c r="A762" t="s">
        <v>1230</v>
      </c>
      <c r="B762" t="s">
        <v>1606</v>
      </c>
      <c r="C762" t="s">
        <v>3035</v>
      </c>
      <c r="D762" t="s">
        <v>5343</v>
      </c>
      <c r="E762" t="s">
        <v>2592</v>
      </c>
      <c r="F762" t="s">
        <v>2584</v>
      </c>
      <c r="G762" t="s">
        <v>5344</v>
      </c>
      <c r="H762" s="74">
        <v>32874</v>
      </c>
      <c r="I762" s="68" t="s">
        <v>2831</v>
      </c>
      <c r="J762" s="68" t="s">
        <v>2758</v>
      </c>
      <c r="K762" s="68" t="s">
        <v>2681</v>
      </c>
      <c r="L762" t="s">
        <v>1760</v>
      </c>
      <c r="M762" t="s">
        <v>3074</v>
      </c>
      <c r="N762" t="s">
        <v>1648</v>
      </c>
      <c r="O762" t="s">
        <v>1949</v>
      </c>
      <c r="R762" t="s">
        <v>5345</v>
      </c>
    </row>
    <row r="763" spans="1:18" x14ac:dyDescent="0.25">
      <c r="A763" t="s">
        <v>1172</v>
      </c>
      <c r="B763" t="s">
        <v>1615</v>
      </c>
      <c r="C763" t="s">
        <v>3206</v>
      </c>
      <c r="D763" t="s">
        <v>3249</v>
      </c>
      <c r="E763" t="s">
        <v>2547</v>
      </c>
      <c r="F763" t="s">
        <v>2560</v>
      </c>
      <c r="G763" t="s">
        <v>3250</v>
      </c>
      <c r="H763" s="74">
        <v>31801</v>
      </c>
      <c r="I763" s="68" t="s">
        <v>2569</v>
      </c>
      <c r="J763" s="68" t="s">
        <v>3251</v>
      </c>
      <c r="K763" s="68" t="s">
        <v>2548</v>
      </c>
      <c r="L763" t="s">
        <v>1698</v>
      </c>
      <c r="M763" t="s">
        <v>3252</v>
      </c>
      <c r="N763" t="s">
        <v>1648</v>
      </c>
      <c r="O763" t="s">
        <v>1949</v>
      </c>
      <c r="R763" t="s">
        <v>3253</v>
      </c>
    </row>
    <row r="764" spans="1:18" x14ac:dyDescent="0.25">
      <c r="A764" t="s">
        <v>1158</v>
      </c>
      <c r="B764" t="s">
        <v>1605</v>
      </c>
      <c r="C764" t="s">
        <v>3809</v>
      </c>
      <c r="D764" t="s">
        <v>3817</v>
      </c>
      <c r="E764" t="s">
        <v>2547</v>
      </c>
      <c r="F764" t="s">
        <v>2560</v>
      </c>
      <c r="G764" t="s">
        <v>3818</v>
      </c>
      <c r="H764" s="74">
        <v>32188</v>
      </c>
      <c r="I764" s="68" t="s">
        <v>2568</v>
      </c>
      <c r="J764" s="68" t="s">
        <v>3819</v>
      </c>
      <c r="K764" s="68" t="s">
        <v>2548</v>
      </c>
      <c r="L764" t="s">
        <v>1718</v>
      </c>
      <c r="M764" t="s">
        <v>3167</v>
      </c>
      <c r="N764" t="s">
        <v>43</v>
      </c>
      <c r="O764" t="s">
        <v>1949</v>
      </c>
      <c r="R764" t="s">
        <v>3820</v>
      </c>
    </row>
    <row r="765" spans="1:18" x14ac:dyDescent="0.25">
      <c r="A765" t="s">
        <v>1230</v>
      </c>
      <c r="B765" t="s">
        <v>1606</v>
      </c>
      <c r="C765" t="s">
        <v>3035</v>
      </c>
      <c r="D765" t="s">
        <v>5307</v>
      </c>
      <c r="E765" t="s">
        <v>2614</v>
      </c>
      <c r="F765" t="s">
        <v>2544</v>
      </c>
      <c r="G765" t="s">
        <v>5308</v>
      </c>
      <c r="H765" s="74">
        <v>33063</v>
      </c>
      <c r="I765" s="68" t="s">
        <v>2831</v>
      </c>
      <c r="J765" s="68" t="s">
        <v>3819</v>
      </c>
      <c r="K765" s="68" t="s">
        <v>2670</v>
      </c>
      <c r="L765" t="s">
        <v>1656</v>
      </c>
      <c r="M765" t="s">
        <v>3042</v>
      </c>
      <c r="N765" t="s">
        <v>1648</v>
      </c>
      <c r="O765" t="s">
        <v>1949</v>
      </c>
      <c r="R765" t="s">
        <v>5309</v>
      </c>
    </row>
    <row r="766" spans="1:18" x14ac:dyDescent="0.25">
      <c r="A766" t="s">
        <v>1212</v>
      </c>
      <c r="B766" t="s">
        <v>1600</v>
      </c>
      <c r="C766" t="s">
        <v>3357</v>
      </c>
      <c r="D766" t="s">
        <v>4735</v>
      </c>
      <c r="E766" t="s">
        <v>2657</v>
      </c>
      <c r="F766" t="s">
        <v>2584</v>
      </c>
      <c r="G766" t="s">
        <v>4736</v>
      </c>
      <c r="H766" s="74">
        <v>33793</v>
      </c>
      <c r="I766" s="68" t="s">
        <v>2562</v>
      </c>
      <c r="J766" s="68" t="s">
        <v>4737</v>
      </c>
      <c r="K766" s="68" t="s">
        <v>2569</v>
      </c>
      <c r="L766" t="s">
        <v>1666</v>
      </c>
      <c r="M766" t="s">
        <v>3434</v>
      </c>
      <c r="N766" t="s">
        <v>1647</v>
      </c>
      <c r="O766" t="s">
        <v>1949</v>
      </c>
      <c r="R766" t="s">
        <v>4738</v>
      </c>
    </row>
    <row r="767" spans="1:18" x14ac:dyDescent="0.25">
      <c r="A767" t="s">
        <v>1124</v>
      </c>
      <c r="B767" t="s">
        <v>1586</v>
      </c>
      <c r="C767" t="s">
        <v>2541</v>
      </c>
      <c r="D767" t="s">
        <v>4943</v>
      </c>
      <c r="E767" t="s">
        <v>2646</v>
      </c>
      <c r="F767" t="s">
        <v>2636</v>
      </c>
      <c r="G767" t="s">
        <v>4944</v>
      </c>
      <c r="H767" s="74">
        <v>34102</v>
      </c>
      <c r="I767" s="68" t="s">
        <v>2633</v>
      </c>
      <c r="J767" s="68" t="s">
        <v>4945</v>
      </c>
      <c r="K767" s="68" t="s">
        <v>2623</v>
      </c>
      <c r="L767" t="s">
        <v>1685</v>
      </c>
      <c r="M767" t="s">
        <v>2704</v>
      </c>
      <c r="N767" t="s">
        <v>1648</v>
      </c>
      <c r="O767" t="s">
        <v>1949</v>
      </c>
      <c r="R767" t="s">
        <v>4946</v>
      </c>
    </row>
    <row r="768" spans="1:18" x14ac:dyDescent="0.25">
      <c r="A768" t="s">
        <v>1292</v>
      </c>
      <c r="B768" t="s">
        <v>1601</v>
      </c>
      <c r="C768" t="s">
        <v>3005</v>
      </c>
      <c r="D768" t="s">
        <v>5278</v>
      </c>
      <c r="E768" t="s">
        <v>2614</v>
      </c>
      <c r="F768" t="s">
        <v>2584</v>
      </c>
      <c r="G768" t="s">
        <v>5279</v>
      </c>
      <c r="H768" s="74">
        <v>32982</v>
      </c>
      <c r="I768" s="68" t="s">
        <v>2831</v>
      </c>
      <c r="J768" s="68" t="s">
        <v>4945</v>
      </c>
      <c r="K768" s="68" t="s">
        <v>2776</v>
      </c>
      <c r="L768" t="s">
        <v>1873</v>
      </c>
      <c r="M768" t="s">
        <v>5280</v>
      </c>
      <c r="N768" t="s">
        <v>1648</v>
      </c>
      <c r="O768" t="s">
        <v>1949</v>
      </c>
      <c r="R768" t="s">
        <v>5281</v>
      </c>
    </row>
    <row r="769" spans="1:18" x14ac:dyDescent="0.25">
      <c r="A769" t="s">
        <v>1127</v>
      </c>
      <c r="B769" t="s">
        <v>1591</v>
      </c>
      <c r="C769" t="s">
        <v>3633</v>
      </c>
      <c r="D769" t="s">
        <v>4349</v>
      </c>
      <c r="E769" t="s">
        <v>2586</v>
      </c>
      <c r="F769" t="s">
        <v>2544</v>
      </c>
      <c r="G769" t="s">
        <v>4350</v>
      </c>
      <c r="H769" s="74">
        <v>32627</v>
      </c>
      <c r="I769" s="68" t="s">
        <v>2703</v>
      </c>
      <c r="J769" s="68" t="s">
        <v>4351</v>
      </c>
      <c r="K769" s="68" t="s">
        <v>2543</v>
      </c>
      <c r="L769" t="s">
        <v>1689</v>
      </c>
      <c r="M769" t="s">
        <v>4063</v>
      </c>
      <c r="N769" t="s">
        <v>1627</v>
      </c>
      <c r="O769" t="s">
        <v>1950</v>
      </c>
      <c r="R769" t="s">
        <v>4352</v>
      </c>
    </row>
    <row r="770" spans="1:18" x14ac:dyDescent="0.25">
      <c r="A770" t="s">
        <v>1169</v>
      </c>
      <c r="B770" t="s">
        <v>1611</v>
      </c>
      <c r="C770" t="s">
        <v>3492</v>
      </c>
      <c r="D770" t="s">
        <v>4850</v>
      </c>
      <c r="E770" t="s">
        <v>2559</v>
      </c>
      <c r="F770" t="s">
        <v>2544</v>
      </c>
      <c r="G770" t="s">
        <v>4851</v>
      </c>
      <c r="H770" s="74">
        <v>33841</v>
      </c>
      <c r="I770" s="68" t="s">
        <v>2562</v>
      </c>
      <c r="J770" s="68" t="s">
        <v>4351</v>
      </c>
      <c r="K770" s="68" t="s">
        <v>2646</v>
      </c>
      <c r="L770" t="s">
        <v>1701</v>
      </c>
      <c r="M770" t="s">
        <v>3110</v>
      </c>
      <c r="N770" t="s">
        <v>1647</v>
      </c>
      <c r="O770" t="s">
        <v>1949</v>
      </c>
      <c r="R770" t="s">
        <v>4852</v>
      </c>
    </row>
    <row r="771" spans="1:18" x14ac:dyDescent="0.25">
      <c r="A771" t="s">
        <v>1130</v>
      </c>
      <c r="B771" t="s">
        <v>1592</v>
      </c>
      <c r="C771" t="s">
        <v>2761</v>
      </c>
      <c r="D771" t="s">
        <v>2774</v>
      </c>
      <c r="E771" t="s">
        <v>2559</v>
      </c>
      <c r="F771" t="s">
        <v>2544</v>
      </c>
      <c r="G771" t="s">
        <v>2775</v>
      </c>
      <c r="H771" s="74">
        <v>35622</v>
      </c>
      <c r="I771" s="68" t="s">
        <v>2599</v>
      </c>
      <c r="J771" s="68" t="s">
        <v>2776</v>
      </c>
      <c r="K771" s="68" t="s">
        <v>2548</v>
      </c>
      <c r="L771" t="s">
        <v>1736</v>
      </c>
      <c r="M771" t="s">
        <v>2777</v>
      </c>
      <c r="N771" t="s">
        <v>1648</v>
      </c>
      <c r="O771" t="s">
        <v>1949</v>
      </c>
      <c r="R771" t="s">
        <v>2778</v>
      </c>
    </row>
    <row r="772" spans="1:18" x14ac:dyDescent="0.25">
      <c r="A772" t="s">
        <v>1231</v>
      </c>
      <c r="B772" t="s">
        <v>1607</v>
      </c>
      <c r="C772" t="s">
        <v>2963</v>
      </c>
      <c r="D772" t="s">
        <v>2988</v>
      </c>
      <c r="E772" t="s">
        <v>2546</v>
      </c>
      <c r="F772" t="s">
        <v>2584</v>
      </c>
      <c r="G772" t="s">
        <v>2989</v>
      </c>
      <c r="H772" s="74">
        <v>36148</v>
      </c>
      <c r="I772" s="68" t="s">
        <v>2627</v>
      </c>
      <c r="J772" s="68" t="s">
        <v>2776</v>
      </c>
      <c r="K772" s="68" t="s">
        <v>2548</v>
      </c>
      <c r="L772" t="s">
        <v>1659</v>
      </c>
      <c r="M772" t="s">
        <v>2972</v>
      </c>
      <c r="N772" t="s">
        <v>1648</v>
      </c>
      <c r="O772" t="s">
        <v>1949</v>
      </c>
      <c r="R772" t="s">
        <v>2990</v>
      </c>
    </row>
    <row r="773" spans="1:18" x14ac:dyDescent="0.25">
      <c r="A773" t="s">
        <v>1239</v>
      </c>
      <c r="B773" t="s">
        <v>1612</v>
      </c>
      <c r="C773" t="s">
        <v>3123</v>
      </c>
      <c r="D773" t="s">
        <v>3136</v>
      </c>
      <c r="E773" t="s">
        <v>2579</v>
      </c>
      <c r="F773" t="s">
        <v>2560</v>
      </c>
      <c r="G773" t="s">
        <v>3137</v>
      </c>
      <c r="H773" s="74">
        <v>33937</v>
      </c>
      <c r="I773" s="68" t="s">
        <v>2633</v>
      </c>
      <c r="J773" s="68" t="s">
        <v>2776</v>
      </c>
      <c r="K773" s="68" t="s">
        <v>2548</v>
      </c>
      <c r="L773" t="s">
        <v>1941</v>
      </c>
      <c r="M773" t="s">
        <v>3138</v>
      </c>
      <c r="N773" t="s">
        <v>1648</v>
      </c>
      <c r="O773" t="s">
        <v>1949</v>
      </c>
      <c r="R773" t="s">
        <v>3139</v>
      </c>
    </row>
    <row r="774" spans="1:18" x14ac:dyDescent="0.25">
      <c r="A774" t="s">
        <v>1186</v>
      </c>
      <c r="B774" t="s">
        <v>1613</v>
      </c>
      <c r="C774" t="s">
        <v>3156</v>
      </c>
      <c r="D774" t="s">
        <v>3157</v>
      </c>
      <c r="E774" t="s">
        <v>2670</v>
      </c>
      <c r="F774" t="s">
        <v>2636</v>
      </c>
      <c r="G774" t="s">
        <v>3158</v>
      </c>
      <c r="H774" s="74">
        <v>36629</v>
      </c>
      <c r="I774" s="68" t="s">
        <v>2579</v>
      </c>
      <c r="J774" s="68" t="s">
        <v>2776</v>
      </c>
      <c r="K774" s="68" t="s">
        <v>2548</v>
      </c>
      <c r="L774" t="s">
        <v>1901</v>
      </c>
      <c r="M774" t="s">
        <v>3159</v>
      </c>
      <c r="N774" t="s">
        <v>1648</v>
      </c>
      <c r="O774" t="s">
        <v>1949</v>
      </c>
      <c r="R774" t="s">
        <v>3160</v>
      </c>
    </row>
    <row r="775" spans="1:18" x14ac:dyDescent="0.25">
      <c r="A775" t="s">
        <v>1253</v>
      </c>
      <c r="B775" t="s">
        <v>1608</v>
      </c>
      <c r="C775" t="s">
        <v>3431</v>
      </c>
      <c r="D775" t="s">
        <v>3432</v>
      </c>
      <c r="E775" t="s">
        <v>2679</v>
      </c>
      <c r="F775" t="s">
        <v>2584</v>
      </c>
      <c r="G775" t="s">
        <v>3433</v>
      </c>
      <c r="H775" s="74">
        <v>37513</v>
      </c>
      <c r="I775" s="68" t="s">
        <v>2670</v>
      </c>
      <c r="J775" s="68" t="s">
        <v>2776</v>
      </c>
      <c r="K775" s="68" t="s">
        <v>2548</v>
      </c>
      <c r="L775" t="s">
        <v>1666</v>
      </c>
      <c r="M775" t="s">
        <v>3434</v>
      </c>
      <c r="N775" t="s">
        <v>1647</v>
      </c>
      <c r="O775" t="s">
        <v>1949</v>
      </c>
      <c r="R775" t="s">
        <v>3435</v>
      </c>
    </row>
    <row r="776" spans="1:18" x14ac:dyDescent="0.25">
      <c r="A776" t="s">
        <v>1169</v>
      </c>
      <c r="B776" t="s">
        <v>1611</v>
      </c>
      <c r="C776" t="s">
        <v>3492</v>
      </c>
      <c r="D776" t="s">
        <v>3493</v>
      </c>
      <c r="E776" t="s">
        <v>2583</v>
      </c>
      <c r="F776" t="s">
        <v>2544</v>
      </c>
      <c r="G776" t="s">
        <v>3494</v>
      </c>
      <c r="H776" s="74">
        <v>35830</v>
      </c>
      <c r="I776" s="68" t="s">
        <v>2546</v>
      </c>
      <c r="J776" s="68" t="s">
        <v>2776</v>
      </c>
      <c r="K776" s="68" t="s">
        <v>2548</v>
      </c>
      <c r="L776" t="s">
        <v>1721</v>
      </c>
      <c r="M776" t="s">
        <v>3495</v>
      </c>
      <c r="N776" t="s">
        <v>1647</v>
      </c>
      <c r="O776" t="s">
        <v>1949</v>
      </c>
      <c r="R776" t="s">
        <v>3496</v>
      </c>
    </row>
    <row r="777" spans="1:18" x14ac:dyDescent="0.25">
      <c r="A777" t="s">
        <v>10</v>
      </c>
      <c r="B777" t="s">
        <v>1614</v>
      </c>
      <c r="C777" t="s">
        <v>3526</v>
      </c>
      <c r="D777" t="s">
        <v>3534</v>
      </c>
      <c r="E777" t="s">
        <v>2599</v>
      </c>
      <c r="F777" t="s">
        <v>2560</v>
      </c>
      <c r="G777" t="s">
        <v>3535</v>
      </c>
      <c r="H777" s="74">
        <v>32659</v>
      </c>
      <c r="I777" s="68" t="s">
        <v>2703</v>
      </c>
      <c r="J777" s="68" t="s">
        <v>2776</v>
      </c>
      <c r="K777" s="68" t="s">
        <v>2548</v>
      </c>
      <c r="L777" t="s">
        <v>1896</v>
      </c>
      <c r="M777" t="s">
        <v>3536</v>
      </c>
      <c r="N777" t="s">
        <v>1647</v>
      </c>
      <c r="O777" t="s">
        <v>1949</v>
      </c>
      <c r="R777" t="s">
        <v>3537</v>
      </c>
    </row>
    <row r="778" spans="1:18" x14ac:dyDescent="0.25">
      <c r="A778" t="s">
        <v>1178</v>
      </c>
      <c r="B778" t="s">
        <v>1584</v>
      </c>
      <c r="C778" t="s">
        <v>3558</v>
      </c>
      <c r="D778" t="s">
        <v>3578</v>
      </c>
      <c r="E778" t="s">
        <v>2599</v>
      </c>
      <c r="F778" t="s">
        <v>2544</v>
      </c>
      <c r="G778" t="s">
        <v>3579</v>
      </c>
      <c r="H778" s="74">
        <v>35813</v>
      </c>
      <c r="I778" s="68" t="s">
        <v>2546</v>
      </c>
      <c r="J778" s="68" t="s">
        <v>2776</v>
      </c>
      <c r="K778" s="68" t="s">
        <v>2548</v>
      </c>
      <c r="L778" t="s">
        <v>1657</v>
      </c>
      <c r="M778" t="s">
        <v>3204</v>
      </c>
      <c r="N778" t="s">
        <v>1646</v>
      </c>
      <c r="O778" t="s">
        <v>1950</v>
      </c>
      <c r="R778" t="s">
        <v>3580</v>
      </c>
    </row>
    <row r="779" spans="1:18" x14ac:dyDescent="0.25">
      <c r="A779" t="s">
        <v>1131</v>
      </c>
      <c r="B779" t="s">
        <v>1594</v>
      </c>
      <c r="C779" t="s">
        <v>3663</v>
      </c>
      <c r="D779" t="s">
        <v>3683</v>
      </c>
      <c r="E779" t="s">
        <v>2559</v>
      </c>
      <c r="F779" t="s">
        <v>2560</v>
      </c>
      <c r="G779" t="s">
        <v>3684</v>
      </c>
      <c r="H779" s="74">
        <v>33713</v>
      </c>
      <c r="I779" s="68" t="s">
        <v>2562</v>
      </c>
      <c r="J779" s="68" t="s">
        <v>2776</v>
      </c>
      <c r="K779" s="68" t="s">
        <v>2548</v>
      </c>
      <c r="L779" t="s">
        <v>1697</v>
      </c>
      <c r="M779" t="s">
        <v>3685</v>
      </c>
      <c r="N779" t="s">
        <v>43</v>
      </c>
      <c r="O779" t="s">
        <v>1949</v>
      </c>
      <c r="R779" t="s">
        <v>3686</v>
      </c>
    </row>
    <row r="780" spans="1:18" x14ac:dyDescent="0.25">
      <c r="A780" t="s">
        <v>1153</v>
      </c>
      <c r="B780" t="s">
        <v>1603</v>
      </c>
      <c r="C780" t="s">
        <v>3776</v>
      </c>
      <c r="D780" t="s">
        <v>3806</v>
      </c>
      <c r="E780" t="s">
        <v>2587</v>
      </c>
      <c r="F780" t="s">
        <v>2544</v>
      </c>
      <c r="G780" t="s">
        <v>3807</v>
      </c>
      <c r="H780" s="74">
        <v>37059</v>
      </c>
      <c r="I780" s="68" t="s">
        <v>2586</v>
      </c>
      <c r="J780" s="68" t="s">
        <v>2776</v>
      </c>
      <c r="K780" s="68" t="s">
        <v>2548</v>
      </c>
      <c r="L780" t="s">
        <v>1662</v>
      </c>
      <c r="M780" t="s">
        <v>3786</v>
      </c>
      <c r="N780" t="s">
        <v>43</v>
      </c>
      <c r="O780" t="s">
        <v>1949</v>
      </c>
      <c r="R780" t="s">
        <v>3808</v>
      </c>
    </row>
    <row r="781" spans="1:18" x14ac:dyDescent="0.25">
      <c r="A781" t="s">
        <v>1188</v>
      </c>
      <c r="B781" t="s">
        <v>1585</v>
      </c>
      <c r="C781" t="s">
        <v>3262</v>
      </c>
      <c r="D781" t="s">
        <v>3850</v>
      </c>
      <c r="E781" t="s">
        <v>2627</v>
      </c>
      <c r="F781" t="s">
        <v>2636</v>
      </c>
      <c r="G781" t="s">
        <v>3851</v>
      </c>
      <c r="H781" s="74">
        <v>33588</v>
      </c>
      <c r="I781" s="68" t="s">
        <v>2562</v>
      </c>
      <c r="J781" s="68" t="s">
        <v>2776</v>
      </c>
      <c r="K781" s="68" t="s">
        <v>2547</v>
      </c>
      <c r="L781" t="s">
        <v>1811</v>
      </c>
      <c r="M781" t="s">
        <v>3852</v>
      </c>
      <c r="N781" t="s">
        <v>1647</v>
      </c>
      <c r="O781" t="s">
        <v>1949</v>
      </c>
      <c r="R781" t="s">
        <v>3853</v>
      </c>
    </row>
    <row r="782" spans="1:18" x14ac:dyDescent="0.25">
      <c r="A782" t="s">
        <v>1124</v>
      </c>
      <c r="B782" t="s">
        <v>1586</v>
      </c>
      <c r="C782" t="s">
        <v>2541</v>
      </c>
      <c r="D782" t="s">
        <v>3864</v>
      </c>
      <c r="E782" t="s">
        <v>2579</v>
      </c>
      <c r="F782" t="s">
        <v>2636</v>
      </c>
      <c r="G782" t="s">
        <v>3865</v>
      </c>
      <c r="H782" s="74">
        <v>36960</v>
      </c>
      <c r="I782" s="68" t="s">
        <v>2586</v>
      </c>
      <c r="J782" s="68" t="s">
        <v>2776</v>
      </c>
      <c r="K782" s="68" t="s">
        <v>2547</v>
      </c>
      <c r="L782" t="s">
        <v>1677</v>
      </c>
      <c r="M782" t="s">
        <v>3483</v>
      </c>
      <c r="N782" t="s">
        <v>1648</v>
      </c>
      <c r="O782" t="s">
        <v>1949</v>
      </c>
      <c r="R782" t="s">
        <v>3866</v>
      </c>
    </row>
    <row r="783" spans="1:18" x14ac:dyDescent="0.25">
      <c r="A783" t="s">
        <v>1291</v>
      </c>
      <c r="B783" t="s">
        <v>1589</v>
      </c>
      <c r="C783" t="s">
        <v>2590</v>
      </c>
      <c r="D783" t="s">
        <v>3885</v>
      </c>
      <c r="E783" t="s">
        <v>2546</v>
      </c>
      <c r="F783" t="s">
        <v>2584</v>
      </c>
      <c r="G783" t="s">
        <v>3886</v>
      </c>
      <c r="H783" s="74">
        <v>32889</v>
      </c>
      <c r="I783" s="68" t="s">
        <v>2831</v>
      </c>
      <c r="J783" s="68" t="s">
        <v>2776</v>
      </c>
      <c r="K783" s="68" t="s">
        <v>2547</v>
      </c>
      <c r="L783" t="s">
        <v>1928</v>
      </c>
      <c r="M783" t="s">
        <v>3887</v>
      </c>
      <c r="N783" t="s">
        <v>1648</v>
      </c>
      <c r="O783" t="s">
        <v>1949</v>
      </c>
      <c r="R783" t="s">
        <v>3888</v>
      </c>
    </row>
    <row r="784" spans="1:18" x14ac:dyDescent="0.25">
      <c r="A784" t="s">
        <v>1131</v>
      </c>
      <c r="B784" t="s">
        <v>1594</v>
      </c>
      <c r="C784" t="s">
        <v>3663</v>
      </c>
      <c r="D784" t="s">
        <v>3971</v>
      </c>
      <c r="E784" t="s">
        <v>2614</v>
      </c>
      <c r="F784" t="s">
        <v>2544</v>
      </c>
      <c r="G784" t="s">
        <v>3972</v>
      </c>
      <c r="H784" s="74">
        <v>34025</v>
      </c>
      <c r="I784" s="68" t="s">
        <v>2633</v>
      </c>
      <c r="J784" s="68" t="s">
        <v>2776</v>
      </c>
      <c r="K784" s="68" t="s">
        <v>2547</v>
      </c>
      <c r="L784" t="s">
        <v>1710</v>
      </c>
      <c r="M784" t="s">
        <v>2588</v>
      </c>
      <c r="N784" t="s">
        <v>43</v>
      </c>
      <c r="O784" t="s">
        <v>1949</v>
      </c>
      <c r="R784" t="s">
        <v>3973</v>
      </c>
    </row>
    <row r="785" spans="1:18" x14ac:dyDescent="0.25">
      <c r="A785" t="s">
        <v>1153</v>
      </c>
      <c r="B785" t="s">
        <v>1603</v>
      </c>
      <c r="C785" t="s">
        <v>3776</v>
      </c>
      <c r="D785" t="s">
        <v>4148</v>
      </c>
      <c r="E785" t="s">
        <v>2670</v>
      </c>
      <c r="F785" t="s">
        <v>2584</v>
      </c>
      <c r="G785" t="s">
        <v>4149</v>
      </c>
      <c r="H785" s="74">
        <v>35854</v>
      </c>
      <c r="I785" s="68" t="s">
        <v>2546</v>
      </c>
      <c r="J785" s="68" t="s">
        <v>2776</v>
      </c>
      <c r="K785" s="68" t="s">
        <v>2547</v>
      </c>
      <c r="L785" t="s">
        <v>1706</v>
      </c>
      <c r="M785" t="s">
        <v>3779</v>
      </c>
      <c r="N785" t="s">
        <v>43</v>
      </c>
      <c r="O785" t="s">
        <v>1949</v>
      </c>
      <c r="R785" t="s">
        <v>4150</v>
      </c>
    </row>
    <row r="786" spans="1:18" x14ac:dyDescent="0.25">
      <c r="A786" t="s">
        <v>1238</v>
      </c>
      <c r="B786" t="s">
        <v>1602</v>
      </c>
      <c r="C786" t="s">
        <v>3732</v>
      </c>
      <c r="D786" t="s">
        <v>4458</v>
      </c>
      <c r="E786" t="s">
        <v>2608</v>
      </c>
      <c r="F786" t="s">
        <v>2584</v>
      </c>
      <c r="G786" t="s">
        <v>4459</v>
      </c>
      <c r="H786" s="74">
        <v>36635</v>
      </c>
      <c r="I786" s="68" t="s">
        <v>2579</v>
      </c>
      <c r="J786" s="68" t="s">
        <v>2776</v>
      </c>
      <c r="K786" s="68" t="s">
        <v>2587</v>
      </c>
      <c r="L786" t="s">
        <v>1763</v>
      </c>
      <c r="M786" t="s">
        <v>4460</v>
      </c>
      <c r="N786" t="s">
        <v>1628</v>
      </c>
      <c r="O786" t="s">
        <v>1950</v>
      </c>
      <c r="R786" t="s">
        <v>4461</v>
      </c>
    </row>
    <row r="787" spans="1:18" x14ac:dyDescent="0.25">
      <c r="A787" t="s">
        <v>1188</v>
      </c>
      <c r="B787" t="s">
        <v>1585</v>
      </c>
      <c r="C787" t="s">
        <v>3262</v>
      </c>
      <c r="D787" t="s">
        <v>4607</v>
      </c>
      <c r="E787" t="s">
        <v>2554</v>
      </c>
      <c r="F787" t="s">
        <v>2544</v>
      </c>
      <c r="G787" t="s">
        <v>4608</v>
      </c>
      <c r="H787" s="74">
        <v>36090</v>
      </c>
      <c r="I787" s="68" t="s">
        <v>2546</v>
      </c>
      <c r="J787" s="68" t="s">
        <v>2776</v>
      </c>
      <c r="K787" s="68" t="s">
        <v>2592</v>
      </c>
      <c r="L787" t="s">
        <v>1932</v>
      </c>
      <c r="M787" t="s">
        <v>4609</v>
      </c>
      <c r="N787" t="s">
        <v>1647</v>
      </c>
      <c r="O787" t="s">
        <v>1949</v>
      </c>
      <c r="R787" t="s">
        <v>4610</v>
      </c>
    </row>
    <row r="788" spans="1:18" x14ac:dyDescent="0.25">
      <c r="A788" t="s">
        <v>1239</v>
      </c>
      <c r="B788" t="s">
        <v>1612</v>
      </c>
      <c r="C788" t="s">
        <v>3123</v>
      </c>
      <c r="D788" t="s">
        <v>5392</v>
      </c>
      <c r="E788" t="s">
        <v>2546</v>
      </c>
      <c r="F788" t="s">
        <v>2544</v>
      </c>
      <c r="G788" t="s">
        <v>5393</v>
      </c>
      <c r="H788" s="74">
        <v>34323</v>
      </c>
      <c r="I788" s="68" t="s">
        <v>2594</v>
      </c>
      <c r="J788" s="68" t="s">
        <v>2776</v>
      </c>
      <c r="K788" s="68" t="s">
        <v>2587</v>
      </c>
      <c r="L788" t="s">
        <v>1836</v>
      </c>
      <c r="M788" t="s">
        <v>5394</v>
      </c>
      <c r="N788" t="s">
        <v>1648</v>
      </c>
      <c r="O788" t="s">
        <v>1949</v>
      </c>
      <c r="R788" t="s">
        <v>5395</v>
      </c>
    </row>
    <row r="789" spans="1:18" x14ac:dyDescent="0.25">
      <c r="A789" t="s">
        <v>1239</v>
      </c>
      <c r="B789" t="s">
        <v>1612</v>
      </c>
      <c r="C789" t="s">
        <v>3123</v>
      </c>
      <c r="D789" t="s">
        <v>5423</v>
      </c>
      <c r="E789" t="s">
        <v>2646</v>
      </c>
      <c r="F789" t="s">
        <v>2636</v>
      </c>
      <c r="G789" t="s">
        <v>5424</v>
      </c>
      <c r="H789" s="74">
        <v>33597</v>
      </c>
      <c r="I789" s="68" t="s">
        <v>2562</v>
      </c>
      <c r="J789" s="68" t="s">
        <v>2776</v>
      </c>
      <c r="K789" s="68" t="s">
        <v>2587</v>
      </c>
      <c r="L789" t="s">
        <v>1795</v>
      </c>
      <c r="M789" t="s">
        <v>3275</v>
      </c>
      <c r="N789" t="s">
        <v>1648</v>
      </c>
      <c r="O789" t="s">
        <v>1949</v>
      </c>
      <c r="R789" t="s">
        <v>5425</v>
      </c>
    </row>
    <row r="790" spans="1:18" x14ac:dyDescent="0.25">
      <c r="A790" t="s">
        <v>1124</v>
      </c>
      <c r="B790" t="s">
        <v>1586</v>
      </c>
      <c r="C790" t="s">
        <v>2541</v>
      </c>
      <c r="D790" t="s">
        <v>2542</v>
      </c>
      <c r="E790" t="s">
        <v>2543</v>
      </c>
      <c r="F790" t="s">
        <v>2544</v>
      </c>
      <c r="G790" t="s">
        <v>2545</v>
      </c>
      <c r="H790" s="74">
        <v>35888</v>
      </c>
      <c r="I790" s="68" t="s">
        <v>2546</v>
      </c>
      <c r="J790" s="68" t="s">
        <v>2547</v>
      </c>
      <c r="K790" s="68" t="s">
        <v>2548</v>
      </c>
      <c r="L790" t="s">
        <v>1675</v>
      </c>
      <c r="M790" t="s">
        <v>2549</v>
      </c>
      <c r="N790" t="s">
        <v>1648</v>
      </c>
      <c r="O790" t="s">
        <v>1949</v>
      </c>
      <c r="R790" t="s">
        <v>2550</v>
      </c>
    </row>
    <row r="791" spans="1:18" x14ac:dyDescent="0.25">
      <c r="A791" t="s">
        <v>1130</v>
      </c>
      <c r="B791" t="s">
        <v>1592</v>
      </c>
      <c r="C791" t="s">
        <v>2761</v>
      </c>
      <c r="D791" t="s">
        <v>2766</v>
      </c>
      <c r="E791" t="s">
        <v>2614</v>
      </c>
      <c r="F791" t="s">
        <v>2560</v>
      </c>
      <c r="G791" t="s">
        <v>2767</v>
      </c>
      <c r="H791" s="74">
        <v>36241</v>
      </c>
      <c r="I791" s="68" t="s">
        <v>2627</v>
      </c>
      <c r="J791" s="68" t="s">
        <v>2547</v>
      </c>
      <c r="K791" s="68" t="s">
        <v>2548</v>
      </c>
      <c r="L791" t="s">
        <v>1871</v>
      </c>
      <c r="M791" t="s">
        <v>2768</v>
      </c>
      <c r="N791" t="s">
        <v>1648</v>
      </c>
      <c r="O791" t="s">
        <v>1949</v>
      </c>
      <c r="R791" t="s">
        <v>2769</v>
      </c>
    </row>
    <row r="792" spans="1:18" x14ac:dyDescent="0.25">
      <c r="A792" t="s">
        <v>1183</v>
      </c>
      <c r="B792" t="s">
        <v>1593</v>
      </c>
      <c r="C792" t="s">
        <v>2789</v>
      </c>
      <c r="D792" t="s">
        <v>2790</v>
      </c>
      <c r="E792" t="s">
        <v>2552</v>
      </c>
      <c r="F792" t="s">
        <v>2636</v>
      </c>
      <c r="G792" t="s">
        <v>2791</v>
      </c>
      <c r="H792" s="74">
        <v>36589</v>
      </c>
      <c r="I792" s="68" t="s">
        <v>2579</v>
      </c>
      <c r="J792" s="68" t="s">
        <v>2547</v>
      </c>
      <c r="K792" s="68" t="s">
        <v>2548</v>
      </c>
      <c r="L792" t="s">
        <v>1875</v>
      </c>
      <c r="M792" t="s">
        <v>2792</v>
      </c>
      <c r="N792" t="s">
        <v>1648</v>
      </c>
      <c r="O792" t="s">
        <v>1949</v>
      </c>
      <c r="R792" t="s">
        <v>2793</v>
      </c>
    </row>
    <row r="793" spans="1:18" x14ac:dyDescent="0.25">
      <c r="A793" t="s">
        <v>1137</v>
      </c>
      <c r="B793" t="s">
        <v>1596</v>
      </c>
      <c r="C793" t="s">
        <v>2836</v>
      </c>
      <c r="D793" t="s">
        <v>2865</v>
      </c>
      <c r="E793" t="s">
        <v>2552</v>
      </c>
      <c r="F793" t="s">
        <v>2636</v>
      </c>
      <c r="G793" t="s">
        <v>2866</v>
      </c>
      <c r="H793" s="74">
        <v>38311</v>
      </c>
      <c r="I793" s="68" t="s">
        <v>2583</v>
      </c>
      <c r="J793" s="68" t="s">
        <v>2547</v>
      </c>
      <c r="K793" s="68" t="s">
        <v>2548</v>
      </c>
      <c r="L793" t="s">
        <v>1663</v>
      </c>
      <c r="M793" t="s">
        <v>2859</v>
      </c>
      <c r="N793" t="s">
        <v>1648</v>
      </c>
      <c r="O793" t="s">
        <v>1949</v>
      </c>
      <c r="R793" t="s">
        <v>2867</v>
      </c>
    </row>
    <row r="794" spans="1:18" x14ac:dyDescent="0.25">
      <c r="A794" t="s">
        <v>1244</v>
      </c>
      <c r="B794" t="s">
        <v>1597</v>
      </c>
      <c r="C794" t="s">
        <v>2876</v>
      </c>
      <c r="D794" t="s">
        <v>2910</v>
      </c>
      <c r="E794" t="s">
        <v>2546</v>
      </c>
      <c r="F794" t="s">
        <v>2584</v>
      </c>
      <c r="G794" t="s">
        <v>2911</v>
      </c>
      <c r="H794" s="74">
        <v>36534</v>
      </c>
      <c r="I794" s="68" t="s">
        <v>2579</v>
      </c>
      <c r="J794" s="68" t="s">
        <v>2547</v>
      </c>
      <c r="K794" s="68" t="s">
        <v>2548</v>
      </c>
      <c r="L794" t="s">
        <v>1670</v>
      </c>
      <c r="M794" t="s">
        <v>2570</v>
      </c>
      <c r="N794" t="s">
        <v>1648</v>
      </c>
      <c r="O794" t="s">
        <v>1949</v>
      </c>
      <c r="R794" t="s">
        <v>2912</v>
      </c>
    </row>
    <row r="795" spans="1:18" x14ac:dyDescent="0.25">
      <c r="A795" t="s">
        <v>1244</v>
      </c>
      <c r="B795" t="s">
        <v>1597</v>
      </c>
      <c r="C795" t="s">
        <v>2876</v>
      </c>
      <c r="D795" t="s">
        <v>2928</v>
      </c>
      <c r="E795" t="s">
        <v>2586</v>
      </c>
      <c r="F795" t="s">
        <v>2584</v>
      </c>
      <c r="G795" t="s">
        <v>2929</v>
      </c>
      <c r="H795" s="74">
        <v>36611</v>
      </c>
      <c r="I795" s="68" t="s">
        <v>2579</v>
      </c>
      <c r="J795" s="68" t="s">
        <v>2547</v>
      </c>
      <c r="K795" s="68" t="s">
        <v>2548</v>
      </c>
      <c r="L795" t="s">
        <v>1737</v>
      </c>
      <c r="M795" t="s">
        <v>2930</v>
      </c>
      <c r="N795" t="s">
        <v>1648</v>
      </c>
      <c r="O795" t="s">
        <v>1949</v>
      </c>
      <c r="R795" t="s">
        <v>2931</v>
      </c>
    </row>
    <row r="796" spans="1:18" x14ac:dyDescent="0.25">
      <c r="A796" t="s">
        <v>1201</v>
      </c>
      <c r="B796" t="s">
        <v>1598</v>
      </c>
      <c r="C796" t="s">
        <v>2932</v>
      </c>
      <c r="D796" t="s">
        <v>2951</v>
      </c>
      <c r="E796" t="s">
        <v>2566</v>
      </c>
      <c r="F796" t="s">
        <v>2560</v>
      </c>
      <c r="G796" t="s">
        <v>2952</v>
      </c>
      <c r="H796" s="74">
        <v>34795</v>
      </c>
      <c r="I796" s="68" t="s">
        <v>2653</v>
      </c>
      <c r="J796" s="68" t="s">
        <v>2547</v>
      </c>
      <c r="K796" s="68" t="s">
        <v>2548</v>
      </c>
      <c r="L796" t="s">
        <v>1800</v>
      </c>
      <c r="M796" t="s">
        <v>2953</v>
      </c>
      <c r="N796" t="s">
        <v>1648</v>
      </c>
      <c r="O796" t="s">
        <v>1949</v>
      </c>
      <c r="R796" t="s">
        <v>2954</v>
      </c>
    </row>
    <row r="797" spans="1:18" x14ac:dyDescent="0.25">
      <c r="A797" t="s">
        <v>1230</v>
      </c>
      <c r="B797" t="s">
        <v>1606</v>
      </c>
      <c r="C797" t="s">
        <v>3035</v>
      </c>
      <c r="D797" t="s">
        <v>3055</v>
      </c>
      <c r="E797" t="s">
        <v>2552</v>
      </c>
      <c r="F797" t="s">
        <v>2584</v>
      </c>
      <c r="G797" t="s">
        <v>3056</v>
      </c>
      <c r="H797" s="74">
        <v>36978</v>
      </c>
      <c r="I797" s="68" t="s">
        <v>2586</v>
      </c>
      <c r="J797" s="68" t="s">
        <v>2547</v>
      </c>
      <c r="K797" s="68" t="s">
        <v>2548</v>
      </c>
      <c r="L797" t="s">
        <v>1656</v>
      </c>
      <c r="M797" t="s">
        <v>3042</v>
      </c>
      <c r="N797" t="s">
        <v>1648</v>
      </c>
      <c r="O797" t="s">
        <v>1949</v>
      </c>
      <c r="R797" t="s">
        <v>3057</v>
      </c>
    </row>
    <row r="798" spans="1:18" x14ac:dyDescent="0.25">
      <c r="A798" t="s">
        <v>1230</v>
      </c>
      <c r="B798" t="s">
        <v>1606</v>
      </c>
      <c r="C798" t="s">
        <v>3035</v>
      </c>
      <c r="D798" t="s">
        <v>3072</v>
      </c>
      <c r="E798" t="s">
        <v>2546</v>
      </c>
      <c r="F798" t="s">
        <v>2584</v>
      </c>
      <c r="G798" t="s">
        <v>3073</v>
      </c>
      <c r="H798" s="74">
        <v>37090</v>
      </c>
      <c r="I798" s="68" t="s">
        <v>2586</v>
      </c>
      <c r="J798" s="68" t="s">
        <v>2547</v>
      </c>
      <c r="K798" s="68" t="s">
        <v>2548</v>
      </c>
      <c r="L798" t="s">
        <v>1760</v>
      </c>
      <c r="M798" t="s">
        <v>3074</v>
      </c>
      <c r="N798" t="s">
        <v>1648</v>
      </c>
      <c r="O798" t="s">
        <v>1949</v>
      </c>
      <c r="R798" t="s">
        <v>3075</v>
      </c>
    </row>
    <row r="799" spans="1:18" x14ac:dyDescent="0.25">
      <c r="A799" t="s">
        <v>1186</v>
      </c>
      <c r="B799" t="s">
        <v>1613</v>
      </c>
      <c r="C799" t="s">
        <v>3156</v>
      </c>
      <c r="D799" t="s">
        <v>3194</v>
      </c>
      <c r="E799" t="s">
        <v>2566</v>
      </c>
      <c r="F799" t="s">
        <v>2560</v>
      </c>
      <c r="G799" t="s">
        <v>3195</v>
      </c>
      <c r="H799" s="74">
        <v>31643</v>
      </c>
      <c r="I799" s="68" t="s">
        <v>2781</v>
      </c>
      <c r="J799" s="68" t="s">
        <v>2547</v>
      </c>
      <c r="K799" s="68" t="s">
        <v>2548</v>
      </c>
      <c r="L799" t="s">
        <v>1876</v>
      </c>
      <c r="M799" t="s">
        <v>3196</v>
      </c>
      <c r="N799" t="s">
        <v>1648</v>
      </c>
      <c r="O799" t="s">
        <v>1949</v>
      </c>
      <c r="R799" t="s">
        <v>3197</v>
      </c>
    </row>
    <row r="800" spans="1:18" x14ac:dyDescent="0.25">
      <c r="A800" t="s">
        <v>1188</v>
      </c>
      <c r="B800" t="s">
        <v>1585</v>
      </c>
      <c r="C800" t="s">
        <v>3262</v>
      </c>
      <c r="D800" t="s">
        <v>3267</v>
      </c>
      <c r="E800" t="s">
        <v>2679</v>
      </c>
      <c r="F800" t="s">
        <v>2584</v>
      </c>
      <c r="G800" t="s">
        <v>3268</v>
      </c>
      <c r="H800" s="74">
        <v>35953</v>
      </c>
      <c r="I800" s="68" t="s">
        <v>2546</v>
      </c>
      <c r="J800" s="68" t="s">
        <v>2547</v>
      </c>
      <c r="K800" s="68" t="s">
        <v>2548</v>
      </c>
      <c r="L800" t="s">
        <v>1735</v>
      </c>
      <c r="M800" t="s">
        <v>3265</v>
      </c>
      <c r="N800" t="s">
        <v>1647</v>
      </c>
      <c r="O800" t="s">
        <v>1949</v>
      </c>
      <c r="R800" t="s">
        <v>3269</v>
      </c>
    </row>
    <row r="801" spans="1:18" x14ac:dyDescent="0.25">
      <c r="A801" t="s">
        <v>1188</v>
      </c>
      <c r="B801" t="s">
        <v>1585</v>
      </c>
      <c r="C801" t="s">
        <v>3262</v>
      </c>
      <c r="D801" t="s">
        <v>3277</v>
      </c>
      <c r="E801" t="s">
        <v>2552</v>
      </c>
      <c r="F801" t="s">
        <v>2584</v>
      </c>
      <c r="G801" t="s">
        <v>3278</v>
      </c>
      <c r="H801" s="74">
        <v>35953</v>
      </c>
      <c r="I801" s="68" t="s">
        <v>2546</v>
      </c>
      <c r="J801" s="68" t="s">
        <v>2547</v>
      </c>
      <c r="K801" s="68" t="s">
        <v>2548</v>
      </c>
      <c r="L801" t="s">
        <v>1929</v>
      </c>
      <c r="M801" t="s">
        <v>3279</v>
      </c>
      <c r="N801" t="s">
        <v>1647</v>
      </c>
      <c r="O801" t="s">
        <v>1949</v>
      </c>
      <c r="R801" t="s">
        <v>3280</v>
      </c>
    </row>
    <row r="802" spans="1:18" x14ac:dyDescent="0.25">
      <c r="A802" t="s">
        <v>1188</v>
      </c>
      <c r="B802" t="s">
        <v>1585</v>
      </c>
      <c r="C802" t="s">
        <v>3262</v>
      </c>
      <c r="D802" t="s">
        <v>3290</v>
      </c>
      <c r="E802" t="s">
        <v>2586</v>
      </c>
      <c r="F802" t="s">
        <v>2636</v>
      </c>
      <c r="G802" t="s">
        <v>3291</v>
      </c>
      <c r="H802" s="74">
        <v>38245</v>
      </c>
      <c r="I802" s="68" t="s">
        <v>2583</v>
      </c>
      <c r="J802" s="68" t="s">
        <v>2547</v>
      </c>
      <c r="K802" s="68" t="s">
        <v>2548</v>
      </c>
      <c r="L802" t="s">
        <v>1727</v>
      </c>
      <c r="M802" t="s">
        <v>3288</v>
      </c>
      <c r="N802" t="s">
        <v>1647</v>
      </c>
      <c r="O802" t="s">
        <v>1949</v>
      </c>
      <c r="R802" t="s">
        <v>3292</v>
      </c>
    </row>
    <row r="803" spans="1:18" x14ac:dyDescent="0.25">
      <c r="A803" t="s">
        <v>1212</v>
      </c>
      <c r="B803" t="s">
        <v>1600</v>
      </c>
      <c r="C803" t="s">
        <v>3357</v>
      </c>
      <c r="D803" t="s">
        <v>3384</v>
      </c>
      <c r="E803" t="s">
        <v>2566</v>
      </c>
      <c r="F803" t="s">
        <v>2560</v>
      </c>
      <c r="G803" t="s">
        <v>3385</v>
      </c>
      <c r="H803" s="74">
        <v>35718</v>
      </c>
      <c r="I803" s="68" t="s">
        <v>2599</v>
      </c>
      <c r="J803" s="68" t="s">
        <v>2547</v>
      </c>
      <c r="K803" s="68" t="s">
        <v>2548</v>
      </c>
      <c r="L803" t="s">
        <v>1686</v>
      </c>
      <c r="M803" t="s">
        <v>3367</v>
      </c>
      <c r="N803" t="s">
        <v>1647</v>
      </c>
      <c r="O803" t="s">
        <v>1949</v>
      </c>
      <c r="R803" t="s">
        <v>3386</v>
      </c>
    </row>
    <row r="804" spans="1:18" x14ac:dyDescent="0.25">
      <c r="A804" t="s">
        <v>1157</v>
      </c>
      <c r="B804" t="s">
        <v>1604</v>
      </c>
      <c r="C804" t="s">
        <v>3391</v>
      </c>
      <c r="D804" t="s">
        <v>3411</v>
      </c>
      <c r="E804" t="s">
        <v>2552</v>
      </c>
      <c r="F804" t="s">
        <v>2584</v>
      </c>
      <c r="G804" t="s">
        <v>3412</v>
      </c>
      <c r="H804" s="74">
        <v>36571</v>
      </c>
      <c r="I804" s="68" t="s">
        <v>2579</v>
      </c>
      <c r="J804" s="68" t="s">
        <v>2547</v>
      </c>
      <c r="K804" s="68" t="s">
        <v>2548</v>
      </c>
      <c r="L804" t="s">
        <v>1883</v>
      </c>
      <c r="M804" t="s">
        <v>3413</v>
      </c>
      <c r="N804" t="s">
        <v>1647</v>
      </c>
      <c r="O804" t="s">
        <v>1949</v>
      </c>
      <c r="R804" t="s">
        <v>3414</v>
      </c>
    </row>
    <row r="805" spans="1:18" x14ac:dyDescent="0.25">
      <c r="A805" t="s">
        <v>1157</v>
      </c>
      <c r="B805" t="s">
        <v>1604</v>
      </c>
      <c r="C805" t="s">
        <v>3391</v>
      </c>
      <c r="D805" t="s">
        <v>3428</v>
      </c>
      <c r="E805" t="s">
        <v>2579</v>
      </c>
      <c r="F805" t="s">
        <v>2560</v>
      </c>
      <c r="G805" t="s">
        <v>3429</v>
      </c>
      <c r="H805" s="74">
        <v>36168</v>
      </c>
      <c r="I805" s="68" t="s">
        <v>2627</v>
      </c>
      <c r="J805" s="68" t="s">
        <v>2547</v>
      </c>
      <c r="K805" s="68" t="s">
        <v>2548</v>
      </c>
      <c r="L805" t="s">
        <v>1728</v>
      </c>
      <c r="M805" t="s">
        <v>3284</v>
      </c>
      <c r="N805" t="s">
        <v>1647</v>
      </c>
      <c r="O805" t="s">
        <v>1949</v>
      </c>
      <c r="R805" t="s">
        <v>3430</v>
      </c>
    </row>
    <row r="806" spans="1:18" x14ac:dyDescent="0.25">
      <c r="A806" t="s">
        <v>1253</v>
      </c>
      <c r="B806" t="s">
        <v>1608</v>
      </c>
      <c r="C806" t="s">
        <v>3431</v>
      </c>
      <c r="D806" t="s">
        <v>3477</v>
      </c>
      <c r="E806" t="s">
        <v>2681</v>
      </c>
      <c r="F806" t="s">
        <v>2584</v>
      </c>
      <c r="G806" t="s">
        <v>3478</v>
      </c>
      <c r="H806" s="74">
        <v>34409</v>
      </c>
      <c r="I806" s="68" t="s">
        <v>2594</v>
      </c>
      <c r="J806" s="68" t="s">
        <v>2547</v>
      </c>
      <c r="K806" s="68" t="s">
        <v>2548</v>
      </c>
      <c r="L806" t="s">
        <v>1914</v>
      </c>
      <c r="M806" t="s">
        <v>3479</v>
      </c>
      <c r="N806" t="s">
        <v>1647</v>
      </c>
      <c r="O806" t="s">
        <v>1949</v>
      </c>
      <c r="R806" t="s">
        <v>3480</v>
      </c>
    </row>
    <row r="807" spans="1:18" x14ac:dyDescent="0.25">
      <c r="A807" t="s">
        <v>1169</v>
      </c>
      <c r="B807" t="s">
        <v>1611</v>
      </c>
      <c r="C807" t="s">
        <v>3492</v>
      </c>
      <c r="D807" t="s">
        <v>3506</v>
      </c>
      <c r="E807" t="s">
        <v>2552</v>
      </c>
      <c r="F807" t="s">
        <v>2584</v>
      </c>
      <c r="G807" t="s">
        <v>3507</v>
      </c>
      <c r="H807" s="74">
        <v>37467</v>
      </c>
      <c r="I807" s="68" t="s">
        <v>2670</v>
      </c>
      <c r="J807" s="68" t="s">
        <v>2547</v>
      </c>
      <c r="K807" s="68" t="s">
        <v>2548</v>
      </c>
      <c r="L807" t="s">
        <v>1788</v>
      </c>
      <c r="M807" t="s">
        <v>3508</v>
      </c>
      <c r="N807" t="s">
        <v>1647</v>
      </c>
      <c r="O807" t="s">
        <v>1949</v>
      </c>
      <c r="R807" t="s">
        <v>3509</v>
      </c>
    </row>
    <row r="808" spans="1:18" x14ac:dyDescent="0.25">
      <c r="A808" t="s">
        <v>1178</v>
      </c>
      <c r="B808" t="s">
        <v>1584</v>
      </c>
      <c r="C808" t="s">
        <v>3558</v>
      </c>
      <c r="D808" t="s">
        <v>3559</v>
      </c>
      <c r="E808" t="s">
        <v>2614</v>
      </c>
      <c r="F808" t="s">
        <v>2584</v>
      </c>
      <c r="G808" t="s">
        <v>3560</v>
      </c>
      <c r="H808" s="74">
        <v>37007</v>
      </c>
      <c r="I808" s="68" t="s">
        <v>2586</v>
      </c>
      <c r="J808" s="68" t="s">
        <v>2547</v>
      </c>
      <c r="K808" s="68" t="s">
        <v>2548</v>
      </c>
      <c r="L808" t="s">
        <v>1826</v>
      </c>
      <c r="M808" t="s">
        <v>3561</v>
      </c>
      <c r="N808" t="s">
        <v>1646</v>
      </c>
      <c r="O808" t="s">
        <v>1950</v>
      </c>
      <c r="R808" t="s">
        <v>3562</v>
      </c>
    </row>
    <row r="809" spans="1:18" x14ac:dyDescent="0.25">
      <c r="A809" t="s">
        <v>1180</v>
      </c>
      <c r="B809" t="s">
        <v>1587</v>
      </c>
      <c r="C809" t="s">
        <v>3604</v>
      </c>
      <c r="D809" t="s">
        <v>3609</v>
      </c>
      <c r="E809" t="s">
        <v>2546</v>
      </c>
      <c r="F809" t="s">
        <v>2544</v>
      </c>
      <c r="G809" t="s">
        <v>3610</v>
      </c>
      <c r="H809" s="74">
        <v>35507</v>
      </c>
      <c r="I809" s="68" t="s">
        <v>2599</v>
      </c>
      <c r="J809" s="68" t="s">
        <v>2547</v>
      </c>
      <c r="K809" s="68" t="s">
        <v>2548</v>
      </c>
      <c r="L809" t="s">
        <v>1664</v>
      </c>
      <c r="M809" t="s">
        <v>3397</v>
      </c>
      <c r="N809" t="s">
        <v>43</v>
      </c>
      <c r="O809" t="s">
        <v>1949</v>
      </c>
      <c r="R809" t="s">
        <v>3611</v>
      </c>
    </row>
    <row r="810" spans="1:18" x14ac:dyDescent="0.25">
      <c r="A810" t="s">
        <v>1131</v>
      </c>
      <c r="B810" t="s">
        <v>1594</v>
      </c>
      <c r="C810" t="s">
        <v>3663</v>
      </c>
      <c r="D810" t="s">
        <v>3664</v>
      </c>
      <c r="E810" t="s">
        <v>2599</v>
      </c>
      <c r="F810" t="s">
        <v>2584</v>
      </c>
      <c r="G810" t="s">
        <v>3665</v>
      </c>
      <c r="H810" s="74">
        <v>35392</v>
      </c>
      <c r="I810" s="68" t="s">
        <v>2599</v>
      </c>
      <c r="J810" s="68" t="s">
        <v>2547</v>
      </c>
      <c r="K810" s="68" t="s">
        <v>2548</v>
      </c>
      <c r="L810" t="s">
        <v>1675</v>
      </c>
      <c r="M810" t="s">
        <v>2549</v>
      </c>
      <c r="N810" t="s">
        <v>43</v>
      </c>
      <c r="O810" t="s">
        <v>1949</v>
      </c>
      <c r="R810" t="s">
        <v>3666</v>
      </c>
    </row>
    <row r="811" spans="1:18" x14ac:dyDescent="0.25">
      <c r="A811" t="s">
        <v>1238</v>
      </c>
      <c r="B811" t="s">
        <v>1602</v>
      </c>
      <c r="C811" t="s">
        <v>3732</v>
      </c>
      <c r="D811" t="s">
        <v>3733</v>
      </c>
      <c r="E811" t="s">
        <v>2776</v>
      </c>
      <c r="F811" t="s">
        <v>2584</v>
      </c>
      <c r="G811" t="s">
        <v>3734</v>
      </c>
      <c r="H811" s="74">
        <v>36837</v>
      </c>
      <c r="I811" s="68" t="s">
        <v>2579</v>
      </c>
      <c r="J811" s="68" t="s">
        <v>2547</v>
      </c>
      <c r="K811" s="68" t="s">
        <v>2548</v>
      </c>
      <c r="L811" t="s">
        <v>1770</v>
      </c>
      <c r="M811" t="s">
        <v>3735</v>
      </c>
      <c r="N811" t="s">
        <v>1628</v>
      </c>
      <c r="O811" t="s">
        <v>1950</v>
      </c>
      <c r="R811" t="s">
        <v>3736</v>
      </c>
    </row>
    <row r="812" spans="1:18" x14ac:dyDescent="0.25">
      <c r="A812" t="s">
        <v>1158</v>
      </c>
      <c r="B812" t="s">
        <v>1605</v>
      </c>
      <c r="C812" t="s">
        <v>3809</v>
      </c>
      <c r="D812" t="s">
        <v>3821</v>
      </c>
      <c r="E812" t="s">
        <v>2546</v>
      </c>
      <c r="F812" t="s">
        <v>2544</v>
      </c>
      <c r="G812" t="s">
        <v>3822</v>
      </c>
      <c r="H812" s="74">
        <v>37924</v>
      </c>
      <c r="I812" s="68" t="s">
        <v>2554</v>
      </c>
      <c r="J812" s="68" t="s">
        <v>2547</v>
      </c>
      <c r="K812" s="68" t="s">
        <v>2548</v>
      </c>
      <c r="L812" t="s">
        <v>1679</v>
      </c>
      <c r="M812" t="s">
        <v>3583</v>
      </c>
      <c r="N812" t="s">
        <v>43</v>
      </c>
      <c r="O812" t="s">
        <v>1949</v>
      </c>
      <c r="R812" t="s">
        <v>3823</v>
      </c>
    </row>
    <row r="813" spans="1:18" x14ac:dyDescent="0.25">
      <c r="A813" t="s">
        <v>1188</v>
      </c>
      <c r="B813" t="s">
        <v>1585</v>
      </c>
      <c r="C813" t="s">
        <v>3262</v>
      </c>
      <c r="D813" t="s">
        <v>3854</v>
      </c>
      <c r="E813" t="s">
        <v>2599</v>
      </c>
      <c r="F813" t="s">
        <v>2636</v>
      </c>
      <c r="G813" t="s">
        <v>3855</v>
      </c>
      <c r="H813" s="74">
        <v>34912</v>
      </c>
      <c r="I813" s="68" t="s">
        <v>2653</v>
      </c>
      <c r="J813" s="68" t="s">
        <v>2547</v>
      </c>
      <c r="K813" s="68" t="s">
        <v>2547</v>
      </c>
      <c r="L813" t="s">
        <v>1727</v>
      </c>
      <c r="M813" t="s">
        <v>3288</v>
      </c>
      <c r="N813" t="s">
        <v>1647</v>
      </c>
      <c r="O813" t="s">
        <v>1949</v>
      </c>
      <c r="R813" t="s">
        <v>3856</v>
      </c>
    </row>
    <row r="814" spans="1:18" x14ac:dyDescent="0.25">
      <c r="A814" t="s">
        <v>1137</v>
      </c>
      <c r="B814" t="s">
        <v>1596</v>
      </c>
      <c r="C814" t="s">
        <v>2836</v>
      </c>
      <c r="D814" t="s">
        <v>4028</v>
      </c>
      <c r="E814" t="s">
        <v>2646</v>
      </c>
      <c r="F814" t="s">
        <v>2636</v>
      </c>
      <c r="G814" t="s">
        <v>4029</v>
      </c>
      <c r="H814" s="74">
        <v>34009</v>
      </c>
      <c r="I814" s="68" t="s">
        <v>2633</v>
      </c>
      <c r="J814" s="68" t="s">
        <v>2547</v>
      </c>
      <c r="K814" s="68" t="s">
        <v>2547</v>
      </c>
      <c r="L814" t="s">
        <v>1809</v>
      </c>
      <c r="M814" t="s">
        <v>3103</v>
      </c>
      <c r="N814" t="s">
        <v>1648</v>
      </c>
      <c r="O814" t="s">
        <v>1949</v>
      </c>
      <c r="R814" t="s">
        <v>4030</v>
      </c>
    </row>
    <row r="815" spans="1:18" x14ac:dyDescent="0.25">
      <c r="A815" t="s">
        <v>1158</v>
      </c>
      <c r="B815" t="s">
        <v>1605</v>
      </c>
      <c r="C815" t="s">
        <v>3809</v>
      </c>
      <c r="D815" t="s">
        <v>4178</v>
      </c>
      <c r="E815" t="s">
        <v>2552</v>
      </c>
      <c r="F815" t="s">
        <v>2636</v>
      </c>
      <c r="G815" t="s">
        <v>4179</v>
      </c>
      <c r="H815" s="74">
        <v>37062</v>
      </c>
      <c r="I815" s="68" t="s">
        <v>2586</v>
      </c>
      <c r="J815" s="68" t="s">
        <v>2547</v>
      </c>
      <c r="K815" s="68" t="s">
        <v>2547</v>
      </c>
      <c r="L815" t="s">
        <v>1679</v>
      </c>
      <c r="M815" t="s">
        <v>3583</v>
      </c>
      <c r="N815" t="s">
        <v>43</v>
      </c>
      <c r="O815" t="s">
        <v>1949</v>
      </c>
      <c r="R815" t="s">
        <v>4180</v>
      </c>
    </row>
    <row r="816" spans="1:18" x14ac:dyDescent="0.25">
      <c r="A816" t="s">
        <v>1291</v>
      </c>
      <c r="B816" t="s">
        <v>1589</v>
      </c>
      <c r="C816" t="s">
        <v>2590</v>
      </c>
      <c r="D816" t="s">
        <v>2613</v>
      </c>
      <c r="E816" t="s">
        <v>2614</v>
      </c>
      <c r="F816" t="s">
        <v>2560</v>
      </c>
      <c r="G816" t="s">
        <v>2615</v>
      </c>
      <c r="H816" s="74">
        <v>35482</v>
      </c>
      <c r="I816" s="68" t="s">
        <v>2599</v>
      </c>
      <c r="J816" s="68" t="s">
        <v>2548</v>
      </c>
      <c r="K816" s="68" t="s">
        <v>2548</v>
      </c>
      <c r="L816" t="s">
        <v>1682</v>
      </c>
      <c r="M816" t="s">
        <v>2596</v>
      </c>
      <c r="N816" t="s">
        <v>1648</v>
      </c>
      <c r="O816" t="s">
        <v>1949</v>
      </c>
      <c r="R816" t="s">
        <v>2616</v>
      </c>
    </row>
    <row r="817" spans="1:18" x14ac:dyDescent="0.25">
      <c r="A817" t="s">
        <v>1256</v>
      </c>
      <c r="B817" t="s">
        <v>1588</v>
      </c>
      <c r="C817" t="s">
        <v>2640</v>
      </c>
      <c r="D817" t="s">
        <v>2692</v>
      </c>
      <c r="E817" t="s">
        <v>2547</v>
      </c>
      <c r="F817" t="s">
        <v>2560</v>
      </c>
      <c r="G817" t="s">
        <v>2693</v>
      </c>
      <c r="H817" s="74">
        <v>37723</v>
      </c>
      <c r="I817" s="68" t="s">
        <v>2554</v>
      </c>
      <c r="J817" s="68" t="s">
        <v>2548</v>
      </c>
      <c r="K817" s="68" t="s">
        <v>2548</v>
      </c>
      <c r="L817" t="s">
        <v>1694</v>
      </c>
      <c r="M817" t="s">
        <v>2694</v>
      </c>
      <c r="N817" t="s">
        <v>1648</v>
      </c>
      <c r="O817" t="s">
        <v>1949</v>
      </c>
      <c r="R817" t="s">
        <v>2695</v>
      </c>
    </row>
    <row r="818" spans="1:18" x14ac:dyDescent="0.25">
      <c r="A818" t="s">
        <v>1183</v>
      </c>
      <c r="B818" t="s">
        <v>1593</v>
      </c>
      <c r="C818" t="s">
        <v>2789</v>
      </c>
      <c r="D818" t="s">
        <v>2817</v>
      </c>
      <c r="E818" t="s">
        <v>2592</v>
      </c>
      <c r="F818" t="s">
        <v>2544</v>
      </c>
      <c r="G818" t="s">
        <v>2818</v>
      </c>
      <c r="H818" s="74">
        <v>37180</v>
      </c>
      <c r="I818" s="68" t="s">
        <v>2586</v>
      </c>
      <c r="J818" s="68" t="s">
        <v>2548</v>
      </c>
      <c r="K818" s="68" t="s">
        <v>2548</v>
      </c>
      <c r="L818" t="s">
        <v>1725</v>
      </c>
      <c r="M818" t="s">
        <v>2819</v>
      </c>
      <c r="N818" t="s">
        <v>1648</v>
      </c>
      <c r="O818" t="s">
        <v>1949</v>
      </c>
      <c r="R818" t="s">
        <v>2820</v>
      </c>
    </row>
    <row r="819" spans="1:18" x14ac:dyDescent="0.25">
      <c r="A819" t="s">
        <v>1231</v>
      </c>
      <c r="B819" t="s">
        <v>1607</v>
      </c>
      <c r="C819" t="s">
        <v>2963</v>
      </c>
      <c r="D819" t="s">
        <v>2985</v>
      </c>
      <c r="E819" t="s">
        <v>2579</v>
      </c>
      <c r="F819" t="s">
        <v>2560</v>
      </c>
      <c r="G819" t="s">
        <v>2986</v>
      </c>
      <c r="H819" s="74">
        <v>36656</v>
      </c>
      <c r="I819" s="68" t="s">
        <v>2579</v>
      </c>
      <c r="J819" s="68" t="s">
        <v>2548</v>
      </c>
      <c r="K819" s="68" t="s">
        <v>2548</v>
      </c>
      <c r="L819" t="s">
        <v>1673</v>
      </c>
      <c r="M819" t="s">
        <v>2983</v>
      </c>
      <c r="N819" t="s">
        <v>1648</v>
      </c>
      <c r="O819" t="s">
        <v>1949</v>
      </c>
      <c r="R819" t="s">
        <v>2987</v>
      </c>
    </row>
    <row r="820" spans="1:18" x14ac:dyDescent="0.25">
      <c r="A820" t="s">
        <v>1230</v>
      </c>
      <c r="B820" t="s">
        <v>1606</v>
      </c>
      <c r="C820" t="s">
        <v>3035</v>
      </c>
      <c r="D820" t="s">
        <v>3068</v>
      </c>
      <c r="E820" t="s">
        <v>2599</v>
      </c>
      <c r="F820" t="s">
        <v>2584</v>
      </c>
      <c r="G820" t="s">
        <v>3069</v>
      </c>
      <c r="H820" s="74">
        <v>37307</v>
      </c>
      <c r="I820" s="68" t="s">
        <v>2670</v>
      </c>
      <c r="J820" s="68" t="s">
        <v>2548</v>
      </c>
      <c r="K820" s="68" t="s">
        <v>2548</v>
      </c>
      <c r="L820" t="s">
        <v>1758</v>
      </c>
      <c r="M820" t="s">
        <v>3070</v>
      </c>
      <c r="N820" t="s">
        <v>1648</v>
      </c>
      <c r="O820" t="s">
        <v>1949</v>
      </c>
      <c r="R820" t="s">
        <v>3071</v>
      </c>
    </row>
    <row r="821" spans="1:18" x14ac:dyDescent="0.25">
      <c r="A821" t="s">
        <v>1186</v>
      </c>
      <c r="B821" t="s">
        <v>1613</v>
      </c>
      <c r="C821" t="s">
        <v>3156</v>
      </c>
      <c r="D821" t="s">
        <v>3173</v>
      </c>
      <c r="E821" t="s">
        <v>2552</v>
      </c>
      <c r="F821" t="s">
        <v>2544</v>
      </c>
      <c r="G821" t="s">
        <v>3174</v>
      </c>
      <c r="H821" s="74">
        <v>35503</v>
      </c>
      <c r="I821" s="68" t="s">
        <v>2599</v>
      </c>
      <c r="J821" s="68" t="s">
        <v>2548</v>
      </c>
      <c r="K821" s="68" t="s">
        <v>2548</v>
      </c>
      <c r="L821" t="s">
        <v>1740</v>
      </c>
      <c r="M821" t="s">
        <v>3175</v>
      </c>
      <c r="N821" t="s">
        <v>1648</v>
      </c>
      <c r="O821" t="s">
        <v>1949</v>
      </c>
      <c r="R821" t="s">
        <v>3176</v>
      </c>
    </row>
    <row r="822" spans="1:18" x14ac:dyDescent="0.25">
      <c r="A822" t="s">
        <v>1167</v>
      </c>
      <c r="B822" t="s">
        <v>1610</v>
      </c>
      <c r="C822" t="s">
        <v>3301</v>
      </c>
      <c r="D822" t="s">
        <v>3314</v>
      </c>
      <c r="E822" t="s">
        <v>2601</v>
      </c>
      <c r="F822" t="s">
        <v>2544</v>
      </c>
      <c r="G822" t="s">
        <v>3315</v>
      </c>
      <c r="H822" s="74">
        <v>37912</v>
      </c>
      <c r="I822" s="68" t="s">
        <v>2554</v>
      </c>
      <c r="J822" s="68" t="s">
        <v>2548</v>
      </c>
      <c r="K822" s="68" t="s">
        <v>2548</v>
      </c>
      <c r="L822" t="s">
        <v>1653</v>
      </c>
      <c r="M822" t="s">
        <v>2874</v>
      </c>
      <c r="N822" t="s">
        <v>1647</v>
      </c>
      <c r="O822" t="s">
        <v>1949</v>
      </c>
      <c r="R822" t="s">
        <v>3316</v>
      </c>
    </row>
    <row r="823" spans="1:18" x14ac:dyDescent="0.25">
      <c r="A823" t="s">
        <v>1253</v>
      </c>
      <c r="B823" t="s">
        <v>1608</v>
      </c>
      <c r="C823" t="s">
        <v>3431</v>
      </c>
      <c r="D823" t="s">
        <v>3488</v>
      </c>
      <c r="E823" t="s">
        <v>2657</v>
      </c>
      <c r="F823" t="s">
        <v>2636</v>
      </c>
      <c r="G823" t="s">
        <v>3489</v>
      </c>
      <c r="H823" s="74">
        <v>37062</v>
      </c>
      <c r="I823" s="68" t="s">
        <v>2586</v>
      </c>
      <c r="J823" s="68" t="s">
        <v>2548</v>
      </c>
      <c r="K823" s="68" t="s">
        <v>2548</v>
      </c>
      <c r="L823" t="s">
        <v>1702</v>
      </c>
      <c r="M823" t="s">
        <v>3490</v>
      </c>
      <c r="N823" t="s">
        <v>1647</v>
      </c>
      <c r="O823" t="s">
        <v>1949</v>
      </c>
      <c r="R823" t="s">
        <v>3491</v>
      </c>
    </row>
    <row r="824" spans="1:18" x14ac:dyDescent="0.25">
      <c r="A824" t="s">
        <v>1169</v>
      </c>
      <c r="B824" t="s">
        <v>1611</v>
      </c>
      <c r="C824" t="s">
        <v>3492</v>
      </c>
      <c r="D824" t="s">
        <v>3503</v>
      </c>
      <c r="E824" t="s">
        <v>2599</v>
      </c>
      <c r="F824" t="s">
        <v>2584</v>
      </c>
      <c r="G824" t="s">
        <v>3504</v>
      </c>
      <c r="H824" s="74">
        <v>37303</v>
      </c>
      <c r="I824" s="68" t="s">
        <v>2670</v>
      </c>
      <c r="J824" s="68" t="s">
        <v>2548</v>
      </c>
      <c r="K824" s="68" t="s">
        <v>2548</v>
      </c>
      <c r="L824" t="s">
        <v>1753</v>
      </c>
      <c r="M824" t="s">
        <v>2648</v>
      </c>
      <c r="N824" t="s">
        <v>1647</v>
      </c>
      <c r="O824" t="s">
        <v>1949</v>
      </c>
      <c r="R824" t="s">
        <v>3505</v>
      </c>
    </row>
    <row r="825" spans="1:18" x14ac:dyDescent="0.25">
      <c r="A825" t="s">
        <v>1169</v>
      </c>
      <c r="B825" t="s">
        <v>1611</v>
      </c>
      <c r="C825" t="s">
        <v>3492</v>
      </c>
      <c r="D825" t="s">
        <v>3510</v>
      </c>
      <c r="E825" t="s">
        <v>2546</v>
      </c>
      <c r="F825" t="s">
        <v>2560</v>
      </c>
      <c r="G825" t="s">
        <v>3511</v>
      </c>
      <c r="H825" s="74">
        <v>35887</v>
      </c>
      <c r="I825" s="68" t="s">
        <v>2546</v>
      </c>
      <c r="J825" s="68" t="s">
        <v>2548</v>
      </c>
      <c r="K825" s="68" t="s">
        <v>2548</v>
      </c>
      <c r="L825" t="s">
        <v>1717</v>
      </c>
      <c r="M825" t="s">
        <v>3512</v>
      </c>
      <c r="N825" t="s">
        <v>1647</v>
      </c>
      <c r="O825" t="s">
        <v>1949</v>
      </c>
      <c r="R825" t="s">
        <v>3513</v>
      </c>
    </row>
    <row r="826" spans="1:18" x14ac:dyDescent="0.25">
      <c r="A826" t="s">
        <v>1135</v>
      </c>
      <c r="B826" t="s">
        <v>1595</v>
      </c>
      <c r="C826" t="s">
        <v>3694</v>
      </c>
      <c r="D826" t="s">
        <v>3722</v>
      </c>
      <c r="E826" t="s">
        <v>2555</v>
      </c>
      <c r="F826" t="s">
        <v>2544</v>
      </c>
      <c r="G826" t="s">
        <v>3723</v>
      </c>
      <c r="H826" s="74">
        <v>35865</v>
      </c>
      <c r="I826" s="68" t="s">
        <v>2546</v>
      </c>
      <c r="J826" s="68" t="s">
        <v>2548</v>
      </c>
      <c r="K826" s="68" t="s">
        <v>2548</v>
      </c>
      <c r="L826" t="s">
        <v>1687</v>
      </c>
      <c r="M826" t="s">
        <v>3441</v>
      </c>
      <c r="N826" t="s">
        <v>1617</v>
      </c>
      <c r="O826" t="s">
        <v>1950</v>
      </c>
      <c r="R826" t="s">
        <v>3724</v>
      </c>
    </row>
    <row r="827" spans="1:18" x14ac:dyDescent="0.25">
      <c r="A827" t="s">
        <v>1238</v>
      </c>
      <c r="B827" t="s">
        <v>1602</v>
      </c>
      <c r="C827" t="s">
        <v>3732</v>
      </c>
      <c r="D827" t="s">
        <v>3751</v>
      </c>
      <c r="E827" t="s">
        <v>2627</v>
      </c>
      <c r="F827" t="s">
        <v>2584</v>
      </c>
      <c r="G827" t="s">
        <v>3752</v>
      </c>
      <c r="H827" s="74">
        <v>38117</v>
      </c>
      <c r="I827" s="68" t="s">
        <v>2583</v>
      </c>
      <c r="J827" s="68" t="s">
        <v>2548</v>
      </c>
      <c r="K827" s="68" t="s">
        <v>2548</v>
      </c>
      <c r="L827" t="s">
        <v>1734</v>
      </c>
      <c r="M827" t="s">
        <v>2796</v>
      </c>
      <c r="N827" t="s">
        <v>1628</v>
      </c>
      <c r="O827" t="s">
        <v>1950</v>
      </c>
      <c r="R827" t="s">
        <v>3753</v>
      </c>
    </row>
    <row r="828" spans="1:18" x14ac:dyDescent="0.25">
      <c r="A828" t="s">
        <v>1153</v>
      </c>
      <c r="B828" t="s">
        <v>1603</v>
      </c>
      <c r="C828" t="s">
        <v>3776</v>
      </c>
      <c r="D828" t="s">
        <v>3788</v>
      </c>
      <c r="E828" t="s">
        <v>2599</v>
      </c>
      <c r="F828" t="s">
        <v>2584</v>
      </c>
      <c r="G828" t="s">
        <v>3789</v>
      </c>
      <c r="H828" s="74">
        <v>37732</v>
      </c>
      <c r="I828" s="68" t="s">
        <v>2554</v>
      </c>
      <c r="J828" s="68" t="s">
        <v>2548</v>
      </c>
      <c r="K828" s="68" t="s">
        <v>2548</v>
      </c>
      <c r="L828" t="s">
        <v>1716</v>
      </c>
      <c r="M828" t="s">
        <v>3790</v>
      </c>
      <c r="N828" t="s">
        <v>43</v>
      </c>
      <c r="O828" t="s">
        <v>1949</v>
      </c>
      <c r="R828" t="s">
        <v>3791</v>
      </c>
    </row>
    <row r="829" spans="1:18" x14ac:dyDescent="0.25">
      <c r="A829" t="s">
        <v>1153</v>
      </c>
      <c r="B829" t="s">
        <v>1603</v>
      </c>
      <c r="C829" t="s">
        <v>3776</v>
      </c>
      <c r="D829" t="s">
        <v>3792</v>
      </c>
      <c r="E829" t="s">
        <v>2552</v>
      </c>
      <c r="F829" t="s">
        <v>2544</v>
      </c>
      <c r="G829" t="s">
        <v>3793</v>
      </c>
      <c r="H829" s="74">
        <v>36870</v>
      </c>
      <c r="I829" s="68" t="s">
        <v>2586</v>
      </c>
      <c r="J829" s="68" t="s">
        <v>2548</v>
      </c>
      <c r="K829" s="68" t="s">
        <v>2548</v>
      </c>
      <c r="L829" t="s">
        <v>1707</v>
      </c>
      <c r="M829" t="s">
        <v>3565</v>
      </c>
      <c r="N829" t="s">
        <v>43</v>
      </c>
      <c r="O829" t="s">
        <v>1949</v>
      </c>
      <c r="R829" t="s">
        <v>3794</v>
      </c>
    </row>
    <row r="830" spans="1:18" x14ac:dyDescent="0.25">
      <c r="A830" t="s">
        <v>1153</v>
      </c>
      <c r="B830" t="s">
        <v>1603</v>
      </c>
      <c r="C830" t="s">
        <v>3776</v>
      </c>
      <c r="D830" t="s">
        <v>3795</v>
      </c>
      <c r="E830" t="s">
        <v>2627</v>
      </c>
      <c r="F830" t="s">
        <v>2560</v>
      </c>
      <c r="G830" t="s">
        <v>3796</v>
      </c>
      <c r="H830" s="74">
        <v>34431</v>
      </c>
      <c r="I830" s="68" t="s">
        <v>2594</v>
      </c>
      <c r="J830" s="68" t="s">
        <v>2548</v>
      </c>
      <c r="K830" s="68" t="s">
        <v>2548</v>
      </c>
      <c r="L830" t="s">
        <v>1870</v>
      </c>
      <c r="M830" t="s">
        <v>3797</v>
      </c>
      <c r="N830" t="s">
        <v>43</v>
      </c>
      <c r="O830" t="s">
        <v>1949</v>
      </c>
      <c r="R830" t="s">
        <v>3798</v>
      </c>
    </row>
    <row r="831" spans="1:18" x14ac:dyDescent="0.25">
      <c r="A831" t="s">
        <v>1158</v>
      </c>
      <c r="B831" t="s">
        <v>1605</v>
      </c>
      <c r="C831" t="s">
        <v>3809</v>
      </c>
      <c r="D831" t="s">
        <v>3813</v>
      </c>
      <c r="E831" t="s">
        <v>2566</v>
      </c>
      <c r="F831" t="s">
        <v>2560</v>
      </c>
      <c r="G831" t="s">
        <v>3814</v>
      </c>
      <c r="H831" s="74">
        <v>33986</v>
      </c>
      <c r="I831" s="68" t="s">
        <v>2633</v>
      </c>
      <c r="J831" s="68" t="s">
        <v>2548</v>
      </c>
      <c r="K831" s="68" t="s">
        <v>2548</v>
      </c>
      <c r="L831" t="s">
        <v>1704</v>
      </c>
      <c r="M831" t="s">
        <v>3815</v>
      </c>
      <c r="N831" t="s">
        <v>43</v>
      </c>
      <c r="O831" t="s">
        <v>1949</v>
      </c>
      <c r="R831" t="s">
        <v>3816</v>
      </c>
    </row>
  </sheetData>
  <phoneticPr fontId="18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1EAEA-58F6-4252-983F-285728F47C31}">
  <sheetPr codeName="Sheet19"/>
  <dimension ref="A1:M66"/>
  <sheetViews>
    <sheetView topLeftCell="A31" workbookViewId="0">
      <selection activeCell="L48" sqref="L48"/>
    </sheetView>
  </sheetViews>
  <sheetFormatPr defaultRowHeight="15" x14ac:dyDescent="0.25"/>
  <cols>
    <col min="1" max="1" width="17.28515625" bestFit="1" customWidth="1"/>
    <col min="2" max="2" width="16.5703125" bestFit="1" customWidth="1"/>
    <col min="3" max="4" width="11.85546875" bestFit="1" customWidth="1"/>
    <col min="5" max="5" width="7.7109375" bestFit="1" customWidth="1"/>
    <col min="6" max="6" width="13.5703125" bestFit="1" customWidth="1"/>
    <col min="7" max="7" width="13.85546875" bestFit="1" customWidth="1"/>
    <col min="8" max="8" width="13.42578125" bestFit="1" customWidth="1"/>
    <col min="9" max="9" width="13.5703125" bestFit="1" customWidth="1"/>
    <col min="10" max="10" width="28.85546875" bestFit="1" customWidth="1"/>
    <col min="11" max="11" width="13.5703125" bestFit="1" customWidth="1"/>
    <col min="12" max="12" width="13.140625" bestFit="1" customWidth="1"/>
    <col min="13" max="13" width="81.140625" bestFit="1" customWidth="1"/>
    <col min="14" max="14" width="7.28515625" bestFit="1" customWidth="1"/>
    <col min="15" max="15" width="9.28515625" bestFit="1" customWidth="1"/>
    <col min="16" max="16" width="6.5703125" bestFit="1" customWidth="1"/>
    <col min="17" max="17" width="10.42578125" bestFit="1" customWidth="1"/>
  </cols>
  <sheetData>
    <row r="1" spans="1:13" x14ac:dyDescent="0.25">
      <c r="A1" t="s">
        <v>1074</v>
      </c>
      <c r="B1" t="s">
        <v>1952</v>
      </c>
      <c r="C1" t="s">
        <v>104</v>
      </c>
      <c r="D1" t="s">
        <v>1</v>
      </c>
      <c r="E1" t="s">
        <v>79</v>
      </c>
      <c r="F1" t="s">
        <v>46</v>
      </c>
      <c r="G1" t="s">
        <v>56</v>
      </c>
      <c r="H1" t="s">
        <v>57</v>
      </c>
      <c r="I1" t="s">
        <v>47</v>
      </c>
      <c r="J1" t="s">
        <v>66</v>
      </c>
      <c r="K1" t="s">
        <v>78</v>
      </c>
      <c r="L1" t="s">
        <v>58</v>
      </c>
      <c r="M1" t="s">
        <v>1953</v>
      </c>
    </row>
    <row r="2" spans="1:13" x14ac:dyDescent="0.25">
      <c r="A2" t="s">
        <v>1954</v>
      </c>
      <c r="B2" t="s">
        <v>1955</v>
      </c>
      <c r="C2" t="s">
        <v>1956</v>
      </c>
      <c r="D2" t="s">
        <v>1957</v>
      </c>
      <c r="E2" t="s">
        <v>1958</v>
      </c>
      <c r="F2" t="s">
        <v>1959</v>
      </c>
      <c r="G2" t="s">
        <v>1960</v>
      </c>
      <c r="H2" t="s">
        <v>1961</v>
      </c>
      <c r="I2" t="s">
        <v>1962</v>
      </c>
      <c r="J2" t="s">
        <v>1963</v>
      </c>
      <c r="K2" t="s">
        <v>1964</v>
      </c>
      <c r="L2" t="s">
        <v>1965</v>
      </c>
      <c r="M2" t="s">
        <v>1966</v>
      </c>
    </row>
    <row r="3" spans="1:13" x14ac:dyDescent="0.25">
      <c r="A3" t="s">
        <v>1954</v>
      </c>
      <c r="B3" t="s">
        <v>1955</v>
      </c>
      <c r="C3" t="s">
        <v>1961</v>
      </c>
      <c r="D3" t="s">
        <v>1967</v>
      </c>
      <c r="E3" t="s">
        <v>1958</v>
      </c>
      <c r="F3" t="s">
        <v>1968</v>
      </c>
      <c r="G3" t="s">
        <v>1960</v>
      </c>
      <c r="H3" t="s">
        <v>1961</v>
      </c>
      <c r="I3" t="s">
        <v>1969</v>
      </c>
      <c r="J3" t="s">
        <v>1970</v>
      </c>
      <c r="K3" t="s">
        <v>1971</v>
      </c>
      <c r="L3" t="s">
        <v>1965</v>
      </c>
      <c r="M3" t="s">
        <v>1972</v>
      </c>
    </row>
    <row r="4" spans="1:13" x14ac:dyDescent="0.25">
      <c r="A4" t="s">
        <v>1973</v>
      </c>
      <c r="B4" t="s">
        <v>1955</v>
      </c>
      <c r="C4" t="s">
        <v>1974</v>
      </c>
      <c r="D4" t="s">
        <v>1967</v>
      </c>
      <c r="E4" t="s">
        <v>1975</v>
      </c>
      <c r="F4" t="s">
        <v>1976</v>
      </c>
      <c r="G4" t="s">
        <v>1977</v>
      </c>
      <c r="H4" t="s">
        <v>1961</v>
      </c>
      <c r="I4" t="s">
        <v>1978</v>
      </c>
      <c r="J4" t="s">
        <v>1979</v>
      </c>
      <c r="K4" t="s">
        <v>1980</v>
      </c>
      <c r="L4" t="s">
        <v>1981</v>
      </c>
      <c r="M4" t="s">
        <v>1982</v>
      </c>
    </row>
    <row r="5" spans="1:13" x14ac:dyDescent="0.25">
      <c r="A5" t="s">
        <v>1973</v>
      </c>
      <c r="B5" t="s">
        <v>1955</v>
      </c>
      <c r="C5" t="s">
        <v>1983</v>
      </c>
      <c r="D5" t="s">
        <v>1967</v>
      </c>
      <c r="E5" t="s">
        <v>1984</v>
      </c>
      <c r="F5" t="s">
        <v>1985</v>
      </c>
      <c r="G5" t="s">
        <v>1956</v>
      </c>
      <c r="H5" t="s">
        <v>1956</v>
      </c>
      <c r="I5" t="s">
        <v>1986</v>
      </c>
      <c r="J5" t="s">
        <v>1987</v>
      </c>
      <c r="K5" t="s">
        <v>1988</v>
      </c>
      <c r="L5" t="s">
        <v>1965</v>
      </c>
      <c r="M5" t="s">
        <v>1989</v>
      </c>
    </row>
    <row r="6" spans="1:13" x14ac:dyDescent="0.25">
      <c r="A6" t="s">
        <v>1990</v>
      </c>
      <c r="B6" t="s">
        <v>1955</v>
      </c>
      <c r="C6" t="s">
        <v>1991</v>
      </c>
      <c r="D6" t="s">
        <v>1992</v>
      </c>
      <c r="E6" t="s">
        <v>1993</v>
      </c>
      <c r="F6" t="s">
        <v>1994</v>
      </c>
      <c r="G6" t="s">
        <v>1956</v>
      </c>
      <c r="H6" t="s">
        <v>1961</v>
      </c>
      <c r="I6" t="s">
        <v>1995</v>
      </c>
      <c r="J6" t="s">
        <v>1996</v>
      </c>
      <c r="K6" t="s">
        <v>1997</v>
      </c>
      <c r="L6" t="s">
        <v>1998</v>
      </c>
      <c r="M6" t="s">
        <v>1999</v>
      </c>
    </row>
    <row r="7" spans="1:13" x14ac:dyDescent="0.25">
      <c r="A7" t="s">
        <v>2000</v>
      </c>
      <c r="B7" t="s">
        <v>1955</v>
      </c>
      <c r="C7" t="s">
        <v>1977</v>
      </c>
      <c r="D7" t="s">
        <v>1992</v>
      </c>
      <c r="E7" t="s">
        <v>1975</v>
      </c>
      <c r="F7" t="s">
        <v>2001</v>
      </c>
      <c r="G7" t="s">
        <v>1960</v>
      </c>
      <c r="H7" t="s">
        <v>1960</v>
      </c>
      <c r="I7" t="s">
        <v>2002</v>
      </c>
      <c r="J7" t="s">
        <v>2003</v>
      </c>
      <c r="K7" t="s">
        <v>2004</v>
      </c>
      <c r="L7" t="s">
        <v>2005</v>
      </c>
      <c r="M7" t="s">
        <v>2006</v>
      </c>
    </row>
    <row r="8" spans="1:13" x14ac:dyDescent="0.25">
      <c r="A8" t="s">
        <v>1990</v>
      </c>
      <c r="B8" t="s">
        <v>1955</v>
      </c>
      <c r="C8" t="s">
        <v>2007</v>
      </c>
      <c r="D8" t="s">
        <v>1992</v>
      </c>
      <c r="E8" t="s">
        <v>1958</v>
      </c>
      <c r="F8" t="s">
        <v>2008</v>
      </c>
      <c r="G8" t="s">
        <v>1960</v>
      </c>
      <c r="H8" t="s">
        <v>1960</v>
      </c>
      <c r="I8" t="s">
        <v>2009</v>
      </c>
      <c r="J8" t="s">
        <v>2010</v>
      </c>
      <c r="K8" t="s">
        <v>2011</v>
      </c>
      <c r="L8" t="s">
        <v>2005</v>
      </c>
      <c r="M8" t="s">
        <v>2012</v>
      </c>
    </row>
    <row r="9" spans="1:13" x14ac:dyDescent="0.25">
      <c r="A9" t="s">
        <v>2000</v>
      </c>
      <c r="B9" t="s">
        <v>1955</v>
      </c>
      <c r="C9" t="s">
        <v>2013</v>
      </c>
      <c r="D9" t="s">
        <v>1992</v>
      </c>
      <c r="E9" t="s">
        <v>1984</v>
      </c>
      <c r="F9" t="s">
        <v>2014</v>
      </c>
      <c r="G9" t="s">
        <v>1983</v>
      </c>
      <c r="H9" t="s">
        <v>1956</v>
      </c>
      <c r="I9" t="s">
        <v>2015</v>
      </c>
      <c r="J9" t="s">
        <v>2016</v>
      </c>
      <c r="K9" t="s">
        <v>2017</v>
      </c>
      <c r="L9" t="s">
        <v>2018</v>
      </c>
      <c r="M9" t="s">
        <v>2019</v>
      </c>
    </row>
    <row r="10" spans="1:13" x14ac:dyDescent="0.25">
      <c r="A10" t="s">
        <v>2020</v>
      </c>
      <c r="B10" t="s">
        <v>1955</v>
      </c>
      <c r="C10" t="s">
        <v>2021</v>
      </c>
      <c r="D10" t="s">
        <v>2022</v>
      </c>
      <c r="E10" t="s">
        <v>1993</v>
      </c>
      <c r="F10" t="s">
        <v>2023</v>
      </c>
      <c r="G10" t="s">
        <v>1960</v>
      </c>
      <c r="H10" t="s">
        <v>1960</v>
      </c>
      <c r="I10" t="s">
        <v>2024</v>
      </c>
      <c r="J10" t="s">
        <v>1963</v>
      </c>
      <c r="K10" t="s">
        <v>2025</v>
      </c>
      <c r="L10" t="s">
        <v>2005</v>
      </c>
      <c r="M10" t="s">
        <v>2026</v>
      </c>
    </row>
    <row r="11" spans="1:13" x14ac:dyDescent="0.25">
      <c r="A11" t="s">
        <v>2027</v>
      </c>
      <c r="B11" t="s">
        <v>1955</v>
      </c>
      <c r="C11" t="s">
        <v>2028</v>
      </c>
      <c r="D11" t="s">
        <v>2022</v>
      </c>
      <c r="E11" t="s">
        <v>1975</v>
      </c>
      <c r="F11" t="s">
        <v>2029</v>
      </c>
      <c r="G11" t="s">
        <v>1956</v>
      </c>
      <c r="H11" t="s">
        <v>1961</v>
      </c>
      <c r="I11" t="s">
        <v>2030</v>
      </c>
      <c r="J11" t="s">
        <v>1979</v>
      </c>
      <c r="K11" t="s">
        <v>2031</v>
      </c>
      <c r="L11" t="s">
        <v>1998</v>
      </c>
      <c r="M11" t="s">
        <v>2032</v>
      </c>
    </row>
    <row r="12" spans="1:13" x14ac:dyDescent="0.25">
      <c r="A12" t="s">
        <v>2027</v>
      </c>
      <c r="B12" t="s">
        <v>1955</v>
      </c>
      <c r="C12" t="s">
        <v>2033</v>
      </c>
      <c r="D12" t="s">
        <v>2022</v>
      </c>
      <c r="E12" t="s">
        <v>1958</v>
      </c>
      <c r="F12" t="s">
        <v>2034</v>
      </c>
      <c r="G12" t="s">
        <v>2007</v>
      </c>
      <c r="H12" t="s">
        <v>1960</v>
      </c>
      <c r="I12" t="s">
        <v>2035</v>
      </c>
      <c r="J12" t="s">
        <v>1970</v>
      </c>
      <c r="K12" t="s">
        <v>2036</v>
      </c>
      <c r="L12" t="s">
        <v>2037</v>
      </c>
      <c r="M12" t="s">
        <v>2038</v>
      </c>
    </row>
    <row r="13" spans="1:13" x14ac:dyDescent="0.25">
      <c r="A13" t="s">
        <v>2020</v>
      </c>
      <c r="B13" t="s">
        <v>1955</v>
      </c>
      <c r="C13" t="s">
        <v>2039</v>
      </c>
      <c r="D13" t="s">
        <v>2022</v>
      </c>
      <c r="E13" t="s">
        <v>1984</v>
      </c>
      <c r="F13" t="s">
        <v>2040</v>
      </c>
      <c r="G13" t="s">
        <v>1956</v>
      </c>
      <c r="H13" t="s">
        <v>1960</v>
      </c>
      <c r="I13" t="s">
        <v>2041</v>
      </c>
      <c r="J13" t="s">
        <v>1987</v>
      </c>
      <c r="K13" t="s">
        <v>2042</v>
      </c>
      <c r="L13" t="s">
        <v>2043</v>
      </c>
      <c r="M13" t="s">
        <v>2044</v>
      </c>
    </row>
    <row r="14" spans="1:13" x14ac:dyDescent="0.25">
      <c r="A14" t="s">
        <v>2045</v>
      </c>
      <c r="B14" t="s">
        <v>1955</v>
      </c>
      <c r="C14" t="s">
        <v>2046</v>
      </c>
      <c r="D14" t="s">
        <v>2047</v>
      </c>
      <c r="E14" t="s">
        <v>1993</v>
      </c>
      <c r="F14" t="s">
        <v>2048</v>
      </c>
      <c r="G14" t="s">
        <v>1956</v>
      </c>
      <c r="H14" t="s">
        <v>1960</v>
      </c>
      <c r="I14" t="s">
        <v>2049</v>
      </c>
      <c r="J14" t="s">
        <v>2016</v>
      </c>
      <c r="K14" t="s">
        <v>2050</v>
      </c>
      <c r="L14" t="s">
        <v>2043</v>
      </c>
      <c r="M14" t="s">
        <v>2051</v>
      </c>
    </row>
    <row r="15" spans="1:13" x14ac:dyDescent="0.25">
      <c r="A15" t="s">
        <v>2052</v>
      </c>
      <c r="B15" t="s">
        <v>1955</v>
      </c>
      <c r="C15" t="s">
        <v>2053</v>
      </c>
      <c r="D15" t="s">
        <v>2047</v>
      </c>
      <c r="E15" t="s">
        <v>1975</v>
      </c>
      <c r="F15" t="s">
        <v>2054</v>
      </c>
      <c r="G15" t="s">
        <v>1960</v>
      </c>
      <c r="H15" t="s">
        <v>1960</v>
      </c>
      <c r="I15" t="s">
        <v>2055</v>
      </c>
      <c r="J15" t="s">
        <v>2003</v>
      </c>
      <c r="K15" t="s">
        <v>2056</v>
      </c>
      <c r="L15" t="s">
        <v>2005</v>
      </c>
      <c r="M15" t="s">
        <v>2057</v>
      </c>
    </row>
    <row r="16" spans="1:13" x14ac:dyDescent="0.25">
      <c r="A16" t="s">
        <v>2052</v>
      </c>
      <c r="B16" t="s">
        <v>1955</v>
      </c>
      <c r="C16" t="s">
        <v>2058</v>
      </c>
      <c r="D16" t="s">
        <v>2047</v>
      </c>
      <c r="E16" t="s">
        <v>1958</v>
      </c>
      <c r="F16" t="s">
        <v>2059</v>
      </c>
      <c r="G16" t="s">
        <v>1974</v>
      </c>
      <c r="H16" t="s">
        <v>1961</v>
      </c>
      <c r="I16" t="s">
        <v>2060</v>
      </c>
      <c r="J16" t="s">
        <v>2010</v>
      </c>
      <c r="K16" t="s">
        <v>2061</v>
      </c>
      <c r="L16" t="s">
        <v>2018</v>
      </c>
      <c r="M16" t="s">
        <v>2062</v>
      </c>
    </row>
    <row r="17" spans="1:13" x14ac:dyDescent="0.25">
      <c r="A17" t="s">
        <v>2045</v>
      </c>
      <c r="B17" t="s">
        <v>1955</v>
      </c>
      <c r="C17" t="s">
        <v>2063</v>
      </c>
      <c r="D17" t="s">
        <v>2047</v>
      </c>
      <c r="E17" t="s">
        <v>1984</v>
      </c>
      <c r="F17" t="s">
        <v>2064</v>
      </c>
      <c r="G17" t="s">
        <v>1961</v>
      </c>
      <c r="H17" t="s">
        <v>1960</v>
      </c>
      <c r="I17" t="s">
        <v>2065</v>
      </c>
      <c r="J17" t="s">
        <v>1996</v>
      </c>
      <c r="K17" t="s">
        <v>2066</v>
      </c>
      <c r="L17" t="s">
        <v>1965</v>
      </c>
      <c r="M17" t="s">
        <v>2067</v>
      </c>
    </row>
    <row r="18" spans="1:13" x14ac:dyDescent="0.25">
      <c r="A18" t="s">
        <v>1973</v>
      </c>
      <c r="B18" t="s">
        <v>2068</v>
      </c>
      <c r="C18" t="s">
        <v>2069</v>
      </c>
      <c r="D18" t="s">
        <v>2070</v>
      </c>
      <c r="E18" t="s">
        <v>1993</v>
      </c>
      <c r="F18" t="s">
        <v>1986</v>
      </c>
      <c r="G18" t="s">
        <v>1960</v>
      </c>
      <c r="H18" t="s">
        <v>1961</v>
      </c>
      <c r="I18" t="s">
        <v>1978</v>
      </c>
      <c r="J18" t="s">
        <v>1987</v>
      </c>
      <c r="K18" t="s">
        <v>2017</v>
      </c>
      <c r="L18" t="s">
        <v>1965</v>
      </c>
      <c r="M18" t="s">
        <v>2071</v>
      </c>
    </row>
    <row r="19" spans="1:13" x14ac:dyDescent="0.25">
      <c r="A19" t="s">
        <v>1954</v>
      </c>
      <c r="B19" t="s">
        <v>2068</v>
      </c>
      <c r="C19" t="s">
        <v>2072</v>
      </c>
      <c r="D19" t="s">
        <v>2070</v>
      </c>
      <c r="E19" t="s">
        <v>1975</v>
      </c>
      <c r="F19" t="s">
        <v>1959</v>
      </c>
      <c r="G19" t="s">
        <v>1956</v>
      </c>
      <c r="H19" t="s">
        <v>1974</v>
      </c>
      <c r="I19" t="s">
        <v>1968</v>
      </c>
      <c r="J19" t="s">
        <v>1970</v>
      </c>
      <c r="K19" t="s">
        <v>2073</v>
      </c>
      <c r="L19" t="s">
        <v>2074</v>
      </c>
      <c r="M19" t="s">
        <v>2075</v>
      </c>
    </row>
    <row r="20" spans="1:13" x14ac:dyDescent="0.25">
      <c r="A20" t="s">
        <v>1954</v>
      </c>
      <c r="B20" t="s">
        <v>2068</v>
      </c>
      <c r="C20" t="s">
        <v>2076</v>
      </c>
      <c r="D20" t="s">
        <v>2070</v>
      </c>
      <c r="E20" t="s">
        <v>1958</v>
      </c>
      <c r="F20" t="s">
        <v>1969</v>
      </c>
      <c r="G20" t="s">
        <v>1956</v>
      </c>
      <c r="H20" t="s">
        <v>1956</v>
      </c>
      <c r="I20" t="s">
        <v>1962</v>
      </c>
      <c r="J20" t="s">
        <v>1979</v>
      </c>
      <c r="K20" t="s">
        <v>2077</v>
      </c>
      <c r="L20" t="s">
        <v>1965</v>
      </c>
      <c r="M20" t="s">
        <v>2078</v>
      </c>
    </row>
    <row r="21" spans="1:13" x14ac:dyDescent="0.25">
      <c r="A21" t="s">
        <v>1973</v>
      </c>
      <c r="B21" t="s">
        <v>2068</v>
      </c>
      <c r="C21" t="s">
        <v>2079</v>
      </c>
      <c r="D21" t="s">
        <v>2070</v>
      </c>
      <c r="E21" t="s">
        <v>1984</v>
      </c>
      <c r="F21" t="s">
        <v>1976</v>
      </c>
      <c r="G21" t="s">
        <v>1960</v>
      </c>
      <c r="H21" t="s">
        <v>1960</v>
      </c>
      <c r="I21" t="s">
        <v>1985</v>
      </c>
      <c r="J21" t="s">
        <v>1963</v>
      </c>
      <c r="K21" t="s">
        <v>2080</v>
      </c>
      <c r="L21" t="s">
        <v>2005</v>
      </c>
      <c r="M21" t="s">
        <v>2081</v>
      </c>
    </row>
    <row r="22" spans="1:13" x14ac:dyDescent="0.25">
      <c r="A22" t="s">
        <v>2000</v>
      </c>
      <c r="B22" t="s">
        <v>2068</v>
      </c>
      <c r="C22" t="s">
        <v>2082</v>
      </c>
      <c r="D22" t="s">
        <v>2083</v>
      </c>
      <c r="E22" t="s">
        <v>1993</v>
      </c>
      <c r="F22" t="s">
        <v>2002</v>
      </c>
      <c r="G22" t="s">
        <v>1960</v>
      </c>
      <c r="H22" t="s">
        <v>1956</v>
      </c>
      <c r="I22" t="s">
        <v>2015</v>
      </c>
      <c r="J22" t="s">
        <v>2016</v>
      </c>
      <c r="K22" t="s">
        <v>2084</v>
      </c>
      <c r="L22" t="s">
        <v>2043</v>
      </c>
      <c r="M22" t="s">
        <v>2085</v>
      </c>
    </row>
    <row r="23" spans="1:13" x14ac:dyDescent="0.25">
      <c r="A23" t="s">
        <v>1990</v>
      </c>
      <c r="B23" t="s">
        <v>2068</v>
      </c>
      <c r="C23" t="s">
        <v>2086</v>
      </c>
      <c r="D23" t="s">
        <v>2083</v>
      </c>
      <c r="E23" t="s">
        <v>1975</v>
      </c>
      <c r="F23" t="s">
        <v>2009</v>
      </c>
      <c r="G23" t="s">
        <v>1961</v>
      </c>
      <c r="H23" t="s">
        <v>1960</v>
      </c>
      <c r="I23" t="s">
        <v>1995</v>
      </c>
      <c r="J23" t="s">
        <v>2003</v>
      </c>
      <c r="K23" t="s">
        <v>2087</v>
      </c>
      <c r="L23" t="s">
        <v>1965</v>
      </c>
      <c r="M23" t="s">
        <v>2088</v>
      </c>
    </row>
    <row r="24" spans="1:13" x14ac:dyDescent="0.25">
      <c r="A24" t="s">
        <v>2000</v>
      </c>
      <c r="B24" t="s">
        <v>2068</v>
      </c>
      <c r="C24" t="s">
        <v>2089</v>
      </c>
      <c r="D24" t="s">
        <v>2083</v>
      </c>
      <c r="E24" t="s">
        <v>1958</v>
      </c>
      <c r="F24" t="s">
        <v>2014</v>
      </c>
      <c r="G24" t="s">
        <v>1961</v>
      </c>
      <c r="H24" t="s">
        <v>1956</v>
      </c>
      <c r="I24" t="s">
        <v>2001</v>
      </c>
      <c r="J24" t="s">
        <v>2010</v>
      </c>
      <c r="K24" t="s">
        <v>2090</v>
      </c>
      <c r="L24" t="s">
        <v>1998</v>
      </c>
      <c r="M24" t="s">
        <v>2091</v>
      </c>
    </row>
    <row r="25" spans="1:13" x14ac:dyDescent="0.25">
      <c r="A25" t="s">
        <v>1990</v>
      </c>
      <c r="B25" t="s">
        <v>2068</v>
      </c>
      <c r="C25" t="s">
        <v>2092</v>
      </c>
      <c r="D25" t="s">
        <v>2083</v>
      </c>
      <c r="E25" t="s">
        <v>1984</v>
      </c>
      <c r="F25" t="s">
        <v>1994</v>
      </c>
      <c r="G25" t="s">
        <v>1961</v>
      </c>
      <c r="H25" t="s">
        <v>1960</v>
      </c>
      <c r="I25" t="s">
        <v>2008</v>
      </c>
      <c r="J25" t="s">
        <v>1996</v>
      </c>
      <c r="K25" t="s">
        <v>2093</v>
      </c>
      <c r="L25" t="s">
        <v>1965</v>
      </c>
      <c r="M25" t="s">
        <v>2094</v>
      </c>
    </row>
    <row r="26" spans="1:13" x14ac:dyDescent="0.25">
      <c r="A26" t="s">
        <v>2027</v>
      </c>
      <c r="B26" t="s">
        <v>2068</v>
      </c>
      <c r="C26" t="s">
        <v>2095</v>
      </c>
      <c r="D26" t="s">
        <v>2096</v>
      </c>
      <c r="E26" t="s">
        <v>1993</v>
      </c>
      <c r="F26" t="s">
        <v>2030</v>
      </c>
      <c r="G26" t="s">
        <v>1960</v>
      </c>
      <c r="H26" t="s">
        <v>1956</v>
      </c>
      <c r="I26" t="s">
        <v>2035</v>
      </c>
      <c r="J26" t="s">
        <v>1987</v>
      </c>
      <c r="K26" t="s">
        <v>2097</v>
      </c>
      <c r="L26" t="s">
        <v>2043</v>
      </c>
      <c r="M26" t="s">
        <v>2098</v>
      </c>
    </row>
    <row r="27" spans="1:13" x14ac:dyDescent="0.25">
      <c r="A27" t="s">
        <v>2020</v>
      </c>
      <c r="B27" t="s">
        <v>2068</v>
      </c>
      <c r="C27" t="s">
        <v>2099</v>
      </c>
      <c r="D27" t="s">
        <v>2096</v>
      </c>
      <c r="E27" t="s">
        <v>1975</v>
      </c>
      <c r="F27" t="s">
        <v>2040</v>
      </c>
      <c r="G27" t="s">
        <v>1960</v>
      </c>
      <c r="H27" t="s">
        <v>1961</v>
      </c>
      <c r="I27" t="s">
        <v>2023</v>
      </c>
      <c r="J27" t="s">
        <v>1970</v>
      </c>
      <c r="K27" t="s">
        <v>2100</v>
      </c>
      <c r="L27" t="s">
        <v>1965</v>
      </c>
      <c r="M27" t="s">
        <v>2101</v>
      </c>
    </row>
    <row r="28" spans="1:13" x14ac:dyDescent="0.25">
      <c r="A28" t="s">
        <v>2020</v>
      </c>
      <c r="B28" t="s">
        <v>2068</v>
      </c>
      <c r="C28" t="s">
        <v>2102</v>
      </c>
      <c r="D28" t="s">
        <v>2096</v>
      </c>
      <c r="E28" t="s">
        <v>1958</v>
      </c>
      <c r="F28" t="s">
        <v>2024</v>
      </c>
      <c r="G28" t="s">
        <v>1983</v>
      </c>
      <c r="H28" t="s">
        <v>1956</v>
      </c>
      <c r="I28" t="s">
        <v>2041</v>
      </c>
      <c r="J28" t="s">
        <v>1979</v>
      </c>
      <c r="K28" t="s">
        <v>2103</v>
      </c>
      <c r="L28" t="s">
        <v>2018</v>
      </c>
      <c r="M28" t="s">
        <v>2104</v>
      </c>
    </row>
    <row r="29" spans="1:13" x14ac:dyDescent="0.25">
      <c r="A29" t="s">
        <v>2027</v>
      </c>
      <c r="B29" t="s">
        <v>2068</v>
      </c>
      <c r="C29" t="s">
        <v>2105</v>
      </c>
      <c r="D29" t="s">
        <v>2096</v>
      </c>
      <c r="E29" t="s">
        <v>1984</v>
      </c>
      <c r="F29" t="s">
        <v>2034</v>
      </c>
      <c r="G29" t="s">
        <v>1956</v>
      </c>
      <c r="H29" t="s">
        <v>1956</v>
      </c>
      <c r="I29" t="s">
        <v>2029</v>
      </c>
      <c r="J29" t="s">
        <v>1963</v>
      </c>
      <c r="K29" t="s">
        <v>2106</v>
      </c>
      <c r="L29" t="s">
        <v>1965</v>
      </c>
      <c r="M29" t="s">
        <v>2107</v>
      </c>
    </row>
    <row r="30" spans="1:13" x14ac:dyDescent="0.25">
      <c r="A30" t="s">
        <v>2045</v>
      </c>
      <c r="B30" t="s">
        <v>2068</v>
      </c>
      <c r="C30" t="s">
        <v>2108</v>
      </c>
      <c r="D30" t="s">
        <v>2109</v>
      </c>
      <c r="E30" t="s">
        <v>1993</v>
      </c>
      <c r="F30" t="s">
        <v>2049</v>
      </c>
      <c r="G30" t="s">
        <v>1974</v>
      </c>
      <c r="H30" t="s">
        <v>1974</v>
      </c>
      <c r="I30" t="s">
        <v>2065</v>
      </c>
      <c r="J30" t="s">
        <v>2016</v>
      </c>
      <c r="K30" t="s">
        <v>2110</v>
      </c>
      <c r="L30" t="s">
        <v>2111</v>
      </c>
      <c r="M30" t="s">
        <v>2112</v>
      </c>
    </row>
    <row r="31" spans="1:13" x14ac:dyDescent="0.25">
      <c r="A31" t="s">
        <v>2052</v>
      </c>
      <c r="B31" t="s">
        <v>2068</v>
      </c>
      <c r="C31" t="s">
        <v>2113</v>
      </c>
      <c r="D31" t="s">
        <v>2109</v>
      </c>
      <c r="E31" t="s">
        <v>1975</v>
      </c>
      <c r="F31" t="s">
        <v>2055</v>
      </c>
      <c r="G31" t="s">
        <v>1961</v>
      </c>
      <c r="H31" t="s">
        <v>1974</v>
      </c>
      <c r="I31" t="s">
        <v>2060</v>
      </c>
      <c r="J31" t="s">
        <v>2003</v>
      </c>
      <c r="K31" t="s">
        <v>2114</v>
      </c>
      <c r="L31" t="s">
        <v>2018</v>
      </c>
      <c r="M31" t="s">
        <v>2115</v>
      </c>
    </row>
    <row r="32" spans="1:13" x14ac:dyDescent="0.25">
      <c r="A32" t="s">
        <v>2045</v>
      </c>
      <c r="B32" t="s">
        <v>2068</v>
      </c>
      <c r="C32" t="s">
        <v>2116</v>
      </c>
      <c r="D32" t="s">
        <v>2109</v>
      </c>
      <c r="E32" t="s">
        <v>1958</v>
      </c>
      <c r="F32" t="s">
        <v>2064</v>
      </c>
      <c r="G32" t="s">
        <v>1956</v>
      </c>
      <c r="H32" t="s">
        <v>1960</v>
      </c>
      <c r="I32" t="s">
        <v>2048</v>
      </c>
      <c r="J32" t="s">
        <v>2010</v>
      </c>
      <c r="K32" t="s">
        <v>2117</v>
      </c>
      <c r="L32" t="s">
        <v>2043</v>
      </c>
      <c r="M32" t="s">
        <v>2118</v>
      </c>
    </row>
    <row r="33" spans="1:13" x14ac:dyDescent="0.25">
      <c r="A33" t="s">
        <v>2052</v>
      </c>
      <c r="B33" t="s">
        <v>2068</v>
      </c>
      <c r="C33" t="s">
        <v>2119</v>
      </c>
      <c r="D33" t="s">
        <v>2109</v>
      </c>
      <c r="E33" t="s">
        <v>1984</v>
      </c>
      <c r="F33" t="s">
        <v>2059</v>
      </c>
      <c r="G33" t="s">
        <v>1961</v>
      </c>
      <c r="H33" t="s">
        <v>1960</v>
      </c>
      <c r="I33" t="s">
        <v>2054</v>
      </c>
      <c r="J33" t="s">
        <v>1996</v>
      </c>
      <c r="K33" t="s">
        <v>2120</v>
      </c>
      <c r="L33" t="s">
        <v>1965</v>
      </c>
      <c r="M33" t="s">
        <v>2121</v>
      </c>
    </row>
    <row r="34" spans="1:13" x14ac:dyDescent="0.25">
      <c r="A34" t="s">
        <v>1954</v>
      </c>
      <c r="B34" t="s">
        <v>2122</v>
      </c>
      <c r="C34" t="s">
        <v>2123</v>
      </c>
      <c r="D34" t="s">
        <v>2124</v>
      </c>
      <c r="E34" t="s">
        <v>2125</v>
      </c>
      <c r="F34" t="s">
        <v>1962</v>
      </c>
      <c r="G34" t="s">
        <v>1956</v>
      </c>
      <c r="H34" t="s">
        <v>1961</v>
      </c>
      <c r="I34" t="s">
        <v>1968</v>
      </c>
      <c r="J34" t="s">
        <v>1979</v>
      </c>
      <c r="K34" t="s">
        <v>2126</v>
      </c>
      <c r="L34" t="s">
        <v>1998</v>
      </c>
      <c r="M34" t="s">
        <v>2127</v>
      </c>
    </row>
    <row r="35" spans="1:13" x14ac:dyDescent="0.25">
      <c r="A35" t="s">
        <v>1954</v>
      </c>
      <c r="B35" t="s">
        <v>2122</v>
      </c>
      <c r="C35" t="s">
        <v>2128</v>
      </c>
      <c r="D35" t="s">
        <v>2124</v>
      </c>
      <c r="E35" t="s">
        <v>2125</v>
      </c>
      <c r="F35" t="s">
        <v>1969</v>
      </c>
      <c r="G35" t="s">
        <v>1961</v>
      </c>
      <c r="H35" t="s">
        <v>1960</v>
      </c>
      <c r="I35" t="s">
        <v>1959</v>
      </c>
      <c r="J35" t="s">
        <v>1963</v>
      </c>
      <c r="K35" t="s">
        <v>2129</v>
      </c>
      <c r="L35" t="s">
        <v>1965</v>
      </c>
      <c r="M35" t="s">
        <v>2130</v>
      </c>
    </row>
    <row r="36" spans="1:13" x14ac:dyDescent="0.25">
      <c r="A36" t="s">
        <v>1973</v>
      </c>
      <c r="B36" t="s">
        <v>2122</v>
      </c>
      <c r="C36" t="s">
        <v>2131</v>
      </c>
      <c r="D36" t="s">
        <v>2124</v>
      </c>
      <c r="E36" t="s">
        <v>1984</v>
      </c>
      <c r="F36" t="s">
        <v>1978</v>
      </c>
      <c r="G36" t="s">
        <v>1960</v>
      </c>
      <c r="H36" t="s">
        <v>1956</v>
      </c>
      <c r="I36" t="s">
        <v>1985</v>
      </c>
      <c r="J36" t="s">
        <v>1970</v>
      </c>
      <c r="K36" t="s">
        <v>2132</v>
      </c>
      <c r="L36" t="s">
        <v>2043</v>
      </c>
      <c r="M36" t="s">
        <v>2133</v>
      </c>
    </row>
    <row r="37" spans="1:13" x14ac:dyDescent="0.25">
      <c r="A37" t="s">
        <v>1973</v>
      </c>
      <c r="B37" t="s">
        <v>2122</v>
      </c>
      <c r="C37" t="s">
        <v>2134</v>
      </c>
      <c r="D37" t="s">
        <v>2124</v>
      </c>
      <c r="E37" t="s">
        <v>1984</v>
      </c>
      <c r="F37" t="s">
        <v>1986</v>
      </c>
      <c r="G37" t="s">
        <v>1960</v>
      </c>
      <c r="H37" t="s">
        <v>1974</v>
      </c>
      <c r="I37" t="s">
        <v>1976</v>
      </c>
      <c r="J37" t="s">
        <v>1987</v>
      </c>
      <c r="K37" t="s">
        <v>2135</v>
      </c>
      <c r="L37" t="s">
        <v>1998</v>
      </c>
      <c r="M37" t="s">
        <v>2136</v>
      </c>
    </row>
    <row r="38" spans="1:13" x14ac:dyDescent="0.25">
      <c r="A38" t="s">
        <v>2000</v>
      </c>
      <c r="B38" t="s">
        <v>2122</v>
      </c>
      <c r="C38" t="s">
        <v>2137</v>
      </c>
      <c r="D38" t="s">
        <v>2138</v>
      </c>
      <c r="E38" t="s">
        <v>2125</v>
      </c>
      <c r="F38" t="s">
        <v>2015</v>
      </c>
      <c r="G38" t="s">
        <v>1956</v>
      </c>
      <c r="H38" t="s">
        <v>1960</v>
      </c>
      <c r="I38" t="s">
        <v>2001</v>
      </c>
      <c r="J38" t="s">
        <v>2016</v>
      </c>
      <c r="K38" t="s">
        <v>2139</v>
      </c>
      <c r="L38" t="s">
        <v>2043</v>
      </c>
      <c r="M38" t="s">
        <v>2140</v>
      </c>
    </row>
    <row r="39" spans="1:13" x14ac:dyDescent="0.25">
      <c r="A39" t="s">
        <v>2000</v>
      </c>
      <c r="B39" t="s">
        <v>2122</v>
      </c>
      <c r="C39" t="s">
        <v>2141</v>
      </c>
      <c r="D39" t="s">
        <v>2138</v>
      </c>
      <c r="E39" t="s">
        <v>2125</v>
      </c>
      <c r="F39" t="s">
        <v>2002</v>
      </c>
      <c r="G39" t="s">
        <v>1956</v>
      </c>
      <c r="H39" t="s">
        <v>1960</v>
      </c>
      <c r="I39" t="s">
        <v>2014</v>
      </c>
      <c r="J39" t="s">
        <v>2003</v>
      </c>
      <c r="K39" t="s">
        <v>2142</v>
      </c>
      <c r="L39" t="s">
        <v>2043</v>
      </c>
      <c r="M39" t="s">
        <v>2143</v>
      </c>
    </row>
    <row r="40" spans="1:13" x14ac:dyDescent="0.25">
      <c r="A40" t="s">
        <v>1990</v>
      </c>
      <c r="B40" t="s">
        <v>2122</v>
      </c>
      <c r="C40" t="s">
        <v>2144</v>
      </c>
      <c r="D40" t="s">
        <v>2138</v>
      </c>
      <c r="E40" t="s">
        <v>1984</v>
      </c>
      <c r="F40" t="s">
        <v>2009</v>
      </c>
      <c r="G40" t="s">
        <v>1960</v>
      </c>
      <c r="H40" t="s">
        <v>1961</v>
      </c>
      <c r="I40" t="s">
        <v>1994</v>
      </c>
      <c r="J40" t="s">
        <v>2010</v>
      </c>
      <c r="K40" t="s">
        <v>2145</v>
      </c>
      <c r="L40" t="s">
        <v>1965</v>
      </c>
      <c r="M40" t="s">
        <v>2146</v>
      </c>
    </row>
    <row r="41" spans="1:13" x14ac:dyDescent="0.25">
      <c r="A41" t="s">
        <v>1990</v>
      </c>
      <c r="B41" t="s">
        <v>2122</v>
      </c>
      <c r="C41" t="s">
        <v>2147</v>
      </c>
      <c r="D41" t="s">
        <v>2138</v>
      </c>
      <c r="E41" t="s">
        <v>1984</v>
      </c>
      <c r="F41" t="s">
        <v>1995</v>
      </c>
      <c r="G41" t="s">
        <v>1956</v>
      </c>
      <c r="H41" t="s">
        <v>1961</v>
      </c>
      <c r="I41" t="s">
        <v>2008</v>
      </c>
      <c r="J41" t="s">
        <v>1996</v>
      </c>
      <c r="K41" t="s">
        <v>2148</v>
      </c>
      <c r="L41" t="s">
        <v>1998</v>
      </c>
      <c r="M41" t="s">
        <v>2149</v>
      </c>
    </row>
    <row r="42" spans="1:13" x14ac:dyDescent="0.25">
      <c r="A42" t="s">
        <v>2020</v>
      </c>
      <c r="B42" t="s">
        <v>2122</v>
      </c>
      <c r="C42" t="s">
        <v>2150</v>
      </c>
      <c r="D42" t="s">
        <v>2151</v>
      </c>
      <c r="E42" t="s">
        <v>2125</v>
      </c>
      <c r="F42" t="s">
        <v>2041</v>
      </c>
      <c r="G42" t="s">
        <v>1956</v>
      </c>
      <c r="H42" t="s">
        <v>1961</v>
      </c>
      <c r="I42" t="s">
        <v>2023</v>
      </c>
      <c r="J42" t="s">
        <v>1970</v>
      </c>
      <c r="K42" t="s">
        <v>2152</v>
      </c>
      <c r="L42" t="s">
        <v>1998</v>
      </c>
      <c r="M42" t="s">
        <v>2153</v>
      </c>
    </row>
    <row r="43" spans="1:13" x14ac:dyDescent="0.25">
      <c r="A43" t="s">
        <v>2020</v>
      </c>
      <c r="B43" t="s">
        <v>2122</v>
      </c>
      <c r="C43" t="s">
        <v>2154</v>
      </c>
      <c r="D43" t="s">
        <v>2151</v>
      </c>
      <c r="E43" t="s">
        <v>2125</v>
      </c>
      <c r="F43" t="s">
        <v>2024</v>
      </c>
      <c r="G43" t="s">
        <v>1960</v>
      </c>
      <c r="H43" t="s">
        <v>1960</v>
      </c>
      <c r="I43" t="s">
        <v>2040</v>
      </c>
      <c r="J43" t="s">
        <v>1987</v>
      </c>
      <c r="K43" t="s">
        <v>2155</v>
      </c>
      <c r="L43" t="s">
        <v>2005</v>
      </c>
      <c r="M43" t="s">
        <v>2156</v>
      </c>
    </row>
    <row r="44" spans="1:13" x14ac:dyDescent="0.25">
      <c r="A44" t="s">
        <v>2027</v>
      </c>
      <c r="B44" t="s">
        <v>2122</v>
      </c>
      <c r="C44" t="s">
        <v>2157</v>
      </c>
      <c r="D44" t="s">
        <v>2151</v>
      </c>
      <c r="E44" t="s">
        <v>1984</v>
      </c>
      <c r="F44" t="s">
        <v>2035</v>
      </c>
      <c r="G44" t="s">
        <v>1961</v>
      </c>
      <c r="H44" t="s">
        <v>1983</v>
      </c>
      <c r="I44" t="s">
        <v>2029</v>
      </c>
      <c r="J44" t="s">
        <v>1963</v>
      </c>
      <c r="K44" t="s">
        <v>2158</v>
      </c>
      <c r="L44" t="s">
        <v>2111</v>
      </c>
      <c r="M44" t="s">
        <v>2159</v>
      </c>
    </row>
    <row r="45" spans="1:13" x14ac:dyDescent="0.25">
      <c r="A45" t="s">
        <v>2027</v>
      </c>
      <c r="B45" t="s">
        <v>2122</v>
      </c>
      <c r="C45" t="s">
        <v>2160</v>
      </c>
      <c r="D45" t="s">
        <v>2151</v>
      </c>
      <c r="E45" t="s">
        <v>1984</v>
      </c>
      <c r="F45" t="s">
        <v>2030</v>
      </c>
      <c r="G45" t="s">
        <v>1961</v>
      </c>
      <c r="H45" t="s">
        <v>1956</v>
      </c>
      <c r="I45" t="s">
        <v>2034</v>
      </c>
      <c r="J45" t="s">
        <v>1979</v>
      </c>
      <c r="K45" t="s">
        <v>2161</v>
      </c>
      <c r="L45" t="s">
        <v>1998</v>
      </c>
      <c r="M45" t="s">
        <v>2162</v>
      </c>
    </row>
    <row r="46" spans="1:13" x14ac:dyDescent="0.25">
      <c r="A46" t="s">
        <v>2052</v>
      </c>
      <c r="B46" t="s">
        <v>2122</v>
      </c>
      <c r="C46" t="s">
        <v>2163</v>
      </c>
      <c r="D46" t="s">
        <v>2164</v>
      </c>
      <c r="E46" t="s">
        <v>2125</v>
      </c>
      <c r="F46" t="s">
        <v>2060</v>
      </c>
      <c r="G46" t="s">
        <v>1960</v>
      </c>
      <c r="H46" t="s">
        <v>1961</v>
      </c>
      <c r="I46" t="s">
        <v>2054</v>
      </c>
      <c r="J46" t="s">
        <v>2016</v>
      </c>
      <c r="K46" t="s">
        <v>2165</v>
      </c>
      <c r="L46" t="s">
        <v>1965</v>
      </c>
      <c r="M46" t="s">
        <v>2166</v>
      </c>
    </row>
    <row r="47" spans="1:13" x14ac:dyDescent="0.25">
      <c r="A47" t="s">
        <v>2052</v>
      </c>
      <c r="B47" t="s">
        <v>2122</v>
      </c>
      <c r="C47" t="s">
        <v>2167</v>
      </c>
      <c r="D47" t="s">
        <v>2164</v>
      </c>
      <c r="E47" t="s">
        <v>2125</v>
      </c>
      <c r="F47" t="s">
        <v>2055</v>
      </c>
      <c r="G47" t="s">
        <v>1961</v>
      </c>
      <c r="H47" t="s">
        <v>1956</v>
      </c>
      <c r="I47" t="s">
        <v>2059</v>
      </c>
      <c r="J47" t="s">
        <v>2003</v>
      </c>
      <c r="K47" t="s">
        <v>2168</v>
      </c>
      <c r="L47" t="s">
        <v>1998</v>
      </c>
      <c r="M47" t="s">
        <v>2169</v>
      </c>
    </row>
    <row r="48" spans="1:13" x14ac:dyDescent="0.25">
      <c r="A48" t="s">
        <v>2045</v>
      </c>
      <c r="B48" t="s">
        <v>2122</v>
      </c>
      <c r="C48" t="s">
        <v>2170</v>
      </c>
      <c r="D48" t="s">
        <v>2164</v>
      </c>
      <c r="E48" t="s">
        <v>1984</v>
      </c>
      <c r="F48" t="s">
        <v>2049</v>
      </c>
      <c r="G48" t="s">
        <v>1956</v>
      </c>
      <c r="H48" t="s">
        <v>1960</v>
      </c>
      <c r="I48" t="s">
        <v>2064</v>
      </c>
      <c r="J48" t="s">
        <v>1996</v>
      </c>
      <c r="K48" t="s">
        <v>2171</v>
      </c>
      <c r="L48" t="s">
        <v>2043</v>
      </c>
      <c r="M48" t="s">
        <v>2172</v>
      </c>
    </row>
    <row r="49" spans="1:13" x14ac:dyDescent="0.25">
      <c r="A49" t="s">
        <v>2045</v>
      </c>
      <c r="B49" t="s">
        <v>2122</v>
      </c>
      <c r="C49" t="s">
        <v>2173</v>
      </c>
      <c r="D49" t="s">
        <v>2164</v>
      </c>
      <c r="E49" t="s">
        <v>1984</v>
      </c>
      <c r="F49" t="s">
        <v>2065</v>
      </c>
      <c r="G49" t="s">
        <v>1961</v>
      </c>
      <c r="H49" t="s">
        <v>1974</v>
      </c>
      <c r="I49" t="s">
        <v>2048</v>
      </c>
      <c r="J49" t="s">
        <v>2010</v>
      </c>
      <c r="K49" t="s">
        <v>2174</v>
      </c>
      <c r="L49" t="s">
        <v>2018</v>
      </c>
      <c r="M49" t="s">
        <v>2175</v>
      </c>
    </row>
    <row r="50" spans="1:13" x14ac:dyDescent="0.25">
      <c r="A50" t="s">
        <v>2176</v>
      </c>
      <c r="B50" t="s">
        <v>2177</v>
      </c>
      <c r="C50" t="s">
        <v>2178</v>
      </c>
      <c r="D50" t="s">
        <v>2179</v>
      </c>
      <c r="E50" t="s">
        <v>2125</v>
      </c>
      <c r="F50" t="s">
        <v>1969</v>
      </c>
      <c r="G50" t="s">
        <v>1974</v>
      </c>
      <c r="H50" t="s">
        <v>1956</v>
      </c>
      <c r="I50" t="s">
        <v>1985</v>
      </c>
      <c r="J50" t="s">
        <v>1979</v>
      </c>
      <c r="K50" t="s">
        <v>2180</v>
      </c>
      <c r="L50" t="s">
        <v>2074</v>
      </c>
      <c r="M50" t="s">
        <v>2181</v>
      </c>
    </row>
    <row r="51" spans="1:13" x14ac:dyDescent="0.25">
      <c r="A51" t="s">
        <v>2176</v>
      </c>
      <c r="B51" t="s">
        <v>2177</v>
      </c>
      <c r="C51" t="s">
        <v>2182</v>
      </c>
      <c r="D51" t="s">
        <v>2179</v>
      </c>
      <c r="E51" t="s">
        <v>1984</v>
      </c>
      <c r="F51" t="s">
        <v>1994</v>
      </c>
      <c r="G51" t="s">
        <v>1961</v>
      </c>
      <c r="H51" t="s">
        <v>1956</v>
      </c>
      <c r="I51" t="s">
        <v>2015</v>
      </c>
      <c r="J51" t="s">
        <v>1987</v>
      </c>
      <c r="K51" t="s">
        <v>2183</v>
      </c>
      <c r="L51" t="s">
        <v>1998</v>
      </c>
      <c r="M51" t="s">
        <v>2184</v>
      </c>
    </row>
    <row r="52" spans="1:13" x14ac:dyDescent="0.25">
      <c r="A52" t="s">
        <v>2176</v>
      </c>
      <c r="B52" t="s">
        <v>2177</v>
      </c>
      <c r="C52" t="s">
        <v>2185</v>
      </c>
      <c r="D52" t="s">
        <v>2186</v>
      </c>
      <c r="E52" t="s">
        <v>2125</v>
      </c>
      <c r="F52" t="s">
        <v>2014</v>
      </c>
      <c r="G52" t="s">
        <v>1974</v>
      </c>
      <c r="H52" t="s">
        <v>1956</v>
      </c>
      <c r="I52" t="s">
        <v>2009</v>
      </c>
      <c r="J52" t="s">
        <v>1970</v>
      </c>
      <c r="K52" t="s">
        <v>2187</v>
      </c>
      <c r="L52" t="s">
        <v>2074</v>
      </c>
      <c r="M52" t="s">
        <v>2188</v>
      </c>
    </row>
    <row r="53" spans="1:13" x14ac:dyDescent="0.25">
      <c r="A53" t="s">
        <v>2176</v>
      </c>
      <c r="B53" t="s">
        <v>2177</v>
      </c>
      <c r="C53" t="s">
        <v>2189</v>
      </c>
      <c r="D53" t="s">
        <v>2186</v>
      </c>
      <c r="E53" t="s">
        <v>1984</v>
      </c>
      <c r="F53" t="s">
        <v>1976</v>
      </c>
      <c r="G53" t="s">
        <v>1974</v>
      </c>
      <c r="H53" t="s">
        <v>1960</v>
      </c>
      <c r="I53" t="s">
        <v>1968</v>
      </c>
      <c r="J53" t="s">
        <v>1963</v>
      </c>
      <c r="K53" t="s">
        <v>2190</v>
      </c>
      <c r="L53" t="s">
        <v>1998</v>
      </c>
      <c r="M53" t="s">
        <v>2191</v>
      </c>
    </row>
    <row r="54" spans="1:13" x14ac:dyDescent="0.25">
      <c r="A54" t="s">
        <v>2176</v>
      </c>
      <c r="B54" t="s">
        <v>2177</v>
      </c>
      <c r="C54" t="s">
        <v>2192</v>
      </c>
      <c r="D54" t="s">
        <v>2193</v>
      </c>
      <c r="E54" t="s">
        <v>2125</v>
      </c>
      <c r="F54" t="s">
        <v>2030</v>
      </c>
      <c r="G54" t="s">
        <v>1956</v>
      </c>
      <c r="H54" t="s">
        <v>1956</v>
      </c>
      <c r="I54" t="s">
        <v>2024</v>
      </c>
      <c r="J54" t="s">
        <v>2016</v>
      </c>
      <c r="K54" t="s">
        <v>2194</v>
      </c>
      <c r="L54" t="s">
        <v>1965</v>
      </c>
      <c r="M54" t="s">
        <v>2195</v>
      </c>
    </row>
    <row r="55" spans="1:13" x14ac:dyDescent="0.25">
      <c r="A55" t="s">
        <v>2176</v>
      </c>
      <c r="B55" t="s">
        <v>2177</v>
      </c>
      <c r="C55" t="s">
        <v>2196</v>
      </c>
      <c r="D55" t="s">
        <v>2193</v>
      </c>
      <c r="E55" t="s">
        <v>1984</v>
      </c>
      <c r="F55" t="s">
        <v>2064</v>
      </c>
      <c r="G55" t="s">
        <v>1983</v>
      </c>
      <c r="H55" t="s">
        <v>1956</v>
      </c>
      <c r="I55" t="s">
        <v>2055</v>
      </c>
      <c r="J55" t="s">
        <v>2010</v>
      </c>
      <c r="K55" t="s">
        <v>2197</v>
      </c>
      <c r="L55" t="s">
        <v>2018</v>
      </c>
      <c r="M55" t="s">
        <v>2198</v>
      </c>
    </row>
    <row r="56" spans="1:13" x14ac:dyDescent="0.25">
      <c r="A56" t="s">
        <v>2176</v>
      </c>
      <c r="B56" t="s">
        <v>2177</v>
      </c>
      <c r="C56" t="s">
        <v>2199</v>
      </c>
      <c r="D56" t="s">
        <v>2200</v>
      </c>
      <c r="E56" t="s">
        <v>2125</v>
      </c>
      <c r="F56" t="s">
        <v>2023</v>
      </c>
      <c r="G56" t="s">
        <v>1960</v>
      </c>
      <c r="H56" t="s">
        <v>1960</v>
      </c>
      <c r="I56" t="s">
        <v>2034</v>
      </c>
      <c r="J56" t="s">
        <v>2003</v>
      </c>
      <c r="K56" t="s">
        <v>2201</v>
      </c>
      <c r="L56" t="s">
        <v>2005</v>
      </c>
      <c r="M56" t="s">
        <v>2202</v>
      </c>
    </row>
    <row r="57" spans="1:13" x14ac:dyDescent="0.25">
      <c r="A57" t="s">
        <v>2176</v>
      </c>
      <c r="B57" t="s">
        <v>2177</v>
      </c>
      <c r="C57" t="s">
        <v>2203</v>
      </c>
      <c r="D57" t="s">
        <v>2200</v>
      </c>
      <c r="E57" t="s">
        <v>1984</v>
      </c>
      <c r="F57" t="s">
        <v>2059</v>
      </c>
      <c r="G57" t="s">
        <v>1977</v>
      </c>
      <c r="H57" t="s">
        <v>1956</v>
      </c>
      <c r="I57" t="s">
        <v>2048</v>
      </c>
      <c r="J57" t="s">
        <v>1996</v>
      </c>
      <c r="K57" t="s">
        <v>2204</v>
      </c>
      <c r="L57" t="s">
        <v>2037</v>
      </c>
      <c r="M57" t="s">
        <v>2205</v>
      </c>
    </row>
    <row r="58" spans="1:13" x14ac:dyDescent="0.25">
      <c r="A58" t="s">
        <v>2176</v>
      </c>
      <c r="B58" t="s">
        <v>2206</v>
      </c>
      <c r="C58" t="s">
        <v>2207</v>
      </c>
      <c r="D58" t="s">
        <v>2208</v>
      </c>
      <c r="E58" t="s">
        <v>2125</v>
      </c>
      <c r="F58" t="s">
        <v>2024</v>
      </c>
      <c r="G58" t="s">
        <v>1956</v>
      </c>
      <c r="H58" t="s">
        <v>1956</v>
      </c>
      <c r="I58" t="s">
        <v>2064</v>
      </c>
      <c r="J58" t="s">
        <v>2003</v>
      </c>
      <c r="K58" t="s">
        <v>2209</v>
      </c>
      <c r="L58" t="s">
        <v>1965</v>
      </c>
      <c r="M58" t="s">
        <v>2210</v>
      </c>
    </row>
    <row r="59" spans="1:13" x14ac:dyDescent="0.25">
      <c r="A59" t="s">
        <v>2176</v>
      </c>
      <c r="B59" t="s">
        <v>2206</v>
      </c>
      <c r="C59" t="s">
        <v>2211</v>
      </c>
      <c r="D59" t="s">
        <v>2208</v>
      </c>
      <c r="E59" t="s">
        <v>1984</v>
      </c>
      <c r="F59" t="s">
        <v>1969</v>
      </c>
      <c r="G59" t="s">
        <v>1961</v>
      </c>
      <c r="H59" t="s">
        <v>1961</v>
      </c>
      <c r="I59" t="s">
        <v>1994</v>
      </c>
      <c r="J59" t="s">
        <v>1996</v>
      </c>
      <c r="K59" t="s">
        <v>2212</v>
      </c>
      <c r="L59" t="s">
        <v>2074</v>
      </c>
      <c r="M59" t="s">
        <v>2213</v>
      </c>
    </row>
    <row r="60" spans="1:13" x14ac:dyDescent="0.25">
      <c r="A60" t="s">
        <v>2176</v>
      </c>
      <c r="B60" t="s">
        <v>2206</v>
      </c>
      <c r="C60" t="s">
        <v>2214</v>
      </c>
      <c r="D60" t="s">
        <v>2215</v>
      </c>
      <c r="E60" t="s">
        <v>2125</v>
      </c>
      <c r="F60" t="s">
        <v>2023</v>
      </c>
      <c r="G60" t="s">
        <v>1956</v>
      </c>
      <c r="H60" t="s">
        <v>1960</v>
      </c>
      <c r="I60" t="s">
        <v>2059</v>
      </c>
      <c r="J60" t="s">
        <v>1970</v>
      </c>
      <c r="K60" t="s">
        <v>2216</v>
      </c>
      <c r="L60" t="s">
        <v>2043</v>
      </c>
      <c r="M60" t="s">
        <v>2217</v>
      </c>
    </row>
    <row r="61" spans="1:13" x14ac:dyDescent="0.25">
      <c r="A61" t="s">
        <v>2176</v>
      </c>
      <c r="B61" t="s">
        <v>2206</v>
      </c>
      <c r="C61" t="s">
        <v>2218</v>
      </c>
      <c r="D61" t="s">
        <v>2215</v>
      </c>
      <c r="E61" t="s">
        <v>1984</v>
      </c>
      <c r="F61" t="s">
        <v>2014</v>
      </c>
      <c r="G61" t="s">
        <v>1961</v>
      </c>
      <c r="H61" t="s">
        <v>1956</v>
      </c>
      <c r="I61" t="s">
        <v>1976</v>
      </c>
      <c r="J61" t="s">
        <v>1963</v>
      </c>
      <c r="K61" t="s">
        <v>2106</v>
      </c>
      <c r="L61" t="s">
        <v>1998</v>
      </c>
      <c r="M61" t="s">
        <v>2219</v>
      </c>
    </row>
    <row r="62" spans="1:13" x14ac:dyDescent="0.25">
      <c r="A62" t="s">
        <v>2176</v>
      </c>
      <c r="B62" t="s">
        <v>2220</v>
      </c>
      <c r="C62" t="s">
        <v>2221</v>
      </c>
      <c r="D62" t="s">
        <v>2222</v>
      </c>
      <c r="E62" t="s">
        <v>1984</v>
      </c>
      <c r="F62" t="s">
        <v>2024</v>
      </c>
      <c r="G62" t="s">
        <v>1960</v>
      </c>
      <c r="H62" t="s">
        <v>1974</v>
      </c>
      <c r="I62" t="s">
        <v>1994</v>
      </c>
      <c r="J62" t="s">
        <v>1996</v>
      </c>
      <c r="K62" t="s">
        <v>2093</v>
      </c>
      <c r="L62" t="s">
        <v>1998</v>
      </c>
      <c r="M62" t="s">
        <v>2223</v>
      </c>
    </row>
    <row r="63" spans="1:13" x14ac:dyDescent="0.25">
      <c r="A63" t="s">
        <v>2176</v>
      </c>
      <c r="B63" t="s">
        <v>2220</v>
      </c>
      <c r="C63" t="s">
        <v>2224</v>
      </c>
      <c r="D63" t="s">
        <v>2225</v>
      </c>
      <c r="E63" t="s">
        <v>1984</v>
      </c>
      <c r="F63" t="s">
        <v>2023</v>
      </c>
      <c r="G63" t="s">
        <v>1960</v>
      </c>
      <c r="H63" t="s">
        <v>1961</v>
      </c>
      <c r="I63" t="s">
        <v>2014</v>
      </c>
      <c r="J63" t="s">
        <v>1963</v>
      </c>
      <c r="K63" t="s">
        <v>2226</v>
      </c>
      <c r="L63" t="s">
        <v>1965</v>
      </c>
      <c r="M63" t="s">
        <v>2227</v>
      </c>
    </row>
    <row r="64" spans="1:13" x14ac:dyDescent="0.25">
      <c r="A64" t="s">
        <v>2176</v>
      </c>
      <c r="B64" t="s">
        <v>2228</v>
      </c>
      <c r="C64" t="s">
        <v>2229</v>
      </c>
      <c r="D64" t="s">
        <v>2230</v>
      </c>
      <c r="E64" t="s">
        <v>2125</v>
      </c>
      <c r="F64" t="s">
        <v>2024</v>
      </c>
      <c r="G64" t="s">
        <v>1961</v>
      </c>
      <c r="H64" t="s">
        <v>1956</v>
      </c>
      <c r="I64" t="s">
        <v>2023</v>
      </c>
      <c r="J64" t="s">
        <v>1979</v>
      </c>
      <c r="K64" t="s">
        <v>2231</v>
      </c>
      <c r="L64" t="s">
        <v>1998</v>
      </c>
      <c r="M64" t="s">
        <v>2232</v>
      </c>
    </row>
    <row r="65" spans="1:13" x14ac:dyDescent="0.25">
      <c r="A65" t="s">
        <v>2176</v>
      </c>
      <c r="B65" t="s">
        <v>2233</v>
      </c>
      <c r="C65" t="s">
        <v>2234</v>
      </c>
      <c r="D65" t="s">
        <v>2235</v>
      </c>
      <c r="E65" t="s">
        <v>2125</v>
      </c>
      <c r="F65" t="s">
        <v>1994</v>
      </c>
      <c r="G65" t="s">
        <v>1974</v>
      </c>
      <c r="H65" t="s">
        <v>1974</v>
      </c>
      <c r="I65" t="s">
        <v>2014</v>
      </c>
      <c r="J65" t="s">
        <v>1996</v>
      </c>
      <c r="K65" t="s">
        <v>2093</v>
      </c>
      <c r="L65" t="s">
        <v>2111</v>
      </c>
      <c r="M65" t="s">
        <v>2236</v>
      </c>
    </row>
    <row r="66" spans="1:13" x14ac:dyDescent="0.25">
      <c r="A66" t="s">
        <v>2237</v>
      </c>
      <c r="D66" t="s">
        <v>2238</v>
      </c>
      <c r="K66" t="s">
        <v>2239</v>
      </c>
      <c r="M66" t="s">
        <v>2240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Props1.xml><?xml version="1.0" encoding="utf-8"?>
<ds:datastoreItem xmlns:ds="http://schemas.openxmlformats.org/officeDocument/2006/customXml" ds:itemID="{9DA91A20-EFA2-4691-AE50-F016691567A4}">
  <ds:schemaRefs/>
</ds:datastoreItem>
</file>

<file path=customXml/itemProps2.xml><?xml version="1.0" encoding="utf-8"?>
<ds:datastoreItem xmlns:ds="http://schemas.openxmlformats.org/officeDocument/2006/customXml" ds:itemID="{01F73418-091F-4C57-8B63-3EB6C6E8565B}">
  <ds:schemaRefs/>
</ds:datastoreItem>
</file>

<file path=customXml/itemProps3.xml><?xml version="1.0" encoding="utf-8"?>
<ds:datastoreItem xmlns:ds="http://schemas.openxmlformats.org/officeDocument/2006/customXml" ds:itemID="{1D8FC67F-5136-43FE-B57E-F6A0FF530681}">
  <ds:schemaRefs/>
</ds:datastoreItem>
</file>

<file path=customXml/itemProps4.xml><?xml version="1.0" encoding="utf-8"?>
<ds:datastoreItem xmlns:ds="http://schemas.openxmlformats.org/officeDocument/2006/customXml" ds:itemID="{6A53D41D-FD53-4251-9732-49598070384D}">
  <ds:schemaRefs/>
</ds:datastoreItem>
</file>

<file path=customXml/itemProps5.xml><?xml version="1.0" encoding="utf-8"?>
<ds:datastoreItem xmlns:ds="http://schemas.openxmlformats.org/officeDocument/2006/customXml" ds:itemID="{F42AA7E8-5069-4A5C-9C10-B3BF7630C241}">
  <ds:schemaRefs/>
</ds:datastoreItem>
</file>

<file path=customXml/itemProps6.xml><?xml version="1.0" encoding="utf-8"?>
<ds:datastoreItem xmlns:ds="http://schemas.openxmlformats.org/officeDocument/2006/customXml" ds:itemID="{0F94A6D8-DD2B-4CA6-AFF6-61CEAB32C8A2}">
  <ds:schemaRefs/>
</ds:datastoreItem>
</file>

<file path=customXml/itemProps7.xml><?xml version="1.0" encoding="utf-8"?>
<ds:datastoreItem xmlns:ds="http://schemas.openxmlformats.org/officeDocument/2006/customXml" ds:itemID="{05B88B88-3837-4028-ABF9-6AC4CA273DB1}">
  <ds:schemaRefs>
    <ds:schemaRef ds:uri="http://www.w3.org/2001/XMLSchema"/>
    <ds:schemaRef ds:uri="http://microsoft.data.visualization.Client.Excel.CustomMapList/1.0"/>
  </ds:schemaRefs>
</ds:datastoreItem>
</file>

<file path=customXml/itemProps8.xml><?xml version="1.0" encoding="utf-8"?>
<ds:datastoreItem xmlns:ds="http://schemas.openxmlformats.org/officeDocument/2006/customXml" ds:itemID="{4EE7CFD0-1498-43EE-8183-361078245EEF}">
  <ds:schemaRefs/>
</ds:datastoreItem>
</file>

<file path=customXml/itemProps9.xml><?xml version="1.0" encoding="utf-8"?>
<ds:datastoreItem xmlns:ds="http://schemas.openxmlformats.org/officeDocument/2006/customXml" ds:itemID="{B4A98EA7-DAA8-4D0E-B151-810135B7B90B}">
  <ds:schemaRefs/>
</ds:datastoreItem>
</file>

<file path=customXml/itemProps10.xml><?xml version="1.0" encoding="utf-8"?>
<ds:datastoreItem xmlns:ds="http://schemas.openxmlformats.org/officeDocument/2006/customXml" ds:itemID="{794D1A12-56A2-4580-B4A5-2635E38D202E}">
  <ds:schemaRefs/>
</ds:datastoreItem>
</file>

<file path=customXml/itemProps11.xml><?xml version="1.0" encoding="utf-8"?>
<ds:datastoreItem xmlns:ds="http://schemas.openxmlformats.org/officeDocument/2006/customXml" ds:itemID="{878EA14B-C974-4911-A3DE-7F93E38A3000}">
  <ds:schemaRefs/>
</ds:datastoreItem>
</file>

<file path=customXml/itemProps12.xml><?xml version="1.0" encoding="utf-8"?>
<ds:datastoreItem xmlns:ds="http://schemas.openxmlformats.org/officeDocument/2006/customXml" ds:itemID="{B72B3167-E90F-470E-AFD6-FE5714C428DA}">
  <ds:schemaRefs>
    <ds:schemaRef ds:uri="http://www.w3.org/2001/XMLSchema"/>
    <ds:schemaRef ds:uri="http://microsoft.data.visualization.Client.Excel.LState/1.0"/>
  </ds:schemaRefs>
</ds:datastoreItem>
</file>

<file path=customXml/itemProps13.xml><?xml version="1.0" encoding="utf-8"?>
<ds:datastoreItem xmlns:ds="http://schemas.openxmlformats.org/officeDocument/2006/customXml" ds:itemID="{FCE9961C-6733-4B0A-87D5-97914E7C85BE}">
  <ds:schemaRefs/>
</ds:datastoreItem>
</file>

<file path=customXml/itemProps14.xml><?xml version="1.0" encoding="utf-8"?>
<ds:datastoreItem xmlns:ds="http://schemas.openxmlformats.org/officeDocument/2006/customXml" ds:itemID="{4010DF2F-D921-42CE-AEE4-4E53CFEC8526}">
  <ds:schemaRefs/>
</ds:datastoreItem>
</file>

<file path=customXml/itemProps15.xml><?xml version="1.0" encoding="utf-8"?>
<ds:datastoreItem xmlns:ds="http://schemas.openxmlformats.org/officeDocument/2006/customXml" ds:itemID="{AB394920-B357-4874-89F7-190D1F6A9715}">
  <ds:schemaRefs/>
</ds:datastoreItem>
</file>

<file path=customXml/itemProps16.xml><?xml version="1.0" encoding="utf-8"?>
<ds:datastoreItem xmlns:ds="http://schemas.openxmlformats.org/officeDocument/2006/customXml" ds:itemID="{251535C3-F5F9-492A-AAC9-ED0029DAF2DF}">
  <ds:schemaRefs/>
</ds:datastoreItem>
</file>

<file path=customXml/itemProps17.xml><?xml version="1.0" encoding="utf-8"?>
<ds:datastoreItem xmlns:ds="http://schemas.openxmlformats.org/officeDocument/2006/customXml" ds:itemID="{0E584E1F-1153-4BB4-B044-33882F70DE4C}">
  <ds:schemaRefs>
    <ds:schemaRef ds:uri="http://www.w3.org/2001/XMLSchema"/>
    <ds:schemaRef ds:uri="http://microsoft.data.visualization.engine.tours/1.0"/>
  </ds:schemaRefs>
</ds:datastoreItem>
</file>

<file path=customXml/itemProps18.xml><?xml version="1.0" encoding="utf-8"?>
<ds:datastoreItem xmlns:ds="http://schemas.openxmlformats.org/officeDocument/2006/customXml" ds:itemID="{BC2366E1-B6AB-4F7B-A572-04832AC4B1F9}">
  <ds:schemaRefs/>
</ds:datastoreItem>
</file>

<file path=customXml/itemProps19.xml><?xml version="1.0" encoding="utf-8"?>
<ds:datastoreItem xmlns:ds="http://schemas.openxmlformats.org/officeDocument/2006/customXml" ds:itemID="{0D27EBEB-7558-4A77-A57C-2C5523BD9BD4}">
  <ds:schemaRefs/>
</ds:datastoreItem>
</file>

<file path=customXml/itemProps20.xml><?xml version="1.0" encoding="utf-8"?>
<ds:datastoreItem xmlns:ds="http://schemas.openxmlformats.org/officeDocument/2006/customXml" ds:itemID="{A2A3B76E-65AB-47F7-B8A4-12A9773C19DB}">
  <ds:schemaRefs/>
</ds:datastoreItem>
</file>

<file path=customXml/itemProps21.xml><?xml version="1.0" encoding="utf-8"?>
<ds:datastoreItem xmlns:ds="http://schemas.openxmlformats.org/officeDocument/2006/customXml" ds:itemID="{9C3E4D6A-0FD6-4F07-84C7-3C847C667F16}">
  <ds:schemaRefs/>
</ds:datastoreItem>
</file>

<file path=customXml/itemProps22.xml><?xml version="1.0" encoding="utf-8"?>
<ds:datastoreItem xmlns:ds="http://schemas.openxmlformats.org/officeDocument/2006/customXml" ds:itemID="{A6DC6153-5AA6-4D89-9987-B324CD263C8C}">
  <ds:schemaRefs/>
</ds:datastoreItem>
</file>

<file path=customXml/itemProps23.xml><?xml version="1.0" encoding="utf-8"?>
<ds:datastoreItem xmlns:ds="http://schemas.openxmlformats.org/officeDocument/2006/customXml" ds:itemID="{4517A57C-C4ED-44F2-8713-AFD3E0AFE688}">
  <ds:schemaRefs/>
</ds:datastoreItem>
</file>

<file path=customXml/itemProps24.xml><?xml version="1.0" encoding="utf-8"?>
<ds:datastoreItem xmlns:ds="http://schemas.openxmlformats.org/officeDocument/2006/customXml" ds:itemID="{19D43C5F-ED44-4F72-A109-03651268B1A2}">
  <ds:schemaRefs/>
</ds:datastoreItem>
</file>

<file path=customXml/itemProps25.xml><?xml version="1.0" encoding="utf-8"?>
<ds:datastoreItem xmlns:ds="http://schemas.openxmlformats.org/officeDocument/2006/customXml" ds:itemID="{0393E2FC-1E28-4C7B-80CA-DBFD6CD17F6D}">
  <ds:schemaRefs/>
</ds:datastoreItem>
</file>

<file path=customXml/itemProps26.xml><?xml version="1.0" encoding="utf-8"?>
<ds:datastoreItem xmlns:ds="http://schemas.openxmlformats.org/officeDocument/2006/customXml" ds:itemID="{4C51077F-C7D9-4C19-8DAD-18731341282F}">
  <ds:schemaRefs/>
</ds:datastoreItem>
</file>

<file path=customXml/itemProps27.xml><?xml version="1.0" encoding="utf-8"?>
<ds:datastoreItem xmlns:ds="http://schemas.openxmlformats.org/officeDocument/2006/customXml" ds:itemID="{33368A58-591E-4E25-9340-6427C6BA3B9A}">
  <ds:schemaRefs/>
</ds:datastoreItem>
</file>

<file path=customXml/itemProps28.xml><?xml version="1.0" encoding="utf-8"?>
<ds:datastoreItem xmlns:ds="http://schemas.openxmlformats.org/officeDocument/2006/customXml" ds:itemID="{302ACBE4-037F-4F7C-8EE0-B25BBCC69A76}">
  <ds:schemaRefs>
    <ds:schemaRef ds:uri="http://schemas.microsoft.com/DataMashup"/>
  </ds:schemaRefs>
</ds:datastoreItem>
</file>

<file path=customXml/itemProps29.xml><?xml version="1.0" encoding="utf-8"?>
<ds:datastoreItem xmlns:ds="http://schemas.openxmlformats.org/officeDocument/2006/customXml" ds:itemID="{C92F3741-844A-4C92-A1FE-1AA423AB4672}">
  <ds:schemaRefs/>
</ds:datastoreItem>
</file>

<file path=customXml/itemProps30.xml><?xml version="1.0" encoding="utf-8"?>
<ds:datastoreItem xmlns:ds="http://schemas.openxmlformats.org/officeDocument/2006/customXml" ds:itemID="{2E14C65C-1ADF-468B-8136-7F9A1D078173}">
  <ds:schemaRefs/>
</ds:datastoreItem>
</file>

<file path=customXml/itemProps31.xml><?xml version="1.0" encoding="utf-8"?>
<ds:datastoreItem xmlns:ds="http://schemas.openxmlformats.org/officeDocument/2006/customXml" ds:itemID="{B82A3C3F-68AE-41F9-9565-78CD8F88DD6B}">
  <ds:schemaRefs/>
</ds:datastoreItem>
</file>

<file path=customXml/itemProps32.xml><?xml version="1.0" encoding="utf-8"?>
<ds:datastoreItem xmlns:ds="http://schemas.openxmlformats.org/officeDocument/2006/customXml" ds:itemID="{C0144FD1-D5F9-4F4D-8768-007ABD6159BD}">
  <ds:schemaRefs/>
</ds:datastoreItem>
</file>

<file path=customXml/itemProps33.xml><?xml version="1.0" encoding="utf-8"?>
<ds:datastoreItem xmlns:ds="http://schemas.openxmlformats.org/officeDocument/2006/customXml" ds:itemID="{61001E4E-58D4-4D6F-A65D-2A35B8996AD3}">
  <ds:schemaRefs>
    <ds:schemaRef ds:uri="http://www.w3.org/2001/XMLSchema"/>
    <ds:schemaRef ds:uri="http://microsoft.data.visualization.Client.Excel/1.0"/>
  </ds:schemaRefs>
</ds:datastoreItem>
</file>

<file path=customXml/itemProps34.xml><?xml version="1.0" encoding="utf-8"?>
<ds:datastoreItem xmlns:ds="http://schemas.openxmlformats.org/officeDocument/2006/customXml" ds:itemID="{2101F5CE-7961-437F-BC48-BAB7BF4B8A40}">
  <ds:schemaRefs/>
</ds:datastoreItem>
</file>

<file path=customXml/itemProps35.xml><?xml version="1.0" encoding="utf-8"?>
<ds:datastoreItem xmlns:ds="http://schemas.openxmlformats.org/officeDocument/2006/customXml" ds:itemID="{1421474B-612F-4C3A-9A50-B152BA9CE36C}">
  <ds:schemaRefs/>
</ds:datastoreItem>
</file>

<file path=customXml/itemProps36.xml><?xml version="1.0" encoding="utf-8"?>
<ds:datastoreItem xmlns:ds="http://schemas.openxmlformats.org/officeDocument/2006/customXml" ds:itemID="{8638099F-D620-402F-A43F-FD86DBD2AD65}">
  <ds:schemaRefs/>
</ds:datastoreItem>
</file>

<file path=customXml/itemProps37.xml><?xml version="1.0" encoding="utf-8"?>
<ds:datastoreItem xmlns:ds="http://schemas.openxmlformats.org/officeDocument/2006/customXml" ds:itemID="{FAC92813-C605-469D-8107-76A80B51D7F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3</vt:i4>
      </vt:variant>
    </vt:vector>
  </HeadingPairs>
  <TitlesOfParts>
    <vt:vector size="25" baseType="lpstr">
      <vt:lpstr>Categories</vt:lpstr>
      <vt:lpstr>FIFA Region</vt:lpstr>
      <vt:lpstr>Stadiums</vt:lpstr>
      <vt:lpstr>World Cup Groups</vt:lpstr>
      <vt:lpstr>Football Associations</vt:lpstr>
      <vt:lpstr>Club Leagues of FA</vt:lpstr>
      <vt:lpstr>Clubs</vt:lpstr>
      <vt:lpstr>Tables</vt:lpstr>
      <vt:lpstr>All Results</vt:lpstr>
      <vt:lpstr>World Cup 2022 Matches</vt:lpstr>
      <vt:lpstr>Knock Out</vt:lpstr>
      <vt:lpstr>Squads</vt:lpstr>
      <vt:lpstr>Match Report</vt:lpstr>
      <vt:lpstr>Club Representation info</vt:lpstr>
      <vt:lpstr>Player info</vt:lpstr>
      <vt:lpstr>World Cup Actions</vt:lpstr>
      <vt:lpstr>Player Dashboard</vt:lpstr>
      <vt:lpstr>Clubs Dashboaard</vt:lpstr>
      <vt:lpstr>Actions Dashboard</vt:lpstr>
      <vt:lpstr>World Cup Team Yellow Cards</vt:lpstr>
      <vt:lpstr>Squads CSV</vt:lpstr>
      <vt:lpstr>All_Results</vt:lpstr>
      <vt:lpstr>MarginOfError</vt:lpstr>
      <vt:lpstr>World_Cup_End_Date</vt:lpstr>
      <vt:lpstr>World_Cup_Start_Date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Lynch</dc:creator>
  <cp:lastModifiedBy>Ciaran Lynch</cp:lastModifiedBy>
  <cp:lastPrinted>2022-12-16T23:06:14Z</cp:lastPrinted>
  <dcterms:created xsi:type="dcterms:W3CDTF">2022-11-19T12:48:50Z</dcterms:created>
  <dcterms:modified xsi:type="dcterms:W3CDTF">2025-10-31T21:39:52Z</dcterms:modified>
</cp:coreProperties>
</file>