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tapnovcifs\projects\UNC_2019\4_ScopeofWork\Task10e\"/>
    </mc:Choice>
  </mc:AlternateContent>
  <xr:revisionPtr revIDLastSave="0" documentId="13_ncr:1_{C1A247F4-9355-4704-A7F3-452E0A727643}" xr6:coauthVersionLast="44" xr6:coauthVersionMax="44" xr10:uidLastSave="{00000000-0000-0000-0000-000000000000}"/>
  <bookViews>
    <workbookView xWindow="-120" yWindow="-120" windowWidth="29040" windowHeight="15840" xr2:uid="{80C81CC5-BA2A-41C3-92A6-513A2C63913A}"/>
  </bookViews>
  <sheets>
    <sheet name="PM_Profile_4296" sheetId="2" r:id="rId1"/>
    <sheet name="SMOKE GSPRO 4296" sheetId="5" r:id="rId2"/>
    <sheet name="oxygen_metal_ratios" sheetId="6" r:id="rId3"/>
  </sheets>
  <definedNames>
    <definedName name="_xlnm._FilterDatabase" localSheetId="0" hidden="1">PM_Profile_4296!$A$1:$M$60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2" l="1"/>
  <c r="Q21" i="2"/>
  <c r="Q22" i="2" s="1"/>
  <c r="Q5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P4" i="2" l="1"/>
  <c r="J59" i="2"/>
  <c r="J57" i="2"/>
  <c r="J56" i="2"/>
  <c r="J55" i="2"/>
  <c r="J53" i="2"/>
  <c r="J52" i="2"/>
  <c r="J51" i="2"/>
  <c r="J50" i="2"/>
  <c r="J49" i="2"/>
  <c r="J47" i="2"/>
  <c r="J45" i="2"/>
  <c r="J43" i="2"/>
  <c r="J42" i="2"/>
  <c r="J41" i="2"/>
  <c r="J40" i="2"/>
  <c r="J39" i="2"/>
  <c r="J36" i="2"/>
  <c r="J35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5" i="2"/>
  <c r="J14" i="2"/>
  <c r="J13" i="2"/>
  <c r="J12" i="2"/>
  <c r="J11" i="2"/>
  <c r="J10" i="2"/>
  <c r="J9" i="2"/>
  <c r="J8" i="2"/>
  <c r="J6" i="2"/>
  <c r="J5" i="2"/>
  <c r="J4" i="2"/>
  <c r="J3" i="2"/>
  <c r="J2" i="2"/>
  <c r="Q20" i="2" s="1"/>
  <c r="Q24" i="2" s="1"/>
  <c r="Q10" i="2" s="1"/>
  <c r="P5" i="2"/>
  <c r="P8" i="2" l="1"/>
  <c r="Q8" i="2"/>
  <c r="Q14" i="2" s="1"/>
  <c r="Q17" i="2" s="1"/>
  <c r="Q18" i="2" s="1"/>
  <c r="P10" i="2" l="1"/>
  <c r="P14" i="2" l="1"/>
  <c r="P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Yuge Shi</author>
    <author>Author</author>
    <author>Tejas Shah</author>
  </authors>
  <commentList>
    <comment ref="M1" authorId="0" shapeId="0" xr:uid="{CFF1B1FA-EA4F-4C44-8407-FA7C66A207AB}">
      <text>
        <r>
          <rPr>
            <b/>
            <sz val="9"/>
            <color indexed="81"/>
            <rFont val="Tahoma"/>
            <charset val="1"/>
          </rPr>
          <t>Yuge Shi:</t>
        </r>
        <r>
          <rPr>
            <sz val="9"/>
            <color indexed="81"/>
            <rFont val="Tahoma"/>
            <charset val="1"/>
          </rPr>
          <t xml:space="preserve">
For MO calculation only</t>
        </r>
      </text>
    </comment>
    <comment ref="O5" authorId="1" shapeId="0" xr:uid="{E3420FB1-3C91-46A3-BD06-A049024379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Following Reff et al., 2009, assuming 40% of OC to be PNCOM for coal combustion, 25% for motor vehicles, 70% for biomass combustion, 40% for all others.</t>
        </r>
      </text>
    </comment>
    <comment ref="O6" authorId="1" shapeId="0" xr:uid="{6BA80355-503B-4F03-B51F-D48E0944C3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Reff et al., 2009 assume H2O is zero for combustion sources. 24% of the sum
of SO4= and NH4+.</t>
        </r>
      </text>
    </comment>
    <comment ref="O7" authorId="1" shapeId="0" xr:uid="{9D09984D-E4F5-4E50-9BD7-4D04A02F3C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Following Reff et al., 2009, assuming 40% of OC to be PNCOM for coal combustion, 25% for motor vehicles, 70% for biomass combustion, 40% for all others.</t>
        </r>
      </text>
    </comment>
    <comment ref="O8" authorId="1" shapeId="0" xr:uid="{DE203D44-D263-4813-80A9-DB0611CA5F0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Following Reff et al., 2009 to calculate this mass.</t>
        </r>
      </text>
    </comment>
    <comment ref="Q8" authorId="0" shapeId="0" xr:uid="{9E7CA0C4-965F-4EAA-91CB-B5D745B68522}">
      <text>
        <r>
          <rPr>
            <b/>
            <sz val="9"/>
            <color indexed="81"/>
            <rFont val="Tahoma"/>
            <family val="2"/>
          </rPr>
          <t xml:space="preserve">Yuge Shi:
</t>
        </r>
        <r>
          <rPr>
            <sz val="9"/>
            <color indexed="81"/>
            <rFont val="Tahoma"/>
            <family val="2"/>
          </rPr>
          <t>sptool output: "NOTICE:  profile:4296, MO_unadjusted = 16.6422122"</t>
        </r>
      </text>
    </comment>
    <comment ref="O18" authorId="1" shapeId="0" xr:uid="{F2D1A84F-DBC9-464B-B541-4763DF43EA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Following Reff et al., 2009, assuming 40% of OC to be PNCOM for coal combustion, 25% for motor vehicles, 70% for biomass combustion, 40% for all others.</t>
        </r>
      </text>
    </comment>
    <comment ref="M37" authorId="0" shapeId="0" xr:uid="{0FB1478D-7125-41EF-AF93-37A99A3A7797}">
      <text>
        <r>
          <rPr>
            <b/>
            <sz val="9"/>
            <color indexed="81"/>
            <rFont val="Tahoma"/>
            <family val="2"/>
          </rPr>
          <t>Yuge Shi:</t>
        </r>
        <r>
          <rPr>
            <sz val="9"/>
            <color indexed="81"/>
            <rFont val="Tahoma"/>
            <family val="2"/>
          </rPr>
          <t xml:space="preserve">
set to 0 in MO calculation</t>
        </r>
      </text>
    </comment>
    <comment ref="M42" authorId="2" shapeId="0" xr:uid="{F84A105E-5163-4DB1-B9D3-314F2573CF69}">
      <text>
        <r>
          <rPr>
            <b/>
            <sz val="9"/>
            <color indexed="81"/>
            <rFont val="Tahoma"/>
            <charset val="1"/>
          </rPr>
          <t>Tejas Shah:</t>
        </r>
        <r>
          <rPr>
            <sz val="9"/>
            <color indexed="81"/>
            <rFont val="Tahoma"/>
            <charset val="1"/>
          </rPr>
          <t xml:space="preserve">
set to 0 in MO calculation</t>
        </r>
      </text>
    </comment>
    <comment ref="M44" authorId="0" shapeId="0" xr:uid="{76761C96-63F0-4079-98B6-CC31E34A38B8}">
      <text>
        <r>
          <rPr>
            <b/>
            <sz val="9"/>
            <color indexed="81"/>
            <rFont val="Tahoma"/>
            <family val="2"/>
          </rPr>
          <t>Yuge Shi:</t>
        </r>
        <r>
          <rPr>
            <sz val="9"/>
            <color indexed="81"/>
            <rFont val="Tahoma"/>
            <family val="2"/>
          </rPr>
          <t xml:space="preserve">
set to 0 in MO calculation</t>
        </r>
      </text>
    </comment>
    <comment ref="F52" authorId="0" shapeId="0" xr:uid="{93871B2D-D96A-4C47-9D20-3833CC457473}">
      <text>
        <r>
          <rPr>
            <b/>
            <sz val="9"/>
            <color indexed="81"/>
            <rFont val="Tahoma"/>
            <family val="2"/>
          </rPr>
          <t>Yuge Shi:</t>
        </r>
        <r>
          <rPr>
            <sz val="9"/>
            <color indexed="81"/>
            <rFont val="Tahoma"/>
            <family val="2"/>
          </rPr>
          <t xml:space="preserve">
0.1465, set to 0.025 (=K - K+ ion) when calculating MO
</t>
        </r>
      </text>
    </comment>
    <comment ref="M52" authorId="0" shapeId="0" xr:uid="{36F1EDF2-42B5-4246-8F58-52BB11C17846}">
      <text>
        <r>
          <rPr>
            <b/>
            <sz val="9"/>
            <color indexed="81"/>
            <rFont val="Tahoma"/>
            <family val="2"/>
          </rPr>
          <t>Yuge Shi:</t>
        </r>
        <r>
          <rPr>
            <sz val="9"/>
            <color indexed="81"/>
            <rFont val="Tahoma"/>
            <family val="2"/>
          </rPr>
          <t xml:space="preserve">
set to 0.025 (=K - K+) in MO calculation</t>
        </r>
      </text>
    </comment>
  </commentList>
</comments>
</file>

<file path=xl/sharedStrings.xml><?xml version="1.0" encoding="utf-8"?>
<sst xmlns="http://schemas.openxmlformats.org/spreadsheetml/2006/main" count="765" uniqueCount="266">
  <si>
    <t>PROFILE_CODE</t>
  </si>
  <si>
    <t>PROFILE_NAME</t>
  </si>
  <si>
    <t>PROFILE_TYPE</t>
  </si>
  <si>
    <t>SPECIES_ID</t>
  </si>
  <si>
    <t>NAME</t>
  </si>
  <si>
    <t>WEIGHT_PERCENT</t>
  </si>
  <si>
    <t>Molecular Formula</t>
  </si>
  <si>
    <t>SYMBOL</t>
  </si>
  <si>
    <t>4296</t>
  </si>
  <si>
    <t>Coal Combustion</t>
  </si>
  <si>
    <t>PM</t>
  </si>
  <si>
    <t>Silicon</t>
  </si>
  <si>
    <t>Si</t>
  </si>
  <si>
    <t>Rubidium</t>
  </si>
  <si>
    <t>Rb</t>
  </si>
  <si>
    <t>Ammonium</t>
  </si>
  <si>
    <t>H4N</t>
  </si>
  <si>
    <t>NH4+</t>
  </si>
  <si>
    <t>Manganese</t>
  </si>
  <si>
    <t>Mn</t>
  </si>
  <si>
    <t>Potassium ion</t>
  </si>
  <si>
    <t>K</t>
  </si>
  <si>
    <t>K+</t>
  </si>
  <si>
    <t>Elemental carbon III</t>
  </si>
  <si>
    <t>C</t>
  </si>
  <si>
    <t>EC3</t>
  </si>
  <si>
    <t>Antimony</t>
  </si>
  <si>
    <t>Sb</t>
  </si>
  <si>
    <t>Cadmium</t>
  </si>
  <si>
    <t>Cd</t>
  </si>
  <si>
    <t>Arsenic</t>
  </si>
  <si>
    <t>As</t>
  </si>
  <si>
    <t>Palladium</t>
  </si>
  <si>
    <t>Pd</t>
  </si>
  <si>
    <t>Sulfate</t>
  </si>
  <si>
    <t>O4S</t>
  </si>
  <si>
    <t>SO4=</t>
  </si>
  <si>
    <t>Gold</t>
  </si>
  <si>
    <t>Au</t>
  </si>
  <si>
    <t>Yttrium</t>
  </si>
  <si>
    <t>Y</t>
  </si>
  <si>
    <t>Aluminum</t>
  </si>
  <si>
    <t>Al</t>
  </si>
  <si>
    <t>Ammonia</t>
  </si>
  <si>
    <t>H3N</t>
  </si>
  <si>
    <t>NH3</t>
  </si>
  <si>
    <t>Pyrolyzed organic carbon</t>
  </si>
  <si>
    <t>POC</t>
  </si>
  <si>
    <t>Organic carbon</t>
  </si>
  <si>
    <t>OC</t>
  </si>
  <si>
    <t>Gallium</t>
  </si>
  <si>
    <t>Ga</t>
  </si>
  <si>
    <t>Indium</t>
  </si>
  <si>
    <t>In</t>
  </si>
  <si>
    <t>Lead</t>
  </si>
  <si>
    <t>Pb</t>
  </si>
  <si>
    <t>Uranium</t>
  </si>
  <si>
    <t>U</t>
  </si>
  <si>
    <t>Chromium</t>
  </si>
  <si>
    <t>Cr</t>
  </si>
  <si>
    <t>Cobalt</t>
  </si>
  <si>
    <t>Co</t>
  </si>
  <si>
    <t>Sulfur</t>
  </si>
  <si>
    <t>S</t>
  </si>
  <si>
    <t>Silver</t>
  </si>
  <si>
    <t>Ag</t>
  </si>
  <si>
    <t>Phosphorus</t>
  </si>
  <si>
    <t>P</t>
  </si>
  <si>
    <t>Selenium</t>
  </si>
  <si>
    <t>Se</t>
  </si>
  <si>
    <t>Titanium</t>
  </si>
  <si>
    <t>Ti</t>
  </si>
  <si>
    <t>Iron</t>
  </si>
  <si>
    <t>Fe</t>
  </si>
  <si>
    <t>Thallium</t>
  </si>
  <si>
    <t>Tl</t>
  </si>
  <si>
    <t>Barium</t>
  </si>
  <si>
    <t>Ba</t>
  </si>
  <si>
    <t>Organic carbon IV</t>
  </si>
  <si>
    <t>OC4</t>
  </si>
  <si>
    <t>Elemental carbon I</t>
  </si>
  <si>
    <t>EC1</t>
  </si>
  <si>
    <t>Zirconium</t>
  </si>
  <si>
    <t>Zr</t>
  </si>
  <si>
    <t>Molybdenum</t>
  </si>
  <si>
    <t>Mo</t>
  </si>
  <si>
    <t>Sodium</t>
  </si>
  <si>
    <t>Na</t>
  </si>
  <si>
    <t>Organic carbon I</t>
  </si>
  <si>
    <t>OC1</t>
  </si>
  <si>
    <t>Zinc</t>
  </si>
  <si>
    <t>Zn</t>
  </si>
  <si>
    <t>Vanadium</t>
  </si>
  <si>
    <t>V</t>
  </si>
  <si>
    <t>Mercury</t>
  </si>
  <si>
    <t>Hg</t>
  </si>
  <si>
    <t>Magnesium</t>
  </si>
  <si>
    <t>Mg</t>
  </si>
  <si>
    <t>Chloride ion</t>
  </si>
  <si>
    <t>Cl</t>
  </si>
  <si>
    <t>Cl-</t>
  </si>
  <si>
    <t>Calcium</t>
  </si>
  <si>
    <t>Ca</t>
  </si>
  <si>
    <t>Bromine Atom</t>
  </si>
  <si>
    <t>Br</t>
  </si>
  <si>
    <t>Elemental carbon II</t>
  </si>
  <si>
    <t>EC2</t>
  </si>
  <si>
    <t>Nickel</t>
  </si>
  <si>
    <t>Ni</t>
  </si>
  <si>
    <t>Total carbon</t>
  </si>
  <si>
    <t>TC</t>
  </si>
  <si>
    <t>Tin</t>
  </si>
  <si>
    <t>Sn</t>
  </si>
  <si>
    <t>Sodium ion</t>
  </si>
  <si>
    <t>Na+</t>
  </si>
  <si>
    <t>Strontium</t>
  </si>
  <si>
    <t>Sr</t>
  </si>
  <si>
    <t>Potassium</t>
  </si>
  <si>
    <t>Lanthanum</t>
  </si>
  <si>
    <t>La</t>
  </si>
  <si>
    <t>Sulfur dioxide</t>
  </si>
  <si>
    <t>O2S</t>
  </si>
  <si>
    <t>SO2</t>
  </si>
  <si>
    <t>Copper</t>
  </si>
  <si>
    <t>Cu</t>
  </si>
  <si>
    <t>Elemental Carbon</t>
  </si>
  <si>
    <t>EC</t>
  </si>
  <si>
    <t>Chlorine atom</t>
  </si>
  <si>
    <t>Organic carbon III</t>
  </si>
  <si>
    <t>OC3</t>
  </si>
  <si>
    <t>Nitrate</t>
  </si>
  <si>
    <t>NO3</t>
  </si>
  <si>
    <t>NO3-</t>
  </si>
  <si>
    <t>Organic carbon II</t>
  </si>
  <si>
    <t>OC2</t>
  </si>
  <si>
    <t>total_mass_cnt?</t>
  </si>
  <si>
    <t>Profile ID:</t>
  </si>
  <si>
    <t>&lt;-- Select a profile</t>
  </si>
  <si>
    <t>AE6 Ready?</t>
  </si>
  <si>
    <t>OM/OC   Old</t>
  </si>
  <si>
    <t>OM/OC New</t>
  </si>
  <si>
    <t>gspro.AE7.CMAQ.2020Mar19.txt</t>
  </si>
  <si>
    <t>gspro.AE6.CMAQ.2020Mar19.txt</t>
  </si>
  <si>
    <t>AE7</t>
  </si>
  <si>
    <t>AE6</t>
  </si>
  <si>
    <t>Profile_ID</t>
  </si>
  <si>
    <t>SPECIES</t>
  </si>
  <si>
    <t>Species</t>
  </si>
  <si>
    <r>
      <t>MW of metal</t>
    </r>
    <r>
      <rPr>
        <b/>
        <vertAlign val="superscript"/>
        <sz val="8"/>
        <color rgb="FF000000"/>
        <rFont val="Verdana"/>
        <family val="2"/>
      </rPr>
      <t>1</t>
    </r>
  </si>
  <si>
    <t>Oxide Form 1</t>
  </si>
  <si>
    <t>Oxide Form 2</t>
  </si>
  <si>
    <t>Oxide Form 3</t>
  </si>
  <si>
    <t>oxygen/metal ratio</t>
  </si>
  <si>
    <r>
      <t>Na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</si>
  <si>
    <t>MgO</t>
  </si>
  <si>
    <r>
      <t>Al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</si>
  <si>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r>
      <t>SiO</t>
    </r>
    <r>
      <rPr>
        <vertAlign val="subscript"/>
        <sz val="8"/>
        <color theme="1"/>
        <rFont val="Verdana"/>
        <family val="2"/>
      </rPr>
      <t>2</t>
    </r>
  </si>
  <si>
    <r>
      <t>P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</si>
  <si>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r>
      <t>P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5</t>
    </r>
  </si>
  <si>
    <r>
      <t>K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0</t>
    </r>
  </si>
  <si>
    <t>CaO</t>
  </si>
  <si>
    <t>TiO2</t>
  </si>
  <si>
    <r>
      <t>V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5</t>
    </r>
  </si>
  <si>
    <r>
      <t>Cr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</si>
  <si>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r>
      <t>CrO</t>
    </r>
    <r>
      <rPr>
        <vertAlign val="subscript"/>
        <sz val="8"/>
        <color theme="1"/>
        <rFont val="Verdana"/>
        <family val="2"/>
      </rPr>
      <t>3</t>
    </r>
  </si>
  <si>
    <t>MnO</t>
  </si>
  <si>
    <r>
      <t>MnO</t>
    </r>
    <r>
      <rPr>
        <vertAlign val="subscript"/>
        <sz val="8"/>
        <color theme="1"/>
        <rFont val="Verdana"/>
        <family val="2"/>
      </rPr>
      <t>2</t>
    </r>
  </si>
  <si>
    <r>
      <t>Mn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7</t>
    </r>
  </si>
  <si>
    <t>FeO</t>
  </si>
  <si>
    <r>
      <t>Fe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</si>
  <si>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t>CoO</t>
  </si>
  <si>
    <r>
      <t>Co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</si>
  <si>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t>NiO</t>
  </si>
  <si>
    <t>CuO</t>
  </si>
  <si>
    <t>ZnO</t>
  </si>
  <si>
    <r>
      <t>Ga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</si>
  <si>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r>
      <t>As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0</t>
    </r>
    <r>
      <rPr>
        <vertAlign val="subscript"/>
        <sz val="8"/>
        <color theme="1"/>
        <rFont val="Verdana"/>
        <family val="2"/>
      </rPr>
      <t>3</t>
    </r>
  </si>
  <si>
    <r>
      <t>As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5</t>
    </r>
  </si>
  <si>
    <t>SeO</t>
  </si>
  <si>
    <r>
      <t>SeO</t>
    </r>
    <r>
      <rPr>
        <vertAlign val="subscript"/>
        <sz val="8"/>
        <color theme="1"/>
        <rFont val="Verdana"/>
        <family val="2"/>
      </rPr>
      <t>2</t>
    </r>
  </si>
  <si>
    <r>
      <t>SeO</t>
    </r>
    <r>
      <rPr>
        <vertAlign val="subscript"/>
        <sz val="8"/>
        <color theme="1"/>
        <rFont val="Verdana"/>
        <family val="2"/>
      </rPr>
      <t>3</t>
    </r>
  </si>
  <si>
    <r>
      <t>Rb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</si>
  <si>
    <t>SrO</t>
  </si>
  <si>
    <r>
      <t>ZrO</t>
    </r>
    <r>
      <rPr>
        <vertAlign val="subscript"/>
        <sz val="8"/>
        <color theme="1"/>
        <rFont val="Verdana"/>
        <family val="2"/>
      </rPr>
      <t>2</t>
    </r>
  </si>
  <si>
    <r>
      <t>MoO</t>
    </r>
    <r>
      <rPr>
        <vertAlign val="subscript"/>
        <sz val="8"/>
        <color theme="1"/>
        <rFont val="Verdana"/>
        <family val="2"/>
      </rPr>
      <t>2</t>
    </r>
  </si>
  <si>
    <r>
      <t>MoO</t>
    </r>
    <r>
      <rPr>
        <vertAlign val="subscript"/>
        <sz val="8"/>
        <color theme="1"/>
        <rFont val="Verdana"/>
        <family val="2"/>
      </rPr>
      <t>3</t>
    </r>
  </si>
  <si>
    <t>PdO</t>
  </si>
  <si>
    <r>
      <t>PdO</t>
    </r>
    <r>
      <rPr>
        <vertAlign val="subscript"/>
        <sz val="8"/>
        <color theme="1"/>
        <rFont val="Verdana"/>
        <family val="2"/>
      </rPr>
      <t>2</t>
    </r>
  </si>
  <si>
    <r>
      <t>Ag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</si>
  <si>
    <t>CdO</t>
  </si>
  <si>
    <r>
      <t>In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</si>
  <si>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t>SnO</t>
  </si>
  <si>
    <r>
      <t>SnO</t>
    </r>
    <r>
      <rPr>
        <vertAlign val="subscript"/>
        <sz val="8"/>
        <color theme="1"/>
        <rFont val="Verdana"/>
        <family val="2"/>
      </rPr>
      <t>2</t>
    </r>
  </si>
  <si>
    <r>
      <t>Sb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</si>
  <si>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r>
      <t>Sb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5</t>
    </r>
  </si>
  <si>
    <t>BaO</t>
  </si>
  <si>
    <r>
      <t>La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</si>
  <si>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t>Ce</t>
  </si>
  <si>
    <r>
      <t>Ce</t>
    </r>
    <r>
      <rPr>
        <vertAlign val="subscript"/>
        <sz val="8"/>
        <color theme="1"/>
        <rFont val="Verdana"/>
        <family val="2"/>
      </rPr>
      <t>2</t>
    </r>
    <r>
      <rPr>
        <sz val="8"/>
        <color theme="1"/>
        <rFont val="Verdana"/>
        <family val="2"/>
      </rPr>
      <t>O</t>
    </r>
    <r>
      <rPr>
        <vertAlign val="subscript"/>
        <sz val="8"/>
        <color theme="1"/>
        <rFont val="Verdana"/>
        <family val="2"/>
      </rPr>
      <t>3</t>
    </r>
  </si>
  <si>
    <r>
      <t>CeO</t>
    </r>
    <r>
      <rPr>
        <vertAlign val="subscript"/>
        <sz val="8"/>
        <color theme="1"/>
        <rFont val="Verdana"/>
        <family val="2"/>
      </rPr>
      <t>2</t>
    </r>
  </si>
  <si>
    <t>Hg2O</t>
  </si>
  <si>
    <t>HgO</t>
  </si>
  <si>
    <t>PbO</t>
  </si>
  <si>
    <r>
      <t>PbO</t>
    </r>
    <r>
      <rPr>
        <vertAlign val="subscript"/>
        <sz val="8"/>
        <color theme="1"/>
        <rFont val="Verdana"/>
        <family val="2"/>
      </rPr>
      <t>2</t>
    </r>
  </si>
  <si>
    <t>Oxygen/Metal Ratio</t>
  </si>
  <si>
    <t>Na2O</t>
  </si>
  <si>
    <t/>
  </si>
  <si>
    <t>Al2O3</t>
  </si>
  <si>
    <t>SiO2</t>
  </si>
  <si>
    <t>P2O3</t>
  </si>
  <si>
    <t>P2O5</t>
  </si>
  <si>
    <t>K2O</t>
  </si>
  <si>
    <t>V2O5</t>
  </si>
  <si>
    <t>Cr2O3</t>
  </si>
  <si>
    <t>CrO3</t>
  </si>
  <si>
    <t>MnO2</t>
  </si>
  <si>
    <t>Mn2O7</t>
  </si>
  <si>
    <t>Fe2O3</t>
  </si>
  <si>
    <t>Co2O3</t>
  </si>
  <si>
    <t>Ga2O3</t>
  </si>
  <si>
    <t>As2O3</t>
  </si>
  <si>
    <t>As2O5</t>
  </si>
  <si>
    <t>SeO2</t>
  </si>
  <si>
    <t>SeO3</t>
  </si>
  <si>
    <t>Rb2O</t>
  </si>
  <si>
    <t>ZrO2</t>
  </si>
  <si>
    <t>MoO2</t>
  </si>
  <si>
    <t>MoO3</t>
  </si>
  <si>
    <t>PdO2</t>
  </si>
  <si>
    <t>Ag2O</t>
  </si>
  <si>
    <t>In2O3</t>
  </si>
  <si>
    <t>SnO2</t>
  </si>
  <si>
    <t>Sb2O3</t>
  </si>
  <si>
    <t>Sb2O5</t>
  </si>
  <si>
    <t>La2O3</t>
  </si>
  <si>
    <t>Ce2O3</t>
  </si>
  <si>
    <t>CeO2</t>
  </si>
  <si>
    <t>PbO2</t>
  </si>
  <si>
    <t>Particulate Water</t>
  </si>
  <si>
    <t>Particulate Non-Carbon Organic Matter</t>
  </si>
  <si>
    <r>
      <rPr>
        <b/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Metal-bound Oxygen</t>
    </r>
  </si>
  <si>
    <t>N</t>
  </si>
  <si>
    <t>PAL</t>
  </si>
  <si>
    <t>PCA</t>
  </si>
  <si>
    <t>PCL</t>
  </si>
  <si>
    <t>PEC</t>
  </si>
  <si>
    <t>PFE</t>
  </si>
  <si>
    <t>PK</t>
  </si>
  <si>
    <t>PMG</t>
  </si>
  <si>
    <t>PMN</t>
  </si>
  <si>
    <t>PMNCOMN2</t>
  </si>
  <si>
    <t>PMOTHR</t>
  </si>
  <si>
    <t>PMOCN2</t>
  </si>
  <si>
    <t>PNA</t>
  </si>
  <si>
    <t>PNCOM</t>
  </si>
  <si>
    <t>PNH4</t>
  </si>
  <si>
    <t>PNO3</t>
  </si>
  <si>
    <t>PSI</t>
  </si>
  <si>
    <t>PSO4</t>
  </si>
  <si>
    <t>PTI</t>
  </si>
  <si>
    <t>POC_PNCOM_adj</t>
  </si>
  <si>
    <t>SPECIATE 5.0 New Structure 7-18-2019.accdb</t>
  </si>
  <si>
    <t>From Ramboll 2018 Memo</t>
  </si>
  <si>
    <t>New Rule</t>
  </si>
  <si>
    <t>Percent for MO calc</t>
  </si>
  <si>
    <t>gspro.AE6.CMAQ.2020May11.txt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</si>
</sst>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Verdana"/>
      <family val="2"/>
    </font>
    <font>
      <b/>
      <sz val="8"/>
      <color theme="1"/>
      <name val="Verdana"/>
      <family val="2"/>
    </font>
    <font>
      <b/>
      <sz val="8"/>
      <color rgb="FF000000"/>
      <name val="Verdana"/>
      <family val="2"/>
    </font>
    <font>
      <b/>
      <vertAlign val="superscript"/>
      <sz val="8"/>
      <color rgb="FF000000"/>
      <name val="Verdana"/>
      <family val="2"/>
    </font>
    <font>
      <sz val="8"/>
      <color theme="1"/>
      <name val="Verdana"/>
      <family val="2"/>
    </font>
    <font>
      <vertAlign val="subscript"/>
      <sz val="8"/>
      <color theme="1"/>
      <name val="Verdana"/>
      <family val="2"/>
    </font>
    <font>
      <sz val="11"/>
      <color indexed="8"/>
      <name val="Calibri"/>
    </font>
    <font>
      <sz val="10"/>
      <color indexed="8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DFF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/>
    <xf numFmtId="0" fontId="0" fillId="0" borderId="0" xfId="0" quotePrefix="1" applyAlignment="1">
      <alignment horizontal="left"/>
    </xf>
    <xf numFmtId="0" fontId="1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8" fillId="4" borderId="5" xfId="1" applyFont="1" applyFill="1" applyBorder="1" applyAlignment="1">
      <alignment horizontal="center"/>
    </xf>
    <xf numFmtId="0" fontId="8" fillId="0" borderId="6" xfId="1" applyFont="1" applyFill="1" applyBorder="1" applyAlignment="1">
      <alignment wrapText="1"/>
    </xf>
    <xf numFmtId="0" fontId="8" fillId="0" borderId="6" xfId="1" applyFont="1" applyFill="1" applyBorder="1" applyAlignment="1">
      <alignment horizontal="right" wrapText="1"/>
    </xf>
    <xf numFmtId="0" fontId="0" fillId="2" borderId="0" xfId="0" applyFill="1"/>
    <xf numFmtId="0" fontId="0" fillId="0" borderId="0" xfId="0" applyBorder="1" applyAlignment="1"/>
    <xf numFmtId="0" fontId="1" fillId="0" borderId="0" xfId="0" quotePrefix="1" applyFont="1" applyAlignment="1">
      <alignment horizontal="left"/>
    </xf>
    <xf numFmtId="0" fontId="0" fillId="5" borderId="0" xfId="0" applyFill="1"/>
    <xf numFmtId="0" fontId="0" fillId="0" borderId="0" xfId="0" applyFill="1"/>
    <xf numFmtId="0" fontId="0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0" applyFont="1" applyFill="1"/>
    <xf numFmtId="0" fontId="12" fillId="0" borderId="0" xfId="0" applyFont="1" applyFill="1"/>
    <xf numFmtId="0" fontId="15" fillId="2" borderId="0" xfId="0" applyFont="1" applyFill="1"/>
    <xf numFmtId="0" fontId="16" fillId="0" borderId="0" xfId="0" applyFont="1"/>
    <xf numFmtId="0" fontId="15" fillId="2" borderId="0" xfId="0" quotePrefix="1" applyFont="1" applyFill="1" applyAlignment="1">
      <alignment horizontal="left"/>
    </xf>
    <xf numFmtId="11" fontId="0" fillId="0" borderId="0" xfId="0" applyNumberFormat="1" applyBorder="1" applyAlignment="1"/>
    <xf numFmtId="0" fontId="18" fillId="0" borderId="0" xfId="0" applyFont="1" applyBorder="1" applyAlignment="1"/>
    <xf numFmtId="0" fontId="17" fillId="0" borderId="0" xfId="0" applyFont="1" applyBorder="1" applyAlignment="1"/>
  </cellXfs>
  <cellStyles count="2">
    <cellStyle name="Normal" xfId="0" builtinId="0"/>
    <cellStyle name="Normal_Sheet1" xfId="1" xr:uid="{A24FCA22-CDA9-432D-9996-038432F8A0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19</xdr:row>
      <xdr:rowOff>0</xdr:rowOff>
    </xdr:from>
    <xdr:to>
      <xdr:col>15</xdr:col>
      <xdr:colOff>812800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F95CBA-BB55-49B1-872F-08A5FD9A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5700" y="3498850"/>
          <a:ext cx="812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20</xdr:row>
      <xdr:rowOff>0</xdr:rowOff>
    </xdr:from>
    <xdr:to>
      <xdr:col>15</xdr:col>
      <xdr:colOff>1187450</xdr:colOff>
      <xdr:row>20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790774-0283-4519-AA34-1010C45E6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5700" y="3683000"/>
          <a:ext cx="11874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21</xdr:row>
      <xdr:rowOff>0</xdr:rowOff>
    </xdr:from>
    <xdr:to>
      <xdr:col>15</xdr:col>
      <xdr:colOff>1536700</xdr:colOff>
      <xdr:row>21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7013E3-2BCC-410C-8DC6-E18D55B9D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5700" y="3867150"/>
          <a:ext cx="15367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23</xdr:row>
      <xdr:rowOff>0</xdr:rowOff>
    </xdr:from>
    <xdr:to>
      <xdr:col>15</xdr:col>
      <xdr:colOff>685800</xdr:colOff>
      <xdr:row>24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622B9-7B82-4AA2-9DC9-7BCCAF15B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5700" y="4235450"/>
          <a:ext cx="685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5CE5-5A67-4887-B33F-D7889763F878}">
  <dimension ref="A1:Q60"/>
  <sheetViews>
    <sheetView tabSelected="1" workbookViewId="0"/>
  </sheetViews>
  <sheetFormatPr defaultRowHeight="15" x14ac:dyDescent="0.25"/>
  <cols>
    <col min="5" max="5" width="23.42578125" bestFit="1" customWidth="1"/>
    <col min="9" max="9" width="15.42578125" style="19" hidden="1" customWidth="1"/>
    <col min="12" max="12" width="16.7109375" style="17" bestFit="1" customWidth="1"/>
    <col min="13" max="13" width="19.5703125" style="17" bestFit="1" customWidth="1"/>
    <col min="14" max="14" width="8.85546875" style="17"/>
    <col min="15" max="15" width="36.140625" bestFit="1" customWidth="1"/>
    <col min="16" max="16" width="1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9" t="s">
        <v>135</v>
      </c>
      <c r="J1" t="s">
        <v>152</v>
      </c>
      <c r="L1" s="20" t="s">
        <v>135</v>
      </c>
      <c r="M1" s="17" t="s">
        <v>264</v>
      </c>
    </row>
    <row r="2" spans="1:17" x14ac:dyDescent="0.25">
      <c r="A2" t="s">
        <v>8</v>
      </c>
      <c r="B2" t="s">
        <v>9</v>
      </c>
      <c r="C2" t="s">
        <v>10</v>
      </c>
      <c r="D2">
        <v>694</v>
      </c>
      <c r="E2" t="s">
        <v>11</v>
      </c>
      <c r="F2">
        <v>7.0770999999999997</v>
      </c>
      <c r="G2" t="s">
        <v>12</v>
      </c>
      <c r="H2" t="s">
        <v>12</v>
      </c>
      <c r="I2" s="19" t="str">
        <f>IF(ISNA(VLOOKUP(D2,#REF!,1,FALSE)),"Y","N")</f>
        <v>N</v>
      </c>
      <c r="J2">
        <f>IFERROR(VLOOKUP(H2,oxygen_metal_ratios!$A$3:$F$36,6,FALSE),0)</f>
        <v>1.139</v>
      </c>
      <c r="L2" s="17" t="s">
        <v>40</v>
      </c>
      <c r="M2" s="17">
        <v>7.0770999999999997</v>
      </c>
    </row>
    <row r="3" spans="1:17" x14ac:dyDescent="0.25">
      <c r="A3" t="s">
        <v>8</v>
      </c>
      <c r="B3" t="s">
        <v>9</v>
      </c>
      <c r="C3" t="s">
        <v>10</v>
      </c>
      <c r="D3">
        <v>689</v>
      </c>
      <c r="E3" t="s">
        <v>13</v>
      </c>
      <c r="F3">
        <v>1.8E-3</v>
      </c>
      <c r="G3" t="s">
        <v>14</v>
      </c>
      <c r="H3" t="s">
        <v>14</v>
      </c>
      <c r="I3" s="19" t="str">
        <f>IF(ISNA(VLOOKUP(D3,#REF!,1,FALSE)),"Y","N")</f>
        <v>N</v>
      </c>
      <c r="J3">
        <f>IFERROR(VLOOKUP(H3,oxygen_metal_ratios!$A$3:$F$36,6,FALSE),0)</f>
        <v>9.4E-2</v>
      </c>
      <c r="L3" s="17" t="s">
        <v>40</v>
      </c>
      <c r="M3" s="17">
        <v>1.8E-3</v>
      </c>
      <c r="Q3" s="16" t="s">
        <v>263</v>
      </c>
    </row>
    <row r="4" spans="1:17" x14ac:dyDescent="0.25">
      <c r="A4" t="s">
        <v>8</v>
      </c>
      <c r="B4" t="s">
        <v>9</v>
      </c>
      <c r="C4" t="s">
        <v>10</v>
      </c>
      <c r="D4">
        <v>784</v>
      </c>
      <c r="E4" t="s">
        <v>15</v>
      </c>
      <c r="F4">
        <v>1.3004</v>
      </c>
      <c r="G4" t="s">
        <v>16</v>
      </c>
      <c r="H4" t="s">
        <v>17</v>
      </c>
      <c r="I4" s="19" t="str">
        <f>IF(ISNA(VLOOKUP(D4,#REF!,1,FALSE)),"Y","N")</f>
        <v>N</v>
      </c>
      <c r="J4">
        <f>IFERROR(VLOOKUP(H4,oxygen_metal_ratios!$A$3:$F$36,6,FALSE),0)</f>
        <v>0</v>
      </c>
      <c r="L4" s="17" t="s">
        <v>40</v>
      </c>
      <c r="M4" s="17">
        <v>1.3004</v>
      </c>
      <c r="P4" s="24">
        <f>SUMIF(I:I,"Y",F:F)</f>
        <v>0</v>
      </c>
      <c r="Q4" s="16">
        <f>SUMIF(L:L,"Y",F:F)</f>
        <v>101.84320000000001</v>
      </c>
    </row>
    <row r="5" spans="1:17" x14ac:dyDescent="0.25">
      <c r="A5" t="s">
        <v>8</v>
      </c>
      <c r="B5" t="s">
        <v>9</v>
      </c>
      <c r="C5" t="s">
        <v>10</v>
      </c>
      <c r="D5">
        <v>526</v>
      </c>
      <c r="E5" t="s">
        <v>18</v>
      </c>
      <c r="F5">
        <v>3.9300000000000002E-2</v>
      </c>
      <c r="G5" t="s">
        <v>19</v>
      </c>
      <c r="H5" t="s">
        <v>19</v>
      </c>
      <c r="I5" s="19" t="str">
        <f>IF(ISNA(VLOOKUP(D5,#REF!,1,FALSE)),"Y","N")</f>
        <v>N</v>
      </c>
      <c r="J5">
        <f>IFERROR(VLOOKUP(H5,oxygen_metal_ratios!$A$3:$F$36,6,FALSE),0)</f>
        <v>0.63100000000000001</v>
      </c>
      <c r="L5" s="17" t="s">
        <v>40</v>
      </c>
      <c r="M5" s="17">
        <v>3.9300000000000002E-2</v>
      </c>
      <c r="O5" s="13" t="s">
        <v>239</v>
      </c>
      <c r="P5" s="24">
        <f>F18*0.4</f>
        <v>19.915320000000001</v>
      </c>
      <c r="Q5" s="16">
        <f>F18*0.4</f>
        <v>19.915320000000001</v>
      </c>
    </row>
    <row r="6" spans="1:17" x14ac:dyDescent="0.25">
      <c r="A6" t="s">
        <v>8</v>
      </c>
      <c r="B6" t="s">
        <v>9</v>
      </c>
      <c r="C6" t="s">
        <v>10</v>
      </c>
      <c r="D6">
        <v>2302</v>
      </c>
      <c r="E6" t="s">
        <v>20</v>
      </c>
      <c r="F6">
        <v>0.1215</v>
      </c>
      <c r="G6" t="s">
        <v>21</v>
      </c>
      <c r="H6" t="s">
        <v>22</v>
      </c>
      <c r="I6" s="19" t="str">
        <f>IF(ISNA(VLOOKUP(D6,#REF!,1,FALSE)),"Y","N")</f>
        <v>N</v>
      </c>
      <c r="J6">
        <f>IFERROR(VLOOKUP(H6,oxygen_metal_ratios!$A$3:$F$36,6,FALSE),0)</f>
        <v>0</v>
      </c>
      <c r="L6" s="17" t="s">
        <v>40</v>
      </c>
      <c r="M6" s="17">
        <v>0.1215</v>
      </c>
      <c r="O6" s="13" t="s">
        <v>238</v>
      </c>
      <c r="P6" s="24">
        <v>0</v>
      </c>
      <c r="Q6" s="16">
        <v>0</v>
      </c>
    </row>
    <row r="7" spans="1:17" x14ac:dyDescent="0.25">
      <c r="A7" t="s">
        <v>8</v>
      </c>
      <c r="B7" t="s">
        <v>9</v>
      </c>
      <c r="C7" t="s">
        <v>10</v>
      </c>
      <c r="D7">
        <v>796</v>
      </c>
      <c r="E7" t="s">
        <v>23</v>
      </c>
      <c r="F7">
        <v>0</v>
      </c>
      <c r="G7" t="s">
        <v>24</v>
      </c>
      <c r="H7" t="s">
        <v>25</v>
      </c>
      <c r="I7" s="19" t="str">
        <f>IF(ISNA(VLOOKUP(D7,#REF!,1,FALSE)),"Y","N")</f>
        <v>N</v>
      </c>
      <c r="L7" s="17" t="s">
        <v>241</v>
      </c>
      <c r="M7" s="17">
        <v>0</v>
      </c>
      <c r="O7" s="13" t="s">
        <v>239</v>
      </c>
      <c r="P7" s="24"/>
      <c r="Q7" s="16"/>
    </row>
    <row r="8" spans="1:17" x14ac:dyDescent="0.25">
      <c r="A8" t="s">
        <v>8</v>
      </c>
      <c r="B8" t="s">
        <v>9</v>
      </c>
      <c r="C8" t="s">
        <v>10</v>
      </c>
      <c r="D8">
        <v>296</v>
      </c>
      <c r="E8" t="s">
        <v>26</v>
      </c>
      <c r="F8">
        <v>1.43E-2</v>
      </c>
      <c r="G8" t="s">
        <v>27</v>
      </c>
      <c r="H8" t="s">
        <v>27</v>
      </c>
      <c r="I8" s="19" t="str">
        <f>IF(ISNA(VLOOKUP(D8,#REF!,1,FALSE)),"Y","N")</f>
        <v>N</v>
      </c>
      <c r="J8">
        <f>IFERROR(VLOOKUP(H8,oxygen_metal_ratios!$A$3:$F$36,6,FALSE),0)</f>
        <v>0.26300000000000001</v>
      </c>
      <c r="L8" s="17" t="s">
        <v>40</v>
      </c>
      <c r="M8" s="17">
        <v>1.43E-2</v>
      </c>
      <c r="O8" s="13" t="s">
        <v>240</v>
      </c>
      <c r="P8" s="24">
        <f>SUMPRODUCT(F2:F59,J2:J59)</f>
        <v>24.867131799999999</v>
      </c>
      <c r="Q8" s="16">
        <f>SUMPRODUCT(M2:M60,J2:J60)</f>
        <v>16.642212199999999</v>
      </c>
    </row>
    <row r="9" spans="1:17" x14ac:dyDescent="0.25">
      <c r="A9" t="s">
        <v>8</v>
      </c>
      <c r="B9" t="s">
        <v>9</v>
      </c>
      <c r="C9" t="s">
        <v>10</v>
      </c>
      <c r="D9">
        <v>328</v>
      </c>
      <c r="E9" t="s">
        <v>28</v>
      </c>
      <c r="F9">
        <v>3.5999999999999999E-3</v>
      </c>
      <c r="G9" t="s">
        <v>29</v>
      </c>
      <c r="H9" t="s">
        <v>29</v>
      </c>
      <c r="I9" s="19" t="str">
        <f>IF(ISNA(VLOOKUP(D9,#REF!,1,FALSE)),"Y","N")</f>
        <v>N</v>
      </c>
      <c r="J9">
        <f>IFERROR(VLOOKUP(H9,oxygen_metal_ratios!$A$3:$F$36,6,FALSE),0)</f>
        <v>0.14199999999999999</v>
      </c>
      <c r="L9" s="17" t="s">
        <v>40</v>
      </c>
      <c r="M9" s="17">
        <v>3.5999999999999999E-3</v>
      </c>
      <c r="P9" s="24"/>
      <c r="Q9" s="16"/>
    </row>
    <row r="10" spans="1:17" x14ac:dyDescent="0.25">
      <c r="A10" t="s">
        <v>8</v>
      </c>
      <c r="B10" t="s">
        <v>9</v>
      </c>
      <c r="C10" t="s">
        <v>10</v>
      </c>
      <c r="D10">
        <v>298</v>
      </c>
      <c r="E10" t="s">
        <v>30</v>
      </c>
      <c r="F10">
        <v>1.8E-3</v>
      </c>
      <c r="G10" t="s">
        <v>31</v>
      </c>
      <c r="H10" t="s">
        <v>31</v>
      </c>
      <c r="I10" s="19" t="str">
        <f>IF(ISNA(VLOOKUP(D10,#REF!,1,FALSE)),"Y","N")</f>
        <v>N</v>
      </c>
      <c r="J10">
        <f>IFERROR(VLOOKUP(H10,oxygen_metal_ratios!$A$3:$F$36,6,FALSE),0)</f>
        <v>0.42699999999999999</v>
      </c>
      <c r="L10" s="17" t="s">
        <v>40</v>
      </c>
      <c r="M10" s="17">
        <v>1.8E-3</v>
      </c>
      <c r="P10" s="24">
        <f>SUBTOTAL(9,P4:P8)</f>
        <v>44.782451800000004</v>
      </c>
      <c r="Q10" s="16">
        <f>SUBTOTAL(9,Q4:Q7)+Q24</f>
        <v>137.60148775555555</v>
      </c>
    </row>
    <row r="11" spans="1:17" x14ac:dyDescent="0.25">
      <c r="A11" t="s">
        <v>8</v>
      </c>
      <c r="B11" t="s">
        <v>9</v>
      </c>
      <c r="C11" t="s">
        <v>10</v>
      </c>
      <c r="D11">
        <v>649</v>
      </c>
      <c r="E11" t="s">
        <v>32</v>
      </c>
      <c r="F11">
        <v>2.3199999999999998E-2</v>
      </c>
      <c r="G11" t="s">
        <v>33</v>
      </c>
      <c r="H11" t="s">
        <v>33</v>
      </c>
      <c r="I11" s="19" t="str">
        <f>IF(ISNA(VLOOKUP(D11,#REF!,1,FALSE)),"Y","N")</f>
        <v>N</v>
      </c>
      <c r="J11">
        <f>IFERROR(VLOOKUP(H11,oxygen_metal_ratios!$A$3:$F$36,6,FALSE),0)</f>
        <v>0.22600000000000001</v>
      </c>
      <c r="L11" s="17" t="s">
        <v>40</v>
      </c>
      <c r="M11" s="17">
        <v>2.3199999999999998E-2</v>
      </c>
      <c r="P11" s="24"/>
      <c r="Q11" s="16"/>
    </row>
    <row r="12" spans="1:17" x14ac:dyDescent="0.25">
      <c r="A12" t="s">
        <v>8</v>
      </c>
      <c r="B12" t="s">
        <v>9</v>
      </c>
      <c r="C12" t="s">
        <v>10</v>
      </c>
      <c r="D12">
        <v>699</v>
      </c>
      <c r="E12" t="s">
        <v>34</v>
      </c>
      <c r="F12">
        <v>8.2631999999999994</v>
      </c>
      <c r="G12" t="s">
        <v>35</v>
      </c>
      <c r="H12" t="s">
        <v>36</v>
      </c>
      <c r="I12" s="19" t="str">
        <f>IF(ISNA(VLOOKUP(D12,#REF!,1,FALSE)),"Y","N")</f>
        <v>N</v>
      </c>
      <c r="J12">
        <f>IFERROR(VLOOKUP(H12,oxygen_metal_ratios!$A$3:$F$36,6,FALSE),0)</f>
        <v>0</v>
      </c>
      <c r="L12" s="17" t="s">
        <v>40</v>
      </c>
      <c r="M12" s="17">
        <v>8.2631999999999994</v>
      </c>
      <c r="P12" s="24"/>
      <c r="Q12" s="16"/>
    </row>
    <row r="13" spans="1:17" x14ac:dyDescent="0.25">
      <c r="A13" t="s">
        <v>8</v>
      </c>
      <c r="B13" t="s">
        <v>9</v>
      </c>
      <c r="C13" t="s">
        <v>10</v>
      </c>
      <c r="D13">
        <v>477</v>
      </c>
      <c r="E13" s="13" t="s">
        <v>37</v>
      </c>
      <c r="F13">
        <v>3.2199999999999999E-2</v>
      </c>
      <c r="G13" t="s">
        <v>38</v>
      </c>
      <c r="H13" t="s">
        <v>38</v>
      </c>
      <c r="I13" s="19" t="str">
        <f>IF(ISNA(VLOOKUP(D13,#REF!,1,FALSE)),"Y","N")</f>
        <v>N</v>
      </c>
      <c r="J13">
        <f>IFERROR(VLOOKUP(H13,oxygen_metal_ratios!$A$3:$F$36,6,FALSE),0)</f>
        <v>0</v>
      </c>
      <c r="L13" s="13" t="s">
        <v>241</v>
      </c>
      <c r="M13" s="17">
        <v>3.2199999999999999E-2</v>
      </c>
      <c r="P13" s="24"/>
      <c r="Q13" s="16"/>
    </row>
    <row r="14" spans="1:17" x14ac:dyDescent="0.25">
      <c r="A14" t="s">
        <v>8</v>
      </c>
      <c r="B14" t="s">
        <v>9</v>
      </c>
      <c r="C14" t="s">
        <v>10</v>
      </c>
      <c r="D14">
        <v>777</v>
      </c>
      <c r="E14" s="13" t="s">
        <v>39</v>
      </c>
      <c r="F14">
        <v>5.4000000000000003E-3</v>
      </c>
      <c r="G14" t="s">
        <v>40</v>
      </c>
      <c r="H14" t="s">
        <v>40</v>
      </c>
      <c r="I14" s="19" t="str">
        <f>IF(ISNA(VLOOKUP(D14,#REF!,1,FALSE)),"Y","N")</f>
        <v>N</v>
      </c>
      <c r="J14">
        <f>IFERROR(VLOOKUP(H14,oxygen_metal_ratios!$A$3:$F$36,6,FALSE),0)</f>
        <v>0</v>
      </c>
      <c r="L14" s="13" t="s">
        <v>241</v>
      </c>
      <c r="M14" s="17">
        <v>5.4000000000000003E-3</v>
      </c>
      <c r="O14" t="s">
        <v>260</v>
      </c>
      <c r="P14" s="24">
        <f>(100-(P10-(F18+P5)))/(F18+P5)</f>
        <v>1.7921761911361274</v>
      </c>
      <c r="Q14" s="16">
        <f>(100-(Q10-(F18+Q5)))/(F18+Q5)</f>
        <v>0.46055186580617258</v>
      </c>
    </row>
    <row r="15" spans="1:17" x14ac:dyDescent="0.25">
      <c r="A15" t="s">
        <v>8</v>
      </c>
      <c r="B15" t="s">
        <v>9</v>
      </c>
      <c r="C15" t="s">
        <v>10</v>
      </c>
      <c r="D15">
        <v>292</v>
      </c>
      <c r="E15" t="s">
        <v>41</v>
      </c>
      <c r="F15">
        <v>6.4377000000000004</v>
      </c>
      <c r="G15" t="s">
        <v>42</v>
      </c>
      <c r="H15" t="s">
        <v>42</v>
      </c>
      <c r="I15" s="19" t="str">
        <f>IF(ISNA(VLOOKUP(D15,#REF!,1,FALSE)),"Y","N")</f>
        <v>N</v>
      </c>
      <c r="J15">
        <f>IFERROR(VLOOKUP(H15,oxygen_metal_ratios!$A$3:$F$36,6,FALSE),0)</f>
        <v>0.88900000000000001</v>
      </c>
      <c r="L15" s="17" t="s">
        <v>40</v>
      </c>
      <c r="M15" s="17">
        <v>6.4377000000000004</v>
      </c>
      <c r="P15" s="24"/>
      <c r="Q15" s="16"/>
    </row>
    <row r="16" spans="1:17" x14ac:dyDescent="0.25">
      <c r="A16" t="s">
        <v>8</v>
      </c>
      <c r="B16" t="s">
        <v>9</v>
      </c>
      <c r="C16" t="s">
        <v>10</v>
      </c>
      <c r="D16">
        <v>294</v>
      </c>
      <c r="E16" t="s">
        <v>43</v>
      </c>
      <c r="F16">
        <v>37.604300000000002</v>
      </c>
      <c r="G16" t="s">
        <v>44</v>
      </c>
      <c r="H16" t="s">
        <v>45</v>
      </c>
      <c r="I16" s="19" t="str">
        <f>IF(ISNA(VLOOKUP(D16,#REF!,1,FALSE)),"Y","N")</f>
        <v>N</v>
      </c>
      <c r="L16" s="17" t="s">
        <v>241</v>
      </c>
      <c r="M16" s="17">
        <v>37.604300000000002</v>
      </c>
      <c r="P16" s="24"/>
      <c r="Q16" s="16"/>
    </row>
    <row r="17" spans="1:17" x14ac:dyDescent="0.25">
      <c r="A17" t="s">
        <v>8</v>
      </c>
      <c r="B17" t="s">
        <v>9</v>
      </c>
      <c r="C17" t="s">
        <v>10</v>
      </c>
      <c r="D17">
        <v>792</v>
      </c>
      <c r="E17" t="s">
        <v>46</v>
      </c>
      <c r="F17">
        <v>2.3864000000000001</v>
      </c>
      <c r="H17" t="s">
        <v>47</v>
      </c>
      <c r="I17" s="19" t="str">
        <f>IF(ISNA(VLOOKUP(D17,#REF!,1,FALSE)),"Y","N")</f>
        <v>N</v>
      </c>
      <c r="J17">
        <f>IFERROR(VLOOKUP(H17,oxygen_metal_ratios!$A$3:$F$36,6,FALSE),0)</f>
        <v>0</v>
      </c>
      <c r="L17" s="17" t="s">
        <v>241</v>
      </c>
      <c r="M17" s="17">
        <v>2.3864000000000001</v>
      </c>
      <c r="O17" t="s">
        <v>47</v>
      </c>
      <c r="P17" s="24">
        <f>F18*P14</f>
        <v>89.229405857142851</v>
      </c>
      <c r="Q17" s="16">
        <f>F18*Q14</f>
        <v>22.930094460317463</v>
      </c>
    </row>
    <row r="18" spans="1:17" x14ac:dyDescent="0.25">
      <c r="A18" t="s">
        <v>8</v>
      </c>
      <c r="B18" t="s">
        <v>9</v>
      </c>
      <c r="C18" t="s">
        <v>10</v>
      </c>
      <c r="D18">
        <v>626</v>
      </c>
      <c r="E18" t="s">
        <v>48</v>
      </c>
      <c r="F18">
        <v>49.7883</v>
      </c>
      <c r="H18" t="s">
        <v>49</v>
      </c>
      <c r="I18" s="19" t="str">
        <f>IF(ISNA(VLOOKUP(D18,#REF!,1,FALSE)),"Y","N")</f>
        <v>N</v>
      </c>
      <c r="J18">
        <f>IFERROR(VLOOKUP(H18,oxygen_metal_ratios!$A$3:$F$36,6,FALSE),0)</f>
        <v>0</v>
      </c>
      <c r="L18" s="17" t="s">
        <v>40</v>
      </c>
      <c r="M18" s="17">
        <v>49.7883</v>
      </c>
      <c r="O18" s="13" t="s">
        <v>239</v>
      </c>
      <c r="Q18" s="16">
        <f>Q17*0.4</f>
        <v>9.1720377841269851</v>
      </c>
    </row>
    <row r="19" spans="1:17" x14ac:dyDescent="0.25">
      <c r="A19" t="s">
        <v>8</v>
      </c>
      <c r="B19" t="s">
        <v>9</v>
      </c>
      <c r="C19" t="s">
        <v>10</v>
      </c>
      <c r="D19">
        <v>468</v>
      </c>
      <c r="E19" t="s">
        <v>50</v>
      </c>
      <c r="F19">
        <v>3.5700000000000003E-2</v>
      </c>
      <c r="G19" t="s">
        <v>51</v>
      </c>
      <c r="H19" t="s">
        <v>51</v>
      </c>
      <c r="I19" s="19" t="str">
        <f>IF(ISNA(VLOOKUP(D19,#REF!,1,FALSE)),"Y","N")</f>
        <v>N</v>
      </c>
      <c r="J19">
        <f>IFERROR(VLOOKUP(H19,oxygen_metal_ratios!$A$3:$F$36,6,FALSE),0)</f>
        <v>0.34399999999999997</v>
      </c>
      <c r="L19" s="17" t="s">
        <v>40</v>
      </c>
      <c r="M19" s="17">
        <v>3.5700000000000003E-2</v>
      </c>
      <c r="P19" s="17"/>
    </row>
    <row r="20" spans="1:17" x14ac:dyDescent="0.25">
      <c r="A20" t="s">
        <v>8</v>
      </c>
      <c r="B20" t="s">
        <v>9</v>
      </c>
      <c r="C20" t="s">
        <v>10</v>
      </c>
      <c r="D20">
        <v>487</v>
      </c>
      <c r="E20" t="s">
        <v>52</v>
      </c>
      <c r="F20">
        <v>2.1399999999999999E-2</v>
      </c>
      <c r="G20" t="s">
        <v>53</v>
      </c>
      <c r="H20" t="s">
        <v>53</v>
      </c>
      <c r="I20" s="19" t="str">
        <f>IF(ISNA(VLOOKUP(D20,#REF!,1,FALSE)),"Y","N")</f>
        <v>N</v>
      </c>
      <c r="J20">
        <f>IFERROR(VLOOKUP(H20,oxygen_metal_ratios!$A$3:$F$36,6,FALSE),0)</f>
        <v>0.20899999999999999</v>
      </c>
      <c r="L20" s="17" t="s">
        <v>40</v>
      </c>
      <c r="M20" s="17">
        <v>2.1399999999999999E-2</v>
      </c>
      <c r="P20" s="18"/>
      <c r="Q20" s="16">
        <f>SUMPRODUCT(M:M,J:J)</f>
        <v>16.642212199999999</v>
      </c>
    </row>
    <row r="21" spans="1:17" x14ac:dyDescent="0.25">
      <c r="A21" t="s">
        <v>8</v>
      </c>
      <c r="B21" t="s">
        <v>9</v>
      </c>
      <c r="C21" t="s">
        <v>10</v>
      </c>
      <c r="D21">
        <v>520</v>
      </c>
      <c r="E21" t="s">
        <v>54</v>
      </c>
      <c r="F21">
        <v>1.2500000000000001E-2</v>
      </c>
      <c r="G21" t="s">
        <v>55</v>
      </c>
      <c r="H21" t="s">
        <v>55</v>
      </c>
      <c r="I21" s="19" t="str">
        <f>IF(ISNA(VLOOKUP(D21,#REF!,1,FALSE)),"Y","N")</f>
        <v>N</v>
      </c>
      <c r="J21">
        <f>IFERROR(VLOOKUP(H21,oxygen_metal_ratios!$A$3:$F$36,6,FALSE),0)</f>
        <v>0.11600000000000001</v>
      </c>
      <c r="L21" s="17" t="s">
        <v>40</v>
      </c>
      <c r="M21" s="17">
        <v>1.2500000000000001E-2</v>
      </c>
      <c r="Q21" s="16">
        <f>0.5*96/18*F4</f>
        <v>3.4677333333333333</v>
      </c>
    </row>
    <row r="22" spans="1:17" x14ac:dyDescent="0.25">
      <c r="A22" t="s">
        <v>8</v>
      </c>
      <c r="B22" t="s">
        <v>9</v>
      </c>
      <c r="C22" t="s">
        <v>10</v>
      </c>
      <c r="D22">
        <v>765</v>
      </c>
      <c r="E22" s="25" t="s">
        <v>56</v>
      </c>
      <c r="F22">
        <v>1.8E-3</v>
      </c>
      <c r="G22" t="s">
        <v>57</v>
      </c>
      <c r="H22" t="s">
        <v>57</v>
      </c>
      <c r="I22" s="19" t="str">
        <f>IF(ISNA(VLOOKUP(D22,#REF!,1,FALSE)),"Y","N")</f>
        <v>N</v>
      </c>
      <c r="J22">
        <f>IFERROR(VLOOKUP(H22,oxygen_metal_ratios!$A$3:$F$36,6,FALSE),0)</f>
        <v>0</v>
      </c>
      <c r="L22" s="13" t="s">
        <v>241</v>
      </c>
      <c r="M22" s="17">
        <v>1.8E-3</v>
      </c>
      <c r="Q22" s="16">
        <f>F12-Q21</f>
        <v>4.7954666666666661</v>
      </c>
    </row>
    <row r="23" spans="1:17" x14ac:dyDescent="0.25">
      <c r="A23" t="s">
        <v>8</v>
      </c>
      <c r="B23" t="s">
        <v>9</v>
      </c>
      <c r="C23" t="s">
        <v>10</v>
      </c>
      <c r="D23">
        <v>347</v>
      </c>
      <c r="E23" t="s">
        <v>58</v>
      </c>
      <c r="F23">
        <v>2.5000000000000001E-2</v>
      </c>
      <c r="G23" t="s">
        <v>59</v>
      </c>
      <c r="H23" t="s">
        <v>59</v>
      </c>
      <c r="I23" s="19" t="str">
        <f>IF(ISNA(VLOOKUP(D23,#REF!,1,FALSE)),"Y","N")</f>
        <v>N</v>
      </c>
      <c r="J23">
        <f>IFERROR(VLOOKUP(H23,oxygen_metal_ratios!$A$3:$F$36,6,FALSE),0)</f>
        <v>0.69199999999999995</v>
      </c>
      <c r="L23" s="17" t="s">
        <v>40</v>
      </c>
      <c r="M23" s="17">
        <v>2.5000000000000001E-2</v>
      </c>
      <c r="Q23" s="16"/>
    </row>
    <row r="24" spans="1:17" x14ac:dyDescent="0.25">
      <c r="A24" t="s">
        <v>8</v>
      </c>
      <c r="B24" t="s">
        <v>9</v>
      </c>
      <c r="C24" t="s">
        <v>10</v>
      </c>
      <c r="D24">
        <v>379</v>
      </c>
      <c r="E24" t="s">
        <v>60</v>
      </c>
      <c r="F24">
        <v>0</v>
      </c>
      <c r="G24" t="s">
        <v>61</v>
      </c>
      <c r="H24" t="s">
        <v>61</v>
      </c>
      <c r="I24" s="19" t="str">
        <f>IF(ISNA(VLOOKUP(D24,#REF!,1,FALSE)),"Y","N")</f>
        <v>N</v>
      </c>
      <c r="J24">
        <f>IFERROR(VLOOKUP(H24,oxygen_metal_ratios!$A$3:$F$36,6,FALSE),0)</f>
        <v>0.33900000000000002</v>
      </c>
      <c r="L24" s="17" t="s">
        <v>40</v>
      </c>
      <c r="M24" s="17">
        <v>0</v>
      </c>
      <c r="Q24" s="16">
        <f>Q20-Q22*16/96</f>
        <v>15.842967755555556</v>
      </c>
    </row>
    <row r="25" spans="1:17" x14ac:dyDescent="0.25">
      <c r="A25" t="s">
        <v>8</v>
      </c>
      <c r="B25" t="s">
        <v>9</v>
      </c>
      <c r="C25" t="s">
        <v>10</v>
      </c>
      <c r="D25">
        <v>700</v>
      </c>
      <c r="E25" t="s">
        <v>62</v>
      </c>
      <c r="F25">
        <v>2.8794</v>
      </c>
      <c r="G25" t="s">
        <v>63</v>
      </c>
      <c r="H25" t="s">
        <v>63</v>
      </c>
      <c r="I25" s="19" t="str">
        <f>IF(ISNA(VLOOKUP(D25,#REF!,1,FALSE)),"Y","N")</f>
        <v>N</v>
      </c>
      <c r="J25">
        <f>IFERROR(VLOOKUP(H25,oxygen_metal_ratios!$A$3:$F$36,6,FALSE),0)</f>
        <v>0</v>
      </c>
      <c r="L25" s="17" t="s">
        <v>241</v>
      </c>
      <c r="M25" s="17">
        <v>2.8794</v>
      </c>
    </row>
    <row r="26" spans="1:17" x14ac:dyDescent="0.25">
      <c r="A26" t="s">
        <v>8</v>
      </c>
      <c r="B26" t="s">
        <v>9</v>
      </c>
      <c r="C26" t="s">
        <v>10</v>
      </c>
      <c r="D26">
        <v>695</v>
      </c>
      <c r="E26" t="s">
        <v>64</v>
      </c>
      <c r="F26">
        <v>1.43E-2</v>
      </c>
      <c r="G26" t="s">
        <v>65</v>
      </c>
      <c r="H26" t="s">
        <v>65</v>
      </c>
      <c r="I26" s="19" t="str">
        <f>IF(ISNA(VLOOKUP(D26,#REF!,1,FALSE)),"Y","N")</f>
        <v>N</v>
      </c>
      <c r="J26">
        <f>IFERROR(VLOOKUP(H26,oxygen_metal_ratios!$A$3:$F$36,6,FALSE),0)</f>
        <v>7.3999999999999996E-2</v>
      </c>
      <c r="L26" s="17" t="s">
        <v>40</v>
      </c>
      <c r="M26" s="17">
        <v>1.43E-2</v>
      </c>
    </row>
    <row r="27" spans="1:17" x14ac:dyDescent="0.25">
      <c r="A27" t="s">
        <v>8</v>
      </c>
      <c r="B27" t="s">
        <v>9</v>
      </c>
      <c r="C27" t="s">
        <v>10</v>
      </c>
      <c r="D27">
        <v>666</v>
      </c>
      <c r="E27" t="s">
        <v>66</v>
      </c>
      <c r="F27">
        <v>0.72699999999999998</v>
      </c>
      <c r="G27" t="s">
        <v>67</v>
      </c>
      <c r="H27" t="s">
        <v>67</v>
      </c>
      <c r="I27" s="19" t="str">
        <f>IF(ISNA(VLOOKUP(D27,#REF!,1,FALSE)),"Y","N")</f>
        <v>N</v>
      </c>
      <c r="J27">
        <f>IFERROR(VLOOKUP(H27,oxygen_metal_ratios!$A$3:$F$36,6,FALSE),0)</f>
        <v>1.0329999999999999</v>
      </c>
      <c r="L27" s="17" t="s">
        <v>40</v>
      </c>
      <c r="M27" s="17">
        <v>0.72699999999999998</v>
      </c>
    </row>
    <row r="28" spans="1:17" x14ac:dyDescent="0.25">
      <c r="A28" t="s">
        <v>8</v>
      </c>
      <c r="B28" t="s">
        <v>9</v>
      </c>
      <c r="C28" t="s">
        <v>10</v>
      </c>
      <c r="D28">
        <v>693</v>
      </c>
      <c r="E28" t="s">
        <v>68</v>
      </c>
      <c r="F28">
        <v>1.2500000000000001E-2</v>
      </c>
      <c r="G28" t="s">
        <v>69</v>
      </c>
      <c r="H28" t="s">
        <v>69</v>
      </c>
      <c r="I28" s="19" t="str">
        <f>IF(ISNA(VLOOKUP(D28,#REF!,1,FALSE)),"Y","N")</f>
        <v>N</v>
      </c>
      <c r="J28">
        <f>IFERROR(VLOOKUP(H28,oxygen_metal_ratios!$A$3:$F$36,6,FALSE),0)</f>
        <v>0.40500000000000003</v>
      </c>
      <c r="L28" s="17" t="s">
        <v>40</v>
      </c>
      <c r="M28" s="17">
        <v>1.2500000000000001E-2</v>
      </c>
    </row>
    <row r="29" spans="1:17" x14ac:dyDescent="0.25">
      <c r="A29" t="s">
        <v>8</v>
      </c>
      <c r="B29" t="s">
        <v>9</v>
      </c>
      <c r="C29" t="s">
        <v>10</v>
      </c>
      <c r="D29">
        <v>715</v>
      </c>
      <c r="E29" t="s">
        <v>70</v>
      </c>
      <c r="F29">
        <v>0.74129999999999996</v>
      </c>
      <c r="G29" t="s">
        <v>71</v>
      </c>
      <c r="H29" t="s">
        <v>71</v>
      </c>
      <c r="I29" s="19" t="str">
        <f>IF(ISNA(VLOOKUP(D29,#REF!,1,FALSE)),"Y","N")</f>
        <v>N</v>
      </c>
      <c r="J29">
        <f>IFERROR(VLOOKUP(H29,oxygen_metal_ratios!$A$3:$F$36,6,FALSE),0)</f>
        <v>0.66900000000000004</v>
      </c>
      <c r="L29" s="17" t="s">
        <v>40</v>
      </c>
      <c r="M29" s="17">
        <v>0.74129999999999996</v>
      </c>
    </row>
    <row r="30" spans="1:17" x14ac:dyDescent="0.25">
      <c r="A30" t="s">
        <v>8</v>
      </c>
      <c r="B30" t="s">
        <v>9</v>
      </c>
      <c r="C30" t="s">
        <v>10</v>
      </c>
      <c r="D30">
        <v>488</v>
      </c>
      <c r="E30" t="s">
        <v>72</v>
      </c>
      <c r="F30">
        <v>3.2616999999999998</v>
      </c>
      <c r="G30" t="s">
        <v>73</v>
      </c>
      <c r="H30" t="s">
        <v>73</v>
      </c>
      <c r="I30" s="19" t="str">
        <f>IF(ISNA(VLOOKUP(D30,#REF!,1,FALSE)),"Y","N")</f>
        <v>N</v>
      </c>
      <c r="J30">
        <f>IFERROR(VLOOKUP(H30,oxygen_metal_ratios!$A$3:$F$36,6,FALSE),0)</f>
        <v>0.35799999999999998</v>
      </c>
      <c r="L30" s="17" t="s">
        <v>40</v>
      </c>
      <c r="M30" s="17">
        <v>3.2616999999999998</v>
      </c>
    </row>
    <row r="31" spans="1:17" x14ac:dyDescent="0.25">
      <c r="A31" t="s">
        <v>8</v>
      </c>
      <c r="B31" t="s">
        <v>9</v>
      </c>
      <c r="C31" t="s">
        <v>10</v>
      </c>
      <c r="D31">
        <v>712</v>
      </c>
      <c r="E31" s="25" t="s">
        <v>74</v>
      </c>
      <c r="F31">
        <v>3.5999999999999999E-3</v>
      </c>
      <c r="G31" t="s">
        <v>75</v>
      </c>
      <c r="H31" t="s">
        <v>75</v>
      </c>
      <c r="I31" s="19" t="str">
        <f>IF(ISNA(VLOOKUP(D31,#REF!,1,FALSE)),"Y","N")</f>
        <v>N</v>
      </c>
      <c r="J31">
        <f>IFERROR(VLOOKUP(H31,oxygen_metal_ratios!$A$3:$F$36,6,FALSE),0)</f>
        <v>0</v>
      </c>
      <c r="L31" s="23" t="s">
        <v>241</v>
      </c>
      <c r="M31" s="17">
        <v>3.5999999999999999E-3</v>
      </c>
    </row>
    <row r="32" spans="1:17" x14ac:dyDescent="0.25">
      <c r="A32" t="s">
        <v>8</v>
      </c>
      <c r="B32" t="s">
        <v>9</v>
      </c>
      <c r="C32" t="s">
        <v>10</v>
      </c>
      <c r="D32">
        <v>300</v>
      </c>
      <c r="E32" t="s">
        <v>76</v>
      </c>
      <c r="F32">
        <v>0.97889999999999999</v>
      </c>
      <c r="G32" t="s">
        <v>77</v>
      </c>
      <c r="H32" t="s">
        <v>77</v>
      </c>
      <c r="I32" s="19" t="str">
        <f>IF(ISNA(VLOOKUP(D32,#REF!,1,FALSE)),"Y","N")</f>
        <v>N</v>
      </c>
      <c r="J32">
        <f>IFERROR(VLOOKUP(H32,oxygen_metal_ratios!$A$3:$F$36,6,FALSE),0)</f>
        <v>0.11700000000000001</v>
      </c>
      <c r="L32" s="17" t="s">
        <v>40</v>
      </c>
      <c r="M32" s="17">
        <v>0.97889999999999999</v>
      </c>
    </row>
    <row r="33" spans="1:13" x14ac:dyDescent="0.25">
      <c r="A33" t="s">
        <v>8</v>
      </c>
      <c r="B33" t="s">
        <v>9</v>
      </c>
      <c r="C33" t="s">
        <v>10</v>
      </c>
      <c r="D33">
        <v>791</v>
      </c>
      <c r="E33" t="s">
        <v>78</v>
      </c>
      <c r="F33">
        <v>4.4781000000000004</v>
      </c>
      <c r="H33" t="s">
        <v>79</v>
      </c>
      <c r="I33" s="19" t="str">
        <f>IF(ISNA(VLOOKUP(D33,#REF!,1,FALSE)),"Y","N")</f>
        <v>N</v>
      </c>
      <c r="L33" s="17" t="s">
        <v>241</v>
      </c>
      <c r="M33" s="17">
        <v>4.4781000000000004</v>
      </c>
    </row>
    <row r="34" spans="1:13" x14ac:dyDescent="0.25">
      <c r="A34" t="s">
        <v>8</v>
      </c>
      <c r="B34" t="s">
        <v>9</v>
      </c>
      <c r="C34" t="s">
        <v>10</v>
      </c>
      <c r="D34">
        <v>794</v>
      </c>
      <c r="E34" t="s">
        <v>80</v>
      </c>
      <c r="F34">
        <v>1.2361</v>
      </c>
      <c r="G34" t="s">
        <v>24</v>
      </c>
      <c r="H34" t="s">
        <v>81</v>
      </c>
      <c r="I34" s="19" t="str">
        <f>IF(ISNA(VLOOKUP(D34,#REF!,1,FALSE)),"Y","N")</f>
        <v>N</v>
      </c>
      <c r="L34" s="17" t="s">
        <v>241</v>
      </c>
      <c r="M34" s="17">
        <v>1.2361</v>
      </c>
    </row>
    <row r="35" spans="1:13" x14ac:dyDescent="0.25">
      <c r="A35" t="s">
        <v>8</v>
      </c>
      <c r="B35" t="s">
        <v>9</v>
      </c>
      <c r="C35" t="s">
        <v>10</v>
      </c>
      <c r="D35">
        <v>779</v>
      </c>
      <c r="E35" t="s">
        <v>82</v>
      </c>
      <c r="F35">
        <v>1.9599999999999999E-2</v>
      </c>
      <c r="G35" t="s">
        <v>83</v>
      </c>
      <c r="H35" t="s">
        <v>83</v>
      </c>
      <c r="I35" s="19" t="str">
        <f>IF(ISNA(VLOOKUP(D35,#REF!,1,FALSE)),"Y","N")</f>
        <v>N</v>
      </c>
      <c r="J35">
        <f>IFERROR(VLOOKUP(H35,oxygen_metal_ratios!$A$3:$F$36,6,FALSE),0)</f>
        <v>0.35099999999999998</v>
      </c>
      <c r="L35" s="17" t="s">
        <v>40</v>
      </c>
      <c r="M35" s="17">
        <v>1.9599999999999999E-2</v>
      </c>
    </row>
    <row r="36" spans="1:13" x14ac:dyDescent="0.25">
      <c r="A36" t="s">
        <v>8</v>
      </c>
      <c r="B36" t="s">
        <v>9</v>
      </c>
      <c r="C36" t="s">
        <v>10</v>
      </c>
      <c r="D36">
        <v>586</v>
      </c>
      <c r="E36" t="s">
        <v>84</v>
      </c>
      <c r="F36">
        <v>1.9599999999999999E-2</v>
      </c>
      <c r="G36" t="s">
        <v>85</v>
      </c>
      <c r="H36" t="s">
        <v>85</v>
      </c>
      <c r="I36" s="19" t="str">
        <f>IF(ISNA(VLOOKUP(D36,#REF!,1,FALSE)),"Y","N")</f>
        <v>N</v>
      </c>
      <c r="J36">
        <f>IFERROR(VLOOKUP(H36,oxygen_metal_ratios!$A$3:$F$36,6,FALSE),0)</f>
        <v>0.41699999999999998</v>
      </c>
      <c r="L36" s="17" t="s">
        <v>40</v>
      </c>
      <c r="M36" s="17">
        <v>1.9599999999999999E-2</v>
      </c>
    </row>
    <row r="37" spans="1:13" x14ac:dyDescent="0.25">
      <c r="A37" t="s">
        <v>8</v>
      </c>
      <c r="B37" t="s">
        <v>9</v>
      </c>
      <c r="C37" t="s">
        <v>10</v>
      </c>
      <c r="D37">
        <v>696</v>
      </c>
      <c r="E37" t="s">
        <v>86</v>
      </c>
      <c r="F37">
        <v>0.27510000000000001</v>
      </c>
      <c r="G37" t="s">
        <v>87</v>
      </c>
      <c r="H37" t="s">
        <v>87</v>
      </c>
      <c r="I37" s="19" t="str">
        <f>IF(ISNA(VLOOKUP(D37,#REF!,1,FALSE)),"Y","N")</f>
        <v>N</v>
      </c>
      <c r="J37" s="17">
        <v>0.34799999999999998</v>
      </c>
      <c r="L37" s="17" t="s">
        <v>241</v>
      </c>
      <c r="M37" s="22">
        <v>0</v>
      </c>
    </row>
    <row r="38" spans="1:13" x14ac:dyDescent="0.25">
      <c r="A38" t="s">
        <v>8</v>
      </c>
      <c r="B38" t="s">
        <v>9</v>
      </c>
      <c r="C38" t="s">
        <v>10</v>
      </c>
      <c r="D38">
        <v>1183</v>
      </c>
      <c r="E38" t="s">
        <v>88</v>
      </c>
      <c r="F38">
        <v>23.367799999999999</v>
      </c>
      <c r="H38" t="s">
        <v>89</v>
      </c>
      <c r="I38" s="19" t="str">
        <f>IF(ISNA(VLOOKUP(D38,#REF!,1,FALSE)),"Y","N")</f>
        <v>N</v>
      </c>
      <c r="L38" s="17" t="s">
        <v>241</v>
      </c>
      <c r="M38" s="17">
        <v>23.367799999999999</v>
      </c>
    </row>
    <row r="39" spans="1:13" x14ac:dyDescent="0.25">
      <c r="A39" t="s">
        <v>8</v>
      </c>
      <c r="B39" t="s">
        <v>9</v>
      </c>
      <c r="C39" t="s">
        <v>10</v>
      </c>
      <c r="D39">
        <v>778</v>
      </c>
      <c r="E39" t="s">
        <v>90</v>
      </c>
      <c r="F39">
        <v>0.3715</v>
      </c>
      <c r="G39" t="s">
        <v>91</v>
      </c>
      <c r="H39" t="s">
        <v>91</v>
      </c>
      <c r="I39" s="19" t="str">
        <f>IF(ISNA(VLOOKUP(D39,#REF!,1,FALSE)),"Y","N")</f>
        <v>N</v>
      </c>
      <c r="J39">
        <f>IFERROR(VLOOKUP(H39,oxygen_metal_ratios!$A$3:$F$36,6,FALSE),0)</f>
        <v>0.245</v>
      </c>
      <c r="L39" s="17" t="s">
        <v>40</v>
      </c>
      <c r="M39" s="17">
        <v>0.3715</v>
      </c>
    </row>
    <row r="40" spans="1:13" x14ac:dyDescent="0.25">
      <c r="A40" t="s">
        <v>8</v>
      </c>
      <c r="B40" t="s">
        <v>9</v>
      </c>
      <c r="C40" t="s">
        <v>10</v>
      </c>
      <c r="D40">
        <v>767</v>
      </c>
      <c r="E40" t="s">
        <v>92</v>
      </c>
      <c r="F40">
        <v>6.0699999999999997E-2</v>
      </c>
      <c r="G40" t="s">
        <v>93</v>
      </c>
      <c r="H40" t="s">
        <v>93</v>
      </c>
      <c r="I40" s="19" t="str">
        <f>IF(ISNA(VLOOKUP(D40,#REF!,1,FALSE)),"Y","N")</f>
        <v>N</v>
      </c>
      <c r="J40">
        <f>IFERROR(VLOOKUP(H40,oxygen_metal_ratios!$A$3:$F$36,6,FALSE),0)</f>
        <v>0.78500000000000003</v>
      </c>
      <c r="L40" s="17" t="s">
        <v>40</v>
      </c>
      <c r="M40" s="17">
        <v>6.0699999999999997E-2</v>
      </c>
    </row>
    <row r="41" spans="1:13" x14ac:dyDescent="0.25">
      <c r="A41" t="s">
        <v>8</v>
      </c>
      <c r="B41" t="s">
        <v>9</v>
      </c>
      <c r="C41" t="s">
        <v>10</v>
      </c>
      <c r="D41">
        <v>528</v>
      </c>
      <c r="E41" t="s">
        <v>94</v>
      </c>
      <c r="F41">
        <v>1.0699999999999999E-2</v>
      </c>
      <c r="G41" t="s">
        <v>95</v>
      </c>
      <c r="H41" t="s">
        <v>95</v>
      </c>
      <c r="I41" s="19" t="str">
        <f>IF(ISNA(VLOOKUP(D41,#REF!,1,FALSE)),"Y","N")</f>
        <v>N</v>
      </c>
      <c r="J41">
        <f>IFERROR(VLOOKUP(H41,oxygen_metal_ratios!$A$3:$F$36,6,FALSE),0)</f>
        <v>0.06</v>
      </c>
      <c r="L41" s="21" t="s">
        <v>40</v>
      </c>
      <c r="M41" s="17">
        <v>1.0699999999999999E-2</v>
      </c>
    </row>
    <row r="42" spans="1:13" x14ac:dyDescent="0.25">
      <c r="A42" t="s">
        <v>8</v>
      </c>
      <c r="B42" t="s">
        <v>9</v>
      </c>
      <c r="C42" t="s">
        <v>10</v>
      </c>
      <c r="D42">
        <v>525</v>
      </c>
      <c r="E42" t="s">
        <v>96</v>
      </c>
      <c r="F42">
        <v>1.4968999999999999</v>
      </c>
      <c r="G42" t="s">
        <v>97</v>
      </c>
      <c r="H42" s="1" t="s">
        <v>97</v>
      </c>
      <c r="I42" s="19" t="str">
        <f>IF(ISNA(VLOOKUP(D42,#REF!,1,FALSE)),"Y","N")</f>
        <v>N</v>
      </c>
      <c r="J42">
        <f>IFERROR(VLOOKUP(H42,oxygen_metal_ratios!$A$3:$F$36,6,FALSE),0)</f>
        <v>0.65800000000000003</v>
      </c>
      <c r="L42" s="17" t="s">
        <v>40</v>
      </c>
      <c r="M42" s="22">
        <v>0</v>
      </c>
    </row>
    <row r="43" spans="1:13" x14ac:dyDescent="0.25">
      <c r="A43" t="s">
        <v>8</v>
      </c>
      <c r="B43" t="s">
        <v>9</v>
      </c>
      <c r="C43" t="s">
        <v>10</v>
      </c>
      <c r="D43">
        <v>337</v>
      </c>
      <c r="E43" t="s">
        <v>98</v>
      </c>
      <c r="F43">
        <v>0.41439999999999999</v>
      </c>
      <c r="G43" t="s">
        <v>99</v>
      </c>
      <c r="H43" t="s">
        <v>100</v>
      </c>
      <c r="I43" s="19" t="str">
        <f>IF(ISNA(VLOOKUP(D43,#REF!,1,FALSE)),"Y","N")</f>
        <v>N</v>
      </c>
      <c r="J43">
        <f>IFERROR(VLOOKUP(H43,oxygen_metal_ratios!$A$3:$F$36,6,FALSE),0)</f>
        <v>0</v>
      </c>
      <c r="L43" s="17" t="s">
        <v>40</v>
      </c>
      <c r="M43" s="17">
        <v>0.41439999999999999</v>
      </c>
    </row>
    <row r="44" spans="1:13" x14ac:dyDescent="0.25">
      <c r="A44" t="s">
        <v>8</v>
      </c>
      <c r="B44" t="s">
        <v>9</v>
      </c>
      <c r="C44" t="s">
        <v>10</v>
      </c>
      <c r="D44">
        <v>329</v>
      </c>
      <c r="E44" t="s">
        <v>101</v>
      </c>
      <c r="F44">
        <v>17.8429</v>
      </c>
      <c r="G44" t="s">
        <v>102</v>
      </c>
      <c r="H44" t="s">
        <v>102</v>
      </c>
      <c r="I44" s="19" t="str">
        <f>IF(ISNA(VLOOKUP(D44,#REF!,1,FALSE)),"Y","N")</f>
        <v>N</v>
      </c>
      <c r="J44" s="17">
        <v>0.39900000000000002</v>
      </c>
      <c r="L44" s="17" t="s">
        <v>40</v>
      </c>
      <c r="M44" s="22">
        <v>0</v>
      </c>
    </row>
    <row r="45" spans="1:13" x14ac:dyDescent="0.25">
      <c r="A45" t="s">
        <v>8</v>
      </c>
      <c r="B45" t="s">
        <v>9</v>
      </c>
      <c r="C45" t="s">
        <v>10</v>
      </c>
      <c r="D45">
        <v>810</v>
      </c>
      <c r="E45" t="s">
        <v>103</v>
      </c>
      <c r="F45">
        <v>1.8E-3</v>
      </c>
      <c r="G45" t="s">
        <v>104</v>
      </c>
      <c r="H45" t="s">
        <v>104</v>
      </c>
      <c r="I45" s="19" t="str">
        <f>IF(ISNA(VLOOKUP(D45,#REF!,1,FALSE)),"Y","N")</f>
        <v>N</v>
      </c>
      <c r="J45">
        <f>IFERROR(VLOOKUP(H45,oxygen_metal_ratios!$A$3:$F$36,6,FALSE),0)</f>
        <v>0</v>
      </c>
      <c r="L45" s="17" t="s">
        <v>40</v>
      </c>
      <c r="M45" s="17">
        <v>1.8E-3</v>
      </c>
    </row>
    <row r="46" spans="1:13" x14ac:dyDescent="0.25">
      <c r="A46" t="s">
        <v>8</v>
      </c>
      <c r="B46" t="s">
        <v>9</v>
      </c>
      <c r="C46" t="s">
        <v>10</v>
      </c>
      <c r="D46">
        <v>1190</v>
      </c>
      <c r="E46" t="s">
        <v>105</v>
      </c>
      <c r="F46">
        <v>1.6737</v>
      </c>
      <c r="G46" t="s">
        <v>24</v>
      </c>
      <c r="H46" t="s">
        <v>106</v>
      </c>
      <c r="I46" s="19" t="str">
        <f>IF(ISNA(VLOOKUP(D46,#REF!,1,FALSE)),"Y","N")</f>
        <v>N</v>
      </c>
      <c r="L46" s="17" t="s">
        <v>241</v>
      </c>
      <c r="M46" s="17">
        <v>1.6737</v>
      </c>
    </row>
    <row r="47" spans="1:13" x14ac:dyDescent="0.25">
      <c r="A47" t="s">
        <v>8</v>
      </c>
      <c r="B47" t="s">
        <v>9</v>
      </c>
      <c r="C47" t="s">
        <v>10</v>
      </c>
      <c r="D47">
        <v>612</v>
      </c>
      <c r="E47" t="s">
        <v>107</v>
      </c>
      <c r="F47">
        <v>2.1399999999999999E-2</v>
      </c>
      <c r="G47" t="s">
        <v>108</v>
      </c>
      <c r="H47" t="s">
        <v>108</v>
      </c>
      <c r="I47" s="19" t="str">
        <f>IF(ISNA(VLOOKUP(D47,#REF!,1,FALSE)),"Y","N")</f>
        <v>N</v>
      </c>
      <c r="J47">
        <f>IFERROR(VLOOKUP(H47,oxygen_metal_ratios!$A$3:$F$36,6,FALSE),0)</f>
        <v>0.27300000000000002</v>
      </c>
      <c r="L47" s="17" t="s">
        <v>40</v>
      </c>
      <c r="M47" s="17">
        <v>2.1399999999999999E-2</v>
      </c>
    </row>
    <row r="48" spans="1:13" x14ac:dyDescent="0.25">
      <c r="A48" t="s">
        <v>8</v>
      </c>
      <c r="B48" t="s">
        <v>9</v>
      </c>
      <c r="C48" t="s">
        <v>10</v>
      </c>
      <c r="D48">
        <v>436</v>
      </c>
      <c r="E48" t="s">
        <v>109</v>
      </c>
      <c r="F48">
        <v>50.311700000000002</v>
      </c>
      <c r="H48" t="s">
        <v>110</v>
      </c>
      <c r="I48" s="19" t="str">
        <f>IF(ISNA(VLOOKUP(D48,#REF!,1,FALSE)),"Y","N")</f>
        <v>N</v>
      </c>
      <c r="L48" s="17" t="s">
        <v>241</v>
      </c>
      <c r="M48" s="17">
        <v>50.311700000000002</v>
      </c>
    </row>
    <row r="49" spans="1:13" x14ac:dyDescent="0.25">
      <c r="A49" t="s">
        <v>8</v>
      </c>
      <c r="B49" t="s">
        <v>9</v>
      </c>
      <c r="C49" t="s">
        <v>10</v>
      </c>
      <c r="D49">
        <v>714</v>
      </c>
      <c r="E49" t="s">
        <v>111</v>
      </c>
      <c r="F49">
        <v>3.5999999999999999E-3</v>
      </c>
      <c r="G49" t="s">
        <v>112</v>
      </c>
      <c r="H49" t="s">
        <v>112</v>
      </c>
      <c r="I49" s="19" t="str">
        <f>IF(ISNA(VLOOKUP(D49,#REF!,1,FALSE)),"Y","N")</f>
        <v>N</v>
      </c>
      <c r="J49">
        <f>IFERROR(VLOOKUP(H49,oxygen_metal_ratios!$A$3:$F$36,6,FALSE),0)</f>
        <v>0.20200000000000001</v>
      </c>
      <c r="L49" s="17" t="s">
        <v>40</v>
      </c>
      <c r="M49" s="17">
        <v>3.5999999999999999E-3</v>
      </c>
    </row>
    <row r="50" spans="1:13" x14ac:dyDescent="0.25">
      <c r="A50" t="s">
        <v>8</v>
      </c>
      <c r="B50" t="s">
        <v>9</v>
      </c>
      <c r="C50" t="s">
        <v>10</v>
      </c>
      <c r="D50">
        <v>785</v>
      </c>
      <c r="E50" t="s">
        <v>113</v>
      </c>
      <c r="F50">
        <v>0.3715</v>
      </c>
      <c r="G50" t="s">
        <v>87</v>
      </c>
      <c r="H50" t="s">
        <v>114</v>
      </c>
      <c r="I50" s="19" t="str">
        <f>IF(ISNA(VLOOKUP(D50,#REF!,1,FALSE)),"Y","N")</f>
        <v>N</v>
      </c>
      <c r="J50">
        <f>IFERROR(VLOOKUP(H50,oxygen_metal_ratios!$A$3:$F$36,6,FALSE),0)</f>
        <v>0</v>
      </c>
      <c r="L50" s="17" t="s">
        <v>40</v>
      </c>
      <c r="M50" s="17">
        <v>0.3715</v>
      </c>
    </row>
    <row r="51" spans="1:13" x14ac:dyDescent="0.25">
      <c r="A51" t="s">
        <v>8</v>
      </c>
      <c r="B51" t="s">
        <v>9</v>
      </c>
      <c r="C51" t="s">
        <v>10</v>
      </c>
      <c r="D51">
        <v>697</v>
      </c>
      <c r="E51" t="s">
        <v>115</v>
      </c>
      <c r="F51">
        <v>0.37509999999999999</v>
      </c>
      <c r="G51" t="s">
        <v>116</v>
      </c>
      <c r="H51" t="s">
        <v>116</v>
      </c>
      <c r="I51" s="19" t="str">
        <f>IF(ISNA(VLOOKUP(D51,#REF!,1,FALSE)),"Y","N")</f>
        <v>N</v>
      </c>
      <c r="J51">
        <f>IFERROR(VLOOKUP(H51,oxygen_metal_ratios!$A$3:$F$36,6,FALSE),0)</f>
        <v>0.183</v>
      </c>
      <c r="L51" s="17" t="s">
        <v>40</v>
      </c>
      <c r="M51" s="17">
        <v>0.37509999999999999</v>
      </c>
    </row>
    <row r="52" spans="1:13" x14ac:dyDescent="0.25">
      <c r="A52" t="s">
        <v>8</v>
      </c>
      <c r="B52" t="s">
        <v>9</v>
      </c>
      <c r="C52" t="s">
        <v>10</v>
      </c>
      <c r="D52">
        <v>669</v>
      </c>
      <c r="E52" t="s">
        <v>117</v>
      </c>
      <c r="F52" s="17">
        <v>0.14649999999999999</v>
      </c>
      <c r="G52" t="s">
        <v>21</v>
      </c>
      <c r="H52" t="s">
        <v>21</v>
      </c>
      <c r="I52" s="19" t="str">
        <f>IF(ISNA(VLOOKUP(D52,#REF!,1,FALSE)),"Y","N")</f>
        <v>N</v>
      </c>
      <c r="J52">
        <f>IFERROR(VLOOKUP(H52,oxygen_metal_ratios!$A$3:$F$36,6,FALSE),0)</f>
        <v>0.20499999999999999</v>
      </c>
      <c r="L52" s="17" t="s">
        <v>241</v>
      </c>
      <c r="M52" s="22">
        <v>2.5000000000000001E-2</v>
      </c>
    </row>
    <row r="53" spans="1:13" x14ac:dyDescent="0.25">
      <c r="A53" t="s">
        <v>8</v>
      </c>
      <c r="B53" t="s">
        <v>9</v>
      </c>
      <c r="C53" t="s">
        <v>10</v>
      </c>
      <c r="D53">
        <v>519</v>
      </c>
      <c r="E53" t="s">
        <v>118</v>
      </c>
      <c r="F53">
        <v>0</v>
      </c>
      <c r="G53" t="s">
        <v>119</v>
      </c>
      <c r="H53" t="s">
        <v>119</v>
      </c>
      <c r="I53" s="19" t="str">
        <f>IF(ISNA(VLOOKUP(D53,#REF!,1,FALSE)),"Y","N")</f>
        <v>N</v>
      </c>
      <c r="J53">
        <f>IFERROR(VLOOKUP(H53,oxygen_metal_ratios!$A$3:$F$36,6,FALSE),0)</f>
        <v>0.17299999999999999</v>
      </c>
      <c r="L53" s="17" t="s">
        <v>40</v>
      </c>
      <c r="M53" s="17">
        <v>0</v>
      </c>
    </row>
    <row r="54" spans="1:13" x14ac:dyDescent="0.25">
      <c r="A54" t="s">
        <v>8</v>
      </c>
      <c r="B54" t="s">
        <v>9</v>
      </c>
      <c r="C54" t="s">
        <v>10</v>
      </c>
      <c r="D54">
        <v>830</v>
      </c>
      <c r="E54" t="s">
        <v>120</v>
      </c>
      <c r="F54">
        <v>125131.015</v>
      </c>
      <c r="G54" t="s">
        <v>121</v>
      </c>
      <c r="H54" t="s">
        <v>122</v>
      </c>
      <c r="I54" s="19" t="str">
        <f>IF(ISNA(VLOOKUP(D54,#REF!,1,FALSE)),"Y","N")</f>
        <v>N</v>
      </c>
      <c r="L54" s="17" t="s">
        <v>241</v>
      </c>
      <c r="M54" s="17">
        <v>125131.015</v>
      </c>
    </row>
    <row r="55" spans="1:13" x14ac:dyDescent="0.25">
      <c r="A55" t="s">
        <v>8</v>
      </c>
      <c r="B55" t="s">
        <v>9</v>
      </c>
      <c r="C55" t="s">
        <v>10</v>
      </c>
      <c r="D55">
        <v>380</v>
      </c>
      <c r="E55" t="s">
        <v>123</v>
      </c>
      <c r="F55">
        <v>6.9699999999999998E-2</v>
      </c>
      <c r="G55" t="s">
        <v>124</v>
      </c>
      <c r="H55" t="s">
        <v>124</v>
      </c>
      <c r="I55" s="19" t="str">
        <f>IF(ISNA(VLOOKUP(D55,#REF!,1,FALSE)),"Y","N")</f>
        <v>N</v>
      </c>
      <c r="J55">
        <f>IFERROR(VLOOKUP(H55,oxygen_metal_ratios!$A$3:$F$36,6,FALSE),0)</f>
        <v>0.252</v>
      </c>
      <c r="L55" s="17" t="s">
        <v>40</v>
      </c>
      <c r="M55" s="17">
        <v>6.9699999999999998E-2</v>
      </c>
    </row>
    <row r="56" spans="1:13" x14ac:dyDescent="0.25">
      <c r="A56" t="s">
        <v>8</v>
      </c>
      <c r="B56" t="s">
        <v>9</v>
      </c>
      <c r="C56" t="s">
        <v>10</v>
      </c>
      <c r="D56">
        <v>797</v>
      </c>
      <c r="E56" t="s">
        <v>125</v>
      </c>
      <c r="F56">
        <v>0.52339999999999998</v>
      </c>
      <c r="G56" t="s">
        <v>24</v>
      </c>
      <c r="H56" t="s">
        <v>126</v>
      </c>
      <c r="I56" s="19" t="str">
        <f>IF(ISNA(VLOOKUP(D56,#REF!,1,FALSE)),"Y","N")</f>
        <v>N</v>
      </c>
      <c r="J56">
        <f>IFERROR(VLOOKUP(H56,oxygen_metal_ratios!$A$3:$F$36,6,FALSE),0)</f>
        <v>0</v>
      </c>
      <c r="L56" s="17" t="s">
        <v>40</v>
      </c>
      <c r="M56" s="17">
        <v>0.52339999999999998</v>
      </c>
    </row>
    <row r="57" spans="1:13" x14ac:dyDescent="0.25">
      <c r="A57" t="s">
        <v>8</v>
      </c>
      <c r="B57" t="s">
        <v>9</v>
      </c>
      <c r="C57" t="s">
        <v>10</v>
      </c>
      <c r="D57">
        <v>795</v>
      </c>
      <c r="E57" t="s">
        <v>127</v>
      </c>
      <c r="F57">
        <v>0</v>
      </c>
      <c r="G57" t="s">
        <v>99</v>
      </c>
      <c r="H57" t="s">
        <v>99</v>
      </c>
      <c r="I57" s="19" t="str">
        <f>IF(ISNA(VLOOKUP(D57,#REF!,1,FALSE)),"Y","N")</f>
        <v>N</v>
      </c>
      <c r="J57">
        <f>IFERROR(VLOOKUP(H57,oxygen_metal_ratios!$A$3:$F$36,6,FALSE),0)</f>
        <v>0</v>
      </c>
      <c r="L57" s="17" t="s">
        <v>241</v>
      </c>
      <c r="M57" s="17">
        <v>0</v>
      </c>
    </row>
    <row r="58" spans="1:13" x14ac:dyDescent="0.25">
      <c r="A58" t="s">
        <v>8</v>
      </c>
      <c r="B58" t="s">
        <v>9</v>
      </c>
      <c r="C58" t="s">
        <v>10</v>
      </c>
      <c r="D58">
        <v>790</v>
      </c>
      <c r="E58" t="s">
        <v>128</v>
      </c>
      <c r="F58">
        <v>7.4093999999999998</v>
      </c>
      <c r="H58" t="s">
        <v>129</v>
      </c>
      <c r="I58" s="19" t="str">
        <f>IF(ISNA(VLOOKUP(D58,#REF!,1,FALSE)),"Y","N")</f>
        <v>N</v>
      </c>
      <c r="L58" s="17" t="s">
        <v>241</v>
      </c>
      <c r="M58" s="17">
        <v>7.4093999999999998</v>
      </c>
    </row>
    <row r="59" spans="1:13" x14ac:dyDescent="0.25">
      <c r="A59" t="s">
        <v>8</v>
      </c>
      <c r="B59" t="s">
        <v>9</v>
      </c>
      <c r="C59" t="s">
        <v>10</v>
      </c>
      <c r="D59">
        <v>613</v>
      </c>
      <c r="E59" t="s">
        <v>130</v>
      </c>
      <c r="F59">
        <v>1.3379000000000001</v>
      </c>
      <c r="G59" t="s">
        <v>131</v>
      </c>
      <c r="H59" t="s">
        <v>132</v>
      </c>
      <c r="I59" s="19" t="str">
        <f>IF(ISNA(VLOOKUP(D59,#REF!,1,FALSE)),"Y","N")</f>
        <v>N</v>
      </c>
      <c r="J59">
        <f>IFERROR(VLOOKUP(H59,oxygen_metal_ratios!$A$3:$F$36,6,FALSE),0)</f>
        <v>0</v>
      </c>
      <c r="L59" s="17" t="s">
        <v>40</v>
      </c>
      <c r="M59" s="17">
        <v>1.3379000000000001</v>
      </c>
    </row>
    <row r="60" spans="1:13" x14ac:dyDescent="0.25">
      <c r="A60" t="s">
        <v>8</v>
      </c>
      <c r="B60" t="s">
        <v>9</v>
      </c>
      <c r="C60" t="s">
        <v>10</v>
      </c>
      <c r="D60">
        <v>789</v>
      </c>
      <c r="E60" t="s">
        <v>133</v>
      </c>
      <c r="F60">
        <v>12.1465</v>
      </c>
      <c r="H60" t="s">
        <v>134</v>
      </c>
      <c r="I60" s="19" t="str">
        <f>IF(ISNA(VLOOKUP(D60,#REF!,1,FALSE)),"Y","N")</f>
        <v>N</v>
      </c>
      <c r="L60" s="17" t="s">
        <v>241</v>
      </c>
      <c r="M60" s="17">
        <v>12.1465</v>
      </c>
    </row>
  </sheetData>
  <autoFilter ref="A1:M60" xr:uid="{E3A8FBDB-44B3-455E-9792-02BB097C6DFF}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F7FC-AF6D-40C0-8294-A3615821A1C9}">
  <dimension ref="A1:L26"/>
  <sheetViews>
    <sheetView workbookViewId="0"/>
  </sheetViews>
  <sheetFormatPr defaultColWidth="9.140625" defaultRowHeight="15" x14ac:dyDescent="0.25"/>
  <cols>
    <col min="1" max="16384" width="9.140625" style="14"/>
  </cols>
  <sheetData>
    <row r="1" spans="1:12" x14ac:dyDescent="0.25">
      <c r="A1" s="14" t="s">
        <v>136</v>
      </c>
      <c r="C1" s="14" t="s">
        <v>8</v>
      </c>
      <c r="D1" s="14" t="s">
        <v>137</v>
      </c>
    </row>
    <row r="2" spans="1:12" x14ac:dyDescent="0.25">
      <c r="A2" s="14" t="s">
        <v>138</v>
      </c>
      <c r="C2" s="14" t="s">
        <v>241</v>
      </c>
    </row>
    <row r="3" spans="1:12" x14ac:dyDescent="0.25">
      <c r="A3" s="14" t="s">
        <v>139</v>
      </c>
      <c r="C3" s="14">
        <v>0.4</v>
      </c>
    </row>
    <row r="4" spans="1:12" x14ac:dyDescent="0.25">
      <c r="A4" s="14" t="s">
        <v>140</v>
      </c>
      <c r="C4" s="14">
        <v>0.4</v>
      </c>
    </row>
    <row r="7" spans="1:12" x14ac:dyDescent="0.25">
      <c r="B7" s="27" t="s">
        <v>141</v>
      </c>
      <c r="C7" s="27"/>
      <c r="D7" s="27"/>
      <c r="E7" s="27"/>
      <c r="F7" s="27" t="s">
        <v>142</v>
      </c>
      <c r="G7" s="27"/>
      <c r="H7" s="27"/>
      <c r="I7" s="27"/>
      <c r="J7" s="28" t="s">
        <v>265</v>
      </c>
    </row>
    <row r="8" spans="1:12" x14ac:dyDescent="0.25">
      <c r="B8" s="27" t="s">
        <v>143</v>
      </c>
      <c r="C8" s="27"/>
      <c r="D8" s="27"/>
      <c r="E8" s="27"/>
      <c r="F8" s="27" t="s">
        <v>144</v>
      </c>
      <c r="G8" s="27"/>
      <c r="H8" s="27"/>
      <c r="I8" s="27"/>
    </row>
    <row r="9" spans="1:12" x14ac:dyDescent="0.25">
      <c r="B9" s="27" t="s">
        <v>145</v>
      </c>
      <c r="C9" s="27" t="s">
        <v>146</v>
      </c>
      <c r="D9" s="27" t="s">
        <v>5</v>
      </c>
      <c r="E9" s="27"/>
      <c r="F9" s="27" t="s">
        <v>145</v>
      </c>
      <c r="G9" s="27" t="s">
        <v>146</v>
      </c>
      <c r="H9" s="27" t="s">
        <v>5</v>
      </c>
      <c r="I9" s="27"/>
      <c r="J9" s="14" t="s">
        <v>145</v>
      </c>
      <c r="K9" s="14" t="s">
        <v>146</v>
      </c>
      <c r="L9" s="14" t="s">
        <v>5</v>
      </c>
    </row>
    <row r="10" spans="1:12" x14ac:dyDescent="0.25">
      <c r="B10" s="27" t="s">
        <v>8</v>
      </c>
      <c r="C10" s="27" t="s">
        <v>242</v>
      </c>
      <c r="D10" s="27">
        <v>6.4399999999999999E-2</v>
      </c>
      <c r="E10" s="27"/>
      <c r="F10" s="27" t="s">
        <v>8</v>
      </c>
      <c r="G10" s="27" t="s">
        <v>242</v>
      </c>
      <c r="H10" s="27">
        <v>6.4399999999999999E-2</v>
      </c>
      <c r="I10" s="27"/>
      <c r="J10" s="14">
        <v>4296</v>
      </c>
      <c r="K10" s="14" t="s">
        <v>242</v>
      </c>
      <c r="L10" s="14">
        <v>6.4399999999999999E-2</v>
      </c>
    </row>
    <row r="11" spans="1:12" x14ac:dyDescent="0.25">
      <c r="B11" s="27" t="s">
        <v>8</v>
      </c>
      <c r="C11" s="27" t="s">
        <v>243</v>
      </c>
      <c r="D11" s="27">
        <v>0.1784</v>
      </c>
      <c r="E11" s="27"/>
      <c r="F11" s="27" t="s">
        <v>8</v>
      </c>
      <c r="G11" s="27" t="s">
        <v>243</v>
      </c>
      <c r="H11" s="27">
        <v>0.1784</v>
      </c>
      <c r="I11" s="27"/>
      <c r="J11" s="14">
        <v>4296</v>
      </c>
      <c r="K11" s="14" t="s">
        <v>243</v>
      </c>
      <c r="L11" s="14">
        <v>0.1784</v>
      </c>
    </row>
    <row r="12" spans="1:12" x14ac:dyDescent="0.25">
      <c r="B12" s="27" t="s">
        <v>8</v>
      </c>
      <c r="C12" s="27" t="s">
        <v>244</v>
      </c>
      <c r="D12" s="27">
        <v>4.1440000000000001E-3</v>
      </c>
      <c r="E12" s="27"/>
      <c r="F12" s="27" t="s">
        <v>8</v>
      </c>
      <c r="G12" s="27" t="s">
        <v>244</v>
      </c>
      <c r="H12" s="27">
        <v>4.1440000000000001E-3</v>
      </c>
      <c r="I12" s="27"/>
      <c r="J12" s="14">
        <v>4296</v>
      </c>
      <c r="K12" s="14" t="s">
        <v>244</v>
      </c>
      <c r="L12" s="26">
        <v>4.1440000000000001E-3</v>
      </c>
    </row>
    <row r="13" spans="1:12" x14ac:dyDescent="0.25">
      <c r="B13" s="27" t="s">
        <v>8</v>
      </c>
      <c r="C13" s="27" t="s">
        <v>245</v>
      </c>
      <c r="D13" s="27">
        <v>5.2339999999999999E-3</v>
      </c>
      <c r="E13" s="27"/>
      <c r="F13" s="27" t="s">
        <v>8</v>
      </c>
      <c r="G13" s="27" t="s">
        <v>245</v>
      </c>
      <c r="H13" s="27">
        <v>5.2339999999999999E-3</v>
      </c>
      <c r="I13" s="27"/>
      <c r="J13" s="14">
        <v>4296</v>
      </c>
      <c r="K13" s="14" t="s">
        <v>245</v>
      </c>
      <c r="L13" s="26">
        <v>5.2339999999999999E-3</v>
      </c>
    </row>
    <row r="14" spans="1:12" x14ac:dyDescent="0.25">
      <c r="B14" s="27" t="s">
        <v>8</v>
      </c>
      <c r="C14" s="27" t="s">
        <v>246</v>
      </c>
      <c r="D14" s="27">
        <v>3.2599999999999997E-2</v>
      </c>
      <c r="E14" s="27"/>
      <c r="F14" s="27" t="s">
        <v>8</v>
      </c>
      <c r="G14" s="27" t="s">
        <v>246</v>
      </c>
      <c r="H14" s="27">
        <v>3.2599999999999997E-2</v>
      </c>
      <c r="I14" s="27"/>
      <c r="J14" s="14">
        <v>4296</v>
      </c>
      <c r="K14" s="14" t="s">
        <v>246</v>
      </c>
      <c r="L14" s="14">
        <v>3.2599999999999997E-2</v>
      </c>
    </row>
    <row r="15" spans="1:12" x14ac:dyDescent="0.25">
      <c r="B15" s="27" t="s">
        <v>8</v>
      </c>
      <c r="C15" s="27" t="s">
        <v>247</v>
      </c>
      <c r="D15" s="27">
        <v>1.2149999999999999E-3</v>
      </c>
      <c r="E15" s="27"/>
      <c r="F15" s="27" t="s">
        <v>8</v>
      </c>
      <c r="G15" s="27" t="s">
        <v>247</v>
      </c>
      <c r="H15" s="27">
        <v>1.2149999999999999E-3</v>
      </c>
      <c r="I15" s="27"/>
      <c r="J15" s="14">
        <v>4296</v>
      </c>
      <c r="K15" s="14" t="s">
        <v>247</v>
      </c>
      <c r="L15" s="26">
        <v>1.2149999999999999E-3</v>
      </c>
    </row>
    <row r="16" spans="1:12" x14ac:dyDescent="0.25">
      <c r="B16" s="27" t="s">
        <v>8</v>
      </c>
      <c r="C16" s="27" t="s">
        <v>248</v>
      </c>
      <c r="D16" s="27">
        <v>1.4999999999999999E-2</v>
      </c>
      <c r="E16" s="27"/>
      <c r="F16" s="27" t="s">
        <v>8</v>
      </c>
      <c r="G16" s="27" t="s">
        <v>248</v>
      </c>
      <c r="H16" s="27">
        <v>1.4999999999999999E-2</v>
      </c>
      <c r="I16" s="27"/>
      <c r="J16" s="14">
        <v>4296</v>
      </c>
      <c r="K16" s="14" t="s">
        <v>248</v>
      </c>
      <c r="L16" s="14">
        <v>1.4999999999999999E-2</v>
      </c>
    </row>
    <row r="17" spans="2:12" x14ac:dyDescent="0.25">
      <c r="B17" s="27" t="s">
        <v>8</v>
      </c>
      <c r="C17" s="27" t="s">
        <v>249</v>
      </c>
      <c r="D17" s="27">
        <v>3.9300000000000001E-4</v>
      </c>
      <c r="E17" s="27"/>
      <c r="F17" s="27" t="s">
        <v>8</v>
      </c>
      <c r="G17" s="27" t="s">
        <v>249</v>
      </c>
      <c r="H17" s="27">
        <v>3.9300000000000001E-4</v>
      </c>
      <c r="I17" s="27"/>
      <c r="J17" s="14">
        <v>4296</v>
      </c>
      <c r="K17" s="14" t="s">
        <v>249</v>
      </c>
      <c r="L17" s="26">
        <v>3.9300000000000001E-4</v>
      </c>
    </row>
    <row r="18" spans="2:12" x14ac:dyDescent="0.25">
      <c r="B18" s="27" t="s">
        <v>8</v>
      </c>
      <c r="C18" s="27" t="s">
        <v>250</v>
      </c>
      <c r="D18" s="27">
        <v>6.13E-2</v>
      </c>
      <c r="E18" s="27"/>
      <c r="F18" s="27" t="s">
        <v>8</v>
      </c>
      <c r="G18" s="27" t="s">
        <v>251</v>
      </c>
      <c r="H18" s="27">
        <v>0.29320000000000002</v>
      </c>
      <c r="I18" s="27"/>
      <c r="J18" s="14">
        <v>4296</v>
      </c>
      <c r="K18" s="14" t="s">
        <v>251</v>
      </c>
      <c r="L18" s="14">
        <v>0.1867</v>
      </c>
    </row>
    <row r="19" spans="2:12" x14ac:dyDescent="0.25">
      <c r="B19" s="27" t="s">
        <v>8</v>
      </c>
      <c r="C19" s="27" t="s">
        <v>252</v>
      </c>
      <c r="D19" s="27">
        <v>0.1532</v>
      </c>
      <c r="E19" s="27"/>
      <c r="F19" s="27" t="s">
        <v>8</v>
      </c>
      <c r="G19" s="27" t="s">
        <v>253</v>
      </c>
      <c r="H19" s="27">
        <v>3.715E-3</v>
      </c>
      <c r="I19" s="27"/>
      <c r="J19" s="14">
        <v>4296</v>
      </c>
      <c r="K19" s="14" t="s">
        <v>253</v>
      </c>
      <c r="L19" s="26">
        <v>3.715E-3</v>
      </c>
    </row>
    <row r="20" spans="2:12" x14ac:dyDescent="0.25">
      <c r="B20" s="27" t="s">
        <v>8</v>
      </c>
      <c r="C20" s="27" t="s">
        <v>251</v>
      </c>
      <c r="D20" s="27">
        <v>0.29320000000000002</v>
      </c>
      <c r="E20" s="27"/>
      <c r="F20" s="27" t="s">
        <v>8</v>
      </c>
      <c r="G20" s="27" t="s">
        <v>254</v>
      </c>
      <c r="H20" s="27">
        <v>6.13E-2</v>
      </c>
      <c r="I20" s="27"/>
      <c r="J20" s="14">
        <v>4296</v>
      </c>
      <c r="K20" s="14" t="s">
        <v>254</v>
      </c>
      <c r="L20" s="14">
        <v>9.1700000000000004E-2</v>
      </c>
    </row>
    <row r="21" spans="2:12" x14ac:dyDescent="0.25">
      <c r="B21" s="27" t="s">
        <v>8</v>
      </c>
      <c r="C21" s="27" t="s">
        <v>253</v>
      </c>
      <c r="D21" s="27">
        <v>3.715E-3</v>
      </c>
      <c r="E21" s="27"/>
      <c r="F21" s="27" t="s">
        <v>8</v>
      </c>
      <c r="G21" s="27" t="s">
        <v>255</v>
      </c>
      <c r="H21" s="27">
        <v>1.2999999999999999E-2</v>
      </c>
      <c r="I21" s="27"/>
      <c r="J21" s="14">
        <v>4296</v>
      </c>
      <c r="K21" s="14" t="s">
        <v>255</v>
      </c>
      <c r="L21" s="14">
        <v>1.2999999999999999E-2</v>
      </c>
    </row>
    <row r="22" spans="2:12" x14ac:dyDescent="0.25">
      <c r="B22" s="27" t="s">
        <v>8</v>
      </c>
      <c r="C22" s="27" t="s">
        <v>255</v>
      </c>
      <c r="D22" s="27">
        <v>1.2999999999999999E-2</v>
      </c>
      <c r="E22" s="27"/>
      <c r="F22" s="27" t="s">
        <v>8</v>
      </c>
      <c r="G22" s="27" t="s">
        <v>256</v>
      </c>
      <c r="H22" s="27">
        <v>1.34E-2</v>
      </c>
      <c r="I22" s="27"/>
      <c r="J22" s="14">
        <v>4296</v>
      </c>
      <c r="K22" s="14" t="s">
        <v>256</v>
      </c>
      <c r="L22" s="14">
        <v>1.34E-2</v>
      </c>
    </row>
    <row r="23" spans="2:12" x14ac:dyDescent="0.25">
      <c r="B23" s="27" t="s">
        <v>8</v>
      </c>
      <c r="C23" s="27" t="s">
        <v>256</v>
      </c>
      <c r="D23" s="27">
        <v>1.34E-2</v>
      </c>
      <c r="E23" s="27"/>
      <c r="F23" s="27" t="s">
        <v>8</v>
      </c>
      <c r="G23" s="27" t="s">
        <v>47</v>
      </c>
      <c r="H23" s="27">
        <v>0.1532</v>
      </c>
      <c r="I23" s="27"/>
      <c r="J23" s="14">
        <v>4296</v>
      </c>
      <c r="K23" s="14" t="s">
        <v>47</v>
      </c>
      <c r="L23" s="14">
        <v>0.2293</v>
      </c>
    </row>
    <row r="24" spans="2:12" x14ac:dyDescent="0.25">
      <c r="B24" s="27" t="s">
        <v>8</v>
      </c>
      <c r="C24" s="27" t="s">
        <v>257</v>
      </c>
      <c r="D24" s="27">
        <v>7.0800000000000002E-2</v>
      </c>
      <c r="E24" s="27"/>
      <c r="F24" s="27" t="s">
        <v>8</v>
      </c>
      <c r="G24" s="27" t="s">
        <v>257</v>
      </c>
      <c r="H24" s="27">
        <v>7.0800000000000002E-2</v>
      </c>
      <c r="I24" s="27"/>
      <c r="J24" s="14">
        <v>4296</v>
      </c>
      <c r="K24" s="14" t="s">
        <v>257</v>
      </c>
      <c r="L24" s="14">
        <v>7.0800000000000002E-2</v>
      </c>
    </row>
    <row r="25" spans="2:12" x14ac:dyDescent="0.25">
      <c r="B25" s="27" t="s">
        <v>8</v>
      </c>
      <c r="C25" s="27" t="s">
        <v>258</v>
      </c>
      <c r="D25" s="27">
        <v>8.2600000000000007E-2</v>
      </c>
      <c r="E25" s="27"/>
      <c r="F25" s="27" t="s">
        <v>8</v>
      </c>
      <c r="G25" s="27" t="s">
        <v>258</v>
      </c>
      <c r="H25" s="27">
        <v>8.2600000000000007E-2</v>
      </c>
      <c r="I25" s="27"/>
      <c r="J25" s="14">
        <v>4296</v>
      </c>
      <c r="K25" s="14" t="s">
        <v>258</v>
      </c>
      <c r="L25" s="14">
        <v>8.2600000000000007E-2</v>
      </c>
    </row>
    <row r="26" spans="2:12" x14ac:dyDescent="0.25">
      <c r="B26" s="27" t="s">
        <v>8</v>
      </c>
      <c r="C26" s="27" t="s">
        <v>259</v>
      </c>
      <c r="D26" s="27">
        <v>7.4130000000000003E-3</v>
      </c>
      <c r="E26" s="27"/>
      <c r="F26" s="27" t="s">
        <v>8</v>
      </c>
      <c r="G26" s="27" t="s">
        <v>259</v>
      </c>
      <c r="H26" s="27">
        <v>7.4130000000000003E-3</v>
      </c>
      <c r="I26" s="27"/>
      <c r="J26" s="14">
        <v>4296</v>
      </c>
      <c r="K26" s="14" t="s">
        <v>259</v>
      </c>
      <c r="L26" s="26">
        <v>7.4130000000000003E-3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B811-96C0-4D7B-A52B-581A045BA1C5}">
  <dimension ref="A1:L36"/>
  <sheetViews>
    <sheetView workbookViewId="0"/>
  </sheetViews>
  <sheetFormatPr defaultRowHeight="15" x14ac:dyDescent="0.25"/>
  <cols>
    <col min="6" max="6" width="19.5703125" bestFit="1" customWidth="1"/>
    <col min="12" max="12" width="19" bestFit="1" customWidth="1"/>
  </cols>
  <sheetData>
    <row r="1" spans="1:12" ht="15.75" thickBot="1" x14ac:dyDescent="0.3">
      <c r="A1" s="15" t="s">
        <v>262</v>
      </c>
      <c r="H1" s="2" t="s">
        <v>261</v>
      </c>
    </row>
    <row r="2" spans="1:12" ht="22.5" thickBot="1" x14ac:dyDescent="0.3">
      <c r="A2" s="3" t="s">
        <v>147</v>
      </c>
      <c r="B2" s="4" t="s">
        <v>148</v>
      </c>
      <c r="C2" s="4" t="s">
        <v>149</v>
      </c>
      <c r="D2" s="4" t="s">
        <v>150</v>
      </c>
      <c r="E2" s="4" t="s">
        <v>151</v>
      </c>
      <c r="F2" s="5" t="s">
        <v>152</v>
      </c>
      <c r="H2" s="10" t="s">
        <v>147</v>
      </c>
      <c r="I2" s="10" t="s">
        <v>149</v>
      </c>
      <c r="J2" s="10" t="s">
        <v>150</v>
      </c>
      <c r="K2" s="10" t="s">
        <v>151</v>
      </c>
      <c r="L2" s="10" t="s">
        <v>204</v>
      </c>
    </row>
    <row r="3" spans="1:12" ht="15.75" thickBot="1" x14ac:dyDescent="0.3">
      <c r="A3" s="6" t="s">
        <v>87</v>
      </c>
      <c r="B3" s="7">
        <v>22.99</v>
      </c>
      <c r="C3" s="7" t="s">
        <v>153</v>
      </c>
      <c r="D3" s="8"/>
      <c r="E3" s="8"/>
      <c r="F3" s="9">
        <v>0.34799999999999998</v>
      </c>
      <c r="H3" s="11" t="s">
        <v>87</v>
      </c>
      <c r="I3" s="11" t="s">
        <v>205</v>
      </c>
      <c r="J3" s="11" t="s">
        <v>206</v>
      </c>
      <c r="K3" s="11" t="s">
        <v>206</v>
      </c>
      <c r="L3" s="12">
        <v>0.34799999999999998</v>
      </c>
    </row>
    <row r="4" spans="1:12" ht="15.75" thickBot="1" x14ac:dyDescent="0.3">
      <c r="A4" s="6" t="s">
        <v>97</v>
      </c>
      <c r="B4" s="7">
        <v>24.31</v>
      </c>
      <c r="C4" s="7" t="s">
        <v>154</v>
      </c>
      <c r="D4" s="8"/>
      <c r="E4" s="8"/>
      <c r="F4" s="9">
        <v>0.65800000000000003</v>
      </c>
      <c r="H4" s="11" t="s">
        <v>97</v>
      </c>
      <c r="I4" s="11" t="s">
        <v>154</v>
      </c>
      <c r="J4" s="11" t="s">
        <v>206</v>
      </c>
      <c r="K4" s="11" t="s">
        <v>206</v>
      </c>
      <c r="L4" s="12">
        <v>0.65800000000000003</v>
      </c>
    </row>
    <row r="5" spans="1:12" ht="15.75" thickBot="1" x14ac:dyDescent="0.3">
      <c r="A5" s="6" t="s">
        <v>42</v>
      </c>
      <c r="B5" s="7">
        <v>26.98</v>
      </c>
      <c r="C5" s="7" t="s">
        <v>155</v>
      </c>
      <c r="D5" s="8"/>
      <c r="E5" s="8"/>
      <c r="F5" s="9">
        <v>0.88900000000000001</v>
      </c>
      <c r="H5" s="11" t="s">
        <v>42</v>
      </c>
      <c r="I5" s="11" t="s">
        <v>207</v>
      </c>
      <c r="J5" s="11" t="s">
        <v>206</v>
      </c>
      <c r="K5" s="11" t="s">
        <v>206</v>
      </c>
      <c r="L5" s="12">
        <v>0.88900000000000001</v>
      </c>
    </row>
    <row r="6" spans="1:12" ht="15.75" thickBot="1" x14ac:dyDescent="0.3">
      <c r="A6" s="6" t="s">
        <v>12</v>
      </c>
      <c r="B6" s="7">
        <v>28.09</v>
      </c>
      <c r="C6" s="7" t="s">
        <v>156</v>
      </c>
      <c r="D6" s="8"/>
      <c r="E6" s="8"/>
      <c r="F6" s="9">
        <v>1.139</v>
      </c>
      <c r="H6" s="11" t="s">
        <v>12</v>
      </c>
      <c r="I6" s="11" t="s">
        <v>208</v>
      </c>
      <c r="J6" s="11" t="s">
        <v>206</v>
      </c>
      <c r="K6" s="11" t="s">
        <v>206</v>
      </c>
      <c r="L6" s="12">
        <v>1.139</v>
      </c>
    </row>
    <row r="7" spans="1:12" ht="15.75" thickBot="1" x14ac:dyDescent="0.3">
      <c r="A7" s="6" t="s">
        <v>67</v>
      </c>
      <c r="B7" s="7">
        <v>30.97</v>
      </c>
      <c r="C7" s="7" t="s">
        <v>157</v>
      </c>
      <c r="D7" s="7" t="s">
        <v>158</v>
      </c>
      <c r="E7" s="8"/>
      <c r="F7" s="9">
        <v>1.0329999999999999</v>
      </c>
      <c r="H7" s="11" t="s">
        <v>67</v>
      </c>
      <c r="I7" s="11" t="s">
        <v>209</v>
      </c>
      <c r="J7" s="11" t="s">
        <v>210</v>
      </c>
      <c r="K7" s="11" t="s">
        <v>206</v>
      </c>
      <c r="L7" s="12">
        <v>1.0329999999999999</v>
      </c>
    </row>
    <row r="8" spans="1:12" ht="15.75" thickBot="1" x14ac:dyDescent="0.3">
      <c r="A8" s="6" t="s">
        <v>21</v>
      </c>
      <c r="B8" s="7">
        <v>39.1</v>
      </c>
      <c r="C8" s="7" t="s">
        <v>159</v>
      </c>
      <c r="D8" s="8"/>
      <c r="E8" s="8"/>
      <c r="F8" s="9">
        <v>0.20499999999999999</v>
      </c>
      <c r="H8" s="11" t="s">
        <v>21</v>
      </c>
      <c r="I8" s="11" t="s">
        <v>211</v>
      </c>
      <c r="J8" s="11" t="s">
        <v>206</v>
      </c>
      <c r="K8" s="11" t="s">
        <v>206</v>
      </c>
      <c r="L8" s="12">
        <v>0.20499999999999999</v>
      </c>
    </row>
    <row r="9" spans="1:12" ht="15.75" thickBot="1" x14ac:dyDescent="0.3">
      <c r="A9" s="6" t="s">
        <v>102</v>
      </c>
      <c r="B9" s="7">
        <v>40.08</v>
      </c>
      <c r="C9" s="7" t="s">
        <v>160</v>
      </c>
      <c r="D9" s="8"/>
      <c r="E9" s="8"/>
      <c r="F9" s="9">
        <v>0.39900000000000002</v>
      </c>
      <c r="H9" s="11" t="s">
        <v>102</v>
      </c>
      <c r="I9" s="11" t="s">
        <v>160</v>
      </c>
      <c r="J9" s="11" t="s">
        <v>206</v>
      </c>
      <c r="K9" s="11" t="s">
        <v>206</v>
      </c>
      <c r="L9" s="12">
        <v>0.39900000000000002</v>
      </c>
    </row>
    <row r="10" spans="1:12" ht="15.75" thickBot="1" x14ac:dyDescent="0.3">
      <c r="A10" s="6" t="s">
        <v>71</v>
      </c>
      <c r="B10" s="7">
        <v>47.87</v>
      </c>
      <c r="C10" s="7" t="s">
        <v>161</v>
      </c>
      <c r="D10" s="8"/>
      <c r="E10" s="8"/>
      <c r="F10" s="9">
        <v>0.66900000000000004</v>
      </c>
      <c r="H10" s="11" t="s">
        <v>71</v>
      </c>
      <c r="I10" s="11" t="s">
        <v>161</v>
      </c>
      <c r="J10" s="11" t="s">
        <v>206</v>
      </c>
      <c r="K10" s="11" t="s">
        <v>206</v>
      </c>
      <c r="L10" s="12">
        <v>0.66900000000000004</v>
      </c>
    </row>
    <row r="11" spans="1:12" ht="15.75" thickBot="1" x14ac:dyDescent="0.3">
      <c r="A11" s="6" t="s">
        <v>93</v>
      </c>
      <c r="B11" s="7">
        <v>50.94</v>
      </c>
      <c r="C11" s="7" t="s">
        <v>162</v>
      </c>
      <c r="D11" s="8"/>
      <c r="E11" s="8"/>
      <c r="F11" s="9">
        <v>0.78500000000000003</v>
      </c>
      <c r="H11" s="11" t="s">
        <v>93</v>
      </c>
      <c r="I11" s="11" t="s">
        <v>212</v>
      </c>
      <c r="J11" s="11" t="s">
        <v>206</v>
      </c>
      <c r="K11" s="11" t="s">
        <v>206</v>
      </c>
      <c r="L11" s="12">
        <v>0.78500000000000003</v>
      </c>
    </row>
    <row r="12" spans="1:12" ht="15.75" thickBot="1" x14ac:dyDescent="0.3">
      <c r="A12" s="6" t="s">
        <v>59</v>
      </c>
      <c r="B12" s="7">
        <v>52</v>
      </c>
      <c r="C12" s="7" t="s">
        <v>163</v>
      </c>
      <c r="D12" s="7" t="s">
        <v>164</v>
      </c>
      <c r="E12" s="8"/>
      <c r="F12" s="9">
        <v>0.69199999999999995</v>
      </c>
      <c r="H12" s="11" t="s">
        <v>59</v>
      </c>
      <c r="I12" s="11" t="s">
        <v>213</v>
      </c>
      <c r="J12" s="11" t="s">
        <v>214</v>
      </c>
      <c r="K12" s="11" t="s">
        <v>206</v>
      </c>
      <c r="L12" s="12">
        <v>0.69199999999999995</v>
      </c>
    </row>
    <row r="13" spans="1:12" ht="15.75" thickBot="1" x14ac:dyDescent="0.3">
      <c r="A13" s="6" t="s">
        <v>19</v>
      </c>
      <c r="B13" s="7">
        <v>54.94</v>
      </c>
      <c r="C13" s="7" t="s">
        <v>165</v>
      </c>
      <c r="D13" s="7" t="s">
        <v>166</v>
      </c>
      <c r="E13" s="7" t="s">
        <v>167</v>
      </c>
      <c r="F13" s="9">
        <v>0.63100000000000001</v>
      </c>
      <c r="H13" s="11" t="s">
        <v>19</v>
      </c>
      <c r="I13" s="11" t="s">
        <v>165</v>
      </c>
      <c r="J13" s="11" t="s">
        <v>215</v>
      </c>
      <c r="K13" s="11" t="s">
        <v>216</v>
      </c>
      <c r="L13" s="12">
        <v>0.63100000000000001</v>
      </c>
    </row>
    <row r="14" spans="1:12" ht="15.75" thickBot="1" x14ac:dyDescent="0.3">
      <c r="A14" s="6" t="s">
        <v>73</v>
      </c>
      <c r="B14" s="7">
        <v>55.85</v>
      </c>
      <c r="C14" s="7" t="s">
        <v>168</v>
      </c>
      <c r="D14" s="7" t="s">
        <v>169</v>
      </c>
      <c r="E14" s="8"/>
      <c r="F14" s="9">
        <v>0.35799999999999998</v>
      </c>
      <c r="H14" s="11" t="s">
        <v>73</v>
      </c>
      <c r="I14" s="11" t="s">
        <v>168</v>
      </c>
      <c r="J14" s="11" t="s">
        <v>217</v>
      </c>
      <c r="K14" s="11" t="s">
        <v>206</v>
      </c>
      <c r="L14" s="12">
        <v>0.35799999999999998</v>
      </c>
    </row>
    <row r="15" spans="1:12" ht="15.75" thickBot="1" x14ac:dyDescent="0.3">
      <c r="A15" s="6" t="s">
        <v>61</v>
      </c>
      <c r="B15" s="7">
        <v>58.93</v>
      </c>
      <c r="C15" s="7" t="s">
        <v>170</v>
      </c>
      <c r="D15" s="7" t="s">
        <v>171</v>
      </c>
      <c r="E15" s="8"/>
      <c r="F15" s="9">
        <v>0.33900000000000002</v>
      </c>
      <c r="H15" s="11" t="s">
        <v>61</v>
      </c>
      <c r="I15" s="11" t="s">
        <v>170</v>
      </c>
      <c r="J15" s="11" t="s">
        <v>218</v>
      </c>
      <c r="K15" s="11" t="s">
        <v>206</v>
      </c>
      <c r="L15" s="12">
        <v>0.33900000000000002</v>
      </c>
    </row>
    <row r="16" spans="1:12" ht="15.75" thickBot="1" x14ac:dyDescent="0.3">
      <c r="A16" s="6" t="s">
        <v>108</v>
      </c>
      <c r="B16" s="7">
        <v>58.69</v>
      </c>
      <c r="C16" s="7" t="s">
        <v>172</v>
      </c>
      <c r="D16" s="8"/>
      <c r="E16" s="8"/>
      <c r="F16" s="9">
        <v>0.27300000000000002</v>
      </c>
      <c r="H16" s="11" t="s">
        <v>108</v>
      </c>
      <c r="I16" s="11" t="s">
        <v>172</v>
      </c>
      <c r="J16" s="11" t="s">
        <v>206</v>
      </c>
      <c r="K16" s="11" t="s">
        <v>206</v>
      </c>
      <c r="L16" s="12">
        <v>0.27300000000000002</v>
      </c>
    </row>
    <row r="17" spans="1:12" ht="15.75" thickBot="1" x14ac:dyDescent="0.3">
      <c r="A17" s="6" t="s">
        <v>124</v>
      </c>
      <c r="B17" s="7">
        <v>63.55</v>
      </c>
      <c r="C17" s="7" t="s">
        <v>173</v>
      </c>
      <c r="D17" s="8"/>
      <c r="E17" s="8"/>
      <c r="F17" s="9">
        <v>0.252</v>
      </c>
      <c r="H17" s="11" t="s">
        <v>124</v>
      </c>
      <c r="I17" s="11" t="s">
        <v>173</v>
      </c>
      <c r="J17" s="11" t="s">
        <v>206</v>
      </c>
      <c r="K17" s="11" t="s">
        <v>206</v>
      </c>
      <c r="L17" s="12">
        <v>0.252</v>
      </c>
    </row>
    <row r="18" spans="1:12" ht="15.75" thickBot="1" x14ac:dyDescent="0.3">
      <c r="A18" s="6" t="s">
        <v>91</v>
      </c>
      <c r="B18" s="7">
        <v>65.39</v>
      </c>
      <c r="C18" s="7" t="s">
        <v>174</v>
      </c>
      <c r="D18" s="8"/>
      <c r="E18" s="8"/>
      <c r="F18" s="9">
        <v>0.245</v>
      </c>
      <c r="H18" s="11" t="s">
        <v>91</v>
      </c>
      <c r="I18" s="11" t="s">
        <v>174</v>
      </c>
      <c r="J18" s="11" t="s">
        <v>206</v>
      </c>
      <c r="K18" s="11" t="s">
        <v>206</v>
      </c>
      <c r="L18" s="12">
        <v>0.245</v>
      </c>
    </row>
    <row r="19" spans="1:12" ht="15.75" thickBot="1" x14ac:dyDescent="0.3">
      <c r="A19" s="6" t="s">
        <v>51</v>
      </c>
      <c r="B19" s="7">
        <v>69.72</v>
      </c>
      <c r="C19" s="7" t="s">
        <v>175</v>
      </c>
      <c r="D19" s="8"/>
      <c r="E19" s="8"/>
      <c r="F19" s="9">
        <v>0.34399999999999997</v>
      </c>
      <c r="H19" s="11" t="s">
        <v>51</v>
      </c>
      <c r="I19" s="11" t="s">
        <v>219</v>
      </c>
      <c r="J19" s="11" t="s">
        <v>206</v>
      </c>
      <c r="K19" s="11" t="s">
        <v>206</v>
      </c>
      <c r="L19" s="12">
        <v>0.34399999999999997</v>
      </c>
    </row>
    <row r="20" spans="1:12" ht="15.75" thickBot="1" x14ac:dyDescent="0.3">
      <c r="A20" s="6" t="s">
        <v>31</v>
      </c>
      <c r="B20" s="7">
        <v>74.92</v>
      </c>
      <c r="C20" s="7" t="s">
        <v>176</v>
      </c>
      <c r="D20" s="7" t="s">
        <v>177</v>
      </c>
      <c r="E20" s="8"/>
      <c r="F20" s="9">
        <v>0.42699999999999999</v>
      </c>
      <c r="H20" s="11" t="s">
        <v>31</v>
      </c>
      <c r="I20" s="11" t="s">
        <v>220</v>
      </c>
      <c r="J20" s="11" t="s">
        <v>221</v>
      </c>
      <c r="K20" s="11" t="s">
        <v>206</v>
      </c>
      <c r="L20" s="12">
        <v>0.42699999999999999</v>
      </c>
    </row>
    <row r="21" spans="1:12" ht="15.75" thickBot="1" x14ac:dyDescent="0.3">
      <c r="A21" s="6" t="s">
        <v>69</v>
      </c>
      <c r="B21" s="7">
        <v>78.959999999999994</v>
      </c>
      <c r="C21" s="7" t="s">
        <v>178</v>
      </c>
      <c r="D21" s="7" t="s">
        <v>179</v>
      </c>
      <c r="E21" s="7" t="s">
        <v>180</v>
      </c>
      <c r="F21" s="9">
        <v>0.40500000000000003</v>
      </c>
      <c r="H21" s="11" t="s">
        <v>69</v>
      </c>
      <c r="I21" s="11" t="s">
        <v>178</v>
      </c>
      <c r="J21" s="11" t="s">
        <v>222</v>
      </c>
      <c r="K21" s="11" t="s">
        <v>223</v>
      </c>
      <c r="L21" s="12">
        <v>0.40500000000000003</v>
      </c>
    </row>
    <row r="22" spans="1:12" ht="15.75" thickBot="1" x14ac:dyDescent="0.3">
      <c r="A22" s="6" t="s">
        <v>14</v>
      </c>
      <c r="B22" s="7">
        <v>85.47</v>
      </c>
      <c r="C22" s="7" t="s">
        <v>181</v>
      </c>
      <c r="D22" s="8"/>
      <c r="E22" s="8"/>
      <c r="F22" s="9">
        <v>9.4E-2</v>
      </c>
      <c r="H22" s="11" t="s">
        <v>14</v>
      </c>
      <c r="I22" s="11" t="s">
        <v>224</v>
      </c>
      <c r="J22" s="11" t="s">
        <v>206</v>
      </c>
      <c r="K22" s="11" t="s">
        <v>206</v>
      </c>
      <c r="L22" s="12">
        <v>9.4E-2</v>
      </c>
    </row>
    <row r="23" spans="1:12" ht="15.75" thickBot="1" x14ac:dyDescent="0.3">
      <c r="A23" s="6" t="s">
        <v>116</v>
      </c>
      <c r="B23" s="7">
        <v>87.62</v>
      </c>
      <c r="C23" s="7" t="s">
        <v>182</v>
      </c>
      <c r="D23" s="8"/>
      <c r="E23" s="8"/>
      <c r="F23" s="9">
        <v>0.183</v>
      </c>
      <c r="H23" s="11" t="s">
        <v>116</v>
      </c>
      <c r="I23" s="11" t="s">
        <v>182</v>
      </c>
      <c r="J23" s="11" t="s">
        <v>206</v>
      </c>
      <c r="K23" s="11" t="s">
        <v>206</v>
      </c>
      <c r="L23" s="12">
        <v>0.183</v>
      </c>
    </row>
    <row r="24" spans="1:12" ht="15.75" thickBot="1" x14ac:dyDescent="0.3">
      <c r="A24" s="6" t="s">
        <v>83</v>
      </c>
      <c r="B24" s="7">
        <v>91.22</v>
      </c>
      <c r="C24" s="7" t="s">
        <v>183</v>
      </c>
      <c r="D24" s="8"/>
      <c r="E24" s="8"/>
      <c r="F24" s="9">
        <v>0.35099999999999998</v>
      </c>
      <c r="H24" s="11" t="s">
        <v>83</v>
      </c>
      <c r="I24" s="11" t="s">
        <v>225</v>
      </c>
      <c r="J24" s="11" t="s">
        <v>206</v>
      </c>
      <c r="K24" s="11" t="s">
        <v>206</v>
      </c>
      <c r="L24" s="12">
        <v>0.35099999999999998</v>
      </c>
    </row>
    <row r="25" spans="1:12" ht="15.75" thickBot="1" x14ac:dyDescent="0.3">
      <c r="A25" s="6" t="s">
        <v>85</v>
      </c>
      <c r="B25" s="7">
        <v>95.94</v>
      </c>
      <c r="C25" s="7" t="s">
        <v>184</v>
      </c>
      <c r="D25" s="7" t="s">
        <v>185</v>
      </c>
      <c r="E25" s="8"/>
      <c r="F25" s="9">
        <v>0.41699999999999998</v>
      </c>
      <c r="H25" s="11" t="s">
        <v>85</v>
      </c>
      <c r="I25" s="11" t="s">
        <v>226</v>
      </c>
      <c r="J25" s="11" t="s">
        <v>227</v>
      </c>
      <c r="K25" s="11" t="s">
        <v>206</v>
      </c>
      <c r="L25" s="12">
        <v>0.41699999999999998</v>
      </c>
    </row>
    <row r="26" spans="1:12" ht="15.75" thickBot="1" x14ac:dyDescent="0.3">
      <c r="A26" s="6" t="s">
        <v>33</v>
      </c>
      <c r="B26" s="7">
        <v>106.42</v>
      </c>
      <c r="C26" s="7" t="s">
        <v>186</v>
      </c>
      <c r="D26" s="7" t="s">
        <v>187</v>
      </c>
      <c r="E26" s="8"/>
      <c r="F26" s="9">
        <v>0.22600000000000001</v>
      </c>
      <c r="H26" s="11" t="s">
        <v>33</v>
      </c>
      <c r="I26" s="11" t="s">
        <v>186</v>
      </c>
      <c r="J26" s="11" t="s">
        <v>228</v>
      </c>
      <c r="K26" s="11" t="s">
        <v>206</v>
      </c>
      <c r="L26" s="12">
        <v>0.22600000000000001</v>
      </c>
    </row>
    <row r="27" spans="1:12" ht="15.75" thickBot="1" x14ac:dyDescent="0.3">
      <c r="A27" s="6" t="s">
        <v>65</v>
      </c>
      <c r="B27" s="7">
        <v>107.87</v>
      </c>
      <c r="C27" s="7" t="s">
        <v>188</v>
      </c>
      <c r="D27" s="8"/>
      <c r="E27" s="8"/>
      <c r="F27" s="9">
        <v>7.3999999999999996E-2</v>
      </c>
      <c r="H27" s="11" t="s">
        <v>65</v>
      </c>
      <c r="I27" s="11" t="s">
        <v>229</v>
      </c>
      <c r="J27" s="11" t="s">
        <v>206</v>
      </c>
      <c r="K27" s="11" t="s">
        <v>206</v>
      </c>
      <c r="L27" s="12">
        <v>7.3999999999999996E-2</v>
      </c>
    </row>
    <row r="28" spans="1:12" ht="15.75" thickBot="1" x14ac:dyDescent="0.3">
      <c r="A28" s="6" t="s">
        <v>29</v>
      </c>
      <c r="B28" s="7">
        <v>112.41</v>
      </c>
      <c r="C28" s="7" t="s">
        <v>189</v>
      </c>
      <c r="D28" s="8"/>
      <c r="E28" s="8"/>
      <c r="F28" s="9">
        <v>0.14199999999999999</v>
      </c>
      <c r="H28" s="11" t="s">
        <v>29</v>
      </c>
      <c r="I28" s="11" t="s">
        <v>189</v>
      </c>
      <c r="J28" s="11" t="s">
        <v>206</v>
      </c>
      <c r="K28" s="11" t="s">
        <v>206</v>
      </c>
      <c r="L28" s="12">
        <v>0.14199999999999999</v>
      </c>
    </row>
    <row r="29" spans="1:12" ht="15.75" thickBot="1" x14ac:dyDescent="0.3">
      <c r="A29" s="6" t="s">
        <v>53</v>
      </c>
      <c r="B29" s="7">
        <v>114.82</v>
      </c>
      <c r="C29" s="7" t="s">
        <v>190</v>
      </c>
      <c r="D29" s="8"/>
      <c r="E29" s="8"/>
      <c r="F29" s="9">
        <v>0.20899999999999999</v>
      </c>
      <c r="H29" s="11" t="s">
        <v>53</v>
      </c>
      <c r="I29" s="11" t="s">
        <v>230</v>
      </c>
      <c r="J29" s="11" t="s">
        <v>206</v>
      </c>
      <c r="K29" s="11" t="s">
        <v>206</v>
      </c>
      <c r="L29" s="12">
        <v>0.20899999999999999</v>
      </c>
    </row>
    <row r="30" spans="1:12" ht="15.75" thickBot="1" x14ac:dyDescent="0.3">
      <c r="A30" s="6" t="s">
        <v>112</v>
      </c>
      <c r="B30" s="7">
        <v>118.71</v>
      </c>
      <c r="C30" s="7" t="s">
        <v>191</v>
      </c>
      <c r="D30" s="7" t="s">
        <v>192</v>
      </c>
      <c r="E30" s="8"/>
      <c r="F30" s="9">
        <v>0.20200000000000001</v>
      </c>
      <c r="H30" s="11" t="s">
        <v>112</v>
      </c>
      <c r="I30" s="11" t="s">
        <v>191</v>
      </c>
      <c r="J30" s="11" t="s">
        <v>231</v>
      </c>
      <c r="K30" s="11" t="s">
        <v>206</v>
      </c>
      <c r="L30" s="12">
        <v>0.20200000000000001</v>
      </c>
    </row>
    <row r="31" spans="1:12" ht="15.75" thickBot="1" x14ac:dyDescent="0.3">
      <c r="A31" s="6" t="s">
        <v>27</v>
      </c>
      <c r="B31" s="7">
        <v>121.76</v>
      </c>
      <c r="C31" s="7" t="s">
        <v>193</v>
      </c>
      <c r="D31" s="7" t="s">
        <v>194</v>
      </c>
      <c r="E31" s="8"/>
      <c r="F31" s="9">
        <v>0.26300000000000001</v>
      </c>
      <c r="H31" s="11" t="s">
        <v>27</v>
      </c>
      <c r="I31" s="11" t="s">
        <v>232</v>
      </c>
      <c r="J31" s="11" t="s">
        <v>233</v>
      </c>
      <c r="K31" s="11" t="s">
        <v>206</v>
      </c>
      <c r="L31" s="12">
        <v>0.26300000000000001</v>
      </c>
    </row>
    <row r="32" spans="1:12" ht="15.75" thickBot="1" x14ac:dyDescent="0.3">
      <c r="A32" s="6" t="s">
        <v>77</v>
      </c>
      <c r="B32" s="7">
        <v>137.33000000000001</v>
      </c>
      <c r="C32" s="7" t="s">
        <v>195</v>
      </c>
      <c r="D32" s="8"/>
      <c r="E32" s="8"/>
      <c r="F32" s="9">
        <v>0.11700000000000001</v>
      </c>
      <c r="H32" s="11" t="s">
        <v>77</v>
      </c>
      <c r="I32" s="11" t="s">
        <v>195</v>
      </c>
      <c r="J32" s="11" t="s">
        <v>206</v>
      </c>
      <c r="K32" s="11" t="s">
        <v>206</v>
      </c>
      <c r="L32" s="12">
        <v>0.11700000000000001</v>
      </c>
    </row>
    <row r="33" spans="1:12" ht="15.75" thickBot="1" x14ac:dyDescent="0.3">
      <c r="A33" s="6" t="s">
        <v>119</v>
      </c>
      <c r="B33" s="7">
        <v>138.91</v>
      </c>
      <c r="C33" s="7" t="s">
        <v>196</v>
      </c>
      <c r="D33" s="8"/>
      <c r="E33" s="8"/>
      <c r="F33" s="9">
        <v>0.17299999999999999</v>
      </c>
      <c r="H33" s="11" t="s">
        <v>119</v>
      </c>
      <c r="I33" s="11" t="s">
        <v>234</v>
      </c>
      <c r="J33" s="11" t="s">
        <v>206</v>
      </c>
      <c r="K33" s="11" t="s">
        <v>206</v>
      </c>
      <c r="L33" s="12">
        <v>0.17299999999999999</v>
      </c>
    </row>
    <row r="34" spans="1:12" ht="15.75" thickBot="1" x14ac:dyDescent="0.3">
      <c r="A34" s="6" t="s">
        <v>197</v>
      </c>
      <c r="B34" s="7">
        <v>140.12</v>
      </c>
      <c r="C34" s="7" t="s">
        <v>198</v>
      </c>
      <c r="D34" s="7" t="s">
        <v>199</v>
      </c>
      <c r="E34" s="8"/>
      <c r="F34" s="9">
        <v>0.2</v>
      </c>
      <c r="H34" s="11" t="s">
        <v>197</v>
      </c>
      <c r="I34" s="11" t="s">
        <v>235</v>
      </c>
      <c r="J34" s="11" t="s">
        <v>236</v>
      </c>
      <c r="K34" s="11" t="s">
        <v>206</v>
      </c>
      <c r="L34" s="12">
        <v>0.2</v>
      </c>
    </row>
    <row r="35" spans="1:12" ht="15.75" thickBot="1" x14ac:dyDescent="0.3">
      <c r="A35" s="6" t="s">
        <v>95</v>
      </c>
      <c r="B35" s="7">
        <v>200.59</v>
      </c>
      <c r="C35" s="7" t="s">
        <v>200</v>
      </c>
      <c r="D35" s="7" t="s">
        <v>201</v>
      </c>
      <c r="E35" s="8"/>
      <c r="F35" s="9">
        <v>0.06</v>
      </c>
      <c r="H35" s="11" t="s">
        <v>95</v>
      </c>
      <c r="I35" s="11" t="s">
        <v>200</v>
      </c>
      <c r="J35" s="11" t="s">
        <v>201</v>
      </c>
      <c r="K35" s="11" t="s">
        <v>206</v>
      </c>
      <c r="L35" s="12">
        <v>0.06</v>
      </c>
    </row>
    <row r="36" spans="1:12" ht="15.75" thickBot="1" x14ac:dyDescent="0.3">
      <c r="A36" s="6" t="s">
        <v>55</v>
      </c>
      <c r="B36" s="7">
        <v>207.2</v>
      </c>
      <c r="C36" s="7" t="s">
        <v>202</v>
      </c>
      <c r="D36" s="7" t="s">
        <v>203</v>
      </c>
      <c r="E36" s="8"/>
      <c r="F36" s="9">
        <v>0.11600000000000001</v>
      </c>
      <c r="H36" s="11" t="s">
        <v>55</v>
      </c>
      <c r="I36" s="11" t="s">
        <v>202</v>
      </c>
      <c r="J36" s="11" t="s">
        <v>237</v>
      </c>
      <c r="K36" s="11" t="s">
        <v>206</v>
      </c>
      <c r="L36" s="12">
        <v>0.11600000000000001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DAA9F738116C4C8856B642A9F9F305" ma:contentTypeVersion="13" ma:contentTypeDescription="Create a new document." ma:contentTypeScope="" ma:versionID="4eaab1c3a6194cc086c9ff2e63352df6">
  <xsd:schema xmlns:xsd="http://www.w3.org/2001/XMLSchema" xmlns:xs="http://www.w3.org/2001/XMLSchema" xmlns:p="http://schemas.microsoft.com/office/2006/metadata/properties" xmlns:ns3="d61ba780-5c4e-463c-8b13-3d148406ae98" xmlns:ns4="97b1ae18-1b26-4f18-aa85-287fdaea1f85" targetNamespace="http://schemas.microsoft.com/office/2006/metadata/properties" ma:root="true" ma:fieldsID="2c4369b666276b5e26a9ceca58df6009" ns3:_="" ns4:_="">
    <xsd:import namespace="d61ba780-5c4e-463c-8b13-3d148406ae98"/>
    <xsd:import namespace="97b1ae18-1b26-4f18-aa85-287fdaea1f85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ba780-5c4e-463c-8b13-3d148406ae98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1ae18-1b26-4f18-aa85-287fdaea1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119DE6-F0A6-45B1-84AB-F7120FD80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1ba780-5c4e-463c-8b13-3d148406ae98"/>
    <ds:schemaRef ds:uri="97b1ae18-1b26-4f18-aa85-287fdaea1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2E97E-167A-43AE-B8FC-33E9D4962CA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d61ba780-5c4e-463c-8b13-3d148406ae98"/>
    <ds:schemaRef ds:uri="http://purl.org/dc/elements/1.1/"/>
    <ds:schemaRef ds:uri="http://schemas.microsoft.com/office/2006/metadata/properties"/>
    <ds:schemaRef ds:uri="97b1ae18-1b26-4f18-aa85-287fdaea1f85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71F452-E1E6-4EC2-94E0-A47A8FC784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PM_Profile_4296</vt:lpstr>
      <vt:lpstr>SMOKE GSPRO 4296</vt:lpstr>
      <vt:lpstr>oxygen_metal_ratios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Shah</dc:creator>
  <cp:lastModifiedBy>Tejas Shah</cp:lastModifiedBy>
  <dcterms:created xsi:type="dcterms:W3CDTF">2020-04-29T15:29:53Z</dcterms:created>
  <dcterms:modified xsi:type="dcterms:W3CDTF">2020-05-15T01:47:57Z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0x010100A6DAA9F738116C4C8856B642A9F9F305</vt:lpwstr>
  </property>
</Properties>
</file>